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filterPrivacy="1"/>
  <xr:revisionPtr revIDLastSave="0" documentId="8_{9376BE30-D0B3-4CD2-B174-FA58D4C53C28}" xr6:coauthVersionLast="47" xr6:coauthVersionMax="47" xr10:uidLastSave="{00000000-0000-0000-0000-000000000000}"/>
  <bookViews>
    <workbookView xWindow="-120" yWindow="-120" windowWidth="29040" windowHeight="15720" tabRatio="747" activeTab="2" xr2:uid="{00000000-000D-0000-FFFF-FFFF00000000}"/>
  </bookViews>
  <sheets>
    <sheet name="Notes" sheetId="12" r:id="rId1"/>
    <sheet name="Definitions and assumptions" sheetId="13" r:id="rId2"/>
    <sheet name="Projects" sheetId="32" r:id="rId3"/>
    <sheet name="References" sheetId="7" r:id="rId4"/>
    <sheet name="Lists" sheetId="16" state="hidden" r:id="rId5"/>
    <sheet name="Countries" sheetId="17" state="hidden" r:id="rId6"/>
  </sheets>
  <definedNames>
    <definedName name="_xlnm._FilterDatabase" localSheetId="3" hidden="1">References!$A$2:$B$2</definedName>
    <definedName name="ElectrolysisConvF">Lists!$D$3:$F$14</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445" i="32" l="1"/>
  <c r="J2445" i="32"/>
  <c r="AB2444" i="32"/>
  <c r="AC2444" i="32" s="1"/>
  <c r="AE2443" i="32"/>
  <c r="J2443" i="32"/>
  <c r="AC2442" i="32"/>
  <c r="AB2442" i="32"/>
  <c r="AE2442" i="32" s="1"/>
  <c r="AB2441" i="32"/>
  <c r="AE2441" i="32"/>
  <c r="AC2441" i="32"/>
  <c r="AE2440" i="32"/>
  <c r="AC2440" i="32"/>
  <c r="AB2440" i="32" s="1"/>
  <c r="AC2439" i="32"/>
  <c r="AB2439" i="32" s="1"/>
  <c r="AE2438" i="32"/>
  <c r="AC2437" i="32"/>
  <c r="AB2437" i="32" s="1"/>
  <c r="AE2437" i="32"/>
  <c r="AC2436" i="32"/>
  <c r="AB2436" i="32" s="1"/>
  <c r="AB2435" i="32"/>
  <c r="AB2434" i="32"/>
  <c r="AB2433" i="32"/>
  <c r="AE2433" i="32" s="1"/>
  <c r="AB2432" i="32"/>
  <c r="AE2432" i="32" s="1"/>
  <c r="AE2431" i="32"/>
  <c r="AB2431" i="32"/>
  <c r="AA2431" i="32"/>
  <c r="AC2430" i="32"/>
  <c r="AB2430" i="32" s="1"/>
  <c r="AB2429" i="32"/>
  <c r="AE2429" i="32" s="1"/>
  <c r="AB2428" i="32"/>
  <c r="AE2428" i="32" s="1"/>
  <c r="AC2427" i="32"/>
  <c r="AB2427" i="32" s="1"/>
  <c r="AE2427" i="32" s="1"/>
  <c r="AB2426" i="32"/>
  <c r="AE2426" i="32" s="1"/>
  <c r="AB2425" i="32"/>
  <c r="AC2425" i="32" s="1"/>
  <c r="AB2424" i="32"/>
  <c r="AB2423" i="32"/>
  <c r="AE2422" i="32"/>
  <c r="AB2421" i="32"/>
  <c r="AE2421" i="32" s="1"/>
  <c r="AE2420" i="32"/>
  <c r="AE2419" i="32"/>
  <c r="AB2418" i="32"/>
  <c r="AB2417" i="32"/>
  <c r="AE2417" i="32" s="1"/>
  <c r="AB2416" i="32"/>
  <c r="AE2416" i="32" s="1"/>
  <c r="AC2415" i="32"/>
  <c r="AB2415" i="32" s="1"/>
  <c r="AE2415" i="32" s="1"/>
  <c r="AB2414" i="32"/>
  <c r="AE2414" i="32" s="1"/>
  <c r="AB2413" i="32"/>
  <c r="AB2412" i="32"/>
  <c r="AC2411" i="32"/>
  <c r="AB2411" i="32" s="1"/>
  <c r="AB2410" i="32"/>
  <c r="AE2410" i="32" s="1"/>
  <c r="AB2409" i="32"/>
  <c r="AC2409" i="32" s="1"/>
  <c r="AB2408" i="32"/>
  <c r="AB2407" i="32"/>
  <c r="AE2407" i="32" s="1"/>
  <c r="AC2406" i="32"/>
  <c r="AB2406" i="32" s="1"/>
  <c r="AE2406" i="32" s="1"/>
  <c r="AB2405" i="32"/>
  <c r="AE2405" i="32" s="1"/>
  <c r="AB2404" i="32"/>
  <c r="AB2403" i="32"/>
  <c r="AB2402" i="32"/>
  <c r="AB2401" i="32"/>
  <c r="AE2401" i="32" s="1"/>
  <c r="AB2400" i="32"/>
  <c r="AC2400" i="32" s="1"/>
  <c r="AB2399" i="32"/>
  <c r="AB2398" i="32"/>
  <c r="AE2398" i="32" s="1"/>
  <c r="AB2397" i="32"/>
  <c r="AE2397" i="32" s="1"/>
  <c r="AB2396" i="32"/>
  <c r="AC2396" i="32" s="1"/>
  <c r="AB2395" i="32"/>
  <c r="AB2394" i="32"/>
  <c r="AB2393" i="32"/>
  <c r="AE2393" i="32" s="1"/>
  <c r="AB2392" i="32"/>
  <c r="AC2392" i="32" s="1"/>
  <c r="AB2391" i="32"/>
  <c r="AB2390" i="32"/>
  <c r="AE2390" i="32" s="1"/>
  <c r="AB2389" i="32"/>
  <c r="AE2389" i="32" s="1"/>
  <c r="AB2388" i="32"/>
  <c r="AB2387" i="32"/>
  <c r="AB2386" i="32"/>
  <c r="AB2385" i="32"/>
  <c r="AE2385" i="32" s="1"/>
  <c r="AB2384" i="32"/>
  <c r="AC2384" i="32" s="1"/>
  <c r="AB2383" i="32"/>
  <c r="AB2382" i="32"/>
  <c r="AE2382" i="32" s="1"/>
  <c r="AB2381" i="32"/>
  <c r="AE2381" i="32" s="1"/>
  <c r="AB2380" i="32"/>
  <c r="AE2380" i="32" s="1"/>
  <c r="AB2379" i="32"/>
  <c r="AB2378" i="32"/>
  <c r="AB2377" i="32"/>
  <c r="AE2377" i="32" s="1"/>
  <c r="AB2376" i="32"/>
  <c r="AC2376" i="32" s="1"/>
  <c r="AB2375" i="32"/>
  <c r="AB2374" i="32"/>
  <c r="AE2374" i="32" s="1"/>
  <c r="AA2372" i="32"/>
  <c r="AA2373" i="32" s="1"/>
  <c r="AB2373" i="32" s="1"/>
  <c r="AB2371" i="32"/>
  <c r="AE2371" i="32" s="1"/>
  <c r="AB2370" i="32"/>
  <c r="AB2369" i="32"/>
  <c r="AA2368" i="32"/>
  <c r="AB2367" i="32"/>
  <c r="AB2366" i="32"/>
  <c r="AE2366" i="32" s="1"/>
  <c r="AB2365" i="32"/>
  <c r="AC2365" i="32" s="1"/>
  <c r="AB2364" i="32"/>
  <c r="AB2363" i="32"/>
  <c r="AE2363" i="32" s="1"/>
  <c r="AB2362" i="32"/>
  <c r="AE2362" i="32" s="1"/>
  <c r="AB2361" i="32"/>
  <c r="AB2360" i="32"/>
  <c r="AB2359" i="32"/>
  <c r="AA2358" i="32"/>
  <c r="AB2358" i="32" s="1"/>
  <c r="AB2357" i="32"/>
  <c r="AB2356" i="32"/>
  <c r="AC2356" i="32" s="1"/>
  <c r="AB2355" i="32"/>
  <c r="AE2354" i="32"/>
  <c r="AA2354" i="32"/>
  <c r="AB2353" i="32"/>
  <c r="AE2353" i="32" s="1"/>
  <c r="AB2352" i="32"/>
  <c r="AB2351" i="32"/>
  <c r="AE2350" i="32"/>
  <c r="AA2350" i="32"/>
  <c r="AB2349" i="32"/>
  <c r="AA2348" i="32"/>
  <c r="AB2348" i="32" s="1"/>
  <c r="AB2347" i="32"/>
  <c r="AE2347" i="32" s="1"/>
  <c r="AB2346" i="32"/>
  <c r="AE2346" i="32" s="1"/>
  <c r="AB2344" i="32"/>
  <c r="AC2344" i="32" s="1"/>
  <c r="AB2343" i="32"/>
  <c r="AB2342" i="32"/>
  <c r="AE2342" i="32" s="1"/>
  <c r="AB2341" i="32"/>
  <c r="AE2341" i="32" s="1"/>
  <c r="AA2340" i="32"/>
  <c r="AB2340" i="32" s="1"/>
  <c r="AB2339" i="32"/>
  <c r="AC2339" i="32" s="1"/>
  <c r="AA2338" i="32"/>
  <c r="AB2337" i="32"/>
  <c r="J2337" i="32"/>
  <c r="AB2336" i="32"/>
  <c r="AB2335" i="32"/>
  <c r="AA2334" i="32"/>
  <c r="AB2334" i="32" s="1"/>
  <c r="AE2334" i="32" s="1"/>
  <c r="AB2333" i="32"/>
  <c r="AE2333" i="32" s="1"/>
  <c r="AB2332" i="32"/>
  <c r="AC2332" i="32" s="1"/>
  <c r="AA2331" i="32"/>
  <c r="AA2330" i="32"/>
  <c r="AB2330" i="32" s="1"/>
  <c r="AC2329" i="32"/>
  <c r="AB2329" i="32" s="1"/>
  <c r="AB2328" i="32"/>
  <c r="AB2327" i="32"/>
  <c r="AE2327" i="32" s="1"/>
  <c r="AB2326" i="32"/>
  <c r="AE2326" i="32" s="1"/>
  <c r="AB2325" i="32"/>
  <c r="AE2325" i="32" s="1"/>
  <c r="AB2324" i="32"/>
  <c r="AB2323" i="32"/>
  <c r="AB2322" i="32"/>
  <c r="AE2322" i="32" s="1"/>
  <c r="AB2321" i="32"/>
  <c r="AC2321" i="32" s="1"/>
  <c r="AB2320" i="32"/>
  <c r="AB2319" i="32"/>
  <c r="AA2317" i="32"/>
  <c r="AE2317" i="32"/>
  <c r="AC2317" i="32"/>
  <c r="AB2317" i="32" s="1"/>
  <c r="AB2315" i="32"/>
  <c r="AC2313" i="32"/>
  <c r="AB2313" i="32" s="1"/>
  <c r="AB2312" i="32"/>
  <c r="AC2312" i="32" s="1"/>
  <c r="J2312" i="32"/>
  <c r="AB2311" i="32"/>
  <c r="AE2311" i="32" s="1"/>
  <c r="AC2310" i="32"/>
  <c r="AB2310" i="32" s="1"/>
  <c r="AA2310" i="32" s="1"/>
  <c r="AB2309" i="32"/>
  <c r="AE2309" i="32" s="1"/>
  <c r="AB2308" i="32"/>
  <c r="AE2308" i="32" s="1"/>
  <c r="AC2307" i="32"/>
  <c r="AB2307" i="32" s="1"/>
  <c r="AE2307" i="32" s="1"/>
  <c r="AB2306" i="32"/>
  <c r="AE2306" i="32" s="1"/>
  <c r="AE2305" i="32"/>
  <c r="AB2304" i="32"/>
  <c r="AC2303" i="32"/>
  <c r="AB2303" i="32" s="1"/>
  <c r="AE2303" i="32" s="1"/>
  <c r="AA2301" i="32"/>
  <c r="AA2302" i="32" s="1"/>
  <c r="AB2300" i="32"/>
  <c r="AC2299" i="32"/>
  <c r="AB2299" i="32" s="1"/>
  <c r="AE2299" i="32" s="1"/>
  <c r="AC2298" i="32"/>
  <c r="AB2298" i="32"/>
  <c r="AE2298" i="32" s="1"/>
  <c r="AC2297" i="32"/>
  <c r="AB2297" i="32" s="1"/>
  <c r="AA2297" i="32" s="1"/>
  <c r="AC2296" i="32"/>
  <c r="AB2296" i="32" s="1"/>
  <c r="AE2296" i="32" s="1"/>
  <c r="AA2294" i="32"/>
  <c r="AA2295" i="32" s="1"/>
  <c r="AB2295" i="32" s="1"/>
  <c r="AE2295" i="32" s="1"/>
  <c r="AC2293" i="32"/>
  <c r="AB2293" i="32" s="1"/>
  <c r="AE2293" i="32" s="1"/>
  <c r="AB2292" i="32"/>
  <c r="AC2291" i="32"/>
  <c r="AB2291" i="32" s="1"/>
  <c r="AE2291" i="32" s="1"/>
  <c r="AC2289" i="32"/>
  <c r="AB2289" i="32" s="1"/>
  <c r="AC2288" i="32"/>
  <c r="AB2288" i="32"/>
  <c r="AA2288" i="32" s="1"/>
  <c r="AC2286" i="32"/>
  <c r="AB2286" i="32" s="1"/>
  <c r="J2286" i="32"/>
  <c r="AC2285" i="32"/>
  <c r="AB2285" i="32" s="1"/>
  <c r="J2285" i="32"/>
  <c r="AA2284" i="32"/>
  <c r="AC2284" i="32"/>
  <c r="AB2284" i="32"/>
  <c r="AE2284" i="32" s="1"/>
  <c r="AC2283" i="32"/>
  <c r="AB2283" i="32"/>
  <c r="AE2283" i="32" s="1"/>
  <c r="AC2282" i="32"/>
  <c r="AB2282" i="32" s="1"/>
  <c r="AE2282" i="32" s="1"/>
  <c r="AC2281" i="32"/>
  <c r="AB2281" i="32" s="1"/>
  <c r="AC2280" i="32"/>
  <c r="AB2280" i="32" s="1"/>
  <c r="AE2280" i="32" s="1"/>
  <c r="AC2279" i="32"/>
  <c r="AB2279" i="32"/>
  <c r="AE2279" i="32" s="1"/>
  <c r="AC2278" i="32"/>
  <c r="AB2278" i="32"/>
  <c r="AE2278" i="32" s="1"/>
  <c r="AC2277" i="32"/>
  <c r="AB2277" i="32"/>
  <c r="AE2277" i="32" s="1"/>
  <c r="AA2277" i="32"/>
  <c r="AC2276" i="32"/>
  <c r="AB2276" i="32" s="1"/>
  <c r="AE2276" i="32" s="1"/>
  <c r="AC2275" i="32"/>
  <c r="AB2275" i="32"/>
  <c r="AE2275" i="32" s="1"/>
  <c r="AC2274" i="32"/>
  <c r="AB2274" i="32" s="1"/>
  <c r="AE2274" i="32" s="1"/>
  <c r="AC2273" i="32"/>
  <c r="AB2273" i="32" s="1"/>
  <c r="AC2272" i="32"/>
  <c r="AB2272" i="32"/>
  <c r="AE2272" i="32" s="1"/>
  <c r="AC2271" i="32"/>
  <c r="AB2271" i="32" s="1"/>
  <c r="AE2271" i="32" s="1"/>
  <c r="AA2271" i="32"/>
  <c r="AA2270" i="32"/>
  <c r="AC2270" i="32"/>
  <c r="AB2270" i="32"/>
  <c r="AE2270" i="32" s="1"/>
  <c r="AC2269" i="32"/>
  <c r="AB2269" i="32"/>
  <c r="AA2269" i="32" s="1"/>
  <c r="AC2268" i="32"/>
  <c r="AB2268" i="32" s="1"/>
  <c r="AE2268" i="32" s="1"/>
  <c r="AC2267" i="32"/>
  <c r="AB2267" i="32"/>
  <c r="AE2267" i="32" s="1"/>
  <c r="AC2266" i="32"/>
  <c r="AB2266" i="32" s="1"/>
  <c r="AE2266" i="32" s="1"/>
  <c r="AC2265" i="32"/>
  <c r="AB2265" i="32" s="1"/>
  <c r="AC2264" i="32"/>
  <c r="AB2264" i="32" s="1"/>
  <c r="AE2264" i="32" s="1"/>
  <c r="AB2263" i="32"/>
  <c r="AE2263" i="32" s="1"/>
  <c r="AC2262" i="32"/>
  <c r="AB2262" i="32" s="1"/>
  <c r="AE2262" i="32" s="1"/>
  <c r="AC2261" i="32"/>
  <c r="AB2261" i="32" s="1"/>
  <c r="AC2260" i="32"/>
  <c r="AB2260" i="32" s="1"/>
  <c r="AE2260" i="32" s="1"/>
  <c r="AC2259" i="32"/>
  <c r="AB2259" i="32"/>
  <c r="AE2259" i="32" s="1"/>
  <c r="AC2258" i="32"/>
  <c r="AB2258" i="32" s="1"/>
  <c r="AE2258" i="32" s="1"/>
  <c r="AC2257" i="32"/>
  <c r="AB2257" i="32"/>
  <c r="AE2257" i="32" s="1"/>
  <c r="AC2256" i="32"/>
  <c r="AB2256" i="32"/>
  <c r="AE2256" i="32" s="1"/>
  <c r="AC2255" i="32"/>
  <c r="AB2255" i="32"/>
  <c r="AA2255" i="32" s="1"/>
  <c r="AC2254" i="32"/>
  <c r="AB2254" i="32" s="1"/>
  <c r="AA2254" i="32" s="1"/>
  <c r="AA2253" i="32"/>
  <c r="AC2253" i="32"/>
  <c r="AB2253" i="32" s="1"/>
  <c r="AE2253" i="32" s="1"/>
  <c r="AC2252" i="32"/>
  <c r="AB2252" i="32" s="1"/>
  <c r="AE2252" i="32" s="1"/>
  <c r="AC2251" i="32"/>
  <c r="AB2251" i="32" s="1"/>
  <c r="AE2251" i="32" s="1"/>
  <c r="AC2250" i="32"/>
  <c r="AB2250" i="32" s="1"/>
  <c r="AE2250" i="32" s="1"/>
  <c r="AB2249" i="32"/>
  <c r="AC2248" i="32"/>
  <c r="AB2248" i="32" s="1"/>
  <c r="AE2248" i="32" s="1"/>
  <c r="AE2247" i="32"/>
  <c r="AA2247" i="32"/>
  <c r="AC2246" i="32"/>
  <c r="AB2246" i="32" s="1"/>
  <c r="AE2246" i="32" s="1"/>
  <c r="AB2245" i="32"/>
  <c r="AC2245" i="32" s="1"/>
  <c r="AC2244" i="32"/>
  <c r="AB2244" i="32" s="1"/>
  <c r="AE2244" i="32" s="1"/>
  <c r="AC2243" i="32"/>
  <c r="AB2243" i="32" s="1"/>
  <c r="AE2243" i="32" s="1"/>
  <c r="AC2242" i="32"/>
  <c r="AB2242" i="32" s="1"/>
  <c r="AC2241" i="32"/>
  <c r="AB2241" i="32" s="1"/>
  <c r="AA2241" i="32" s="1"/>
  <c r="AC2240" i="32"/>
  <c r="AB2240" i="32" s="1"/>
  <c r="AB2239" i="32"/>
  <c r="AE2239" i="32" s="1"/>
  <c r="AB2238" i="32"/>
  <c r="AE2238" i="32" s="1"/>
  <c r="AB2237" i="32"/>
  <c r="AE2237" i="32" s="1"/>
  <c r="AB2236" i="32"/>
  <c r="AE2236" i="32" s="1"/>
  <c r="AB2235" i="32"/>
  <c r="AE2235" i="32" s="1"/>
  <c r="AB2234" i="32"/>
  <c r="AC2234" i="32" s="1"/>
  <c r="AB2233" i="32"/>
  <c r="AE2233" i="32" s="1"/>
  <c r="AB2232" i="32"/>
  <c r="AC2232" i="32" s="1"/>
  <c r="AB2231" i="32"/>
  <c r="AE2231" i="32" s="1"/>
  <c r="AB2230" i="32"/>
  <c r="AE2230" i="32" s="1"/>
  <c r="AB2229" i="32"/>
  <c r="AE2229" i="32" s="1"/>
  <c r="AB2228" i="32"/>
  <c r="AC2228" i="32" s="1"/>
  <c r="AB2227" i="32"/>
  <c r="AC2226" i="32"/>
  <c r="AB2226" i="32"/>
  <c r="AE2226" i="32" s="1"/>
  <c r="AE2225" i="32"/>
  <c r="AA2225" i="32"/>
  <c r="AC2224" i="32"/>
  <c r="AB2224" i="32" s="1"/>
  <c r="AE2224" i="32" s="1"/>
  <c r="AC2223" i="32"/>
  <c r="AB2223" i="32" s="1"/>
  <c r="AC2222" i="32"/>
  <c r="AB2222" i="32" s="1"/>
  <c r="AE2222" i="32" s="1"/>
  <c r="AE2221" i="32"/>
  <c r="AA2221" i="32"/>
  <c r="AE2220" i="32"/>
  <c r="AA2220" i="32"/>
  <c r="AC2219" i="32"/>
  <c r="AB2219" i="32" s="1"/>
  <c r="AC2218" i="32"/>
  <c r="AB2218" i="32" s="1"/>
  <c r="AC2217" i="32"/>
  <c r="AB2217" i="32" s="1"/>
  <c r="AB2216" i="32"/>
  <c r="AE2216" i="32" s="1"/>
  <c r="AC2215" i="32"/>
  <c r="AB2215" i="32" s="1"/>
  <c r="AE2215" i="32" s="1"/>
  <c r="AC2214" i="32"/>
  <c r="AB2214" i="32" s="1"/>
  <c r="AE2214" i="32" s="1"/>
  <c r="AC2213" i="32"/>
  <c r="AB2213" i="32" s="1"/>
  <c r="AE2213" i="32" s="1"/>
  <c r="AC2212" i="32"/>
  <c r="AB2212" i="32" s="1"/>
  <c r="AE2212" i="32" s="1"/>
  <c r="AC2211" i="32"/>
  <c r="AB2211" i="32" s="1"/>
  <c r="AE2211" i="32" s="1"/>
  <c r="AC2210" i="32"/>
  <c r="AB2210" i="32" s="1"/>
  <c r="AE2210" i="32" s="1"/>
  <c r="AC2209" i="32"/>
  <c r="AB2209" i="32" s="1"/>
  <c r="AE2209" i="32" s="1"/>
  <c r="AC2208" i="32"/>
  <c r="AB2208" i="32"/>
  <c r="AE2208" i="32" s="1"/>
  <c r="AC2207" i="32"/>
  <c r="AB2207" i="32" s="1"/>
  <c r="AE2207" i="32" s="1"/>
  <c r="AC2206" i="32"/>
  <c r="AB2206" i="32"/>
  <c r="AE2206" i="32" s="1"/>
  <c r="AC2205" i="32"/>
  <c r="AB2205" i="32" s="1"/>
  <c r="AE2205" i="32" s="1"/>
  <c r="AC2204" i="32"/>
  <c r="AB2204" i="32"/>
  <c r="AE2204" i="32" s="1"/>
  <c r="AC2203" i="32"/>
  <c r="AB2203" i="32" s="1"/>
  <c r="AB2202" i="32"/>
  <c r="AB2201" i="32"/>
  <c r="AB2200" i="32"/>
  <c r="AE2200" i="32" s="1"/>
  <c r="AB2199" i="32"/>
  <c r="AE2199" i="32" s="1"/>
  <c r="AB2198" i="32"/>
  <c r="AE2198" i="32" s="1"/>
  <c r="AB2197" i="32"/>
  <c r="AE2197" i="32" s="1"/>
  <c r="AC2196" i="32"/>
  <c r="AB2196" i="32" s="1"/>
  <c r="AE2196" i="32" s="1"/>
  <c r="AC2195" i="32"/>
  <c r="AB2195" i="32" s="1"/>
  <c r="AB2194" i="32"/>
  <c r="AE2194" i="32" s="1"/>
  <c r="AB2193" i="32"/>
  <c r="AE2193" i="32" s="1"/>
  <c r="AB2192" i="32"/>
  <c r="AE2192" i="32" s="1"/>
  <c r="AB2191" i="32"/>
  <c r="AC2191" i="32" s="1"/>
  <c r="AB2190" i="32"/>
  <c r="AE2190" i="32" s="1"/>
  <c r="AC2189" i="32"/>
  <c r="AB2189" i="32" s="1"/>
  <c r="AA2189" i="32" s="1"/>
  <c r="AB2188" i="32"/>
  <c r="AC2187" i="32"/>
  <c r="AB2187" i="32" s="1"/>
  <c r="AE2187" i="32" s="1"/>
  <c r="AB2186" i="32"/>
  <c r="AC2186" i="32" s="1"/>
  <c r="AB2185" i="32"/>
  <c r="AE2185" i="32" s="1"/>
  <c r="AB2184" i="32"/>
  <c r="AC2184" i="32" s="1"/>
  <c r="AB2183" i="32"/>
  <c r="AB2182" i="32"/>
  <c r="AB2181" i="32"/>
  <c r="AC2181" i="32" s="1"/>
  <c r="AE2180" i="32"/>
  <c r="AA2180" i="32"/>
  <c r="AC2179" i="32"/>
  <c r="AB2179" i="32" s="1"/>
  <c r="AE2179" i="32" s="1"/>
  <c r="AB2178" i="32"/>
  <c r="AE2178" i="32" s="1"/>
  <c r="AB2177" i="32"/>
  <c r="AE2177" i="32" s="1"/>
  <c r="AA2176" i="32"/>
  <c r="AE2176" i="32"/>
  <c r="AC2176" i="32"/>
  <c r="AB2176" i="32" s="1"/>
  <c r="AC2175" i="32"/>
  <c r="AB2175" i="32" s="1"/>
  <c r="AE2175" i="32" s="1"/>
  <c r="AC2174" i="32"/>
  <c r="AB2174" i="32" s="1"/>
  <c r="AE2174" i="32" s="1"/>
  <c r="AC2173" i="32"/>
  <c r="AB2173" i="32" s="1"/>
  <c r="AE2173" i="32" s="1"/>
  <c r="AC2172" i="32"/>
  <c r="AB2172" i="32"/>
  <c r="AE2172" i="32" s="1"/>
  <c r="AC2171" i="32"/>
  <c r="AB2171" i="32" s="1"/>
  <c r="AC2170" i="32"/>
  <c r="AB2170" i="32" s="1"/>
  <c r="AE2170" i="32" s="1"/>
  <c r="AB2169" i="32"/>
  <c r="AE2169" i="32" s="1"/>
  <c r="AC2168" i="32"/>
  <c r="AB2168" i="32" s="1"/>
  <c r="AE2168" i="32" s="1"/>
  <c r="AC2167" i="32"/>
  <c r="AB2167" i="32" s="1"/>
  <c r="AC2166" i="32"/>
  <c r="AB2166" i="32" s="1"/>
  <c r="AC2165" i="32"/>
  <c r="AB2165" i="32" s="1"/>
  <c r="AC2164" i="32"/>
  <c r="AB2164" i="32" s="1"/>
  <c r="AB2163" i="32"/>
  <c r="AE2163" i="32" s="1"/>
  <c r="AC2162" i="32"/>
  <c r="AB2162" i="32" s="1"/>
  <c r="AE2162" i="32" s="1"/>
  <c r="AC2161" i="32"/>
  <c r="AB2161" i="32" s="1"/>
  <c r="AE2161" i="32" s="1"/>
  <c r="AC2160" i="32"/>
  <c r="AB2160" i="32" s="1"/>
  <c r="AE2160" i="32" s="1"/>
  <c r="AC2159" i="32"/>
  <c r="AB2159" i="32"/>
  <c r="AE2159" i="32" s="1"/>
  <c r="AC2158" i="32"/>
  <c r="AB2158" i="32" s="1"/>
  <c r="AE2158" i="32" s="1"/>
  <c r="AC2157" i="32"/>
  <c r="AB2157" i="32"/>
  <c r="AE2157" i="32" s="1"/>
  <c r="AA2157" i="32"/>
  <c r="AC2156" i="32"/>
  <c r="AB2156" i="32" s="1"/>
  <c r="AE2156" i="32" s="1"/>
  <c r="AB2155" i="32"/>
  <c r="AB2154" i="32"/>
  <c r="AC2154" i="32" s="1"/>
  <c r="AE2153" i="32"/>
  <c r="AA2153" i="32"/>
  <c r="AB2152" i="32"/>
  <c r="AE2152" i="32" s="1"/>
  <c r="AB2151" i="32"/>
  <c r="AE2151" i="32" s="1"/>
  <c r="AB2150" i="32"/>
  <c r="AC2149" i="32"/>
  <c r="AB2149" i="32" s="1"/>
  <c r="AA2149" i="32" s="1"/>
  <c r="AC2148" i="32"/>
  <c r="AB2148" i="32" s="1"/>
  <c r="AE2148" i="32" s="1"/>
  <c r="AC2147" i="32"/>
  <c r="AB2147" i="32" s="1"/>
  <c r="AC2146" i="32"/>
  <c r="AB2146" i="32" s="1"/>
  <c r="AC2145" i="32"/>
  <c r="AB2145" i="32" s="1"/>
  <c r="AE2145" i="32" s="1"/>
  <c r="AB2144" i="32"/>
  <c r="AE2144" i="32" s="1"/>
  <c r="AC2143" i="32"/>
  <c r="AB2143" i="32" s="1"/>
  <c r="AE2143" i="32" s="1"/>
  <c r="AB2142" i="32"/>
  <c r="AE2142" i="32" s="1"/>
  <c r="AB2141" i="32"/>
  <c r="AC2141" i="32" s="1"/>
  <c r="AE2140" i="32"/>
  <c r="AA2140" i="32"/>
  <c r="AB2139" i="32"/>
  <c r="AE2139" i="32" s="1"/>
  <c r="AB2138" i="32"/>
  <c r="AC2138" i="32" s="1"/>
  <c r="AC2137" i="32"/>
  <c r="AB2137" i="32"/>
  <c r="AE2137" i="32" s="1"/>
  <c r="AB2136" i="32"/>
  <c r="AB2135" i="32"/>
  <c r="AE2135" i="32" s="1"/>
  <c r="AA2135" i="32"/>
  <c r="AB2134" i="32"/>
  <c r="AC2134" i="32" s="1"/>
  <c r="AB2133" i="32"/>
  <c r="AB2131" i="32"/>
  <c r="AE2131" i="32" s="1"/>
  <c r="AB2130" i="32"/>
  <c r="AE2130" i="32" s="1"/>
  <c r="AB2129" i="32"/>
  <c r="AC2129" i="32" s="1"/>
  <c r="AB2128" i="32"/>
  <c r="AB2127" i="32"/>
  <c r="AC2127" i="32" s="1"/>
  <c r="AB2126" i="32"/>
  <c r="AE2126" i="32" s="1"/>
  <c r="AB2125" i="32"/>
  <c r="AB2124" i="32"/>
  <c r="AC2124" i="32" s="1"/>
  <c r="AB2123" i="32"/>
  <c r="AE2123" i="32" s="1"/>
  <c r="AB2122" i="32"/>
  <c r="AE2122" i="32" s="1"/>
  <c r="AB2121" i="32"/>
  <c r="AC2121" i="32" s="1"/>
  <c r="AB2120" i="32"/>
  <c r="AE2120" i="32" s="1"/>
  <c r="AB2119" i="32"/>
  <c r="AC2119" i="32" s="1"/>
  <c r="AB2118" i="32"/>
  <c r="AE2118" i="32" s="1"/>
  <c r="AB2117" i="32"/>
  <c r="AC2117" i="32" s="1"/>
  <c r="AB2116" i="32"/>
  <c r="AE2116" i="32" s="1"/>
  <c r="AB2115" i="32"/>
  <c r="AC2115" i="32" s="1"/>
  <c r="AB2114" i="32"/>
  <c r="AE2114" i="32" s="1"/>
  <c r="AB2113" i="32"/>
  <c r="AC2112" i="32"/>
  <c r="AB2112" i="32" s="1"/>
  <c r="AE2111" i="32"/>
  <c r="AA2111" i="32"/>
  <c r="AE2110" i="32"/>
  <c r="AA2110" i="32"/>
  <c r="AE2109" i="32"/>
  <c r="AC2109" i="32"/>
  <c r="AA2109" i="32"/>
  <c r="AE2108" i="32"/>
  <c r="AC2108" i="32"/>
  <c r="AA2108" i="32"/>
  <c r="AE2107" i="32"/>
  <c r="AC2107" i="32"/>
  <c r="AA2107" i="32"/>
  <c r="AE2106" i="32"/>
  <c r="AC2106" i="32"/>
  <c r="AA2106" i="32"/>
  <c r="AE2105" i="32"/>
  <c r="AB2104" i="32"/>
  <c r="AE2104" i="32" s="1"/>
  <c r="AA2103" i="32"/>
  <c r="AB2103" i="32" s="1"/>
  <c r="AE2103" i="32" s="1"/>
  <c r="AB2102" i="32"/>
  <c r="AE2102" i="32" s="1"/>
  <c r="AE2101" i="32"/>
  <c r="AA2101" i="32"/>
  <c r="AE2100" i="32"/>
  <c r="AA2100" i="32"/>
  <c r="AE2099" i="32"/>
  <c r="AC2099" i="32"/>
  <c r="AB2099" i="32" s="1"/>
  <c r="AA2099" i="32"/>
  <c r="AE2098" i="32"/>
  <c r="AA2098" i="32"/>
  <c r="AE2097" i="32"/>
  <c r="AA2097" i="32"/>
  <c r="AE2096" i="32"/>
  <c r="AA2096" i="32"/>
  <c r="AE2095" i="32"/>
  <c r="AA2095" i="32"/>
  <c r="AE2094" i="32"/>
  <c r="AA2094" i="32"/>
  <c r="AE2093" i="32"/>
  <c r="AA2093" i="32"/>
  <c r="AE2092" i="32"/>
  <c r="AA2092" i="32"/>
  <c r="AE2091" i="32"/>
  <c r="AA2091" i="32"/>
  <c r="AB2090" i="32"/>
  <c r="AB2089" i="32"/>
  <c r="AE2089" i="32" s="1"/>
  <c r="AB2088" i="32"/>
  <c r="AC2088" i="32" s="1"/>
  <c r="AB2087" i="32"/>
  <c r="AE2087" i="32" s="1"/>
  <c r="AB2086" i="32"/>
  <c r="AE2086" i="32" s="1"/>
  <c r="AB2085" i="32"/>
  <c r="AC2084" i="32"/>
  <c r="AB2084" i="32" s="1"/>
  <c r="AE2084" i="32" s="1"/>
  <c r="AE2083" i="32"/>
  <c r="AC2083" i="32"/>
  <c r="AA2083" i="32"/>
  <c r="AE2082" i="32"/>
  <c r="AA2082" i="32"/>
  <c r="AB2081" i="32"/>
  <c r="AE2081" i="32" s="1"/>
  <c r="AB2080" i="32"/>
  <c r="AB2079" i="32"/>
  <c r="AC2079" i="32" s="1"/>
  <c r="AB2078" i="32"/>
  <c r="AE2078" i="32" s="1"/>
  <c r="AC2077" i="32"/>
  <c r="AB2077" i="32" s="1"/>
  <c r="AE2077" i="32" s="1"/>
  <c r="AB2076" i="32"/>
  <c r="AE2076" i="32" s="1"/>
  <c r="AB2075" i="32"/>
  <c r="AB2074" i="32"/>
  <c r="AE2074" i="32" s="1"/>
  <c r="AB2073" i="32"/>
  <c r="AB2072" i="32"/>
  <c r="AE2072" i="32" s="1"/>
  <c r="AC2071" i="32"/>
  <c r="AB2071" i="32" s="1"/>
  <c r="AB2070" i="32"/>
  <c r="AC2070" i="32" s="1"/>
  <c r="AB2069" i="32"/>
  <c r="AE2069" i="32" s="1"/>
  <c r="AB2068" i="32"/>
  <c r="AB2067" i="32"/>
  <c r="AE2067" i="32" s="1"/>
  <c r="AB2066" i="32"/>
  <c r="AC2066" i="32" s="1"/>
  <c r="AB2065" i="32"/>
  <c r="AE2065" i="32" s="1"/>
  <c r="AC2063" i="32"/>
  <c r="AB2063" i="32" s="1"/>
  <c r="AE2063" i="32" s="1"/>
  <c r="AB2062" i="32"/>
  <c r="AC2062" i="32" s="1"/>
  <c r="AB2061" i="32"/>
  <c r="AC2061" i="32" s="1"/>
  <c r="AB2060" i="32"/>
  <c r="AB2059" i="32"/>
  <c r="AE2059" i="32" s="1"/>
  <c r="AB2058" i="32"/>
  <c r="AE2058" i="32" s="1"/>
  <c r="AB2057" i="32"/>
  <c r="AE2057" i="32" s="1"/>
  <c r="AB2056" i="32"/>
  <c r="AE2056" i="32" s="1"/>
  <c r="AB2055" i="32"/>
  <c r="AC2055" i="32" s="1"/>
  <c r="AB2054" i="32"/>
  <c r="AE2054" i="32" s="1"/>
  <c r="AB2053" i="32"/>
  <c r="AE2053" i="32" s="1"/>
  <c r="AB2052" i="32"/>
  <c r="AE2052" i="32" s="1"/>
  <c r="AB2051" i="32"/>
  <c r="AC2051" i="32" s="1"/>
  <c r="AE2050" i="32"/>
  <c r="AA2050" i="32"/>
  <c r="AB2049" i="32"/>
  <c r="AE2049" i="32" s="1"/>
  <c r="AB2048" i="32"/>
  <c r="AB2047" i="32"/>
  <c r="AC2046" i="32"/>
  <c r="AB2046" i="32" s="1"/>
  <c r="AE2046" i="32" s="1"/>
  <c r="I2046" i="32"/>
  <c r="AE2045" i="32"/>
  <c r="I2045" i="32"/>
  <c r="AC2044" i="32"/>
  <c r="AB2044" i="32" s="1"/>
  <c r="AC2043" i="32"/>
  <c r="AB2043" i="32" s="1"/>
  <c r="AE2043" i="32" s="1"/>
  <c r="AC2042" i="32"/>
  <c r="AB2042" i="32" s="1"/>
  <c r="AE2042" i="32" s="1"/>
  <c r="AC2041" i="32"/>
  <c r="AB2041" i="32" s="1"/>
  <c r="AC2040" i="32"/>
  <c r="AB2040" i="32" s="1"/>
  <c r="AB2039" i="32"/>
  <c r="AE2039" i="32" s="1"/>
  <c r="AB2038" i="32"/>
  <c r="AE2038" i="32" s="1"/>
  <c r="AB2037" i="32"/>
  <c r="AE2037" i="32" s="1"/>
  <c r="AB2036" i="32"/>
  <c r="AB2035" i="32"/>
  <c r="AE2035" i="32" s="1"/>
  <c r="AB2034" i="32"/>
  <c r="AE2034" i="32" s="1"/>
  <c r="AC2033" i="32"/>
  <c r="AB2033" i="32" s="1"/>
  <c r="AE2033" i="32" s="1"/>
  <c r="AC2032" i="32"/>
  <c r="AB2032" i="32" s="1"/>
  <c r="AE2032" i="32" s="1"/>
  <c r="AB2031" i="32"/>
  <c r="AC2031" i="32" s="1"/>
  <c r="AC2030" i="32"/>
  <c r="AB2030" i="32" s="1"/>
  <c r="AC2029" i="32"/>
  <c r="AB2029" i="32" s="1"/>
  <c r="AE2029" i="32" s="1"/>
  <c r="AC2028" i="32"/>
  <c r="AB2028" i="32" s="1"/>
  <c r="AB2027" i="32"/>
  <c r="AE2027" i="32" s="1"/>
  <c r="AB2026" i="32"/>
  <c r="AC2026" i="32" s="1"/>
  <c r="AC2025" i="32"/>
  <c r="AB2025" i="32" s="1"/>
  <c r="AC2024" i="32"/>
  <c r="AB2024" i="32" s="1"/>
  <c r="AE2024" i="32" s="1"/>
  <c r="AC2023" i="32"/>
  <c r="AB2023" i="32" s="1"/>
  <c r="AE2023" i="32" s="1"/>
  <c r="AC2022" i="32"/>
  <c r="AB2022" i="32"/>
  <c r="AC2021" i="32"/>
  <c r="AB2021" i="32" s="1"/>
  <c r="AE2021" i="32" s="1"/>
  <c r="AC2020" i="32"/>
  <c r="AB2020" i="32" s="1"/>
  <c r="AE2020" i="32" s="1"/>
  <c r="AC2019" i="32"/>
  <c r="AB2019" i="32" s="1"/>
  <c r="AE2019" i="32" s="1"/>
  <c r="AC2018" i="32"/>
  <c r="AB2018" i="32" s="1"/>
  <c r="AB2017" i="32"/>
  <c r="AA2017" i="32" s="1"/>
  <c r="AC2016" i="32"/>
  <c r="AB2016" i="32" s="1"/>
  <c r="AC2015" i="32"/>
  <c r="AB2015" i="32" s="1"/>
  <c r="AE2015" i="32" s="1"/>
  <c r="AB2014" i="32"/>
  <c r="AB2013" i="32"/>
  <c r="AC2012" i="32"/>
  <c r="AB2012" i="32" s="1"/>
  <c r="AC2011" i="32"/>
  <c r="AB2011" i="32" s="1"/>
  <c r="AE2011" i="32" s="1"/>
  <c r="AC2010" i="32"/>
  <c r="AB2010" i="32" s="1"/>
  <c r="AC2009" i="32"/>
  <c r="AB2009" i="32" s="1"/>
  <c r="AE2009" i="32" s="1"/>
  <c r="AC2008" i="32"/>
  <c r="AB2008" i="32" s="1"/>
  <c r="AB2007" i="32"/>
  <c r="AC2007" i="32" s="1"/>
  <c r="AB2006" i="32"/>
  <c r="AE2006" i="32" s="1"/>
  <c r="AB2005" i="32"/>
  <c r="AE2005" i="32" s="1"/>
  <c r="AB2004" i="32"/>
  <c r="AC2003" i="32"/>
  <c r="AB2003" i="32" s="1"/>
  <c r="AC2002" i="32"/>
  <c r="AB2002" i="32" s="1"/>
  <c r="AE2002" i="32" s="1"/>
  <c r="AC2001" i="32"/>
  <c r="AB2001" i="32" s="1"/>
  <c r="AE2001" i="32" s="1"/>
  <c r="AB2000" i="32"/>
  <c r="AB1999" i="32"/>
  <c r="AE1999" i="32" s="1"/>
  <c r="AC1998" i="32"/>
  <c r="AB1998" i="32" s="1"/>
  <c r="AE1998" i="32" s="1"/>
  <c r="AE1997" i="32"/>
  <c r="AA1997" i="32"/>
  <c r="AE1996" i="32"/>
  <c r="AA1996" i="32"/>
  <c r="AB1995" i="32"/>
  <c r="AB1994" i="32"/>
  <c r="AE1994" i="32" s="1"/>
  <c r="AB1993" i="32"/>
  <c r="AB1992" i="32"/>
  <c r="AE1992" i="32" s="1"/>
  <c r="AC1991" i="32"/>
  <c r="AB1991" i="32" s="1"/>
  <c r="AE1991" i="32" s="1"/>
  <c r="AC1990" i="32"/>
  <c r="AB1990" i="32" s="1"/>
  <c r="AE1990" i="32" s="1"/>
  <c r="AC1989" i="32"/>
  <c r="AB1989" i="32" s="1"/>
  <c r="AC1988" i="32"/>
  <c r="AB1988" i="32" s="1"/>
  <c r="AE1988" i="32" s="1"/>
  <c r="AC1987" i="32"/>
  <c r="AB1987" i="32" s="1"/>
  <c r="AC1986" i="32"/>
  <c r="AB1986" i="32"/>
  <c r="AE1986" i="32" s="1"/>
  <c r="AC1985" i="32"/>
  <c r="AB1985" i="32" s="1"/>
  <c r="AC1984" i="32"/>
  <c r="AB1984" i="32"/>
  <c r="AE1984" i="32" s="1"/>
  <c r="AC1983" i="32"/>
  <c r="AB1983" i="32" s="1"/>
  <c r="AE1983" i="32" s="1"/>
  <c r="AC1982" i="32"/>
  <c r="AB1982" i="32" s="1"/>
  <c r="AE1982" i="32" s="1"/>
  <c r="AC1981" i="32"/>
  <c r="AB1981" i="32" s="1"/>
  <c r="AC1980" i="32"/>
  <c r="AB1980" i="32"/>
  <c r="AE1980" i="32" s="1"/>
  <c r="AE1979" i="32"/>
  <c r="AA1979" i="32"/>
  <c r="I1979" i="32"/>
  <c r="AC1978" i="32"/>
  <c r="AB1978" i="32" s="1"/>
  <c r="AE1978" i="32" s="1"/>
  <c r="AA1977" i="32"/>
  <c r="AC1977" i="32"/>
  <c r="AB1977" i="32"/>
  <c r="AE1977" i="32" s="1"/>
  <c r="AC1976" i="32"/>
  <c r="AB1976" i="32" s="1"/>
  <c r="AE1976" i="32" s="1"/>
  <c r="AC1975" i="32"/>
  <c r="AB1975" i="32" s="1"/>
  <c r="AE1975" i="32" s="1"/>
  <c r="AC1974" i="32"/>
  <c r="AB1974" i="32" s="1"/>
  <c r="AE1974" i="32" s="1"/>
  <c r="AC1973" i="32"/>
  <c r="AB1973" i="32" s="1"/>
  <c r="AE1973" i="32" s="1"/>
  <c r="AE1972" i="32"/>
  <c r="AC1972" i="32"/>
  <c r="I1972" i="32"/>
  <c r="AC1971" i="32"/>
  <c r="AB1971" i="32" s="1"/>
  <c r="AE1971" i="32" s="1"/>
  <c r="AC1970" i="32"/>
  <c r="AB1970" i="32" s="1"/>
  <c r="AC1969" i="32"/>
  <c r="AB1969" i="32"/>
  <c r="AE1969" i="32" s="1"/>
  <c r="AB1968" i="32"/>
  <c r="AE1968" i="32" s="1"/>
  <c r="AB1967" i="32"/>
  <c r="AC1967" i="32" s="1"/>
  <c r="AB1966" i="32"/>
  <c r="AB1965" i="32"/>
  <c r="AE1965" i="32" s="1"/>
  <c r="AB1964" i="32"/>
  <c r="AB1963" i="32"/>
  <c r="AE1963" i="32" s="1"/>
  <c r="AC1962" i="32"/>
  <c r="AB1962" i="32" s="1"/>
  <c r="AE1962" i="32" s="1"/>
  <c r="AC1961" i="32"/>
  <c r="AB1961" i="32" s="1"/>
  <c r="AE1961" i="32"/>
  <c r="AA1961" i="32"/>
  <c r="AC1960" i="32"/>
  <c r="AE1960" i="32"/>
  <c r="AA1960" i="32"/>
  <c r="AB1959" i="32"/>
  <c r="AE1958" i="32"/>
  <c r="AC1958" i="32"/>
  <c r="AB1958" i="32" s="1"/>
  <c r="AB1957" i="32"/>
  <c r="AE1957" i="32" s="1"/>
  <c r="AC1956" i="32"/>
  <c r="AB1956" i="32" s="1"/>
  <c r="AE1956" i="32" s="1"/>
  <c r="AB1955" i="32"/>
  <c r="AE1955" i="32" s="1"/>
  <c r="AC1954" i="32"/>
  <c r="AB1954" i="32" s="1"/>
  <c r="AE1954" i="32" s="1"/>
  <c r="AB1953" i="32"/>
  <c r="AE1952" i="32"/>
  <c r="AC1952" i="32"/>
  <c r="AB1952" i="32" s="1"/>
  <c r="AC1951" i="32"/>
  <c r="AB1951" i="32"/>
  <c r="AE1951" i="32" s="1"/>
  <c r="AB1950" i="32"/>
  <c r="AC1950" i="32" s="1"/>
  <c r="AA1949" i="32"/>
  <c r="AE1949" i="32"/>
  <c r="AC1949" i="32"/>
  <c r="AB1948" i="32"/>
  <c r="AC1947" i="32"/>
  <c r="AB1947" i="32" s="1"/>
  <c r="AE1947" i="32" s="1"/>
  <c r="AE1946" i="32"/>
  <c r="AA1946" i="32"/>
  <c r="AB1945" i="32"/>
  <c r="AE1945" i="32" s="1"/>
  <c r="AB1944" i="32"/>
  <c r="AB1943" i="32"/>
  <c r="AE1943" i="32" s="1"/>
  <c r="AB1942" i="32"/>
  <c r="AA1941" i="32"/>
  <c r="AB1941" i="32" s="1"/>
  <c r="AE1941" i="32" s="1"/>
  <c r="AB1940" i="32"/>
  <c r="AE1940" i="32" s="1"/>
  <c r="AB1939" i="32"/>
  <c r="AB1938" i="32"/>
  <c r="AE1938" i="32" s="1"/>
  <c r="AE1937" i="32"/>
  <c r="AB1936" i="32"/>
  <c r="AE1936" i="32" s="1"/>
  <c r="AB1935" i="32"/>
  <c r="AE1934" i="32"/>
  <c r="AA1934" i="32"/>
  <c r="AB1933" i="32"/>
  <c r="AE1933" i="32" s="1"/>
  <c r="AB1932" i="32"/>
  <c r="AE1932" i="32" s="1"/>
  <c r="AB1931" i="32"/>
  <c r="AE1931" i="32" s="1"/>
  <c r="AA1930" i="32"/>
  <c r="AB1930" i="32" s="1"/>
  <c r="AC1929" i="32"/>
  <c r="AB1929" i="32" s="1"/>
  <c r="AE1929" i="32" s="1"/>
  <c r="AB1928" i="32"/>
  <c r="AB1927" i="32"/>
  <c r="AC1927" i="32" s="1"/>
  <c r="AB1926" i="32"/>
  <c r="AB1925" i="32"/>
  <c r="AA1925" i="32" s="1"/>
  <c r="AE1924" i="32"/>
  <c r="AA1924" i="32"/>
  <c r="AB1923" i="32"/>
  <c r="AE1923" i="32" s="1"/>
  <c r="AB1922" i="32"/>
  <c r="AE1922" i="32" s="1"/>
  <c r="AC1921" i="32"/>
  <c r="AB1921" i="32" s="1"/>
  <c r="AE1921" i="32" s="1"/>
  <c r="AE1920" i="32"/>
  <c r="AC1920" i="32"/>
  <c r="AB1920" i="32" s="1"/>
  <c r="AC1919" i="32"/>
  <c r="AB1919" i="32" s="1"/>
  <c r="AE1919" i="32" s="1"/>
  <c r="AC1918" i="32"/>
  <c r="AB1918" i="32" s="1"/>
  <c r="AA1918" i="32" s="1"/>
  <c r="AE1917" i="32"/>
  <c r="AC1917" i="32"/>
  <c r="AB1917" i="32" s="1"/>
  <c r="AE1916" i="32"/>
  <c r="AC1916" i="32"/>
  <c r="AB1916" i="32" s="1"/>
  <c r="AB1915" i="32"/>
  <c r="AE1915" i="32" s="1"/>
  <c r="AB1914" i="32"/>
  <c r="AA1913" i="32"/>
  <c r="AD1913" i="32"/>
  <c r="AE1913" i="32" s="1"/>
  <c r="AB1913" i="32"/>
  <c r="AC1912" i="32"/>
  <c r="AB1912" i="32" s="1"/>
  <c r="AE1911" i="32"/>
  <c r="AC1910" i="32"/>
  <c r="AB1910" i="32" s="1"/>
  <c r="AE1910" i="32" s="1"/>
  <c r="AB1909" i="32"/>
  <c r="AE1909" i="32" s="1"/>
  <c r="AB1908" i="32"/>
  <c r="AC1907" i="32"/>
  <c r="AB1907" i="32" s="1"/>
  <c r="AE1907" i="32" s="1"/>
  <c r="AB1906" i="32"/>
  <c r="AC1905" i="32"/>
  <c r="AB1905" i="32" s="1"/>
  <c r="AC1904" i="32"/>
  <c r="AB1904" i="32" s="1"/>
  <c r="AE1904" i="32" s="1"/>
  <c r="AC1903" i="32"/>
  <c r="AB1903" i="32" s="1"/>
  <c r="AB1902" i="32"/>
  <c r="AE1902" i="32"/>
  <c r="AC1902" i="32"/>
  <c r="AA1902" i="32"/>
  <c r="AB1901" i="32"/>
  <c r="AB1900" i="32"/>
  <c r="AE1900" i="32" s="1"/>
  <c r="AB1899" i="32"/>
  <c r="AE1899" i="32" s="1"/>
  <c r="AB1898" i="32"/>
  <c r="AB1897" i="32"/>
  <c r="AC1897" i="32" s="1"/>
  <c r="AB1896" i="32"/>
  <c r="AE1896" i="32" s="1"/>
  <c r="AC1895" i="32"/>
  <c r="AB1895" i="32" s="1"/>
  <c r="AE1895" i="32" s="1"/>
  <c r="AC1894" i="32"/>
  <c r="AB1894" i="32" s="1"/>
  <c r="AA1894" i="32" s="1"/>
  <c r="AC1893" i="32"/>
  <c r="AB1893" i="32" s="1"/>
  <c r="AE1893" i="32" s="1"/>
  <c r="AC1892" i="32"/>
  <c r="AB1892" i="32" s="1"/>
  <c r="AE1892" i="32" s="1"/>
  <c r="AC1891" i="32"/>
  <c r="AB1891" i="32" s="1"/>
  <c r="AE1891" i="32" s="1"/>
  <c r="AC1890" i="32"/>
  <c r="AB1890" i="32" s="1"/>
  <c r="AE1890" i="32" s="1"/>
  <c r="AB1889" i="32"/>
  <c r="AE1889" i="32" s="1"/>
  <c r="AB1888" i="32"/>
  <c r="AA1888" i="32"/>
  <c r="AC1887" i="32"/>
  <c r="AB1887" i="32" s="1"/>
  <c r="AE1887" i="32" s="1"/>
  <c r="AC1886" i="32"/>
  <c r="AB1886" i="32" s="1"/>
  <c r="AB1885" i="32"/>
  <c r="AB1884" i="32"/>
  <c r="AC1884" i="32" s="1"/>
  <c r="AA1883" i="32"/>
  <c r="AB1883" i="32" s="1"/>
  <c r="AE1883" i="32" s="1"/>
  <c r="AB1882" i="32"/>
  <c r="AE1882" i="32" s="1"/>
  <c r="AA1882" i="32"/>
  <c r="AA1881" i="32"/>
  <c r="AB1881" i="32" s="1"/>
  <c r="AE1881" i="32" s="1"/>
  <c r="AA1880" i="32"/>
  <c r="AB1880" i="32" s="1"/>
  <c r="AE1879" i="32"/>
  <c r="AA1879" i="32"/>
  <c r="AC1878" i="32"/>
  <c r="AB1878" i="32" s="1"/>
  <c r="AA1878" i="32" s="1"/>
  <c r="AB1877" i="32"/>
  <c r="AE1877" i="32" s="1"/>
  <c r="AB1876" i="32"/>
  <c r="AE1876" i="32" s="1"/>
  <c r="AB1875" i="32"/>
  <c r="AC1875" i="32" s="1"/>
  <c r="AA1874" i="32"/>
  <c r="AB1873" i="32"/>
  <c r="AE1873" i="32" s="1"/>
  <c r="AC1872" i="32"/>
  <c r="AB1872" i="32"/>
  <c r="AE1872" i="32" s="1"/>
  <c r="AB1871" i="32"/>
  <c r="AC1870" i="32"/>
  <c r="AB1870" i="32" s="1"/>
  <c r="AA1870" i="32" s="1"/>
  <c r="AB1869" i="32"/>
  <c r="AE1869" i="32" s="1"/>
  <c r="AC1868" i="32"/>
  <c r="AB1868" i="32" s="1"/>
  <c r="AE1868" i="32" s="1"/>
  <c r="AB1867" i="32"/>
  <c r="AE1867" i="32" s="1"/>
  <c r="AB1866" i="32"/>
  <c r="AB1865" i="32"/>
  <c r="AC1865" i="32" s="1"/>
  <c r="AB1864" i="32"/>
  <c r="AE1864" i="32" s="1"/>
  <c r="AB1863" i="32"/>
  <c r="AB1862" i="32"/>
  <c r="AE1862" i="32" s="1"/>
  <c r="AB1861" i="32"/>
  <c r="AC1861" i="32" s="1"/>
  <c r="AB1860" i="32"/>
  <c r="AA1860" i="32" s="1"/>
  <c r="AE1859" i="32"/>
  <c r="AA1859" i="32"/>
  <c r="AB1858" i="32"/>
  <c r="AC1858" i="32" s="1"/>
  <c r="AC1857" i="32"/>
  <c r="AB1857" i="32" s="1"/>
  <c r="AE1857" i="32" s="1"/>
  <c r="AB1856" i="32"/>
  <c r="AE1856" i="32" s="1"/>
  <c r="AB1855" i="32"/>
  <c r="AB1854" i="32"/>
  <c r="AE1854" i="32" s="1"/>
  <c r="AC1853" i="32"/>
  <c r="AB1853" i="32" s="1"/>
  <c r="AC1852" i="32"/>
  <c r="AB1852" i="32" s="1"/>
  <c r="AE1852" i="32" s="1"/>
  <c r="AB1851" i="32"/>
  <c r="AB1850" i="32"/>
  <c r="AE1850" i="32" s="1"/>
  <c r="AB1849" i="32"/>
  <c r="AE1849" i="32" s="1"/>
  <c r="AB1848" i="32"/>
  <c r="AE1848" i="32" s="1"/>
  <c r="AB1847" i="32"/>
  <c r="AC1847" i="32" s="1"/>
  <c r="J1847" i="32"/>
  <c r="AB1846" i="32"/>
  <c r="AA1846" i="32" s="1"/>
  <c r="AC1845" i="32"/>
  <c r="AB1845" i="32" s="1"/>
  <c r="AE1845" i="32" s="1"/>
  <c r="AC1844" i="32"/>
  <c r="AB1844" i="32"/>
  <c r="AE1844" i="32" s="1"/>
  <c r="AC1843" i="32"/>
  <c r="AB1843" i="32" s="1"/>
  <c r="AE1843" i="32" s="1"/>
  <c r="AC1842" i="32"/>
  <c r="AB1842" i="32" s="1"/>
  <c r="AE1842" i="32" s="1"/>
  <c r="AC1841" i="32"/>
  <c r="AB1841" i="32" s="1"/>
  <c r="AC1840" i="32"/>
  <c r="AB1840" i="32" s="1"/>
  <c r="AE1840" i="32" s="1"/>
  <c r="AC1839" i="32"/>
  <c r="AB1839" i="32" s="1"/>
  <c r="AE1839" i="32" s="1"/>
  <c r="AC1838" i="32"/>
  <c r="AB1838" i="32" s="1"/>
  <c r="AC1837" i="32"/>
  <c r="AB1837" i="32" s="1"/>
  <c r="AE1837" i="32" s="1"/>
  <c r="AC1836" i="32"/>
  <c r="AB1836" i="32" s="1"/>
  <c r="AC1835" i="32"/>
  <c r="AB1835" i="32" s="1"/>
  <c r="AE1835" i="32" s="1"/>
  <c r="AC1834" i="32"/>
  <c r="AB1834" i="32" s="1"/>
  <c r="AE1834" i="32" s="1"/>
  <c r="AC1833" i="32"/>
  <c r="AB1833" i="32" s="1"/>
  <c r="AA1833" i="32" s="1"/>
  <c r="AC1832" i="32"/>
  <c r="AB1832" i="32" s="1"/>
  <c r="AE1832" i="32" s="1"/>
  <c r="AC1831" i="32"/>
  <c r="AB1831" i="32" s="1"/>
  <c r="AA1831" i="32" s="1"/>
  <c r="AC1830" i="32"/>
  <c r="AB1830" i="32" s="1"/>
  <c r="AE1830" i="32" s="1"/>
  <c r="AC1829" i="32"/>
  <c r="AB1829" i="32" s="1"/>
  <c r="AE1829" i="32" s="1"/>
  <c r="AC1828" i="32"/>
  <c r="AB1828" i="32" s="1"/>
  <c r="AC1827" i="32"/>
  <c r="AB1827" i="32" s="1"/>
  <c r="AE1827" i="32" s="1"/>
  <c r="AC1826" i="32"/>
  <c r="AB1826" i="32" s="1"/>
  <c r="AB1825" i="32"/>
  <c r="AE1825" i="32" s="1"/>
  <c r="AC1824" i="32"/>
  <c r="AB1824" i="32" s="1"/>
  <c r="AE1824" i="32" s="1"/>
  <c r="AC1823" i="32"/>
  <c r="AB1823" i="32" s="1"/>
  <c r="AC1822" i="32"/>
  <c r="AB1822" i="32" s="1"/>
  <c r="AE1822" i="32" s="1"/>
  <c r="AC1821" i="32"/>
  <c r="AB1821" i="32" s="1"/>
  <c r="AC1820" i="32"/>
  <c r="AB1820" i="32" s="1"/>
  <c r="AC1819" i="32"/>
  <c r="AB1819" i="32" s="1"/>
  <c r="AE1819" i="32" s="1"/>
  <c r="AC1818" i="32"/>
  <c r="AB1818" i="32" s="1"/>
  <c r="AE1818" i="32" s="1"/>
  <c r="AB1817" i="32"/>
  <c r="AC1816" i="32"/>
  <c r="AB1816" i="32" s="1"/>
  <c r="AE1816" i="32" s="1"/>
  <c r="AB1815" i="32"/>
  <c r="AC1814" i="32"/>
  <c r="AB1814" i="32" s="1"/>
  <c r="AE1814" i="32" s="1"/>
  <c r="AC1813" i="32"/>
  <c r="AB1813" i="32" s="1"/>
  <c r="AE1813" i="32" s="1"/>
  <c r="AB1812" i="32"/>
  <c r="AC1812" i="32" s="1"/>
  <c r="AC1811" i="32"/>
  <c r="AB1811" i="32" s="1"/>
  <c r="AC1810" i="32"/>
  <c r="AB1810" i="32" s="1"/>
  <c r="AE1810" i="32" s="1"/>
  <c r="AC1809" i="32"/>
  <c r="AB1809" i="32" s="1"/>
  <c r="AC1808" i="32"/>
  <c r="AB1808" i="32" s="1"/>
  <c r="AE1808" i="32" s="1"/>
  <c r="AC1807" i="32"/>
  <c r="AB1807" i="32" s="1"/>
  <c r="AE1807" i="32" s="1"/>
  <c r="AC1806" i="32"/>
  <c r="AB1806" i="32" s="1"/>
  <c r="AE1806" i="32" s="1"/>
  <c r="AC1805" i="32"/>
  <c r="AB1805" i="32" s="1"/>
  <c r="AB1804" i="32"/>
  <c r="AE1804" i="32" s="1"/>
  <c r="AB1803" i="32"/>
  <c r="AE1803" i="32" s="1"/>
  <c r="AB1802" i="32"/>
  <c r="AE1801" i="32"/>
  <c r="AA1801" i="32"/>
  <c r="AB1800" i="32"/>
  <c r="AE1800" i="32" s="1"/>
  <c r="AB1799" i="32"/>
  <c r="AC1799" i="32" s="1"/>
  <c r="AB1798" i="32"/>
  <c r="AB1797" i="32"/>
  <c r="AB1796" i="32"/>
  <c r="AE1796" i="32" s="1"/>
  <c r="AB1795" i="32"/>
  <c r="AE1795" i="32" s="1"/>
  <c r="AB1794" i="32"/>
  <c r="AE1794" i="32" s="1"/>
  <c r="AB1793" i="32"/>
  <c r="AB1792" i="32"/>
  <c r="AC1792" i="32" s="1"/>
  <c r="AB1791" i="32"/>
  <c r="AE1791" i="32" s="1"/>
  <c r="AB1790" i="32"/>
  <c r="AE1790" i="32" s="1"/>
  <c r="AB1789" i="32"/>
  <c r="AE1789" i="32" s="1"/>
  <c r="AB1788" i="32"/>
  <c r="AB1787" i="32"/>
  <c r="AB1786" i="32"/>
  <c r="AB1785" i="32"/>
  <c r="AB1784" i="32"/>
  <c r="AE1784" i="32" s="1"/>
  <c r="AB1783" i="32"/>
  <c r="AC1783" i="32" s="1"/>
  <c r="AB1782" i="32"/>
  <c r="AE1782" i="32" s="1"/>
  <c r="AB1781" i="32"/>
  <c r="AB1780" i="32"/>
  <c r="AE1780" i="32" s="1"/>
  <c r="AC1779" i="32"/>
  <c r="AB1779" i="32" s="1"/>
  <c r="AE1779" i="32" s="1"/>
  <c r="AC1778" i="32"/>
  <c r="AB1778" i="32" s="1"/>
  <c r="AB1777" i="32"/>
  <c r="AE1776" i="32"/>
  <c r="AA1776" i="32"/>
  <c r="AB1775" i="32"/>
  <c r="AE1775" i="32" s="1"/>
  <c r="AB1774" i="32"/>
  <c r="AE1774" i="32" s="1"/>
  <c r="AB1773" i="32"/>
  <c r="AE1773" i="32" s="1"/>
  <c r="AC1772" i="32"/>
  <c r="AB1772" i="32"/>
  <c r="AE1772" i="32" s="1"/>
  <c r="AB1771" i="32"/>
  <c r="AE1771" i="32" s="1"/>
  <c r="AB1770" i="32"/>
  <c r="AB1769" i="32"/>
  <c r="AC1769" i="32" s="1"/>
  <c r="AA1768" i="32"/>
  <c r="AB1768" i="32" s="1"/>
  <c r="AB1767" i="32"/>
  <c r="AE1767" i="32" s="1"/>
  <c r="AE1766" i="32"/>
  <c r="AB1765" i="32"/>
  <c r="AB1764" i="32"/>
  <c r="AE1764" i="32" s="1"/>
  <c r="AC1763" i="32"/>
  <c r="AB1763" i="32" s="1"/>
  <c r="AE1763" i="32" s="1"/>
  <c r="AB1762" i="32"/>
  <c r="AE1761" i="32"/>
  <c r="AA1761" i="32"/>
  <c r="AE1760" i="32"/>
  <c r="AA1760" i="32"/>
  <c r="AC1759" i="32"/>
  <c r="AB1759" i="32" s="1"/>
  <c r="AE1759" i="32" s="1"/>
  <c r="AB1758" i="32"/>
  <c r="AB1757" i="32"/>
  <c r="AE1757" i="32" s="1"/>
  <c r="AB1756" i="32"/>
  <c r="AA1755" i="32"/>
  <c r="AB1755" i="32" s="1"/>
  <c r="AB1754" i="32"/>
  <c r="AE1754" i="32" s="1"/>
  <c r="AA1753" i="32"/>
  <c r="AB1753" i="32" s="1"/>
  <c r="AE1753" i="32" s="1"/>
  <c r="AB1752" i="32"/>
  <c r="AC1752" i="32" s="1"/>
  <c r="AB1751" i="32"/>
  <c r="AE1751" i="32" s="1"/>
  <c r="AB1750" i="32"/>
  <c r="AE1750" i="32" s="1"/>
  <c r="AB1749" i="32"/>
  <c r="AB1748" i="32"/>
  <c r="AE1748" i="32" s="1"/>
  <c r="AB1747" i="32"/>
  <c r="AB1746" i="32"/>
  <c r="AB1745" i="32"/>
  <c r="AE1745" i="32" s="1"/>
  <c r="AB1744" i="32"/>
  <c r="AE1744" i="32" s="1"/>
  <c r="AB1743" i="32"/>
  <c r="AE1743" i="32" s="1"/>
  <c r="AB1742" i="32"/>
  <c r="AB1741" i="32"/>
  <c r="AE1741" i="32" s="1"/>
  <c r="AB1740" i="32"/>
  <c r="AB1739" i="32"/>
  <c r="AE1739" i="32" s="1"/>
  <c r="AB1738" i="32"/>
  <c r="AB1737" i="32"/>
  <c r="AE1737" i="32" s="1"/>
  <c r="AE1736" i="32"/>
  <c r="AC1736" i="32"/>
  <c r="AB1735" i="32"/>
  <c r="AB1734" i="32"/>
  <c r="AE1734" i="32" s="1"/>
  <c r="AE1733" i="32"/>
  <c r="AC1733" i="32"/>
  <c r="AB1732" i="32"/>
  <c r="AB1731" i="32"/>
  <c r="AE1731" i="32" s="1"/>
  <c r="AB1730" i="32"/>
  <c r="AB1729" i="32"/>
  <c r="AE1729" i="32" s="1"/>
  <c r="AB1728" i="32"/>
  <c r="AB1727" i="32"/>
  <c r="AE1727" i="32" s="1"/>
  <c r="AB1726" i="32"/>
  <c r="AC1725" i="32"/>
  <c r="AB1725" i="32" s="1"/>
  <c r="AE1725" i="32" s="1"/>
  <c r="AC1724" i="32"/>
  <c r="AB1724" i="32" s="1"/>
  <c r="AE1724" i="32" s="1"/>
  <c r="AB1723" i="32"/>
  <c r="AE1723" i="32" s="1"/>
  <c r="AE1722" i="32"/>
  <c r="AA1722" i="32"/>
  <c r="AE1721" i="32"/>
  <c r="AA1721" i="32"/>
  <c r="AB1720" i="32"/>
  <c r="AE1720" i="32" s="1"/>
  <c r="AC1719" i="32"/>
  <c r="AB1719" i="32" s="1"/>
  <c r="AE1719" i="32" s="1"/>
  <c r="AC1718" i="32"/>
  <c r="AB1718" i="32" s="1"/>
  <c r="AA1717" i="32"/>
  <c r="AB1717" i="32" s="1"/>
  <c r="AC1716" i="32"/>
  <c r="AB1716" i="32" s="1"/>
  <c r="AC1715" i="32"/>
  <c r="AB1715" i="32" s="1"/>
  <c r="AE1715" i="32" s="1"/>
  <c r="AB1714" i="32"/>
  <c r="AE1714" i="32" s="1"/>
  <c r="AB1713" i="32"/>
  <c r="AB1712" i="32"/>
  <c r="AE1712" i="32" s="1"/>
  <c r="AB1711" i="32"/>
  <c r="AE1710" i="32"/>
  <c r="AC1710" i="32"/>
  <c r="AA1710" i="32"/>
  <c r="AB1709" i="32"/>
  <c r="AE1709" i="32" s="1"/>
  <c r="AE1708" i="32"/>
  <c r="AC1708" i="32"/>
  <c r="AA1708" i="32"/>
  <c r="AB1707" i="32"/>
  <c r="AE1707" i="32" s="1"/>
  <c r="AE1706" i="32"/>
  <c r="AA1706" i="32"/>
  <c r="AE1705" i="32"/>
  <c r="AC1705" i="32"/>
  <c r="AA1705" i="32"/>
  <c r="AB1704" i="32"/>
  <c r="AB1703" i="32"/>
  <c r="AE1703" i="32" s="1"/>
  <c r="AB1702" i="32"/>
  <c r="AE1702" i="32" s="1"/>
  <c r="AB1701" i="32"/>
  <c r="AC1701" i="32" s="1"/>
  <c r="AB1700" i="32"/>
  <c r="AE1700" i="32" s="1"/>
  <c r="AE1699" i="32"/>
  <c r="AE1698" i="32"/>
  <c r="J1698" i="32"/>
  <c r="AC1697" i="32"/>
  <c r="AB1697" i="32" s="1"/>
  <c r="AB1696" i="32"/>
  <c r="AB1695" i="32"/>
  <c r="AE1695" i="32" s="1"/>
  <c r="AC1694" i="32"/>
  <c r="AB1694" i="32" s="1"/>
  <c r="AE1694" i="32" s="1"/>
  <c r="AC1693" i="32"/>
  <c r="AB1693" i="32" s="1"/>
  <c r="AE1693" i="32" s="1"/>
  <c r="AA1692" i="32"/>
  <c r="AA1691" i="32"/>
  <c r="AB1691" i="32" s="1"/>
  <c r="AB1690" i="32"/>
  <c r="AB1689" i="32"/>
  <c r="AE1689" i="32" s="1"/>
  <c r="AB1688" i="32"/>
  <c r="AB1687" i="32"/>
  <c r="AE1687" i="32" s="1"/>
  <c r="AB1686" i="32"/>
  <c r="AB1685" i="32"/>
  <c r="AC1685" i="32" s="1"/>
  <c r="AB1684" i="32"/>
  <c r="AE1684" i="32" s="1"/>
  <c r="AB1683" i="32"/>
  <c r="AE1683" i="32" s="1"/>
  <c r="AE1682" i="32"/>
  <c r="AC1682" i="32"/>
  <c r="AB1682" i="32"/>
  <c r="AE1681" i="32"/>
  <c r="AC1681" i="32"/>
  <c r="AB1681" i="32" s="1"/>
  <c r="AE1680" i="32"/>
  <c r="AC1680" i="32"/>
  <c r="AB1679" i="32"/>
  <c r="AB1678" i="32"/>
  <c r="AC1678" i="32" s="1"/>
  <c r="AB1677" i="32"/>
  <c r="AE1677" i="32" s="1"/>
  <c r="AB1676" i="32"/>
  <c r="AE1676" i="32" s="1"/>
  <c r="AB1675" i="32"/>
  <c r="AE1675" i="32" s="1"/>
  <c r="AB1674" i="32"/>
  <c r="AB1673" i="32"/>
  <c r="AE1673" i="32" s="1"/>
  <c r="AB1672" i="32"/>
  <c r="AB1671" i="32"/>
  <c r="AB1670" i="32"/>
  <c r="AE1670" i="32" s="1"/>
  <c r="AA1667" i="32"/>
  <c r="AA1668" i="32" s="1"/>
  <c r="AA1669" i="32" s="1"/>
  <c r="AB1666" i="32"/>
  <c r="AE1666" i="32" s="1"/>
  <c r="AB1665" i="32"/>
  <c r="AE1665" i="32" s="1"/>
  <c r="AC1664" i="32"/>
  <c r="AB1664" i="32" s="1"/>
  <c r="AC1663" i="32"/>
  <c r="AB1663" i="32" s="1"/>
  <c r="AE1663" i="32" s="1"/>
  <c r="AB1662" i="32"/>
  <c r="AE1662" i="32" s="1"/>
  <c r="AB1661" i="32"/>
  <c r="AB1660" i="32"/>
  <c r="AE1660" i="32" s="1"/>
  <c r="AB1659" i="32"/>
  <c r="AB1658" i="32"/>
  <c r="AB1657" i="32"/>
  <c r="AE1657" i="32" s="1"/>
  <c r="AB1656" i="32"/>
  <c r="J1656" i="32"/>
  <c r="AE1655" i="32"/>
  <c r="AC1655" i="32"/>
  <c r="AB1654" i="32"/>
  <c r="AC1653" i="32"/>
  <c r="AB1653" i="32" s="1"/>
  <c r="AE1653" i="32" s="1"/>
  <c r="AB1652" i="32"/>
  <c r="AE1652" i="32" s="1"/>
  <c r="AB1651" i="32"/>
  <c r="AE1651" i="32" s="1"/>
  <c r="AB1650" i="32"/>
  <c r="AB1649" i="32"/>
  <c r="AE1649" i="32" s="1"/>
  <c r="AC1648" i="32"/>
  <c r="AB1648" i="32" s="1"/>
  <c r="AE1648" i="32" s="1"/>
  <c r="AC1647" i="32"/>
  <c r="AB1647" i="32" s="1"/>
  <c r="AE1647" i="32" s="1"/>
  <c r="AB1646" i="32"/>
  <c r="AB1645" i="32"/>
  <c r="AE1645" i="32" s="1"/>
  <c r="AE1644" i="32"/>
  <c r="AA1644" i="32"/>
  <c r="AB1643" i="32"/>
  <c r="AB1642" i="32"/>
  <c r="AE1642" i="32" s="1"/>
  <c r="AB1641" i="32"/>
  <c r="AB1640" i="32"/>
  <c r="AE1640" i="32" s="1"/>
  <c r="AE1639" i="32"/>
  <c r="AA1639" i="32"/>
  <c r="AC1638" i="32"/>
  <c r="AB1638" i="32" s="1"/>
  <c r="AE1638" i="32" s="1"/>
  <c r="AE1637" i="32"/>
  <c r="AA1637" i="32"/>
  <c r="AE1636" i="32"/>
  <c r="AA1636" i="32"/>
  <c r="AC1635" i="32"/>
  <c r="AB1635" i="32" s="1"/>
  <c r="AE1635" i="32" s="1"/>
  <c r="AE1634" i="32"/>
  <c r="AA1634" i="32"/>
  <c r="AB1633" i="32"/>
  <c r="AE1633" i="32" s="1"/>
  <c r="AB1632" i="32"/>
  <c r="AE1632" i="32" s="1"/>
  <c r="AB1631" i="32"/>
  <c r="AE1631" i="32" s="1"/>
  <c r="AB1630" i="32"/>
  <c r="AE1630" i="32" s="1"/>
  <c r="AE1629" i="32"/>
  <c r="AA1629" i="32"/>
  <c r="AB1628" i="32"/>
  <c r="AE1628" i="32" s="1"/>
  <c r="AB1627" i="32"/>
  <c r="AB1626" i="32"/>
  <c r="AE1626" i="32" s="1"/>
  <c r="AB1625" i="32"/>
  <c r="AC1624" i="32"/>
  <c r="AB1624" i="32" s="1"/>
  <c r="AB1623" i="32"/>
  <c r="AE1623" i="32" s="1"/>
  <c r="AC1622" i="32"/>
  <c r="AB1622" i="32" s="1"/>
  <c r="AE1622" i="32" s="1"/>
  <c r="AC1621" i="32"/>
  <c r="AB1621" i="32" s="1"/>
  <c r="AE1621" i="32" s="1"/>
  <c r="AC1620" i="32"/>
  <c r="AB1620" i="32" s="1"/>
  <c r="AE1620" i="32" s="1"/>
  <c r="AB1619" i="32"/>
  <c r="AC1619" i="32" s="1"/>
  <c r="AB1618" i="32"/>
  <c r="AB1617" i="32"/>
  <c r="AE1617" i="32" s="1"/>
  <c r="AB1616" i="32"/>
  <c r="AC1615" i="32"/>
  <c r="AB1615" i="32" s="1"/>
  <c r="AC1614" i="32"/>
  <c r="AB1614" i="32" s="1"/>
  <c r="AE1614" i="32" s="1"/>
  <c r="AB1613" i="32"/>
  <c r="AE1613" i="32" s="1"/>
  <c r="AB1612" i="32"/>
  <c r="AB1611" i="32"/>
  <c r="AE1611" i="32" s="1"/>
  <c r="AB1610" i="32"/>
  <c r="AE1610" i="32" s="1"/>
  <c r="AC1609" i="32"/>
  <c r="AB1609" i="32" s="1"/>
  <c r="AE1609" i="32" s="1"/>
  <c r="AB1608" i="32"/>
  <c r="AE1608" i="32" s="1"/>
  <c r="AB1607" i="32"/>
  <c r="AE1607" i="32" s="1"/>
  <c r="AE1606" i="32"/>
  <c r="AA1606" i="32"/>
  <c r="AC1605" i="32"/>
  <c r="AB1605" i="32" s="1"/>
  <c r="AE1605" i="32" s="1"/>
  <c r="AB1604" i="32"/>
  <c r="AE1604" i="32" s="1"/>
  <c r="AC1603" i="32"/>
  <c r="AB1603" i="32" s="1"/>
  <c r="AE1603" i="32" s="1"/>
  <c r="AC1602" i="32"/>
  <c r="AB1602" i="32" s="1"/>
  <c r="AE1602" i="32" s="1"/>
  <c r="AB1601" i="32"/>
  <c r="AC1601" i="32" s="1"/>
  <c r="AB1600" i="32"/>
  <c r="AC1599" i="32"/>
  <c r="AB1599" i="32" s="1"/>
  <c r="AE1599" i="32" s="1"/>
  <c r="AB1598" i="32"/>
  <c r="AB1597" i="32"/>
  <c r="AB1596" i="32"/>
  <c r="AE1596" i="32" s="1"/>
  <c r="AB1595" i="32"/>
  <c r="AC1594" i="32"/>
  <c r="AB1594" i="32" s="1"/>
  <c r="AE1594" i="32" s="1"/>
  <c r="AC1593" i="32"/>
  <c r="AB1593" i="32" s="1"/>
  <c r="AC1592" i="32"/>
  <c r="AB1592" i="32" s="1"/>
  <c r="AE1592" i="32" s="1"/>
  <c r="AE1591" i="32"/>
  <c r="AC1591" i="32"/>
  <c r="AB1591" i="32" s="1"/>
  <c r="I1591" i="32"/>
  <c r="J1591" i="32" s="1"/>
  <c r="AB1590" i="32"/>
  <c r="AE1590" i="32" s="1"/>
  <c r="AC1589" i="32"/>
  <c r="AB1589" i="32" s="1"/>
  <c r="AE1589" i="32" s="1"/>
  <c r="AC1588" i="32"/>
  <c r="AB1588" i="32" s="1"/>
  <c r="AE1588" i="32" s="1"/>
  <c r="AE1587" i="32"/>
  <c r="AB1587" i="32"/>
  <c r="AB1586" i="32"/>
  <c r="AE1586" i="32" s="1"/>
  <c r="AC1585" i="32"/>
  <c r="AB1585" i="32" s="1"/>
  <c r="AE1585" i="32" s="1"/>
  <c r="AE1584" i="32"/>
  <c r="AA1584" i="32"/>
  <c r="AB1583" i="32"/>
  <c r="AB1582" i="32"/>
  <c r="AC1582" i="32" s="1"/>
  <c r="AC1581" i="32"/>
  <c r="AB1581" i="32" s="1"/>
  <c r="AC1580" i="32"/>
  <c r="AB1580" i="32" s="1"/>
  <c r="AE1580" i="32" s="1"/>
  <c r="AC1579" i="32"/>
  <c r="AB1579" i="32" s="1"/>
  <c r="AB1578" i="32"/>
  <c r="AB1577" i="32"/>
  <c r="AE1577" i="32" s="1"/>
  <c r="AB1576" i="32"/>
  <c r="AC1576" i="32" s="1"/>
  <c r="AC1575" i="32"/>
  <c r="AB1575" i="32" s="1"/>
  <c r="AA1575" i="32" s="1"/>
  <c r="AC1574" i="32"/>
  <c r="AB1574" i="32" s="1"/>
  <c r="AE1574" i="32" s="1"/>
  <c r="AB1573" i="32"/>
  <c r="AB1572" i="32"/>
  <c r="AC1572" i="32" s="1"/>
  <c r="AC1571" i="32"/>
  <c r="AB1571" i="32" s="1"/>
  <c r="AE1571" i="32" s="1"/>
  <c r="AE1570" i="32"/>
  <c r="AC1570" i="32"/>
  <c r="AA1570" i="32"/>
  <c r="AB1569" i="32"/>
  <c r="AB1568" i="32"/>
  <c r="AE1568" i="32" s="1"/>
  <c r="AC1567" i="32"/>
  <c r="AB1567" i="32" s="1"/>
  <c r="AE1567" i="32" s="1"/>
  <c r="AC1566" i="32"/>
  <c r="AB1566" i="32" s="1"/>
  <c r="AE1566" i="32" s="1"/>
  <c r="AB1565" i="32"/>
  <c r="AB1564" i="32"/>
  <c r="AC1564" i="32" s="1"/>
  <c r="AB1563" i="32"/>
  <c r="AB1562" i="32"/>
  <c r="AB1561" i="32"/>
  <c r="AE1561" i="32" s="1"/>
  <c r="AC1560" i="32"/>
  <c r="AB1560" i="32" s="1"/>
  <c r="AB1559" i="32"/>
  <c r="AE1559" i="32" s="1"/>
  <c r="AB1558" i="32"/>
  <c r="AC1557" i="32"/>
  <c r="AB1557" i="32" s="1"/>
  <c r="AC1556" i="32"/>
  <c r="AB1556" i="32" s="1"/>
  <c r="AB1555" i="32"/>
  <c r="AE1555" i="32" s="1"/>
  <c r="AC1554" i="32"/>
  <c r="AB1554" i="32" s="1"/>
  <c r="AE1554" i="32" s="1"/>
  <c r="AB1553" i="32"/>
  <c r="AB1552" i="32"/>
  <c r="AA1551" i="32"/>
  <c r="AB1551" i="32" s="1"/>
  <c r="AE1551" i="32" s="1"/>
  <c r="AB1550" i="32"/>
  <c r="AB1549" i="32"/>
  <c r="AB1548" i="32"/>
  <c r="AE1548" i="32" s="1"/>
  <c r="AB1547" i="32"/>
  <c r="AC1547" i="32" s="1"/>
  <c r="J1547" i="32"/>
  <c r="AB1546" i="32"/>
  <c r="AE1546" i="32" s="1"/>
  <c r="J1546" i="32"/>
  <c r="AC1545" i="32"/>
  <c r="AB1545" i="32" s="1"/>
  <c r="AE1544" i="32"/>
  <c r="AA1544" i="32"/>
  <c r="AB1543" i="32"/>
  <c r="AE1542" i="32"/>
  <c r="AC1542" i="32"/>
  <c r="AB1541" i="32"/>
  <c r="AB1540" i="32"/>
  <c r="AA1540" i="32"/>
  <c r="AB1539" i="32"/>
  <c r="AC1539" i="32" s="1"/>
  <c r="AB1538" i="32"/>
  <c r="AB1537" i="32"/>
  <c r="AE1537" i="32" s="1"/>
  <c r="AA1537" i="32"/>
  <c r="AB1536" i="32"/>
  <c r="AE1536" i="32" s="1"/>
  <c r="AB1535" i="32"/>
  <c r="AA1534" i="32"/>
  <c r="AB1533" i="32"/>
  <c r="AE1533" i="32" s="1"/>
  <c r="AB1532" i="32"/>
  <c r="AE1531" i="32"/>
  <c r="AC1531" i="32"/>
  <c r="AB1531" i="32" s="1"/>
  <c r="AE1530" i="32"/>
  <c r="AA1530" i="32"/>
  <c r="AB1529" i="32"/>
  <c r="AB1528" i="32"/>
  <c r="AE1528" i="32" s="1"/>
  <c r="AB1527" i="32"/>
  <c r="AC1526" i="32"/>
  <c r="AB1526" i="32" s="1"/>
  <c r="AE1526" i="32" s="1"/>
  <c r="AB1525" i="32"/>
  <c r="AB1524" i="32"/>
  <c r="AE1524" i="32" s="1"/>
  <c r="AB1523" i="32"/>
  <c r="AB1522" i="32"/>
  <c r="AE1522" i="32" s="1"/>
  <c r="AB1521" i="32"/>
  <c r="AC1521" i="32" s="1"/>
  <c r="AB1520" i="32"/>
  <c r="AB1519" i="32"/>
  <c r="AE1519" i="32" s="1"/>
  <c r="AB1518" i="32"/>
  <c r="AB1517" i="32"/>
  <c r="AE1517" i="32" s="1"/>
  <c r="AB1516" i="32"/>
  <c r="AC1515" i="32"/>
  <c r="AB1515" i="32" s="1"/>
  <c r="AA1515" i="32" s="1"/>
  <c r="AB1514" i="32"/>
  <c r="AC1513" i="32"/>
  <c r="AB1513" i="32" s="1"/>
  <c r="AE1513" i="32" s="1"/>
  <c r="AC1512" i="32"/>
  <c r="AB1512" i="32" s="1"/>
  <c r="AE1512" i="32" s="1"/>
  <c r="AE1511" i="32"/>
  <c r="AA1511" i="32"/>
  <c r="AE1510" i="32"/>
  <c r="AA1510" i="32"/>
  <c r="AC1509" i="32"/>
  <c r="AB1509" i="32" s="1"/>
  <c r="AE1509" i="32" s="1"/>
  <c r="AC1508" i="32"/>
  <c r="AB1508" i="32" s="1"/>
  <c r="AC1507" i="32"/>
  <c r="AB1507" i="32" s="1"/>
  <c r="AE1507" i="32" s="1"/>
  <c r="AC1506" i="32"/>
  <c r="AB1506" i="32" s="1"/>
  <c r="AE1506" i="32" s="1"/>
  <c r="AB1505" i="32"/>
  <c r="AE1504" i="32"/>
  <c r="AC1504" i="32"/>
  <c r="AB1504" i="32" s="1"/>
  <c r="AC1503" i="32"/>
  <c r="AB1503" i="32" s="1"/>
  <c r="AE1503" i="32" s="1"/>
  <c r="AB1502" i="32"/>
  <c r="AE1502" i="32" s="1"/>
  <c r="AC1501" i="32"/>
  <c r="AB1501" i="32"/>
  <c r="AE1501" i="32" s="1"/>
  <c r="AC1500" i="32"/>
  <c r="AB1500" i="32" s="1"/>
  <c r="AE1500" i="32" s="1"/>
  <c r="AC1499" i="32"/>
  <c r="AB1499" i="32" s="1"/>
  <c r="AE1499" i="32" s="1"/>
  <c r="AC1498" i="32"/>
  <c r="AB1498" i="32" s="1"/>
  <c r="AC1497" i="32"/>
  <c r="AB1497" i="32"/>
  <c r="AE1497" i="32" s="1"/>
  <c r="AC1496" i="32"/>
  <c r="AB1496" i="32" s="1"/>
  <c r="AA1496" i="32" s="1"/>
  <c r="AB1495" i="32"/>
  <c r="AB1494" i="32"/>
  <c r="AE1494" i="32" s="1"/>
  <c r="AB1493" i="32"/>
  <c r="AC1493" i="32" s="1"/>
  <c r="AB1492" i="32"/>
  <c r="AB1491" i="32"/>
  <c r="AC1491" i="32" s="1"/>
  <c r="AC1490" i="32"/>
  <c r="AB1490" i="32" s="1"/>
  <c r="AE1490" i="32" s="1"/>
  <c r="AB1489" i="32"/>
  <c r="AE1489" i="32" s="1"/>
  <c r="AB1488" i="32"/>
  <c r="AB1487" i="32"/>
  <c r="AE1487" i="32" s="1"/>
  <c r="AB1486" i="32"/>
  <c r="AE1485" i="32"/>
  <c r="AA1485" i="32"/>
  <c r="J1485" i="32"/>
  <c r="AB1484" i="32"/>
  <c r="AC1484" i="32" s="1"/>
  <c r="AB1483" i="32"/>
  <c r="AB1482" i="32"/>
  <c r="AC1482" i="32" s="1"/>
  <c r="AE1481" i="32"/>
  <c r="AA1481" i="32"/>
  <c r="AB1480" i="32"/>
  <c r="AE1480" i="32" s="1"/>
  <c r="AB1479" i="32"/>
  <c r="AC1478" i="32"/>
  <c r="AB1478" i="32" s="1"/>
  <c r="AE1478" i="32" s="1"/>
  <c r="AB1477" i="32"/>
  <c r="AB1476" i="32"/>
  <c r="AB1475" i="32"/>
  <c r="AC1475" i="32" s="1"/>
  <c r="AB1474" i="32"/>
  <c r="AE1474" i="32" s="1"/>
  <c r="AE1473" i="32"/>
  <c r="AB1472" i="32"/>
  <c r="AB1471" i="32"/>
  <c r="AE1471" i="32" s="1"/>
  <c r="AB1470" i="32"/>
  <c r="AC1470" i="32" s="1"/>
  <c r="AC1469" i="32"/>
  <c r="AB1469" i="32" s="1"/>
  <c r="AE1469" i="32" s="1"/>
  <c r="AE1468" i="32"/>
  <c r="AA1468" i="32"/>
  <c r="AE1467" i="32"/>
  <c r="AA1467" i="32"/>
  <c r="AE1466" i="32"/>
  <c r="AA1466" i="32"/>
  <c r="AE1465" i="32"/>
  <c r="AA1465" i="32"/>
  <c r="AE1464" i="32"/>
  <c r="AA1464" i="32"/>
  <c r="AE1463" i="32"/>
  <c r="AA1463" i="32"/>
  <c r="AE1462" i="32"/>
  <c r="AA1462" i="32"/>
  <c r="AE1461" i="32"/>
  <c r="AC1461" i="32"/>
  <c r="AB1461" i="32" s="1"/>
  <c r="AA1461" i="32"/>
  <c r="AB1460" i="32"/>
  <c r="AE1460" i="32"/>
  <c r="AC1460" i="32"/>
  <c r="AE1459" i="32"/>
  <c r="AC1459" i="32"/>
  <c r="AB1459" i="32" s="1"/>
  <c r="AE1458" i="32"/>
  <c r="AC1458" i="32"/>
  <c r="AE1457" i="32"/>
  <c r="AA1457" i="32"/>
  <c r="AE1456" i="32"/>
  <c r="AC1456" i="32"/>
  <c r="AB1456" i="32" s="1"/>
  <c r="AE1455" i="32"/>
  <c r="AA1455" i="32"/>
  <c r="AE1454" i="32"/>
  <c r="AC1454" i="32"/>
  <c r="AB1454" i="32" s="1"/>
  <c r="AE1453" i="32"/>
  <c r="AC1453" i="32"/>
  <c r="AB1453" i="32" s="1"/>
  <c r="AE1452" i="32"/>
  <c r="AA1452" i="32"/>
  <c r="AE1451" i="32"/>
  <c r="AC1451" i="32"/>
  <c r="AE1450" i="32"/>
  <c r="AA1450" i="32"/>
  <c r="AE1449" i="32"/>
  <c r="AA1449" i="32"/>
  <c r="AE1448" i="32"/>
  <c r="AA1448" i="32"/>
  <c r="AE1447" i="32"/>
  <c r="AA1447" i="32"/>
  <c r="AE1446" i="32"/>
  <c r="AC1446" i="32"/>
  <c r="AB1446" i="32"/>
  <c r="AE1445" i="32"/>
  <c r="AA1445" i="32"/>
  <c r="AE1444" i="32"/>
  <c r="AC1444" i="32"/>
  <c r="AB1444" i="32"/>
  <c r="AE1443" i="32"/>
  <c r="AA1443" i="32"/>
  <c r="AE1442" i="32"/>
  <c r="AA1442" i="32"/>
  <c r="AB1441" i="32"/>
  <c r="AE1441" i="32" s="1"/>
  <c r="AB1440" i="32"/>
  <c r="AB1439" i="32"/>
  <c r="AE1439" i="32" s="1"/>
  <c r="AB1438" i="32"/>
  <c r="AC1438" i="32" s="1"/>
  <c r="AB1437" i="32"/>
  <c r="AB1436" i="32"/>
  <c r="AE1436" i="32" s="1"/>
  <c r="AB1435" i="32"/>
  <c r="AC1435" i="32" s="1"/>
  <c r="AB1434" i="32"/>
  <c r="AC1434" i="32" s="1"/>
  <c r="AB1433" i="32"/>
  <c r="AB1432" i="32"/>
  <c r="AC1432" i="32" s="1"/>
  <c r="AE1431" i="32"/>
  <c r="AC1431" i="32"/>
  <c r="AB1431" i="32" s="1"/>
  <c r="AA1430" i="32"/>
  <c r="AB1430" i="32" s="1"/>
  <c r="AC1429" i="32"/>
  <c r="AB1429" i="32" s="1"/>
  <c r="AA1429" i="32" s="1"/>
  <c r="AA1428" i="32"/>
  <c r="AB1427" i="32"/>
  <c r="AC1427" i="32" s="1"/>
  <c r="AB1426" i="32"/>
  <c r="AE1426" i="32" s="1"/>
  <c r="AC1425" i="32"/>
  <c r="AB1425" i="32" s="1"/>
  <c r="AE1425" i="32" s="1"/>
  <c r="AB1424" i="32"/>
  <c r="AC1424" i="32" s="1"/>
  <c r="AB1423" i="32"/>
  <c r="AE1423" i="32" s="1"/>
  <c r="AC1422" i="32"/>
  <c r="AB1422" i="32" s="1"/>
  <c r="AE1422" i="32" s="1"/>
  <c r="AE1421" i="32"/>
  <c r="AB1420" i="32"/>
  <c r="AB1419" i="32"/>
  <c r="AE1418" i="32"/>
  <c r="AC1418" i="32"/>
  <c r="AB1418" i="32" s="1"/>
  <c r="AE1417" i="32"/>
  <c r="AC1417" i="32"/>
  <c r="AB1417" i="32" s="1"/>
  <c r="AB1416" i="32"/>
  <c r="AE1416" i="32" s="1"/>
  <c r="AA1416" i="32"/>
  <c r="AB1415" i="32"/>
  <c r="AC1415" i="32" s="1"/>
  <c r="AC1414" i="32"/>
  <c r="AB1414" i="32" s="1"/>
  <c r="AE1414" i="32" s="1"/>
  <c r="AB1413" i="32"/>
  <c r="AB1412" i="32"/>
  <c r="AA1412" i="32" s="1"/>
  <c r="AC1411" i="32"/>
  <c r="AB1411" i="32" s="1"/>
  <c r="AE1411" i="32" s="1"/>
  <c r="AC1410" i="32"/>
  <c r="AB1410" i="32" s="1"/>
  <c r="AE1410" i="32" s="1"/>
  <c r="AB1409" i="32"/>
  <c r="AE1409" i="32" s="1"/>
  <c r="AB1408" i="32"/>
  <c r="AB1407" i="32"/>
  <c r="AC1407" i="32" s="1"/>
  <c r="AB1406" i="32"/>
  <c r="AE1406" i="32" s="1"/>
  <c r="AB1405" i="32"/>
  <c r="AB1404" i="32"/>
  <c r="AE1404" i="32" s="1"/>
  <c r="AB1403" i="32"/>
  <c r="AE1403" i="32" s="1"/>
  <c r="AB1402" i="32"/>
  <c r="AB1401" i="32"/>
  <c r="AE1401" i="32" s="1"/>
  <c r="AB1400" i="32"/>
  <c r="AC1400" i="32" s="1"/>
  <c r="AB1399" i="32"/>
  <c r="AB1398" i="32"/>
  <c r="AE1398" i="32" s="1"/>
  <c r="AB1397" i="32"/>
  <c r="AC1397" i="32" s="1"/>
  <c r="AB1396" i="32"/>
  <c r="AE1396" i="32" s="1"/>
  <c r="AC1395" i="32"/>
  <c r="AB1395" i="32" s="1"/>
  <c r="AE1395" i="32" s="1"/>
  <c r="AE1394" i="32"/>
  <c r="AA1394" i="32"/>
  <c r="AC1393" i="32"/>
  <c r="AB1393" i="32" s="1"/>
  <c r="AE1393" i="32" s="1"/>
  <c r="AB1392" i="32"/>
  <c r="AB1391" i="32"/>
  <c r="AC1391" i="32" s="1"/>
  <c r="AB1390" i="32"/>
  <c r="AE1390" i="32" s="1"/>
  <c r="AB1389" i="32"/>
  <c r="AB1388" i="32"/>
  <c r="AE1388" i="32" s="1"/>
  <c r="AB1387" i="32"/>
  <c r="AE1387" i="32" s="1"/>
  <c r="AB1386" i="32"/>
  <c r="AE1386" i="32" s="1"/>
  <c r="AC1385" i="32"/>
  <c r="AB1385" i="32" s="1"/>
  <c r="AE1385" i="32" s="1"/>
  <c r="AB1384" i="32"/>
  <c r="AC1384" i="32" s="1"/>
  <c r="AB1383" i="32"/>
  <c r="AB1382" i="32"/>
  <c r="AE1382" i="32" s="1"/>
  <c r="AB1381" i="32"/>
  <c r="AC1381" i="32" s="1"/>
  <c r="AB1380" i="32"/>
  <c r="AC1380" i="32" s="1"/>
  <c r="AB1379" i="32"/>
  <c r="AE1379" i="32" s="1"/>
  <c r="AA1378" i="32"/>
  <c r="AB1378" i="32" s="1"/>
  <c r="AC1378" i="32" s="1"/>
  <c r="AC1377" i="32"/>
  <c r="AB1377" i="32" s="1"/>
  <c r="AE1377" i="32" s="1"/>
  <c r="AC1376" i="32"/>
  <c r="AB1376" i="32" s="1"/>
  <c r="AE1375" i="32"/>
  <c r="AB1374" i="32"/>
  <c r="AB1373" i="32"/>
  <c r="AE1373" i="32" s="1"/>
  <c r="AB1372" i="32"/>
  <c r="AC1372" i="32" s="1"/>
  <c r="AB1371" i="32"/>
  <c r="AC1371" i="32" s="1"/>
  <c r="AE1370" i="32"/>
  <c r="AA1370" i="32"/>
  <c r="AE1369" i="32"/>
  <c r="AA1369" i="32"/>
  <c r="AE1368" i="32"/>
  <c r="AA1368" i="32"/>
  <c r="AB1367" i="32"/>
  <c r="AC1367" i="32" s="1"/>
  <c r="AB1366" i="32"/>
  <c r="AC1366" i="32" s="1"/>
  <c r="AC1365" i="32"/>
  <c r="AB1365" i="32"/>
  <c r="AE1365" i="32" s="1"/>
  <c r="AC1364" i="32"/>
  <c r="AB1364" i="32" s="1"/>
  <c r="AE1364" i="32" s="1"/>
  <c r="AC1363" i="32"/>
  <c r="AB1363" i="32" s="1"/>
  <c r="AE1363" i="32" s="1"/>
  <c r="AB1362" i="32"/>
  <c r="AA1361" i="32"/>
  <c r="AB1360" i="32"/>
  <c r="AB1359" i="32"/>
  <c r="AE1359" i="32" s="1"/>
  <c r="AB1358" i="32"/>
  <c r="AC1358" i="32" s="1"/>
  <c r="AB1357" i="32"/>
  <c r="AC1357" i="32" s="1"/>
  <c r="AA1356" i="32"/>
  <c r="AB1356" i="32" s="1"/>
  <c r="AB1355" i="32"/>
  <c r="AE1355" i="32" s="1"/>
  <c r="AB1354" i="32"/>
  <c r="AA1354" i="32" s="1"/>
  <c r="AB1353" i="32"/>
  <c r="AB1352" i="32"/>
  <c r="AA1352" i="32" s="1"/>
  <c r="AB1351" i="32"/>
  <c r="AE1351" i="32" s="1"/>
  <c r="AB1350" i="32"/>
  <c r="AA1350" i="32" s="1"/>
  <c r="AC1349" i="32"/>
  <c r="AB1349" i="32" s="1"/>
  <c r="AE1349" i="32" s="1"/>
  <c r="AB1348" i="32"/>
  <c r="AE1348" i="32" s="1"/>
  <c r="AB1347" i="32"/>
  <c r="AE1347" i="32" s="1"/>
  <c r="AC1346" i="32"/>
  <c r="AB1346" i="32" s="1"/>
  <c r="AC1345" i="32"/>
  <c r="AB1345" i="32" s="1"/>
  <c r="AE1345" i="32" s="1"/>
  <c r="AC1344" i="32"/>
  <c r="AB1344" i="32" s="1"/>
  <c r="AC1343" i="32"/>
  <c r="AB1343" i="32" s="1"/>
  <c r="AE1343" i="32" s="1"/>
  <c r="AC1342" i="32"/>
  <c r="AB1342" i="32" s="1"/>
  <c r="AB1341" i="32"/>
  <c r="AE1340" i="32"/>
  <c r="AA1340" i="32"/>
  <c r="AE1339" i="32"/>
  <c r="AA1339" i="32"/>
  <c r="AB1338" i="32"/>
  <c r="AE1338" i="32" s="1"/>
  <c r="AB1337" i="32"/>
  <c r="AC1337" i="32" s="1"/>
  <c r="AB1336" i="32"/>
  <c r="AE1336" i="32" s="1"/>
  <c r="AB1335" i="32"/>
  <c r="AE1335" i="32" s="1"/>
  <c r="AC1334" i="32"/>
  <c r="AB1334" i="32" s="1"/>
  <c r="AE1334" i="32" s="1"/>
  <c r="AC1333" i="32"/>
  <c r="AB1333" i="32" s="1"/>
  <c r="AB1332" i="32"/>
  <c r="AE1332" i="32" s="1"/>
  <c r="AA1331" i="32"/>
  <c r="AC1330" i="32"/>
  <c r="AB1330" i="32" s="1"/>
  <c r="AE1330" i="32" s="1"/>
  <c r="AB1329" i="32"/>
  <c r="AB1328" i="32"/>
  <c r="AE1328" i="32" s="1"/>
  <c r="AB1327" i="32"/>
  <c r="AE1327" i="32" s="1"/>
  <c r="AB1326" i="32"/>
  <c r="J1326" i="32"/>
  <c r="AE1325" i="32"/>
  <c r="AC1325" i="32"/>
  <c r="AB1325" i="32"/>
  <c r="AB1324" i="32"/>
  <c r="AE1324" i="32" s="1"/>
  <c r="AB1323" i="32"/>
  <c r="AB1322" i="32"/>
  <c r="AE1322" i="32" s="1"/>
  <c r="AB1321" i="32"/>
  <c r="AE1321" i="32" s="1"/>
  <c r="AB1320" i="32"/>
  <c r="AC1319" i="32"/>
  <c r="AB1319" i="32" s="1"/>
  <c r="AC1317" i="32"/>
  <c r="AC1318" i="32" s="1"/>
  <c r="AB1318" i="32" s="1"/>
  <c r="AE1318" i="32" s="1"/>
  <c r="AA1316" i="32"/>
  <c r="AE1316" i="32"/>
  <c r="AC1316" i="32"/>
  <c r="AE1315" i="32"/>
  <c r="AC1315" i="32"/>
  <c r="AA1315" i="32"/>
  <c r="AB1314" i="32"/>
  <c r="AC1314" i="32" s="1"/>
  <c r="AB1313" i="32"/>
  <c r="AC1313" i="32" s="1"/>
  <c r="J1313" i="32"/>
  <c r="AB1312" i="32"/>
  <c r="AC1312" i="32" s="1"/>
  <c r="J1312" i="32"/>
  <c r="AB1311" i="32"/>
  <c r="AE1311" i="32" s="1"/>
  <c r="J1311" i="32"/>
  <c r="AB1310" i="32"/>
  <c r="AE1310" i="32" s="1"/>
  <c r="J1310" i="32"/>
  <c r="AE1309" i="32"/>
  <c r="AB1308" i="32"/>
  <c r="AE1308" i="32" s="1"/>
  <c r="AE1307" i="32"/>
  <c r="AC1307" i="32"/>
  <c r="AB1307" i="32" s="1"/>
  <c r="I1307" i="32"/>
  <c r="J1307" i="32" s="1"/>
  <c r="AC1306" i="32"/>
  <c r="AB1306" i="32" s="1"/>
  <c r="AE1306" i="32" s="1"/>
  <c r="AC1305" i="32"/>
  <c r="AB1305" i="32" s="1"/>
  <c r="AA1305" i="32" s="1"/>
  <c r="AC1304" i="32"/>
  <c r="AB1304" i="32" s="1"/>
  <c r="AE1303" i="32"/>
  <c r="AB1303" i="32"/>
  <c r="AE1302" i="32"/>
  <c r="AB1302" i="32"/>
  <c r="AC1301" i="32"/>
  <c r="AB1301" i="32" s="1"/>
  <c r="AE1301" i="32" s="1"/>
  <c r="AC1300" i="32"/>
  <c r="AB1300" i="32" s="1"/>
  <c r="AE1300" i="32" s="1"/>
  <c r="AE1299" i="32"/>
  <c r="AC1299" i="32"/>
  <c r="AB1299" i="32" s="1"/>
  <c r="AA1299" i="32"/>
  <c r="AB1298" i="32"/>
  <c r="AE1297" i="32"/>
  <c r="AA1297" i="32"/>
  <c r="AB1296" i="32"/>
  <c r="AC1295" i="32"/>
  <c r="AB1295" i="32" s="1"/>
  <c r="AE1295" i="32" s="1"/>
  <c r="AB1294" i="32"/>
  <c r="AC1294" i="32" s="1"/>
  <c r="AE1293" i="32"/>
  <c r="AA1293" i="32"/>
  <c r="AB1292" i="32"/>
  <c r="AE1292" i="32" s="1"/>
  <c r="AB1291" i="32"/>
  <c r="AB1290" i="32"/>
  <c r="AB1289" i="32"/>
  <c r="AE1289" i="32" s="1"/>
  <c r="AB1288" i="32"/>
  <c r="AB1287" i="32"/>
  <c r="AE1287" i="32" s="1"/>
  <c r="AB1286" i="32"/>
  <c r="AB1285" i="32"/>
  <c r="AC1285" i="32" s="1"/>
  <c r="AB1284" i="32"/>
  <c r="J1284" i="32"/>
  <c r="AB1283" i="32"/>
  <c r="AE1283" i="32" s="1"/>
  <c r="AB1282" i="32"/>
  <c r="AB1281" i="32"/>
  <c r="AB1280" i="32"/>
  <c r="AE1280" i="32" s="1"/>
  <c r="AE1279" i="32"/>
  <c r="AA1279" i="32"/>
  <c r="AE1278" i="32"/>
  <c r="AA1278" i="32"/>
  <c r="AC1277" i="32"/>
  <c r="AB1277" i="32" s="1"/>
  <c r="AE1277" i="32" s="1"/>
  <c r="AB1276" i="32"/>
  <c r="AE1276" i="32" s="1"/>
  <c r="AB1275" i="32"/>
  <c r="AB1274" i="32"/>
  <c r="AB1273" i="32"/>
  <c r="AE1273" i="32" s="1"/>
  <c r="AB1272" i="32"/>
  <c r="AB1271" i="32"/>
  <c r="AE1271" i="32" s="1"/>
  <c r="AB1270" i="32"/>
  <c r="AC1269" i="32"/>
  <c r="AB1269" i="32" s="1"/>
  <c r="AB1268" i="32"/>
  <c r="AB1267" i="32"/>
  <c r="AE1267" i="32" s="1"/>
  <c r="AB1266" i="32"/>
  <c r="AB1265" i="32"/>
  <c r="AE1264" i="32"/>
  <c r="AB1263" i="32"/>
  <c r="AB1262" i="32"/>
  <c r="AC1262" i="32" s="1"/>
  <c r="AB1261" i="32"/>
  <c r="AE1260" i="32"/>
  <c r="AE1259" i="32"/>
  <c r="AA1259" i="32"/>
  <c r="AE1258" i="32"/>
  <c r="AA1258" i="32"/>
  <c r="AB1257" i="32"/>
  <c r="AE1257" i="32" s="1"/>
  <c r="AB1256" i="32"/>
  <c r="AA1256" i="32" s="1"/>
  <c r="AB1255" i="32"/>
  <c r="AB1254" i="32"/>
  <c r="AE1254" i="32" s="1"/>
  <c r="AE1253" i="32"/>
  <c r="AA1253" i="32"/>
  <c r="AC1252" i="32"/>
  <c r="AB1252" i="32" s="1"/>
  <c r="AE1252" i="32" s="1"/>
  <c r="AE1251" i="32"/>
  <c r="AA1251" i="32"/>
  <c r="AE1250" i="32"/>
  <c r="AA1250" i="32"/>
  <c r="AE1249" i="32"/>
  <c r="AA1249" i="32"/>
  <c r="AE1248" i="32"/>
  <c r="AA1248" i="32"/>
  <c r="AB1247" i="32"/>
  <c r="AE1247" i="32" s="1"/>
  <c r="AB1246" i="32"/>
  <c r="AC1245" i="32"/>
  <c r="AB1245" i="32" s="1"/>
  <c r="AC1244" i="32"/>
  <c r="AB1244" i="32" s="1"/>
  <c r="AE1244" i="32" s="1"/>
  <c r="AB1243" i="32"/>
  <c r="AE1243" i="32" s="1"/>
  <c r="AE1242" i="32"/>
  <c r="AB1241" i="32"/>
  <c r="AC1240" i="32"/>
  <c r="AB1240" i="32" s="1"/>
  <c r="AC1239" i="32"/>
  <c r="AB1239" i="32" s="1"/>
  <c r="AE1239" i="32" s="1"/>
  <c r="AC1238" i="32"/>
  <c r="AB1238" i="32" s="1"/>
  <c r="AB1237" i="32"/>
  <c r="AC1236" i="32"/>
  <c r="AB1236" i="32" s="1"/>
  <c r="AE1236" i="32" s="1"/>
  <c r="AB1235" i="32"/>
  <c r="AB1234" i="32"/>
  <c r="AC1234" i="32" s="1"/>
  <c r="AB1233" i="32"/>
  <c r="AA1232" i="32"/>
  <c r="AB1232" i="32" s="1"/>
  <c r="AE1232" i="32" s="1"/>
  <c r="AB1231" i="32"/>
  <c r="AB1230" i="32"/>
  <c r="AC1229" i="32"/>
  <c r="AB1229" i="32" s="1"/>
  <c r="AC1228" i="32"/>
  <c r="AB1228" i="32" s="1"/>
  <c r="AC1227" i="32"/>
  <c r="AB1227" i="32" s="1"/>
  <c r="AC1226" i="32"/>
  <c r="AB1226" i="32" s="1"/>
  <c r="AB1225" i="32"/>
  <c r="AE1225" i="32" s="1"/>
  <c r="AC1224" i="32"/>
  <c r="AB1224" i="32" s="1"/>
  <c r="AE1224" i="32" s="1"/>
  <c r="AE1223" i="32"/>
  <c r="AA1223" i="32"/>
  <c r="AC1222" i="32"/>
  <c r="AB1222" i="32" s="1"/>
  <c r="AE1222" i="32" s="1"/>
  <c r="AB1221" i="32"/>
  <c r="AC1221" i="32" s="1"/>
  <c r="AB1220" i="32"/>
  <c r="AB1219" i="32"/>
  <c r="AE1219" i="32" s="1"/>
  <c r="AB1218" i="32"/>
  <c r="AC1217" i="32"/>
  <c r="AB1217" i="32" s="1"/>
  <c r="AB1216" i="32"/>
  <c r="AE1216" i="32" s="1"/>
  <c r="AB1215" i="32"/>
  <c r="AB1214" i="32"/>
  <c r="AE1214" i="32" s="1"/>
  <c r="AB1213" i="32"/>
  <c r="AB1212" i="32"/>
  <c r="AC1212" i="32" s="1"/>
  <c r="AB1211" i="32"/>
  <c r="AC1210" i="32"/>
  <c r="AB1210" i="32" s="1"/>
  <c r="AE1210" i="32" s="1"/>
  <c r="AE1209" i="32"/>
  <c r="AC1209" i="32"/>
  <c r="AB1209" i="32" s="1"/>
  <c r="AE1208" i="32"/>
  <c r="AC1208" i="32"/>
  <c r="AB1208" i="32" s="1"/>
  <c r="AE1207" i="32"/>
  <c r="AC1207" i="32"/>
  <c r="AA1207" i="32"/>
  <c r="AA1206" i="32"/>
  <c r="AE1206" i="32"/>
  <c r="AC1206" i="32"/>
  <c r="AA1204" i="32"/>
  <c r="AC1204" i="32"/>
  <c r="AB1204" i="32"/>
  <c r="AE1204" i="32" s="1"/>
  <c r="AB1203" i="32"/>
  <c r="AE1203" i="32" s="1"/>
  <c r="AB1202" i="32"/>
  <c r="AE1202" i="32" s="1"/>
  <c r="AB1201" i="32"/>
  <c r="AE1201" i="32" s="1"/>
  <c r="AB1200" i="32"/>
  <c r="AB1199" i="32"/>
  <c r="AB1198" i="32"/>
  <c r="AE1198" i="32" s="1"/>
  <c r="AB1197" i="32"/>
  <c r="AE1197" i="32" s="1"/>
  <c r="AE1196" i="32"/>
  <c r="AC1196" i="32"/>
  <c r="AA1196" i="32"/>
  <c r="AB1195" i="32"/>
  <c r="AA1194" i="32"/>
  <c r="AB1194" i="32" s="1"/>
  <c r="AB1193" i="32"/>
  <c r="AA1193" i="32"/>
  <c r="AB1192" i="32"/>
  <c r="AC1192" i="32" s="1"/>
  <c r="AB1191" i="32"/>
  <c r="AB1190" i="32"/>
  <c r="AB1189" i="32"/>
  <c r="AB1188" i="32"/>
  <c r="AE1188" i="32" s="1"/>
  <c r="AB1187" i="32"/>
  <c r="AC1187" i="32" s="1"/>
  <c r="AB1186" i="32"/>
  <c r="AA1185" i="32"/>
  <c r="AB1185" i="32" s="1"/>
  <c r="AB1184" i="32"/>
  <c r="AB1183" i="32"/>
  <c r="AC1183" i="32" s="1"/>
  <c r="AB1182" i="32"/>
  <c r="AB1181" i="32"/>
  <c r="AB1180" i="32"/>
  <c r="AB1179" i="32"/>
  <c r="AE1179" i="32" s="1"/>
  <c r="AB1178" i="32"/>
  <c r="AC1178" i="32" s="1"/>
  <c r="AB1177" i="32"/>
  <c r="AB1176" i="32"/>
  <c r="AB1175" i="32"/>
  <c r="AB1174" i="32"/>
  <c r="AB1173" i="32"/>
  <c r="AC1173" i="32" s="1"/>
  <c r="AB1172" i="32"/>
  <c r="AE1172" i="32" s="1"/>
  <c r="AB1171" i="32"/>
  <c r="AC1171" i="32" s="1"/>
  <c r="AA1170" i="32"/>
  <c r="AB1170" i="32" s="1"/>
  <c r="AB1169" i="32"/>
  <c r="AE1169" i="32" s="1"/>
  <c r="AB1168" i="32"/>
  <c r="AE1167" i="32"/>
  <c r="AC1167" i="32"/>
  <c r="AB1167" i="32" s="1"/>
  <c r="AC1166" i="32"/>
  <c r="AB1166" i="32" s="1"/>
  <c r="AE1166" i="32" s="1"/>
  <c r="AC1165" i="32"/>
  <c r="AB1165" i="32" s="1"/>
  <c r="AE1165" i="32" s="1"/>
  <c r="AB1164" i="32"/>
  <c r="AB1163" i="32"/>
  <c r="AB1162" i="32"/>
  <c r="AC1162" i="32" s="1"/>
  <c r="AC1160" i="32"/>
  <c r="AB1160" i="32" s="1"/>
  <c r="AB1159" i="32"/>
  <c r="AE1159" i="32" s="1"/>
  <c r="AB1158" i="32"/>
  <c r="AC1157" i="32"/>
  <c r="AB1157" i="32" s="1"/>
  <c r="AE1157" i="32" s="1"/>
  <c r="AB1156" i="32"/>
  <c r="AE1156" i="32" s="1"/>
  <c r="AB1155" i="32"/>
  <c r="AB1154" i="32"/>
  <c r="AC1154" i="32" s="1"/>
  <c r="AB1153" i="32"/>
  <c r="AB1152" i="32"/>
  <c r="AB1151" i="32"/>
  <c r="AE1151" i="32" s="1"/>
  <c r="AC1150" i="32"/>
  <c r="AB1150" i="32"/>
  <c r="AE1150" i="32" s="1"/>
  <c r="AB1149" i="32"/>
  <c r="AE1149" i="32" s="1"/>
  <c r="AE1148" i="32"/>
  <c r="AB1147" i="32"/>
  <c r="AB1146" i="32"/>
  <c r="AC1146" i="32" s="1"/>
  <c r="AB1145" i="32"/>
  <c r="AE1145" i="32" s="1"/>
  <c r="AE1144" i="32"/>
  <c r="AA1144" i="32"/>
  <c r="AB1143" i="32"/>
  <c r="AC1142" i="32"/>
  <c r="AB1142" i="32" s="1"/>
  <c r="AE1142" i="32" s="1"/>
  <c r="AC1141" i="32"/>
  <c r="AB1141" i="32" s="1"/>
  <c r="AE1141" i="32" s="1"/>
  <c r="AE1140" i="32"/>
  <c r="AA1140" i="32"/>
  <c r="AB1139" i="32"/>
  <c r="AC1139" i="32" s="1"/>
  <c r="AE1138" i="32"/>
  <c r="AE1137" i="32"/>
  <c r="AC1137" i="32"/>
  <c r="AB1137" i="32" s="1"/>
  <c r="AE1136" i="32"/>
  <c r="AA1135" i="32"/>
  <c r="AB1135" i="32" s="1"/>
  <c r="AB1134" i="32"/>
  <c r="AC1134" i="32" s="1"/>
  <c r="AB1133" i="32"/>
  <c r="AE1133" i="32" s="1"/>
  <c r="AB1132" i="32"/>
  <c r="AE1132" i="32" s="1"/>
  <c r="AB1131" i="32"/>
  <c r="AB1130" i="32"/>
  <c r="AC1130" i="32" s="1"/>
  <c r="AB1128" i="32"/>
  <c r="AE1128" i="32" s="1"/>
  <c r="AB1127" i="32"/>
  <c r="AC1127" i="32" s="1"/>
  <c r="AB1126" i="32"/>
  <c r="AB1125" i="32"/>
  <c r="AE1125" i="32" s="1"/>
  <c r="AB1124" i="32"/>
  <c r="AE1124" i="32" s="1"/>
  <c r="AB1123" i="32"/>
  <c r="AE1123" i="32" s="1"/>
  <c r="AB1122" i="32"/>
  <c r="AB1121" i="32"/>
  <c r="AE1121" i="32" s="1"/>
  <c r="AB1120" i="32"/>
  <c r="AC1120" i="32" s="1"/>
  <c r="AE1119" i="32"/>
  <c r="AB1118" i="32"/>
  <c r="AE1118" i="32" s="1"/>
  <c r="AB1117" i="32"/>
  <c r="AE1117" i="32" s="1"/>
  <c r="AE1116" i="32"/>
  <c r="AB1115" i="32"/>
  <c r="AC1115" i="32" s="1"/>
  <c r="AC1114" i="32"/>
  <c r="AB1114" i="32" s="1"/>
  <c r="AE1114" i="32" s="1"/>
  <c r="AB1113" i="32"/>
  <c r="AE1113" i="32" s="1"/>
  <c r="AB1112" i="32"/>
  <c r="AB1111" i="32"/>
  <c r="AC1111" i="32" s="1"/>
  <c r="AB1110" i="32"/>
  <c r="AB1109" i="32"/>
  <c r="AE1108" i="32"/>
  <c r="AE1107" i="32"/>
  <c r="AB1106" i="32"/>
  <c r="AE1106" i="32" s="1"/>
  <c r="AE1105" i="32"/>
  <c r="AC1105" i="32"/>
  <c r="AE1104" i="32"/>
  <c r="AC1104" i="32"/>
  <c r="AB1104" i="32" s="1"/>
  <c r="AA1104" i="32"/>
  <c r="AE1103" i="32"/>
  <c r="AC1103" i="32"/>
  <c r="AB1103" i="32" s="1"/>
  <c r="AA1103" i="32"/>
  <c r="AE1102" i="32"/>
  <c r="AC1102" i="32"/>
  <c r="AB1102" i="32" s="1"/>
  <c r="AA1102" i="32"/>
  <c r="AB1101" i="32"/>
  <c r="AE1101" i="32" s="1"/>
  <c r="AB1100" i="32"/>
  <c r="AC1100" i="32" s="1"/>
  <c r="AB1099" i="32"/>
  <c r="AE1099" i="32" s="1"/>
  <c r="AB1098" i="32"/>
  <c r="AE1097" i="32"/>
  <c r="AA1097" i="32"/>
  <c r="AE1096" i="32"/>
  <c r="AA1096" i="32"/>
  <c r="AB1095" i="32"/>
  <c r="AE1095" i="32" s="1"/>
  <c r="AB1094" i="32"/>
  <c r="AB1093" i="32"/>
  <c r="AC1093" i="32" s="1"/>
  <c r="AB1092" i="32"/>
  <c r="AE1092" i="32" s="1"/>
  <c r="AB1091" i="32"/>
  <c r="AB1090" i="32"/>
  <c r="AE1090" i="32" s="1"/>
  <c r="AA1089" i="32"/>
  <c r="AB1089" i="32" s="1"/>
  <c r="AC1089" i="32" s="1"/>
  <c r="AB1088" i="32"/>
  <c r="AE1087" i="32"/>
  <c r="AB1086" i="32"/>
  <c r="AE1086" i="32" s="1"/>
  <c r="AA1085" i="32"/>
  <c r="AB1085" i="32" s="1"/>
  <c r="AA1084" i="32"/>
  <c r="AB1084" i="32" s="1"/>
  <c r="AB1083" i="32"/>
  <c r="AC1083" i="32" s="1"/>
  <c r="AB1082" i="32"/>
  <c r="AE1082" i="32" s="1"/>
  <c r="AB1081" i="32"/>
  <c r="AB1080" i="32"/>
  <c r="AC1080" i="32" s="1"/>
  <c r="AB1079" i="32"/>
  <c r="AC1079" i="32" s="1"/>
  <c r="AB1078" i="32"/>
  <c r="AE1078" i="32" s="1"/>
  <c r="AA1078" i="32"/>
  <c r="AA1129" i="32" s="1"/>
  <c r="AB1077" i="32"/>
  <c r="AE1077" i="32" s="1"/>
  <c r="AB1076" i="32"/>
  <c r="AE1076" i="32" s="1"/>
  <c r="AB1075" i="32"/>
  <c r="AB1074" i="32"/>
  <c r="AE1074" i="32" s="1"/>
  <c r="AB1073" i="32"/>
  <c r="AC1073" i="32" s="1"/>
  <c r="AA1072" i="32"/>
  <c r="AB1071" i="32"/>
  <c r="AE1071" i="32" s="1"/>
  <c r="AB1070" i="32"/>
  <c r="AE1070" i="32" s="1"/>
  <c r="AB1069" i="32"/>
  <c r="AE1069" i="32" s="1"/>
  <c r="AB1068" i="32"/>
  <c r="AE1068" i="32" s="1"/>
  <c r="AB1067" i="32"/>
  <c r="AE1067" i="32" s="1"/>
  <c r="AC1066" i="32"/>
  <c r="AB1066" i="32" s="1"/>
  <c r="AE1066" i="32" s="1"/>
  <c r="AB1065" i="32"/>
  <c r="AC1065" i="32" s="1"/>
  <c r="AB1064" i="32"/>
  <c r="AE1064" i="32" s="1"/>
  <c r="AE1063" i="32"/>
  <c r="AB1063" i="32"/>
  <c r="AC1063" i="32" s="1"/>
  <c r="AE1062" i="32"/>
  <c r="AE1061" i="32"/>
  <c r="AE1060" i="32"/>
  <c r="AB1059" i="32"/>
  <c r="AE1059" i="32" s="1"/>
  <c r="AB1058" i="32"/>
  <c r="AE1058" i="32" s="1"/>
  <c r="AE1057" i="32"/>
  <c r="AB1056" i="32"/>
  <c r="AC1056" i="32" s="1"/>
  <c r="AB1055" i="32"/>
  <c r="AA1054" i="32"/>
  <c r="AB1054" i="32" s="1"/>
  <c r="AE1054" i="32" s="1"/>
  <c r="AB1053" i="32"/>
  <c r="AE1053" i="32" s="1"/>
  <c r="AC1052" i="32"/>
  <c r="AB1052" i="32" s="1"/>
  <c r="AE1052" i="32" s="1"/>
  <c r="AB1051" i="32"/>
  <c r="AA1051" i="32" s="1"/>
  <c r="AB1050" i="32"/>
  <c r="AE1050" i="32" s="1"/>
  <c r="AB1049" i="32"/>
  <c r="AB1048" i="32"/>
  <c r="AC1048" i="32" s="1"/>
  <c r="AA1047" i="32"/>
  <c r="AE1047" i="32"/>
  <c r="AC1047" i="32"/>
  <c r="AB1046" i="32"/>
  <c r="AB1045" i="32"/>
  <c r="AC1045" i="32" s="1"/>
  <c r="AA1045" i="32"/>
  <c r="AC1044" i="32"/>
  <c r="AB1044" i="32" s="1"/>
  <c r="AE1044" i="32" s="1"/>
  <c r="AB1043" i="32"/>
  <c r="AE1043" i="32" s="1"/>
  <c r="AB1042" i="32"/>
  <c r="AE1042" i="32" s="1"/>
  <c r="AB1041" i="32"/>
  <c r="AB1040" i="32"/>
  <c r="AE2444" i="32" s="1"/>
  <c r="AB1039" i="32"/>
  <c r="AE1039" i="32" s="1"/>
  <c r="AB1038" i="32"/>
  <c r="AB1037" i="32"/>
  <c r="AE1037" i="32" s="1"/>
  <c r="AB1036" i="32"/>
  <c r="AC1036" i="32" s="1"/>
  <c r="AB1035" i="32"/>
  <c r="AB1034" i="32"/>
  <c r="AC1034" i="32" s="1"/>
  <c r="AE1033" i="32"/>
  <c r="AB1032" i="32"/>
  <c r="AC1032" i="32" s="1"/>
  <c r="AB1031" i="32"/>
  <c r="AE1031" i="32" s="1"/>
  <c r="AC1030" i="32"/>
  <c r="AB1030" i="32" s="1"/>
  <c r="AE1030" i="32" s="1"/>
  <c r="AE1029" i="32"/>
  <c r="AE1028" i="32"/>
  <c r="AB1027" i="32"/>
  <c r="AC1027" i="32" s="1"/>
  <c r="AC1026" i="32"/>
  <c r="AB1026" i="32" s="1"/>
  <c r="AE1026" i="32" s="1"/>
  <c r="AC1025" i="32"/>
  <c r="AB1025" i="32" s="1"/>
  <c r="AB1024" i="32"/>
  <c r="AE1024" i="32" s="1"/>
  <c r="AB1023" i="32"/>
  <c r="AC1022" i="32"/>
  <c r="AB1022" i="32" s="1"/>
  <c r="AE1022" i="32" s="1"/>
  <c r="AA1021" i="32"/>
  <c r="AB1020" i="32"/>
  <c r="AC1020" i="32" s="1"/>
  <c r="AC1019" i="32"/>
  <c r="AB1019" i="32" s="1"/>
  <c r="AB1018" i="32"/>
  <c r="AC1018" i="32" s="1"/>
  <c r="AB1017" i="32"/>
  <c r="AC1017" i="32" s="1"/>
  <c r="AB1016" i="32"/>
  <c r="AE1016" i="32" s="1"/>
  <c r="AB1015" i="32"/>
  <c r="AB1014" i="32"/>
  <c r="AC1014" i="32" s="1"/>
  <c r="AB1013" i="32"/>
  <c r="AE1013" i="32" s="1"/>
  <c r="AA1012" i="32"/>
  <c r="AB1011" i="32"/>
  <c r="AC1011" i="32" s="1"/>
  <c r="AB1010" i="32"/>
  <c r="AE1009" i="32"/>
  <c r="AB1008" i="32"/>
  <c r="AB1007" i="32"/>
  <c r="AC1007" i="32" s="1"/>
  <c r="AB1006" i="32"/>
  <c r="AC1006" i="32" s="1"/>
  <c r="AB1005" i="32"/>
  <c r="AC1004" i="32"/>
  <c r="AB1004" i="32" s="1"/>
  <c r="AE1004" i="32" s="1"/>
  <c r="AB1003" i="32"/>
  <c r="AE1002" i="32"/>
  <c r="AB1001" i="32"/>
  <c r="AE1001" i="32" s="1"/>
  <c r="AB1000" i="32"/>
  <c r="AC1000" i="32" s="1"/>
  <c r="AB999" i="32"/>
  <c r="AE999" i="32" s="1"/>
  <c r="AA998" i="32"/>
  <c r="AB998" i="32" s="1"/>
  <c r="AB997" i="32"/>
  <c r="AE997" i="32" s="1"/>
  <c r="AB996" i="32"/>
  <c r="AB995" i="32"/>
  <c r="AE995" i="32" s="1"/>
  <c r="AB994" i="32"/>
  <c r="AC994" i="32" s="1"/>
  <c r="AE993" i="32"/>
  <c r="AE992" i="32"/>
  <c r="AB991" i="32"/>
  <c r="AE991" i="32" s="1"/>
  <c r="AA991" i="32"/>
  <c r="AB990" i="32"/>
  <c r="AB989" i="32"/>
  <c r="AE989" i="32" s="1"/>
  <c r="AB988" i="32"/>
  <c r="AE988" i="32" s="1"/>
  <c r="AB987" i="32"/>
  <c r="AB986" i="32"/>
  <c r="AE986" i="32" s="1"/>
  <c r="AC985" i="32"/>
  <c r="AB985" i="32" s="1"/>
  <c r="AE985" i="32" s="1"/>
  <c r="AC984" i="32"/>
  <c r="AB984" i="32" s="1"/>
  <c r="AE984" i="32" s="1"/>
  <c r="AC983" i="32"/>
  <c r="AB983" i="32" s="1"/>
  <c r="AE983" i="32" s="1"/>
  <c r="AB982" i="32"/>
  <c r="AC982" i="32" s="1"/>
  <c r="AE981" i="32"/>
  <c r="AB980" i="32"/>
  <c r="AB979" i="32"/>
  <c r="AB978" i="32"/>
  <c r="AC978" i="32" s="1"/>
  <c r="AB977" i="32"/>
  <c r="AE977" i="32" s="1"/>
  <c r="AB976" i="32"/>
  <c r="AB975" i="32"/>
  <c r="AC975" i="32" s="1"/>
  <c r="AC974" i="32"/>
  <c r="AB974" i="32" s="1"/>
  <c r="AC973" i="32"/>
  <c r="AB973" i="32" s="1"/>
  <c r="AE973" i="32" s="1"/>
  <c r="AB972" i="32"/>
  <c r="AE972" i="32" s="1"/>
  <c r="AB971" i="32"/>
  <c r="AE971" i="32" s="1"/>
  <c r="AE970" i="32"/>
  <c r="AA970" i="32"/>
  <c r="I970" i="32"/>
  <c r="J970" i="32" s="1"/>
  <c r="AE969" i="32"/>
  <c r="AB969" i="32"/>
  <c r="AC969" i="32" s="1"/>
  <c r="AB968" i="32"/>
  <c r="AE968" i="32" s="1"/>
  <c r="AC967" i="32"/>
  <c r="AB967" i="32" s="1"/>
  <c r="AE967" i="32" s="1"/>
  <c r="AB966" i="32"/>
  <c r="AE966" i="32" s="1"/>
  <c r="AE965" i="32"/>
  <c r="AC965" i="32"/>
  <c r="AB965" i="32" s="1"/>
  <c r="AA965" i="32"/>
  <c r="AB964" i="32"/>
  <c r="AC964" i="32" s="1"/>
  <c r="AE963" i="32"/>
  <c r="AE962" i="32"/>
  <c r="AC961" i="32"/>
  <c r="AB961" i="32" s="1"/>
  <c r="AB960" i="32"/>
  <c r="AE960" i="32" s="1"/>
  <c r="AB959" i="32"/>
  <c r="AC959" i="32" s="1"/>
  <c r="AB958" i="32"/>
  <c r="AE958" i="32" s="1"/>
  <c r="AB957" i="32"/>
  <c r="AD956" i="32"/>
  <c r="AE956" i="32" s="1"/>
  <c r="AA956" i="32"/>
  <c r="AB955" i="32"/>
  <c r="AB954" i="32"/>
  <c r="AA954" i="32"/>
  <c r="AA953" i="32"/>
  <c r="AB953" i="32" s="1"/>
  <c r="AB952" i="32"/>
  <c r="AC952" i="32" s="1"/>
  <c r="AE951" i="32"/>
  <c r="AC951" i="32"/>
  <c r="AB951" i="32" s="1"/>
  <c r="AC950" i="32"/>
  <c r="AB950" i="32" s="1"/>
  <c r="AE950" i="32" s="1"/>
  <c r="AC949" i="32"/>
  <c r="AB949" i="32" s="1"/>
  <c r="AE949" i="32" s="1"/>
  <c r="AE948" i="32"/>
  <c r="AC948" i="32"/>
  <c r="AA948" i="32"/>
  <c r="AE947" i="32"/>
  <c r="AC947" i="32"/>
  <c r="AB946" i="32"/>
  <c r="AE946" i="32"/>
  <c r="AE945" i="32"/>
  <c r="AE944" i="32"/>
  <c r="AC944" i="32"/>
  <c r="AB944" i="32" s="1"/>
  <c r="AE943" i="32"/>
  <c r="AB942" i="32"/>
  <c r="AE942" i="32" s="1"/>
  <c r="AB941" i="32"/>
  <c r="AB940" i="32"/>
  <c r="AE940" i="32" s="1"/>
  <c r="AE939" i="32"/>
  <c r="AC939" i="32"/>
  <c r="AB939" i="32" s="1"/>
  <c r="AB938" i="32"/>
  <c r="AC938" i="32" s="1"/>
  <c r="AC937" i="32"/>
  <c r="AB937" i="32" s="1"/>
  <c r="AE937" i="32" s="1"/>
  <c r="AB936" i="32"/>
  <c r="AE935" i="32"/>
  <c r="AD934" i="32"/>
  <c r="AE934" i="32" s="1"/>
  <c r="AC934" i="32"/>
  <c r="AB934" i="32" s="1"/>
  <c r="AB933" i="32"/>
  <c r="AE933" i="32" s="1"/>
  <c r="AB932" i="32"/>
  <c r="AE932" i="32" s="1"/>
  <c r="AA931" i="32"/>
  <c r="AB931" i="32" s="1"/>
  <c r="AE931" i="32" s="1"/>
  <c r="AE930" i="32"/>
  <c r="AB929" i="32"/>
  <c r="AE929" i="32" s="1"/>
  <c r="AB928" i="32"/>
  <c r="AC927" i="32"/>
  <c r="AB927" i="32" s="1"/>
  <c r="AE927" i="32" s="1"/>
  <c r="AB926" i="32"/>
  <c r="AE926" i="32" s="1"/>
  <c r="AC925" i="32"/>
  <c r="AB925" i="32" s="1"/>
  <c r="AE925" i="32" s="1"/>
  <c r="AB924" i="32"/>
  <c r="AE924" i="32" s="1"/>
  <c r="AA923" i="32"/>
  <c r="AB923" i="32" s="1"/>
  <c r="AB922" i="32"/>
  <c r="AE922" i="32" s="1"/>
  <c r="AB921" i="32"/>
  <c r="AE920" i="32"/>
  <c r="AB919" i="32"/>
  <c r="AC918" i="32"/>
  <c r="AB918" i="32" s="1"/>
  <c r="AB917" i="32"/>
  <c r="AE917" i="32" s="1"/>
  <c r="AB916" i="32"/>
  <c r="AB915" i="32"/>
  <c r="AE915" i="32" s="1"/>
  <c r="AB914" i="32"/>
  <c r="AB913" i="32"/>
  <c r="AE913" i="32" s="1"/>
  <c r="AA913" i="32"/>
  <c r="AB912" i="32"/>
  <c r="AA910" i="32"/>
  <c r="AA911" i="32" s="1"/>
  <c r="AB911" i="32" s="1"/>
  <c r="AB909" i="32"/>
  <c r="AB908" i="32"/>
  <c r="AB907" i="32"/>
  <c r="AE906" i="32"/>
  <c r="AB905" i="32"/>
  <c r="AE905" i="32" s="1"/>
  <c r="AC905" i="32"/>
  <c r="AB904" i="32"/>
  <c r="AE904" i="32" s="1"/>
  <c r="AC903" i="32"/>
  <c r="AB903" i="32" s="1"/>
  <c r="AE903" i="32" s="1"/>
  <c r="AE902" i="32"/>
  <c r="AB901" i="32"/>
  <c r="AE901" i="32" s="1"/>
  <c r="AA900" i="32"/>
  <c r="AB899" i="32"/>
  <c r="AE899" i="32" s="1"/>
  <c r="AB898" i="32"/>
  <c r="AB897" i="32"/>
  <c r="AE897" i="32" s="1"/>
  <c r="AB896" i="32"/>
  <c r="AB895" i="32"/>
  <c r="AB894" i="32"/>
  <c r="AB893" i="32"/>
  <c r="AB892" i="32"/>
  <c r="AE892" i="32" s="1"/>
  <c r="AB891" i="32"/>
  <c r="AE890" i="32"/>
  <c r="AE889" i="32"/>
  <c r="AE888" i="32"/>
  <c r="AB887" i="32"/>
  <c r="AE887" i="32" s="1"/>
  <c r="AB886" i="32"/>
  <c r="AC885" i="32"/>
  <c r="AB885" i="32" s="1"/>
  <c r="AB884" i="32"/>
  <c r="AB883" i="32"/>
  <c r="AE883" i="32" s="1"/>
  <c r="AB882" i="32"/>
  <c r="AA881" i="32"/>
  <c r="AB881" i="32" s="1"/>
  <c r="AB880" i="32"/>
  <c r="AE880" i="32" s="1"/>
  <c r="AA879" i="32"/>
  <c r="AB878" i="32"/>
  <c r="AE878" i="32" s="1"/>
  <c r="AB877" i="32"/>
  <c r="AE876" i="32"/>
  <c r="AB876" i="32"/>
  <c r="AC876" i="32" s="1"/>
  <c r="AE875" i="32"/>
  <c r="AE874" i="32"/>
  <c r="AC874" i="32"/>
  <c r="AB873" i="32"/>
  <c r="AE873" i="32" s="1"/>
  <c r="J873" i="32"/>
  <c r="AB872" i="32"/>
  <c r="J872" i="32"/>
  <c r="AB871" i="32"/>
  <c r="AE871" i="32" s="1"/>
  <c r="AC870" i="32"/>
  <c r="AB870" i="32" s="1"/>
  <c r="AE870" i="32" s="1"/>
  <c r="AB869" i="32"/>
  <c r="AE869" i="32" s="1"/>
  <c r="AE868" i="32"/>
  <c r="AB867" i="32"/>
  <c r="AE867" i="32" s="1"/>
  <c r="AB866" i="32"/>
  <c r="AB865" i="32"/>
  <c r="AB864" i="32"/>
  <c r="AE864" i="32" s="1"/>
  <c r="AB863" i="32"/>
  <c r="AE862" i="32"/>
  <c r="AC862" i="32"/>
  <c r="AB862" i="32" s="1"/>
  <c r="AB861" i="32"/>
  <c r="AE860" i="32"/>
  <c r="AB860" i="32"/>
  <c r="AB859" i="32"/>
  <c r="AB858" i="32"/>
  <c r="AE857" i="32"/>
  <c r="AE856" i="32"/>
  <c r="AC856" i="32"/>
  <c r="AB856" i="32" s="1"/>
  <c r="AC855" i="32"/>
  <c r="AB855" i="32" s="1"/>
  <c r="AB854" i="32"/>
  <c r="AB853" i="32"/>
  <c r="AE853" i="32" s="1"/>
  <c r="AE852" i="32"/>
  <c r="AA851" i="32"/>
  <c r="AC851" i="32"/>
  <c r="AB851" i="32" s="1"/>
  <c r="AE851" i="32" s="1"/>
  <c r="AB850" i="32"/>
  <c r="AC850" i="32" s="1"/>
  <c r="AB849" i="32"/>
  <c r="AE848" i="32"/>
  <c r="AE847" i="32"/>
  <c r="AC846" i="32"/>
  <c r="AB846" i="32" s="1"/>
  <c r="AE846" i="32" s="1"/>
  <c r="AB845" i="32"/>
  <c r="AE845" i="32" s="1"/>
  <c r="AB844" i="32"/>
  <c r="AE844" i="32" s="1"/>
  <c r="AB843" i="32"/>
  <c r="AA843" i="32" s="1"/>
  <c r="AB842" i="32"/>
  <c r="AE842" i="32" s="1"/>
  <c r="AB841" i="32"/>
  <c r="AE841" i="32" s="1"/>
  <c r="AA841" i="32"/>
  <c r="AB840" i="32"/>
  <c r="AB839" i="32"/>
  <c r="AE839" i="32" s="1"/>
  <c r="AB838" i="32"/>
  <c r="AC838" i="32" s="1"/>
  <c r="AB837" i="32"/>
  <c r="AE836" i="32"/>
  <c r="AB836" i="32"/>
  <c r="AB835" i="32"/>
  <c r="AE834" i="32"/>
  <c r="AB833" i="32"/>
  <c r="AE833" i="32" s="1"/>
  <c r="AB832" i="32"/>
  <c r="AC831" i="32"/>
  <c r="AB831" i="32" s="1"/>
  <c r="AB830" i="32"/>
  <c r="AE830" i="32" s="1"/>
  <c r="AB829" i="32"/>
  <c r="AE829" i="32" s="1"/>
  <c r="AC828" i="32"/>
  <c r="AB828" i="32" s="1"/>
  <c r="AE828" i="32" s="1"/>
  <c r="AB827" i="32"/>
  <c r="AC826" i="32"/>
  <c r="AB826" i="32" s="1"/>
  <c r="AE826" i="32" s="1"/>
  <c r="AB825" i="32"/>
  <c r="AB824" i="32"/>
  <c r="AC824" i="32" s="1"/>
  <c r="AB823" i="32"/>
  <c r="AB822" i="32"/>
  <c r="AE822" i="32" s="1"/>
  <c r="AB821" i="32"/>
  <c r="AB820" i="32"/>
  <c r="AE820" i="32" s="1"/>
  <c r="AB819" i="32"/>
  <c r="AB818" i="32"/>
  <c r="AB817" i="32"/>
  <c r="AE817" i="32" s="1"/>
  <c r="AB816" i="32"/>
  <c r="AE815" i="32"/>
  <c r="AC814" i="32"/>
  <c r="AB814" i="32" s="1"/>
  <c r="AE814" i="32" s="1"/>
  <c r="AB813" i="32"/>
  <c r="AE813" i="32" s="1"/>
  <c r="AB812" i="32"/>
  <c r="AB811" i="32"/>
  <c r="AB810" i="32"/>
  <c r="AE810" i="32" s="1"/>
  <c r="AA809" i="32"/>
  <c r="AE808" i="32"/>
  <c r="AB807" i="32"/>
  <c r="AC806" i="32"/>
  <c r="AB806" i="32" s="1"/>
  <c r="AE806" i="32" s="1"/>
  <c r="AB805" i="32"/>
  <c r="AC804" i="32"/>
  <c r="AB804" i="32" s="1"/>
  <c r="AE804" i="32" s="1"/>
  <c r="AE803" i="32"/>
  <c r="AE802" i="32"/>
  <c r="AE801" i="32"/>
  <c r="AB800" i="32"/>
  <c r="AE800" i="32" s="1"/>
  <c r="AB799" i="32"/>
  <c r="AC798" i="32"/>
  <c r="AB798" i="32"/>
  <c r="AE798" i="32" s="1"/>
  <c r="AA798" i="32"/>
  <c r="AB797" i="32"/>
  <c r="AB796" i="32"/>
  <c r="AE796" i="32" s="1"/>
  <c r="AB795" i="32"/>
  <c r="AB794" i="32"/>
  <c r="AE794" i="32" s="1"/>
  <c r="AC793" i="32"/>
  <c r="AB793" i="32" s="1"/>
  <c r="AE793" i="32" s="1"/>
  <c r="AE792" i="32"/>
  <c r="AC792" i="32"/>
  <c r="AB792" i="32" s="1"/>
  <c r="AE791" i="32"/>
  <c r="AE790" i="32"/>
  <c r="AB789" i="32"/>
  <c r="AE789" i="32" s="1"/>
  <c r="AE788" i="32"/>
  <c r="AE787" i="32"/>
  <c r="AB786" i="32"/>
  <c r="AE786" i="32" s="1"/>
  <c r="AC785" i="32"/>
  <c r="AC2287" i="32" s="1"/>
  <c r="AB2287" i="32" s="1"/>
  <c r="AE784" i="32"/>
  <c r="AE783" i="32"/>
  <c r="AE782" i="32"/>
  <c r="AE781" i="32"/>
  <c r="AE780" i="32"/>
  <c r="AE779" i="32"/>
  <c r="AB778" i="32"/>
  <c r="AE777" i="32"/>
  <c r="AC776" i="32"/>
  <c r="AB776" i="32" s="1"/>
  <c r="AE776" i="32" s="1"/>
  <c r="AB775" i="32"/>
  <c r="AE775" i="32" s="1"/>
  <c r="AE774" i="32"/>
  <c r="AC774" i="32"/>
  <c r="AB774" i="32" s="1"/>
  <c r="AE773" i="32"/>
  <c r="AC773" i="32"/>
  <c r="AB773" i="32" s="1"/>
  <c r="AB772" i="32"/>
  <c r="AC772" i="32" s="1"/>
  <c r="AB771" i="32"/>
  <c r="AB770" i="32"/>
  <c r="AB769" i="32"/>
  <c r="AE768" i="32"/>
  <c r="AE767" i="32"/>
  <c r="AB766" i="32"/>
  <c r="AB765" i="32"/>
  <c r="AC765" i="32" s="1"/>
  <c r="AB764" i="32"/>
  <c r="AB763" i="32"/>
  <c r="AE763" i="32" s="1"/>
  <c r="AB762" i="32"/>
  <c r="AA762" i="32"/>
  <c r="AA761" i="32"/>
  <c r="AB761" i="32" s="1"/>
  <c r="AB760" i="32"/>
  <c r="AB759" i="32"/>
  <c r="AE759" i="32" s="1"/>
  <c r="AB758" i="32"/>
  <c r="AC758" i="32" s="1"/>
  <c r="AB756" i="32"/>
  <c r="AC756" i="32" s="1"/>
  <c r="AB755" i="32"/>
  <c r="AB754" i="32"/>
  <c r="AB753" i="32"/>
  <c r="AE753" i="32" s="1"/>
  <c r="AB752" i="32"/>
  <c r="AB751" i="32"/>
  <c r="AE751" i="32" s="1"/>
  <c r="AE750" i="32"/>
  <c r="AC750" i="32"/>
  <c r="AB750" i="32" s="1"/>
  <c r="AE749" i="32"/>
  <c r="AE748" i="32"/>
  <c r="AC747" i="32"/>
  <c r="AB747" i="32" s="1"/>
  <c r="AE747" i="32" s="1"/>
  <c r="AB746" i="32"/>
  <c r="AC746" i="32" s="1"/>
  <c r="AB745" i="32"/>
  <c r="AB744" i="32"/>
  <c r="AE744" i="32" s="1"/>
  <c r="AB743" i="32"/>
  <c r="AB742" i="32"/>
  <c r="AE742" i="32" s="1"/>
  <c r="AB741" i="32"/>
  <c r="AE741" i="32" s="1"/>
  <c r="AB740" i="32"/>
  <c r="AB739" i="32"/>
  <c r="AC739" i="32" s="1"/>
  <c r="AB738" i="32"/>
  <c r="AB737" i="32"/>
  <c r="AE737" i="32" s="1"/>
  <c r="AB736" i="32"/>
  <c r="AE736" i="32" s="1"/>
  <c r="AB735" i="32"/>
  <c r="AE735" i="32" s="1"/>
  <c r="AB734" i="32"/>
  <c r="AE734" i="32" s="1"/>
  <c r="AB733" i="32"/>
  <c r="AB732" i="32"/>
  <c r="AC732" i="32" s="1"/>
  <c r="AB731" i="32"/>
  <c r="AB730" i="32"/>
  <c r="AE730" i="32" s="1"/>
  <c r="AB729" i="32"/>
  <c r="AB728" i="32"/>
  <c r="AE728" i="32" s="1"/>
  <c r="AB727" i="32"/>
  <c r="AC727" i="32" s="1"/>
  <c r="AB726" i="32"/>
  <c r="AB725" i="32"/>
  <c r="AE725" i="32" s="1"/>
  <c r="AB724" i="32"/>
  <c r="AB723" i="32"/>
  <c r="AE723" i="32" s="1"/>
  <c r="AB722" i="32"/>
  <c r="AB721" i="32"/>
  <c r="AE720" i="32"/>
  <c r="AB719" i="32"/>
  <c r="AE718" i="32"/>
  <c r="AB717" i="32"/>
  <c r="AC716" i="32"/>
  <c r="AB716" i="32" s="1"/>
  <c r="AE716" i="32" s="1"/>
  <c r="AE715" i="32"/>
  <c r="AB715" i="32"/>
  <c r="AE714" i="32"/>
  <c r="AC713" i="32"/>
  <c r="AB713" i="32" s="1"/>
  <c r="AE713" i="32" s="1"/>
  <c r="AB712" i="32"/>
  <c r="AC711" i="32"/>
  <c r="AB711" i="32" s="1"/>
  <c r="AB710" i="32"/>
  <c r="AA710" i="32"/>
  <c r="AB709" i="32"/>
  <c r="AE709" i="32" s="1"/>
  <c r="AB708" i="32"/>
  <c r="AE707" i="32"/>
  <c r="I707" i="32"/>
  <c r="J707" i="32" s="1"/>
  <c r="AB706" i="32"/>
  <c r="AC706" i="32" s="1"/>
  <c r="AC705" i="32"/>
  <c r="AB705" i="32" s="1"/>
  <c r="AE705" i="32" s="1"/>
  <c r="AE704" i="32"/>
  <c r="AB704" i="32"/>
  <c r="AA704" i="32"/>
  <c r="AB703" i="32"/>
  <c r="AC702" i="32"/>
  <c r="AA702" i="32"/>
  <c r="AB701" i="32"/>
  <c r="AE701" i="32" s="1"/>
  <c r="AB700" i="32"/>
  <c r="AE700" i="32" s="1"/>
  <c r="AB699" i="32"/>
  <c r="AB698" i="32"/>
  <c r="AE698" i="32" s="1"/>
  <c r="AB697" i="32"/>
  <c r="AC697" i="32" s="1"/>
  <c r="AB696" i="32"/>
  <c r="AE695" i="32"/>
  <c r="AC694" i="32"/>
  <c r="AB694" i="32" s="1"/>
  <c r="AE694" i="32" s="1"/>
  <c r="AC693" i="32"/>
  <c r="AB693" i="32" s="1"/>
  <c r="AA693" i="32" s="1"/>
  <c r="AC692" i="32"/>
  <c r="AB692" i="32"/>
  <c r="AE692" i="32" s="1"/>
  <c r="AB691" i="32"/>
  <c r="AE691" i="32" s="1"/>
  <c r="AB690" i="32"/>
  <c r="AE690" i="32"/>
  <c r="AA690" i="32"/>
  <c r="AC689" i="32"/>
  <c r="AB689" i="32" s="1"/>
  <c r="AE689" i="32" s="1"/>
  <c r="AA689" i="32"/>
  <c r="AB688" i="32"/>
  <c r="AB687" i="32"/>
  <c r="AE687" i="32"/>
  <c r="AA687" i="32"/>
  <c r="AE686" i="32"/>
  <c r="AB685" i="32"/>
  <c r="AE685" i="32" s="1"/>
  <c r="AB684" i="32"/>
  <c r="AE684" i="32" s="1"/>
  <c r="AB683" i="32"/>
  <c r="AE682" i="32"/>
  <c r="AB681" i="32"/>
  <c r="AE681" i="32" s="1"/>
  <c r="AB680" i="32"/>
  <c r="AB679" i="32"/>
  <c r="AE679" i="32" s="1"/>
  <c r="AB678" i="32"/>
  <c r="AB677" i="32"/>
  <c r="AC677" i="32" s="1"/>
  <c r="AA676" i="32"/>
  <c r="AE676" i="32"/>
  <c r="AC676" i="32"/>
  <c r="AB675" i="32"/>
  <c r="AE675" i="32" s="1"/>
  <c r="AA675" i="32"/>
  <c r="AB674" i="32"/>
  <c r="AC674" i="32" s="1"/>
  <c r="AB673" i="32"/>
  <c r="AB672" i="32"/>
  <c r="AC672" i="32" s="1"/>
  <c r="AB671" i="32"/>
  <c r="AA671" i="32"/>
  <c r="AB670" i="32"/>
  <c r="AC670" i="32" s="1"/>
  <c r="AC669" i="32"/>
  <c r="AB669" i="32" s="1"/>
  <c r="AE669" i="32" s="1"/>
  <c r="AC668" i="32"/>
  <c r="AB668" i="32" s="1"/>
  <c r="AE668" i="32" s="1"/>
  <c r="AC667" i="32"/>
  <c r="AB667" i="32" s="1"/>
  <c r="AE667" i="32" s="1"/>
  <c r="J667" i="32"/>
  <c r="AC666" i="32"/>
  <c r="AB666" i="32" s="1"/>
  <c r="AC665" i="32"/>
  <c r="AB665" i="32" s="1"/>
  <c r="AE665" i="32" s="1"/>
  <c r="AB664" i="32"/>
  <c r="AE664" i="32" s="1"/>
  <c r="AE663" i="32"/>
  <c r="AB662" i="32"/>
  <c r="AB661" i="32"/>
  <c r="AE661" i="32" s="1"/>
  <c r="AB660" i="32"/>
  <c r="AE660" i="32" s="1"/>
  <c r="AB659" i="32"/>
  <c r="AB658" i="32"/>
  <c r="AE658" i="32" s="1"/>
  <c r="AE657" i="32"/>
  <c r="J657" i="32"/>
  <c r="AB656" i="32"/>
  <c r="AE656" i="32" s="1"/>
  <c r="AB655" i="32"/>
  <c r="AB654" i="32"/>
  <c r="AE654" i="32" s="1"/>
  <c r="AE652" i="32"/>
  <c r="AE651" i="32"/>
  <c r="AC650" i="32"/>
  <c r="AB650" i="32" s="1"/>
  <c r="AB649" i="32"/>
  <c r="AE649" i="32" s="1"/>
  <c r="AC648" i="32"/>
  <c r="AB648" i="32" s="1"/>
  <c r="AE648" i="32" s="1"/>
  <c r="AB647" i="32"/>
  <c r="AE647" i="32" s="1"/>
  <c r="AB646" i="32"/>
  <c r="AC646" i="32" s="1"/>
  <c r="AA645" i="32"/>
  <c r="AB644" i="32"/>
  <c r="AE644" i="32" s="1"/>
  <c r="AB643" i="32"/>
  <c r="AB642" i="32"/>
  <c r="AC642" i="32" s="1"/>
  <c r="AB641" i="32"/>
  <c r="AE640" i="32"/>
  <c r="AE639" i="32"/>
  <c r="AB638" i="32"/>
  <c r="AB637" i="32"/>
  <c r="AE637" i="32" s="1"/>
  <c r="AB636" i="32"/>
  <c r="AC636" i="32" s="1"/>
  <c r="AB635" i="32"/>
  <c r="AE635" i="32" s="1"/>
  <c r="AB634" i="32"/>
  <c r="AE633" i="32"/>
  <c r="AC633" i="32"/>
  <c r="AA633" i="32"/>
  <c r="AE632" i="32"/>
  <c r="J632" i="32"/>
  <c r="AB631" i="32"/>
  <c r="AB630" i="32"/>
  <c r="AE630" i="32" s="1"/>
  <c r="AB629" i="32"/>
  <c r="AC629" i="32" s="1"/>
  <c r="AB628" i="32"/>
  <c r="AE628" i="32" s="1"/>
  <c r="AC626" i="32"/>
  <c r="AB626" i="32" s="1"/>
  <c r="AE626" i="32" s="1"/>
  <c r="AB625" i="32"/>
  <c r="AC625" i="32" s="1"/>
  <c r="AB624" i="32"/>
  <c r="AA623" i="32"/>
  <c r="AE623" i="32"/>
  <c r="AC623" i="32"/>
  <c r="AE622" i="32"/>
  <c r="AE621" i="32"/>
  <c r="AE620" i="32"/>
  <c r="AC619" i="32"/>
  <c r="AB619" i="32"/>
  <c r="AE619" i="32" s="1"/>
  <c r="AB618" i="32"/>
  <c r="AE618" i="32" s="1"/>
  <c r="AE617" i="32"/>
  <c r="AE616" i="32"/>
  <c r="AB615" i="32"/>
  <c r="AE615" i="32" s="1"/>
  <c r="AB614" i="32"/>
  <c r="AE613" i="32"/>
  <c r="AB612" i="32"/>
  <c r="AE612" i="32" s="1"/>
  <c r="AC611" i="32"/>
  <c r="AB611" i="32" s="1"/>
  <c r="AE610" i="32"/>
  <c r="AC610" i="32"/>
  <c r="AB609" i="32"/>
  <c r="AE609" i="32" s="1"/>
  <c r="AC608" i="32"/>
  <c r="AB608" i="32"/>
  <c r="AE608" i="32" s="1"/>
  <c r="AA608" i="32"/>
  <c r="AB607" i="32"/>
  <c r="AC606" i="32"/>
  <c r="AB606" i="32"/>
  <c r="AE606" i="32" s="1"/>
  <c r="AE605" i="32"/>
  <c r="AB604" i="32"/>
  <c r="AB603" i="32"/>
  <c r="AC603" i="32" s="1"/>
  <c r="AB602" i="32"/>
  <c r="AC602" i="32" s="1"/>
  <c r="AB601" i="32"/>
  <c r="AE601" i="32" s="1"/>
  <c r="AB600" i="32"/>
  <c r="AE599" i="32"/>
  <c r="AC599" i="32"/>
  <c r="AB599" i="32" s="1"/>
  <c r="AA599" i="32"/>
  <c r="AE598" i="32"/>
  <c r="AB597" i="32"/>
  <c r="AE596" i="32"/>
  <c r="AC596" i="32"/>
  <c r="AB596" i="32" s="1"/>
  <c r="AA596" i="32"/>
  <c r="AE595" i="32"/>
  <c r="AC595" i="32"/>
  <c r="AB595" i="32" s="1"/>
  <c r="AC594" i="32"/>
  <c r="AB594" i="32" s="1"/>
  <c r="AE594" i="32" s="1"/>
  <c r="AB593" i="32"/>
  <c r="AB592" i="32"/>
  <c r="AE592" i="32" s="1"/>
  <c r="AE591" i="32"/>
  <c r="AE590" i="32"/>
  <c r="J590" i="32"/>
  <c r="AE589" i="32"/>
  <c r="J589" i="32"/>
  <c r="AB588" i="32"/>
  <c r="AC588" i="32" s="1"/>
  <c r="AA588" i="32"/>
  <c r="AE587" i="32"/>
  <c r="J587" i="32"/>
  <c r="AB586" i="32"/>
  <c r="AB585" i="32"/>
  <c r="AC585" i="32" s="1"/>
  <c r="AE584" i="32"/>
  <c r="AE583" i="32"/>
  <c r="AB582" i="32"/>
  <c r="AE582" i="32" s="1"/>
  <c r="AB581" i="32"/>
  <c r="AC581" i="32" s="1"/>
  <c r="AB580" i="32"/>
  <c r="AE580" i="32" s="1"/>
  <c r="AA579" i="32"/>
  <c r="AE579" i="32"/>
  <c r="AC579" i="32"/>
  <c r="J579" i="32"/>
  <c r="AE578" i="32"/>
  <c r="AC578" i="32"/>
  <c r="AA578" i="32"/>
  <c r="J578" i="32"/>
  <c r="AC576" i="32"/>
  <c r="AB576" i="32" s="1"/>
  <c r="AE576" i="32" s="1"/>
  <c r="AB575" i="32"/>
  <c r="AE575" i="32" s="1"/>
  <c r="AB574" i="32"/>
  <c r="AC574" i="32" s="1"/>
  <c r="AE573" i="32"/>
  <c r="AB572" i="32"/>
  <c r="AE572" i="32" s="1"/>
  <c r="AE571" i="32"/>
  <c r="AE570" i="32"/>
  <c r="AA570" i="32"/>
  <c r="I570" i="32"/>
  <c r="J570" i="32" s="1"/>
  <c r="AE569" i="32"/>
  <c r="AA569" i="32"/>
  <c r="I569" i="32"/>
  <c r="J569" i="32" s="1"/>
  <c r="AE568" i="32"/>
  <c r="AA568" i="32"/>
  <c r="I568" i="32"/>
  <c r="J568" i="32" s="1"/>
  <c r="AE567" i="32"/>
  <c r="AA567" i="32"/>
  <c r="I567" i="32"/>
  <c r="J567" i="32" s="1"/>
  <c r="AB566" i="32"/>
  <c r="AE566" i="32" s="1"/>
  <c r="AB565" i="32"/>
  <c r="AE565" i="32" s="1"/>
  <c r="AA565" i="32"/>
  <c r="AC564" i="32"/>
  <c r="AB564" i="32" s="1"/>
  <c r="AB563" i="32"/>
  <c r="AE563" i="32" s="1"/>
  <c r="AB562" i="32"/>
  <c r="AE562" i="32" s="1"/>
  <c r="AB561" i="32"/>
  <c r="AE561" i="32"/>
  <c r="AA561" i="32"/>
  <c r="AE560" i="32"/>
  <c r="AC560" i="32"/>
  <c r="AB559" i="32"/>
  <c r="AB558" i="32"/>
  <c r="AE558" i="32" s="1"/>
  <c r="AB557" i="32"/>
  <c r="AE557" i="32" s="1"/>
  <c r="AB556" i="32"/>
  <c r="AE556" i="32" s="1"/>
  <c r="AB555" i="32"/>
  <c r="AE555" i="32" s="1"/>
  <c r="AB554" i="32"/>
  <c r="AC554" i="32" s="1"/>
  <c r="AB553" i="32"/>
  <c r="AB552" i="32"/>
  <c r="AE552" i="32" s="1"/>
  <c r="AB551" i="32"/>
  <c r="AC551" i="32" s="1"/>
  <c r="AB550" i="32"/>
  <c r="AE550" i="32" s="1"/>
  <c r="AB549" i="32"/>
  <c r="AB548" i="32"/>
  <c r="AA548" i="32" s="1"/>
  <c r="AB547" i="32"/>
  <c r="AE547" i="32" s="1"/>
  <c r="AB545" i="32"/>
  <c r="AE545" i="32" s="1"/>
  <c r="AC544" i="32"/>
  <c r="AB544" i="32" s="1"/>
  <c r="AB543" i="32"/>
  <c r="AB542" i="32"/>
  <c r="AC542" i="32" s="1"/>
  <c r="AB541" i="32"/>
  <c r="AE541" i="32" s="1"/>
  <c r="AB540" i="32"/>
  <c r="AB539" i="32"/>
  <c r="AE539" i="32" s="1"/>
  <c r="AB538" i="32"/>
  <c r="AE538" i="32" s="1"/>
  <c r="AB537" i="32"/>
  <c r="AC537" i="32" s="1"/>
  <c r="AB536" i="32"/>
  <c r="AC536" i="32" s="1"/>
  <c r="AB535" i="32"/>
  <c r="J535" i="32"/>
  <c r="AB534" i="32"/>
  <c r="AE534" i="32" s="1"/>
  <c r="AC533" i="32"/>
  <c r="AB533" i="32" s="1"/>
  <c r="AE533" i="32" s="1"/>
  <c r="AE532" i="32"/>
  <c r="AB532" i="32"/>
  <c r="AA532" i="32"/>
  <c r="AB531" i="32"/>
  <c r="AB530" i="32"/>
  <c r="AB529" i="32"/>
  <c r="AC529" i="32" s="1"/>
  <c r="AB528" i="32"/>
  <c r="AB527" i="32"/>
  <c r="AB526" i="32"/>
  <c r="AE526" i="32" s="1"/>
  <c r="AE525" i="32"/>
  <c r="AB524" i="32"/>
  <c r="AB523" i="32"/>
  <c r="AE523" i="32" s="1"/>
  <c r="AB522" i="32"/>
  <c r="AE522" i="32" s="1"/>
  <c r="AB521" i="32"/>
  <c r="AC521" i="32" s="1"/>
  <c r="AB520" i="32"/>
  <c r="AE520" i="32" s="1"/>
  <c r="AB519" i="32"/>
  <c r="AA519" i="32"/>
  <c r="AB518" i="32"/>
  <c r="AC518" i="32" s="1"/>
  <c r="AB517" i="32"/>
  <c r="AB516" i="32"/>
  <c r="AE516" i="32" s="1"/>
  <c r="AB515" i="32"/>
  <c r="AA514" i="32"/>
  <c r="AE514" i="32"/>
  <c r="AC514" i="32"/>
  <c r="AB513" i="32"/>
  <c r="AB512" i="32"/>
  <c r="AB511" i="32"/>
  <c r="AE511" i="32" s="1"/>
  <c r="AB510" i="32"/>
  <c r="AB509" i="32"/>
  <c r="AE509" i="32" s="1"/>
  <c r="AB508" i="32"/>
  <c r="AE507" i="32"/>
  <c r="AC507" i="32"/>
  <c r="AA507" i="32"/>
  <c r="AB506" i="32"/>
  <c r="AE506" i="32" s="1"/>
  <c r="AC506" i="32"/>
  <c r="AB505" i="32"/>
  <c r="AE505" i="32" s="1"/>
  <c r="AA504" i="32"/>
  <c r="AB504" i="32" s="1"/>
  <c r="AE504" i="32" s="1"/>
  <c r="AC503" i="32"/>
  <c r="AB503" i="32" s="1"/>
  <c r="AE503" i="32" s="1"/>
  <c r="AE502" i="32"/>
  <c r="AC502" i="32"/>
  <c r="AB501" i="32"/>
  <c r="AE500" i="32"/>
  <c r="AC500" i="32"/>
  <c r="AA500" i="32"/>
  <c r="AB499" i="32"/>
  <c r="AC499" i="32" s="1"/>
  <c r="AB498" i="32"/>
  <c r="AC498" i="32" s="1"/>
  <c r="AB497" i="32"/>
  <c r="AE497" i="32" s="1"/>
  <c r="AB496" i="32"/>
  <c r="AB495" i="32"/>
  <c r="AE495" i="32" s="1"/>
  <c r="AB494" i="32"/>
  <c r="AB493" i="32"/>
  <c r="AB492" i="32"/>
  <c r="AE492" i="32" s="1"/>
  <c r="AB491" i="32"/>
  <c r="AB490" i="32"/>
  <c r="AE490" i="32" s="1"/>
  <c r="AB489" i="32"/>
  <c r="AE489" i="32" s="1"/>
  <c r="AB488" i="32"/>
  <c r="AC488" i="32" s="1"/>
  <c r="AB487" i="32"/>
  <c r="AB486" i="32"/>
  <c r="AE486" i="32" s="1"/>
  <c r="AB485" i="32"/>
  <c r="AC484" i="32"/>
  <c r="AB484" i="32" s="1"/>
  <c r="AE484" i="32" s="1"/>
  <c r="AB483" i="32"/>
  <c r="AE483" i="32" s="1"/>
  <c r="AB482" i="32"/>
  <c r="AE481" i="32"/>
  <c r="AC480" i="32"/>
  <c r="AB480" i="32" s="1"/>
  <c r="AE480" i="32" s="1"/>
  <c r="AC479" i="32"/>
  <c r="AB479" i="32"/>
  <c r="AE479" i="32" s="1"/>
  <c r="AB478" i="32"/>
  <c r="AE477" i="32"/>
  <c r="AB476" i="32"/>
  <c r="AE476" i="32" s="1"/>
  <c r="AB475" i="32"/>
  <c r="AB474" i="32"/>
  <c r="AC474" i="32" s="1"/>
  <c r="AE473" i="32"/>
  <c r="AE472" i="32"/>
  <c r="AE471" i="32"/>
  <c r="AB471" i="32"/>
  <c r="AE470" i="32"/>
  <c r="AB469" i="32"/>
  <c r="AE469" i="32"/>
  <c r="AC469" i="32"/>
  <c r="AE468" i="32"/>
  <c r="AA467" i="32"/>
  <c r="AB467" i="32" s="1"/>
  <c r="AB466" i="32"/>
  <c r="AE466" i="32" s="1"/>
  <c r="AB465" i="32"/>
  <c r="AE464" i="32"/>
  <c r="AB463" i="32"/>
  <c r="AE463" i="32" s="1"/>
  <c r="AB462" i="32"/>
  <c r="AB461" i="32"/>
  <c r="AE461" i="32" s="1"/>
  <c r="AB460" i="32"/>
  <c r="AB459" i="32"/>
  <c r="AB458" i="32"/>
  <c r="AE458" i="32" s="1"/>
  <c r="AB457" i="32"/>
  <c r="AB456" i="32"/>
  <c r="AE456" i="32" s="1"/>
  <c r="AE455" i="32"/>
  <c r="AB454" i="32"/>
  <c r="AB453" i="32"/>
  <c r="AE453" i="32" s="1"/>
  <c r="AB452" i="32"/>
  <c r="AB451" i="32"/>
  <c r="AE451" i="32" s="1"/>
  <c r="AE450" i="32"/>
  <c r="AE449" i="32"/>
  <c r="AB449" i="32"/>
  <c r="AE448" i="32"/>
  <c r="AD448" i="32"/>
  <c r="AC448" i="32"/>
  <c r="AB448" i="32" s="1"/>
  <c r="AB447" i="32"/>
  <c r="AB446" i="32"/>
  <c r="AB445" i="32"/>
  <c r="AB444" i="32"/>
  <c r="AE444" i="32" s="1"/>
  <c r="AB443" i="32"/>
  <c r="AC442" i="32"/>
  <c r="AB442" i="32" s="1"/>
  <c r="AB441" i="32"/>
  <c r="AB440" i="32"/>
  <c r="AE440" i="32" s="1"/>
  <c r="AC439" i="32"/>
  <c r="AB439" i="32" s="1"/>
  <c r="AE439" i="32" s="1"/>
  <c r="AB438" i="32"/>
  <c r="AB437" i="32"/>
  <c r="AE437" i="32" s="1"/>
  <c r="AC436" i="32"/>
  <c r="AB436" i="32" s="1"/>
  <c r="AE436" i="32" s="1"/>
  <c r="AB435" i="32"/>
  <c r="AE435" i="32" s="1"/>
  <c r="AB434" i="32"/>
  <c r="AC433" i="32"/>
  <c r="AB433" i="32" s="1"/>
  <c r="AE433" i="32" s="1"/>
  <c r="AB432" i="32"/>
  <c r="AB431" i="32"/>
  <c r="AB430" i="32"/>
  <c r="AC430" i="32" s="1"/>
  <c r="AB429" i="32"/>
  <c r="AE428" i="32"/>
  <c r="AB427" i="32"/>
  <c r="AB426" i="32"/>
  <c r="AE426" i="32" s="1"/>
  <c r="AB425" i="32"/>
  <c r="AB424" i="32"/>
  <c r="AC423" i="32"/>
  <c r="AB423" i="32" s="1"/>
  <c r="AE423" i="32" s="1"/>
  <c r="AB422" i="32"/>
  <c r="AB421" i="32"/>
  <c r="AE421" i="32" s="1"/>
  <c r="AB420" i="32"/>
  <c r="AE419" i="32"/>
  <c r="AE418" i="32"/>
  <c r="AE417" i="32"/>
  <c r="AB416" i="32"/>
  <c r="AE416" i="32" s="1"/>
  <c r="AB415" i="32"/>
  <c r="AB414" i="32"/>
  <c r="AB413" i="32"/>
  <c r="AC412" i="32"/>
  <c r="AB412" i="32" s="1"/>
  <c r="AB411" i="32"/>
  <c r="AE411" i="32" s="1"/>
  <c r="AB410" i="32"/>
  <c r="AE410" i="32" s="1"/>
  <c r="AE409" i="32"/>
  <c r="AE408" i="32"/>
  <c r="AA407" i="32"/>
  <c r="AE407" i="32"/>
  <c r="AC407" i="32"/>
  <c r="AE406" i="32"/>
  <c r="AE405" i="32"/>
  <c r="AE404" i="32"/>
  <c r="AE403" i="32"/>
  <c r="AE402" i="32"/>
  <c r="AA401" i="32"/>
  <c r="AE401" i="32"/>
  <c r="AC401" i="32"/>
  <c r="AE400" i="32"/>
  <c r="AC400" i="32"/>
  <c r="AA400" i="32"/>
  <c r="AC399" i="32"/>
  <c r="AB399" i="32"/>
  <c r="AE399" i="32" s="1"/>
  <c r="AB398" i="32"/>
  <c r="AC398" i="32" s="1"/>
  <c r="AB397" i="32"/>
  <c r="AB396" i="32"/>
  <c r="AE396" i="32" s="1"/>
  <c r="AB395" i="32"/>
  <c r="AB394" i="32"/>
  <c r="AB393" i="32"/>
  <c r="AB392" i="32"/>
  <c r="AB391" i="32"/>
  <c r="AE391" i="32" s="1"/>
  <c r="AB390" i="32"/>
  <c r="AB389" i="32"/>
  <c r="AC389" i="32" s="1"/>
  <c r="AB388" i="32"/>
  <c r="AB387" i="32"/>
  <c r="AC386" i="32"/>
  <c r="AB386" i="32" s="1"/>
  <c r="AE386" i="32" s="1"/>
  <c r="AE385" i="32"/>
  <c r="AC385" i="32"/>
  <c r="AB385" i="32" s="1"/>
  <c r="AB384" i="32"/>
  <c r="AE384" i="32" s="1"/>
  <c r="AB383" i="32"/>
  <c r="AE383" i="32" s="1"/>
  <c r="AB382" i="32"/>
  <c r="AC382" i="32" s="1"/>
  <c r="AB381" i="32"/>
  <c r="AE380" i="32"/>
  <c r="AE379" i="32"/>
  <c r="AE378" i="32"/>
  <c r="AE377" i="32"/>
  <c r="AB377" i="32"/>
  <c r="AC377" i="32" s="1"/>
  <c r="AE376" i="32"/>
  <c r="AC376" i="32"/>
  <c r="AE375" i="32"/>
  <c r="AC375" i="32"/>
  <c r="AE374" i="32"/>
  <c r="AE373" i="32"/>
  <c r="AB372" i="32"/>
  <c r="AB371" i="32"/>
  <c r="AE371" i="32" s="1"/>
  <c r="AB370" i="32"/>
  <c r="AB369" i="32"/>
  <c r="AE369" i="32" s="1"/>
  <c r="AA368" i="32"/>
  <c r="AE368" i="32"/>
  <c r="AC368" i="32"/>
  <c r="AE367" i="32"/>
  <c r="AB366" i="32"/>
  <c r="AE366" i="32" s="1"/>
  <c r="AB365" i="32"/>
  <c r="AE365" i="32" s="1"/>
  <c r="AB364" i="32"/>
  <c r="AC364" i="32" s="1"/>
  <c r="AB363" i="32"/>
  <c r="AB362" i="32"/>
  <c r="AE362" i="32" s="1"/>
  <c r="AE361" i="32"/>
  <c r="AE360" i="32"/>
  <c r="AE359" i="32"/>
  <c r="AC359" i="32"/>
  <c r="AA359" i="32"/>
  <c r="AB358" i="32"/>
  <c r="AB357" i="32"/>
  <c r="AE356" i="32"/>
  <c r="AC356" i="32"/>
  <c r="AA356" i="32"/>
  <c r="AA355" i="32"/>
  <c r="AE355" i="32"/>
  <c r="AC355" i="32"/>
  <c r="AB354" i="32"/>
  <c r="AE354" i="32" s="1"/>
  <c r="AB353" i="32"/>
  <c r="AE353" i="32" s="1"/>
  <c r="AB352" i="32"/>
  <c r="AC352" i="32" s="1"/>
  <c r="AB351" i="32"/>
  <c r="AE350" i="32"/>
  <c r="AC350" i="32"/>
  <c r="AA350" i="32"/>
  <c r="AB349" i="32"/>
  <c r="AB348" i="32"/>
  <c r="AA347" i="32"/>
  <c r="AE347" i="32"/>
  <c r="AC347" i="32"/>
  <c r="AA346" i="32"/>
  <c r="AE346" i="32"/>
  <c r="AC346" i="32"/>
  <c r="AB345" i="32"/>
  <c r="AE345" i="32" s="1"/>
  <c r="AB344" i="32"/>
  <c r="AE343" i="32"/>
  <c r="AE342" i="32"/>
  <c r="AC342" i="32"/>
  <c r="AA342" i="32"/>
  <c r="AB341" i="32"/>
  <c r="AE340" i="32"/>
  <c r="AC340" i="32"/>
  <c r="AA340" i="32"/>
  <c r="AE339" i="32"/>
  <c r="AC339" i="32"/>
  <c r="AA339" i="32"/>
  <c r="AB338" i="32"/>
  <c r="AC338" i="32" s="1"/>
  <c r="AA337" i="32"/>
  <c r="AE337" i="32"/>
  <c r="AC337" i="32"/>
  <c r="AE336" i="32"/>
  <c r="AE335" i="32"/>
  <c r="AB334" i="32"/>
  <c r="AB333" i="32"/>
  <c r="AE333" i="32" s="1"/>
  <c r="AA332" i="32"/>
  <c r="AE332" i="32"/>
  <c r="AC332" i="32"/>
  <c r="AB331" i="32"/>
  <c r="AB330" i="32"/>
  <c r="AE330" i="32" s="1"/>
  <c r="AB329" i="32"/>
  <c r="AB328" i="32"/>
  <c r="AE328" i="32" s="1"/>
  <c r="AE327" i="32"/>
  <c r="AE326" i="32"/>
  <c r="AC326" i="32"/>
  <c r="AA326" i="32"/>
  <c r="AA325" i="32"/>
  <c r="AE325" i="32"/>
  <c r="AC325" i="32"/>
  <c r="AA324" i="32"/>
  <c r="AE324" i="32"/>
  <c r="AC324" i="32"/>
  <c r="AB323" i="32"/>
  <c r="AE322" i="32"/>
  <c r="AE321" i="32"/>
  <c r="AB320" i="32"/>
  <c r="AE320" i="32" s="1"/>
  <c r="AB319" i="32"/>
  <c r="AE318" i="32"/>
  <c r="AC318" i="32"/>
  <c r="AA318" i="32"/>
  <c r="AB317" i="32"/>
  <c r="AE317" i="32" s="1"/>
  <c r="AE316" i="32"/>
  <c r="AE315" i="32"/>
  <c r="AE314" i="32"/>
  <c r="AB313" i="32"/>
  <c r="AE313" i="32" s="1"/>
  <c r="AA312" i="32"/>
  <c r="AE312" i="32"/>
  <c r="AC312" i="32"/>
  <c r="AB311" i="32"/>
  <c r="AB310" i="32"/>
  <c r="AE310" i="32" s="1"/>
  <c r="AB309" i="32"/>
  <c r="AB308" i="32"/>
  <c r="AE308" i="32" s="1"/>
  <c r="AE307" i="32"/>
  <c r="AC307" i="32"/>
  <c r="AA307" i="32"/>
  <c r="AE306" i="32"/>
  <c r="AB305" i="32"/>
  <c r="AE304" i="32"/>
  <c r="AB303" i="32"/>
  <c r="AE303" i="32" s="1"/>
  <c r="AA302" i="32"/>
  <c r="AE302" i="32"/>
  <c r="AC302" i="32"/>
  <c r="AB301" i="32"/>
  <c r="AE301" i="32" s="1"/>
  <c r="AB300" i="32"/>
  <c r="AB299" i="32"/>
  <c r="AB298" i="32"/>
  <c r="AE298" i="32" s="1"/>
  <c r="AB297" i="32"/>
  <c r="AB296" i="32"/>
  <c r="AE296" i="32" s="1"/>
  <c r="AB295" i="32"/>
  <c r="AE295" i="32" s="1"/>
  <c r="AE294" i="32"/>
  <c r="AC294" i="32"/>
  <c r="AA294" i="32"/>
  <c r="AC293" i="32"/>
  <c r="AB293" i="32" s="1"/>
  <c r="AE293" i="32" s="1"/>
  <c r="AB292" i="32"/>
  <c r="AE292" i="32" s="1"/>
  <c r="AB291" i="32"/>
  <c r="AB290" i="32"/>
  <c r="AC289" i="32"/>
  <c r="AB289" i="32" s="1"/>
  <c r="AE289" i="32" s="1"/>
  <c r="AB288" i="32"/>
  <c r="AB287" i="32"/>
  <c r="AA286" i="32"/>
  <c r="AE286" i="32"/>
  <c r="AC286" i="32"/>
  <c r="AB285" i="32"/>
  <c r="AE285" i="32" s="1"/>
  <c r="AB284" i="32"/>
  <c r="AB283" i="32"/>
  <c r="AE283" i="32" s="1"/>
  <c r="AE282" i="32"/>
  <c r="AB281" i="32"/>
  <c r="AB280" i="32"/>
  <c r="AE280" i="32" s="1"/>
  <c r="AB279" i="32"/>
  <c r="AE279" i="32" s="1"/>
  <c r="AB278" i="32"/>
  <c r="AC278" i="32" s="1"/>
  <c r="AB277" i="32"/>
  <c r="AB276" i="32"/>
  <c r="AE276" i="32" s="1"/>
  <c r="AB275" i="32"/>
  <c r="AB274" i="32"/>
  <c r="AB273" i="32"/>
  <c r="AB272" i="32"/>
  <c r="AC271" i="32"/>
  <c r="AB271" i="32" s="1"/>
  <c r="AB270" i="32"/>
  <c r="AE270" i="32" s="1"/>
  <c r="AB269" i="32"/>
  <c r="AC269" i="32" s="1"/>
  <c r="AB268" i="32"/>
  <c r="AB267" i="32"/>
  <c r="AE267" i="32" s="1"/>
  <c r="AB266" i="32"/>
  <c r="AB265" i="32"/>
  <c r="AB264" i="32"/>
  <c r="AE263" i="32"/>
  <c r="AE262" i="32"/>
  <c r="AE261" i="32"/>
  <c r="AB260" i="32"/>
  <c r="AE260" i="32" s="1"/>
  <c r="AB259" i="32"/>
  <c r="AC259" i="32" s="1"/>
  <c r="AE258" i="32"/>
  <c r="AE257" i="32"/>
  <c r="AE256" i="32"/>
  <c r="AB255" i="32"/>
  <c r="AB254" i="32"/>
  <c r="AB253" i="32"/>
  <c r="AE253" i="32" s="1"/>
  <c r="AB252" i="32"/>
  <c r="AB251" i="32"/>
  <c r="AE251" i="32" s="1"/>
  <c r="AB250" i="32"/>
  <c r="AE250" i="32" s="1"/>
  <c r="AB249" i="32"/>
  <c r="AC249" i="32" s="1"/>
  <c r="AB248" i="32"/>
  <c r="AB247" i="32"/>
  <c r="AE247" i="32" s="1"/>
  <c r="AB246" i="32"/>
  <c r="AA245" i="32"/>
  <c r="AB244" i="32"/>
  <c r="AE244" i="32" s="1"/>
  <c r="AE243" i="32"/>
  <c r="AC243" i="32"/>
  <c r="AB243" i="32" s="1"/>
  <c r="AB242" i="32"/>
  <c r="AE242" i="32" s="1"/>
  <c r="AB241" i="32"/>
  <c r="AE241" i="32" s="1"/>
  <c r="AB240" i="32"/>
  <c r="AC240" i="32" s="1"/>
  <c r="AB239" i="32"/>
  <c r="AE238" i="32"/>
  <c r="AB237" i="32"/>
  <c r="AA236" i="32"/>
  <c r="AE236" i="32"/>
  <c r="AC236" i="32"/>
  <c r="AB235" i="32"/>
  <c r="AE235" i="32" s="1"/>
  <c r="AB234" i="32"/>
  <c r="AE233" i="32"/>
  <c r="AC233" i="32"/>
  <c r="AA233" i="32"/>
  <c r="AE232" i="32"/>
  <c r="AC232" i="32"/>
  <c r="AB231" i="32"/>
  <c r="AB230" i="32"/>
  <c r="AC230" i="32" s="1"/>
  <c r="AE229" i="32"/>
  <c r="AC229" i="32"/>
  <c r="AB228" i="32"/>
  <c r="AE228" i="32" s="1"/>
  <c r="AE227" i="32"/>
  <c r="AE226" i="32"/>
  <c r="AC225" i="32"/>
  <c r="AB225" i="32" s="1"/>
  <c r="AB224" i="32"/>
  <c r="AB223" i="32"/>
  <c r="AE223" i="32" s="1"/>
  <c r="AE222" i="32"/>
  <c r="AB221" i="32"/>
  <c r="AE220" i="32"/>
  <c r="AC220" i="32"/>
  <c r="AA220" i="32"/>
  <c r="AB219" i="32"/>
  <c r="AE218" i="32"/>
  <c r="AC218" i="32"/>
  <c r="AA218" i="32"/>
  <c r="AE217" i="32"/>
  <c r="AE216" i="32"/>
  <c r="AB215" i="32"/>
  <c r="AB214" i="32"/>
  <c r="AE213" i="32"/>
  <c r="AA212" i="32"/>
  <c r="AE212" i="32"/>
  <c r="AC212" i="32"/>
  <c r="AB211" i="32"/>
  <c r="AB210" i="32"/>
  <c r="AC210" i="32" s="1"/>
  <c r="AB209" i="32"/>
  <c r="AB208" i="32"/>
  <c r="AE208" i="32" s="1"/>
  <c r="AE207" i="32"/>
  <c r="AB206" i="32"/>
  <c r="AE206" i="32" s="1"/>
  <c r="AB205" i="32"/>
  <c r="AB204" i="32"/>
  <c r="AE204" i="32" s="1"/>
  <c r="AC203" i="32"/>
  <c r="AB203" i="32" s="1"/>
  <c r="AE203" i="32" s="1"/>
  <c r="AC202" i="32"/>
  <c r="AB202" i="32" s="1"/>
  <c r="AE202" i="32" s="1"/>
  <c r="AC201" i="32"/>
  <c r="AB201" i="32" s="1"/>
  <c r="AE201" i="32" s="1"/>
  <c r="AA200" i="32"/>
  <c r="AE200" i="32"/>
  <c r="AC200" i="32"/>
  <c r="AB199" i="32"/>
  <c r="AE199" i="32" s="1"/>
  <c r="AB198" i="32"/>
  <c r="AE198" i="32" s="1"/>
  <c r="AB197" i="32"/>
  <c r="AC197" i="32" s="1"/>
  <c r="AB196" i="32"/>
  <c r="AB195" i="32"/>
  <c r="AE195" i="32" s="1"/>
  <c r="AB194" i="32"/>
  <c r="AB193" i="32"/>
  <c r="AA192" i="32"/>
  <c r="AE192" i="32"/>
  <c r="AC192" i="32"/>
  <c r="AB191" i="32"/>
  <c r="AB190" i="32"/>
  <c r="AE190" i="32" s="1"/>
  <c r="AA189" i="32"/>
  <c r="AE189" i="32"/>
  <c r="AC189" i="32"/>
  <c r="AE188" i="32"/>
  <c r="AC188" i="32"/>
  <c r="AA188" i="32"/>
  <c r="AE187" i="32"/>
  <c r="AB186" i="32"/>
  <c r="AE185" i="32"/>
  <c r="AC185" i="32"/>
  <c r="AA185" i="32"/>
  <c r="AB184" i="32"/>
  <c r="AE184" i="32" s="1"/>
  <c r="AB183" i="32"/>
  <c r="AC183" i="32" s="1"/>
  <c r="AB182" i="32"/>
  <c r="AB181" i="32"/>
  <c r="AE181" i="32" s="1"/>
  <c r="AA180" i="32"/>
  <c r="AE180" i="32"/>
  <c r="AC180" i="32"/>
  <c r="AB179" i="32"/>
  <c r="AB178" i="32"/>
  <c r="AA177" i="32"/>
  <c r="AE177" i="32"/>
  <c r="AC177" i="32"/>
  <c r="AB176" i="32"/>
  <c r="AE176" i="32" s="1"/>
  <c r="AB175" i="32"/>
  <c r="AE174" i="32"/>
  <c r="AC174" i="32"/>
  <c r="AA174" i="32"/>
  <c r="AA173" i="32"/>
  <c r="AE173" i="32"/>
  <c r="AC173" i="32"/>
  <c r="AB172" i="32"/>
  <c r="AE171" i="32"/>
  <c r="AC171" i="32"/>
  <c r="AA171" i="32"/>
  <c r="AA170" i="32"/>
  <c r="AE170" i="32"/>
  <c r="AC170" i="32"/>
  <c r="AB169" i="32"/>
  <c r="AE169" i="32" s="1"/>
  <c r="AB168" i="32"/>
  <c r="AE168" i="32" s="1"/>
  <c r="AB167" i="32"/>
  <c r="AC167" i="32" s="1"/>
  <c r="AB166" i="32"/>
  <c r="AB165" i="32"/>
  <c r="AE165" i="32" s="1"/>
  <c r="AB164" i="32"/>
  <c r="AB163" i="32"/>
  <c r="AA162" i="32"/>
  <c r="AE162" i="32"/>
  <c r="AC162" i="32"/>
  <c r="AA161" i="32"/>
  <c r="AE161" i="32"/>
  <c r="AC161" i="32"/>
  <c r="AE160" i="32"/>
  <c r="AB159" i="32"/>
  <c r="AB158" i="32"/>
  <c r="AB157" i="32"/>
  <c r="AE157" i="32" s="1"/>
  <c r="AA156" i="32"/>
  <c r="AE156" i="32"/>
  <c r="AC156" i="32"/>
  <c r="AB155" i="32"/>
  <c r="AE155" i="32" s="1"/>
  <c r="AB154" i="32"/>
  <c r="AE154" i="32" s="1"/>
  <c r="AE153" i="32"/>
  <c r="AC153" i="32"/>
  <c r="AA153" i="32"/>
  <c r="AA152" i="32"/>
  <c r="AE152" i="32"/>
  <c r="AC152" i="32"/>
  <c r="AB151" i="32"/>
  <c r="AE151" i="32" s="1"/>
  <c r="AB150" i="32"/>
  <c r="AB149" i="32"/>
  <c r="AB148" i="32"/>
  <c r="AE147" i="32"/>
  <c r="AE146" i="32"/>
  <c r="AC146" i="32"/>
  <c r="AA146" i="32"/>
  <c r="AB145" i="32"/>
  <c r="AB144" i="32"/>
  <c r="AE143" i="32"/>
  <c r="AC143" i="32"/>
  <c r="AA143" i="32"/>
  <c r="AB142" i="32"/>
  <c r="AB141" i="32"/>
  <c r="AE141" i="32" s="1"/>
  <c r="AB140" i="32"/>
  <c r="AE140" i="32" s="1"/>
  <c r="AB139" i="32"/>
  <c r="AC139" i="32" s="1"/>
  <c r="AB138" i="32"/>
  <c r="AE137" i="32"/>
  <c r="AC137" i="32"/>
  <c r="AA137" i="32"/>
  <c r="AE136" i="32"/>
  <c r="AB135" i="32"/>
  <c r="AB134" i="32"/>
  <c r="AE134" i="32" s="1"/>
  <c r="AB133" i="32"/>
  <c r="AE132" i="32"/>
  <c r="AC132" i="32"/>
  <c r="AA132" i="32"/>
  <c r="AB131" i="32"/>
  <c r="AB130" i="32"/>
  <c r="AB129" i="32"/>
  <c r="AC129" i="32" s="1"/>
  <c r="AB128" i="32"/>
  <c r="AC127" i="32"/>
  <c r="AB127" i="32" s="1"/>
  <c r="AB126" i="32"/>
  <c r="AE125" i="32"/>
  <c r="AA124" i="32"/>
  <c r="AE124" i="32"/>
  <c r="AC124" i="32"/>
  <c r="AB123" i="32"/>
  <c r="AB122" i="32"/>
  <c r="AE122" i="32" s="1"/>
  <c r="AE121" i="32"/>
  <c r="AE120" i="32"/>
  <c r="AA119" i="32"/>
  <c r="AE119" i="32"/>
  <c r="AC119" i="32"/>
  <c r="AB118" i="32"/>
  <c r="AA117" i="32"/>
  <c r="AE117" i="32"/>
  <c r="AC117" i="32"/>
  <c r="AB116" i="32"/>
  <c r="AB115" i="32"/>
  <c r="AE115" i="32" s="1"/>
  <c r="AB114" i="32"/>
  <c r="AE113" i="32"/>
  <c r="AC113" i="32"/>
  <c r="AA113" i="32"/>
  <c r="AB112" i="32"/>
  <c r="AB111" i="32"/>
  <c r="AB110" i="32"/>
  <c r="AC110" i="32" s="1"/>
  <c r="AA109" i="32"/>
  <c r="AE109" i="32"/>
  <c r="AC109" i="32"/>
  <c r="AE108" i="32"/>
  <c r="AC108" i="32"/>
  <c r="AA108" i="32"/>
  <c r="AE107" i="32"/>
  <c r="AC107" i="32"/>
  <c r="AA107" i="32"/>
  <c r="AB106" i="32"/>
  <c r="AC106" i="32" s="1"/>
  <c r="AB105" i="32"/>
  <c r="AB104" i="32"/>
  <c r="AE104" i="32" s="1"/>
  <c r="AB103" i="32"/>
  <c r="AB102" i="32"/>
  <c r="AB101" i="32"/>
  <c r="AE100" i="32"/>
  <c r="AB99" i="32"/>
  <c r="AE99" i="32" s="1"/>
  <c r="AA98" i="32"/>
  <c r="AE98" i="32"/>
  <c r="AC98" i="32"/>
  <c r="AA97" i="32"/>
  <c r="AE97" i="32"/>
  <c r="AC97" i="32"/>
  <c r="AE96" i="32"/>
  <c r="AC96" i="32"/>
  <c r="AA96" i="32"/>
  <c r="AA95" i="32"/>
  <c r="AE95" i="32"/>
  <c r="AC95" i="32"/>
  <c r="AE94" i="32"/>
  <c r="AC94" i="32"/>
  <c r="AA94" i="32"/>
  <c r="AE93" i="32"/>
  <c r="AC93" i="32"/>
  <c r="AA93" i="32"/>
  <c r="AB92" i="32"/>
  <c r="AC92" i="32" s="1"/>
  <c r="AC91" i="32"/>
  <c r="AB91" i="32" s="1"/>
  <c r="AD90" i="32"/>
  <c r="AD544" i="32" s="1"/>
  <c r="AE544" i="32" s="1"/>
  <c r="AC90" i="32"/>
  <c r="AB90" i="32" s="1"/>
  <c r="AE89" i="32"/>
  <c r="AC89" i="32"/>
  <c r="AB89" i="32" s="1"/>
  <c r="AE88" i="32"/>
  <c r="AE87" i="32"/>
  <c r="AC87" i="32"/>
  <c r="AA87" i="32"/>
  <c r="AE86" i="32"/>
  <c r="AC86" i="32"/>
  <c r="AA86" i="32"/>
  <c r="AE85" i="32"/>
  <c r="AC85" i="32"/>
  <c r="AA85" i="32"/>
  <c r="AA84" i="32"/>
  <c r="AE84" i="32"/>
  <c r="AC84" i="32"/>
  <c r="AB83" i="32"/>
  <c r="AE83" i="32" s="1"/>
  <c r="AA82" i="32"/>
  <c r="AE82" i="32"/>
  <c r="AC82" i="32"/>
  <c r="AA81" i="32"/>
  <c r="AE81" i="32"/>
  <c r="AC81" i="32"/>
  <c r="AB80" i="32"/>
  <c r="AA79" i="32"/>
  <c r="AE79" i="32"/>
  <c r="AC79" i="32"/>
  <c r="AE78" i="32"/>
  <c r="AC78" i="32"/>
  <c r="AA78" i="32"/>
  <c r="AB77" i="32"/>
  <c r="AB76" i="32"/>
  <c r="AE76" i="32" s="1"/>
  <c r="AB75" i="32"/>
  <c r="AB74" i="32"/>
  <c r="AB73" i="32"/>
  <c r="AC73" i="32" s="1"/>
  <c r="AB72" i="32"/>
  <c r="AB71" i="32"/>
  <c r="AE71" i="32" s="1"/>
  <c r="AB70" i="32"/>
  <c r="AE70" i="32" s="1"/>
  <c r="AB69" i="32"/>
  <c r="AC69" i="32" s="1"/>
  <c r="AB68" i="32"/>
  <c r="AB67" i="32"/>
  <c r="AE67" i="32" s="1"/>
  <c r="AB66" i="32"/>
  <c r="AE65" i="32"/>
  <c r="AE64" i="32"/>
  <c r="AC64" i="32"/>
  <c r="AA64" i="32"/>
  <c r="AB63" i="32"/>
  <c r="AB62" i="32"/>
  <c r="AE62" i="32" s="1"/>
  <c r="AB61" i="32"/>
  <c r="AA60" i="32"/>
  <c r="AE60" i="32"/>
  <c r="AC60" i="32"/>
  <c r="AB59" i="32"/>
  <c r="AE59" i="32" s="1"/>
  <c r="AB58" i="32"/>
  <c r="AB57" i="32"/>
  <c r="AE57" i="32" s="1"/>
  <c r="AB56" i="32"/>
  <c r="AE56" i="32" s="1"/>
  <c r="AE55" i="32"/>
  <c r="AA54" i="32"/>
  <c r="AE54" i="32"/>
  <c r="AC54" i="32"/>
  <c r="AB53" i="32"/>
  <c r="AB52" i="32"/>
  <c r="AB51" i="32"/>
  <c r="AE51" i="32" s="1"/>
  <c r="AE50" i="32"/>
  <c r="AC50" i="32"/>
  <c r="AA50" i="32"/>
  <c r="AA49" i="32"/>
  <c r="AE49" i="32"/>
  <c r="AC49" i="32"/>
  <c r="AB48" i="32"/>
  <c r="AE48" i="32" s="1"/>
  <c r="AB47" i="32"/>
  <c r="AB46" i="32"/>
  <c r="AB45" i="32"/>
  <c r="AE45" i="32" s="1"/>
  <c r="AB44" i="32"/>
  <c r="AE43" i="32"/>
  <c r="AC43" i="32"/>
  <c r="AA43" i="32"/>
  <c r="AB42" i="32"/>
  <c r="AE42" i="32" s="1"/>
  <c r="AB41" i="32"/>
  <c r="AC41" i="32" s="1"/>
  <c r="AB40" i="32"/>
  <c r="AB39" i="32"/>
  <c r="AE39" i="32" s="1"/>
  <c r="AB38" i="32"/>
  <c r="AB37" i="32"/>
  <c r="AB36" i="32"/>
  <c r="AE35" i="32"/>
  <c r="AC35" i="32"/>
  <c r="AA35" i="32"/>
  <c r="AE34" i="32"/>
  <c r="AC34" i="32"/>
  <c r="AA34" i="32"/>
  <c r="AA33" i="32"/>
  <c r="AE33" i="32"/>
  <c r="AC33" i="32"/>
  <c r="AE32" i="32"/>
  <c r="AE31" i="32"/>
  <c r="AC31" i="32"/>
  <c r="AE30" i="32"/>
  <c r="AC30" i="32"/>
  <c r="AB29" i="32"/>
  <c r="AC29" i="32" s="1"/>
  <c r="AB28" i="32"/>
  <c r="AB27" i="32"/>
  <c r="AE27" i="32" s="1"/>
  <c r="AB26" i="32"/>
  <c r="AB25" i="32"/>
  <c r="AB24" i="32"/>
  <c r="AB23" i="32"/>
  <c r="AE23" i="32" s="1"/>
  <c r="AB22" i="32"/>
  <c r="AE22" i="32" s="1"/>
  <c r="AB21" i="32"/>
  <c r="AB20" i="32"/>
  <c r="AE20" i="32" s="1"/>
  <c r="AB19" i="32"/>
  <c r="AB18" i="32"/>
  <c r="AB17" i="32"/>
  <c r="AC17" i="32" s="1"/>
  <c r="AC16" i="32"/>
  <c r="AB16" i="32" s="1"/>
  <c r="AE16" i="32" s="1"/>
  <c r="AC15" i="32"/>
  <c r="AB15" i="32" s="1"/>
  <c r="AE15" i="32" s="1"/>
  <c r="AB14" i="32"/>
  <c r="AB13" i="32"/>
  <c r="AE13" i="32" s="1"/>
  <c r="AB12" i="32"/>
  <c r="AE12" i="32" s="1"/>
  <c r="AE11" i="32"/>
  <c r="AE10" i="32"/>
  <c r="AB9" i="32"/>
  <c r="AC9" i="32" s="1"/>
  <c r="AB8" i="32"/>
  <c r="AB7" i="32"/>
  <c r="AC7" i="32" s="1"/>
  <c r="AB6" i="32"/>
  <c r="AB5" i="32"/>
  <c r="AE5" i="32"/>
  <c r="AE17" i="32" l="1"/>
  <c r="AA927" i="32"/>
  <c r="AA1973" i="32"/>
  <c r="AA2211" i="32"/>
  <c r="AA1509" i="32"/>
  <c r="AE636" i="32"/>
  <c r="AE2288" i="32"/>
  <c r="AA1001" i="32"/>
  <c r="AA1910" i="32"/>
  <c r="AE1429" i="32"/>
  <c r="AC437" i="32"/>
  <c r="AC320" i="32"/>
  <c r="AE1821" i="32"/>
  <c r="AA1821" i="32"/>
  <c r="AA747" i="32"/>
  <c r="AE2332" i="32"/>
  <c r="AC2347" i="32"/>
  <c r="AE1572" i="32"/>
  <c r="AE398" i="32"/>
  <c r="AC204" i="32"/>
  <c r="AC922" i="32"/>
  <c r="AE1352" i="32"/>
  <c r="AC1899" i="32"/>
  <c r="AE551" i="32"/>
  <c r="AE824" i="32"/>
  <c r="AC1703" i="32"/>
  <c r="AC751" i="32"/>
  <c r="AA2023" i="32"/>
  <c r="AE1354" i="32"/>
  <c r="AE1831" i="32"/>
  <c r="AC157" i="32"/>
  <c r="AA1004" i="32"/>
  <c r="AE1427" i="32"/>
  <c r="AC1439" i="32"/>
  <c r="AE73" i="32"/>
  <c r="AE1357" i="32"/>
  <c r="AC2197" i="32"/>
  <c r="AE1809" i="32"/>
  <c r="AA1809" i="32"/>
  <c r="AC1169" i="32"/>
  <c r="AC1702" i="32"/>
  <c r="AE1846" i="32"/>
  <c r="AE978" i="32"/>
  <c r="AC1311" i="32"/>
  <c r="AE1860" i="32"/>
  <c r="AE1051" i="32"/>
  <c r="AC1092" i="32"/>
  <c r="AC1403" i="32"/>
  <c r="AC592" i="32"/>
  <c r="AE1783" i="32"/>
  <c r="AE364" i="32"/>
  <c r="AE1146" i="32"/>
  <c r="AA1351" i="32"/>
  <c r="AE2070" i="32"/>
  <c r="AC2398" i="32"/>
  <c r="AE430" i="32"/>
  <c r="AE765" i="32"/>
  <c r="AC1267" i="32"/>
  <c r="AC2027" i="32"/>
  <c r="AA2208" i="32"/>
  <c r="AC141" i="32"/>
  <c r="AE488" i="32"/>
  <c r="AA867" i="32"/>
  <c r="AE1366" i="32"/>
  <c r="AA1617" i="32"/>
  <c r="AC1773" i="32"/>
  <c r="AA1830" i="32"/>
  <c r="AA1031" i="32"/>
  <c r="AC1631" i="32"/>
  <c r="AC1968" i="32"/>
  <c r="AA1620" i="32"/>
  <c r="AA1832" i="32"/>
  <c r="AE611" i="32"/>
  <c r="AA611" i="32"/>
  <c r="AA1981" i="32"/>
  <c r="AE1981" i="32"/>
  <c r="AE2286" i="32"/>
  <c r="AA2286" i="32"/>
  <c r="AE2166" i="32"/>
  <c r="AA2166" i="32"/>
  <c r="AA1985" i="32"/>
  <c r="AE1985" i="32"/>
  <c r="AA1987" i="32"/>
  <c r="AE1987" i="32"/>
  <c r="AA1989" i="32"/>
  <c r="AE1989" i="32"/>
  <c r="AE1498" i="32"/>
  <c r="AA1498" i="32"/>
  <c r="AE106" i="32"/>
  <c r="AC298" i="32"/>
  <c r="AC572" i="32"/>
  <c r="AC601" i="32"/>
  <c r="AA929" i="32"/>
  <c r="AC986" i="32"/>
  <c r="AE1040" i="32"/>
  <c r="AC1050" i="32"/>
  <c r="AE1256" i="32"/>
  <c r="AE1380" i="32"/>
  <c r="AA1614" i="32"/>
  <c r="AE1678" i="32"/>
  <c r="AA1978" i="32"/>
  <c r="AA2215" i="32"/>
  <c r="AE2396" i="32"/>
  <c r="AE625" i="32"/>
  <c r="AA1040" i="32"/>
  <c r="AC1794" i="32"/>
  <c r="AA1969" i="32"/>
  <c r="AA2206" i="32"/>
  <c r="AE1183" i="32"/>
  <c r="AA1348" i="32"/>
  <c r="AE1412" i="32"/>
  <c r="AC1604" i="32"/>
  <c r="AE2017" i="32"/>
  <c r="AB2294" i="32"/>
  <c r="AC2385" i="32"/>
  <c r="AC681" i="32"/>
  <c r="AC892" i="32"/>
  <c r="AA1044" i="32"/>
  <c r="AE1134" i="32"/>
  <c r="AE1285" i="32"/>
  <c r="AA1512" i="32"/>
  <c r="AA1869" i="32"/>
  <c r="AE1925" i="32"/>
  <c r="AC2072" i="32"/>
  <c r="AA2256" i="32"/>
  <c r="AE642" i="32"/>
  <c r="AA716" i="32"/>
  <c r="AA828" i="32"/>
  <c r="AE1371" i="32"/>
  <c r="AA1501" i="32"/>
  <c r="AE2138" i="32"/>
  <c r="AA2257" i="32"/>
  <c r="AA293" i="32"/>
  <c r="AA533" i="32"/>
  <c r="AE1020" i="32"/>
  <c r="AE1162" i="32"/>
  <c r="AA2019" i="32"/>
  <c r="AE548" i="32"/>
  <c r="AC734" i="32"/>
  <c r="AE843" i="32"/>
  <c r="AB910" i="32"/>
  <c r="AA1225" i="32"/>
  <c r="AA1239" i="32"/>
  <c r="AA1300" i="32"/>
  <c r="AA1974" i="32"/>
  <c r="AA1022" i="32"/>
  <c r="AA1622" i="32"/>
  <c r="AC253" i="32"/>
  <c r="AC1310" i="32"/>
  <c r="AA1497" i="32"/>
  <c r="AA2204" i="32"/>
  <c r="AC122" i="32"/>
  <c r="AE269" i="32"/>
  <c r="AE536" i="32"/>
  <c r="AE1178" i="32"/>
  <c r="AA1635" i="32"/>
  <c r="AC1850" i="32"/>
  <c r="AC1876" i="32"/>
  <c r="AC2078" i="32"/>
  <c r="AA2178" i="32"/>
  <c r="AA2205" i="32"/>
  <c r="AE1820" i="32"/>
  <c r="AA1820" i="32"/>
  <c r="AE1342" i="32"/>
  <c r="AA1342" i="32"/>
  <c r="AC57" i="32"/>
  <c r="AC283" i="32"/>
  <c r="AE554" i="32"/>
  <c r="AA776" i="32"/>
  <c r="AA804" i="32"/>
  <c r="AC915" i="32"/>
  <c r="AC1077" i="32"/>
  <c r="AE1294" i="32"/>
  <c r="AC1471" i="32"/>
  <c r="AE1482" i="32"/>
  <c r="AC1748" i="32"/>
  <c r="AC2185" i="32"/>
  <c r="AC2216" i="32"/>
  <c r="AE2241" i="32"/>
  <c r="AE2425" i="32"/>
  <c r="AE646" i="32"/>
  <c r="AA1295" i="32"/>
  <c r="AE672" i="32"/>
  <c r="AA937" i="32"/>
  <c r="AE1187" i="32"/>
  <c r="AE1221" i="32"/>
  <c r="AC1401" i="32"/>
  <c r="AA1411" i="32"/>
  <c r="AC1502" i="32"/>
  <c r="AE1564" i="32"/>
  <c r="AA1822" i="32"/>
  <c r="AC1999" i="32"/>
  <c r="AC2200" i="32"/>
  <c r="AC2374" i="32"/>
  <c r="AC59" i="32"/>
  <c r="AE69" i="32"/>
  <c r="AC99" i="32"/>
  <c r="AE602" i="32"/>
  <c r="AC684" i="32"/>
  <c r="AC869" i="32"/>
  <c r="AC880" i="32"/>
  <c r="AE994" i="32"/>
  <c r="AE1496" i="32"/>
  <c r="AC1633" i="32"/>
  <c r="AA1725" i="32"/>
  <c r="AC1737" i="32"/>
  <c r="AE1833" i="32"/>
  <c r="AE1865" i="32"/>
  <c r="AE2121" i="32"/>
  <c r="AE129" i="32"/>
  <c r="AC244" i="32"/>
  <c r="AA694" i="32"/>
  <c r="AA846" i="32"/>
  <c r="AE1006" i="32"/>
  <c r="AC1078" i="32"/>
  <c r="AC1128" i="32"/>
  <c r="AA1166" i="32"/>
  <c r="AC1474" i="32"/>
  <c r="AE2066" i="32"/>
  <c r="AC2086" i="32"/>
  <c r="AC2231" i="32"/>
  <c r="AE2321" i="32"/>
  <c r="AA1554" i="32"/>
  <c r="AE1601" i="32"/>
  <c r="AE1752" i="32"/>
  <c r="AA1907" i="32"/>
  <c r="AC2135" i="32"/>
  <c r="AC2363" i="32"/>
  <c r="AE2376" i="32"/>
  <c r="AC2401" i="32"/>
  <c r="AE110" i="32"/>
  <c r="AC330" i="32"/>
  <c r="AC637" i="32"/>
  <c r="AE1034" i="32"/>
  <c r="AE1045" i="32"/>
  <c r="AE1115" i="32"/>
  <c r="AC1404" i="32"/>
  <c r="AA1602" i="32"/>
  <c r="AC1613" i="32"/>
  <c r="AC1856" i="32"/>
  <c r="AE1927" i="32"/>
  <c r="AA2002" i="32"/>
  <c r="AC2123" i="32"/>
  <c r="AC461" i="32"/>
  <c r="AE758" i="32"/>
  <c r="AC897" i="32"/>
  <c r="AE1080" i="32"/>
  <c r="AE1312" i="32"/>
  <c r="AC1673" i="32"/>
  <c r="AC1867" i="32"/>
  <c r="AC1992" i="32"/>
  <c r="AC2067" i="32"/>
  <c r="AE2079" i="32"/>
  <c r="AE2191" i="32"/>
  <c r="AE2234" i="32"/>
  <c r="AC2377" i="32"/>
  <c r="AE746" i="32"/>
  <c r="AE772" i="32"/>
  <c r="AE1212" i="32"/>
  <c r="AC1335" i="32"/>
  <c r="AA1425" i="32"/>
  <c r="AE1434" i="32"/>
  <c r="AC1626" i="32"/>
  <c r="AE2365" i="32"/>
  <c r="AC932" i="32"/>
  <c r="AC940" i="32"/>
  <c r="AE1036" i="32"/>
  <c r="AE1192" i="32"/>
  <c r="AE1435" i="32"/>
  <c r="AC1900" i="32"/>
  <c r="AE2115" i="32"/>
  <c r="AE2392" i="32"/>
  <c r="AE249" i="32"/>
  <c r="AE537" i="32"/>
  <c r="AC654" i="32"/>
  <c r="AC698" i="32"/>
  <c r="AE838" i="32"/>
  <c r="AE850" i="32"/>
  <c r="AC999" i="32"/>
  <c r="AC2366" i="32"/>
  <c r="AC1406" i="32"/>
  <c r="AE1582" i="32"/>
  <c r="AA1648" i="32"/>
  <c r="AC1660" i="32"/>
  <c r="AC1676" i="32"/>
  <c r="AC45" i="32"/>
  <c r="AC155" i="32"/>
  <c r="AE529" i="32"/>
  <c r="AC552" i="32"/>
  <c r="AC563" i="32"/>
  <c r="AC709" i="32"/>
  <c r="AC901" i="32"/>
  <c r="AC942" i="32"/>
  <c r="AE975" i="32"/>
  <c r="AC1121" i="32"/>
  <c r="AC1480" i="32"/>
  <c r="AE1491" i="32"/>
  <c r="AC1559" i="32"/>
  <c r="AE1870" i="32"/>
  <c r="AE2117" i="32"/>
  <c r="AE2127" i="32"/>
  <c r="AC2152" i="32"/>
  <c r="AE230" i="32"/>
  <c r="AE240" i="32"/>
  <c r="AC453" i="32"/>
  <c r="AC1522" i="32"/>
  <c r="AC1784" i="32"/>
  <c r="AC1881" i="32"/>
  <c r="AE1967" i="32"/>
  <c r="AE2007" i="32"/>
  <c r="AC2118" i="32"/>
  <c r="AE2356" i="32"/>
  <c r="AC2382" i="32"/>
  <c r="AC492" i="32"/>
  <c r="AC644" i="32"/>
  <c r="AE670" i="32"/>
  <c r="AC723" i="32"/>
  <c r="AA903" i="32"/>
  <c r="AE1171" i="32"/>
  <c r="AC1409" i="32"/>
  <c r="AE1799" i="32"/>
  <c r="AA1810" i="32"/>
  <c r="AC1849" i="32"/>
  <c r="AA2174" i="32"/>
  <c r="AE1579" i="32"/>
  <c r="AA1579" i="32"/>
  <c r="AE1880" i="32"/>
  <c r="AC1880" i="32"/>
  <c r="AE271" i="32"/>
  <c r="AA271" i="32"/>
  <c r="AE2044" i="32"/>
  <c r="AA2044" i="32"/>
  <c r="AE2041" i="32"/>
  <c r="AA2041" i="32"/>
  <c r="AE2164" i="32"/>
  <c r="AA2164" i="32"/>
  <c r="AE2348" i="32"/>
  <c r="AC2348" i="32"/>
  <c r="AA1778" i="32"/>
  <c r="AE1778" i="32"/>
  <c r="AE2217" i="32"/>
  <c r="AA2217" i="32"/>
  <c r="AE2071" i="32"/>
  <c r="AA2071" i="32"/>
  <c r="AA1376" i="32"/>
  <c r="AE1376" i="32"/>
  <c r="AE2313" i="32"/>
  <c r="AA2313" i="32"/>
  <c r="AE1664" i="32"/>
  <c r="AA1664" i="32"/>
  <c r="AE2003" i="32"/>
  <c r="AA2003" i="32"/>
  <c r="AE2147" i="32"/>
  <c r="AA2147" i="32"/>
  <c r="AE2195" i="32"/>
  <c r="AA2195" i="32"/>
  <c r="AE1716" i="32"/>
  <c r="AA1716" i="32"/>
  <c r="AE2219" i="32"/>
  <c r="AA2219" i="32"/>
  <c r="AE564" i="32"/>
  <c r="AA564" i="32"/>
  <c r="AE2242" i="32"/>
  <c r="AA2242" i="32"/>
  <c r="AE1269" i="32"/>
  <c r="AA1269" i="32"/>
  <c r="AE1718" i="32"/>
  <c r="AA1718" i="32"/>
  <c r="AE7" i="32"/>
  <c r="AE210" i="32"/>
  <c r="AE518" i="32"/>
  <c r="AE1018" i="32"/>
  <c r="AE1547" i="32"/>
  <c r="AE1575" i="32"/>
  <c r="AE1685" i="32"/>
  <c r="AE1701" i="32"/>
  <c r="AE1769" i="32"/>
  <c r="AE2186" i="32"/>
  <c r="AC62" i="32"/>
  <c r="AC333" i="32"/>
  <c r="AC369" i="32"/>
  <c r="AE521" i="32"/>
  <c r="AC534" i="32"/>
  <c r="AA660" i="32"/>
  <c r="AA685" i="32"/>
  <c r="AA844" i="32"/>
  <c r="AB1205" i="32"/>
  <c r="AC1243" i="32"/>
  <c r="AC1338" i="32"/>
  <c r="AE1350" i="32"/>
  <c r="AB1361" i="32"/>
  <c r="AE1361" i="32" s="1"/>
  <c r="AC1398" i="32"/>
  <c r="AB1667" i="32"/>
  <c r="AC1709" i="32"/>
  <c r="AC1751" i="32"/>
  <c r="AA1852" i="32"/>
  <c r="AC1862" i="32"/>
  <c r="AC1882" i="32"/>
  <c r="AA1991" i="32"/>
  <c r="AA2001" i="32"/>
  <c r="AE2149" i="32"/>
  <c r="AA2158" i="32"/>
  <c r="AA2160" i="32"/>
  <c r="AE2232" i="32"/>
  <c r="AA2250" i="32"/>
  <c r="AB2301" i="32"/>
  <c r="AC2301" i="32" s="1"/>
  <c r="AE2310" i="32"/>
  <c r="AE2400" i="32"/>
  <c r="AA16" i="32"/>
  <c r="AA1469" i="32"/>
  <c r="AA1819" i="32"/>
  <c r="AB2338" i="32"/>
  <c r="AC23" i="32"/>
  <c r="AE183" i="32"/>
  <c r="AB232" i="32"/>
  <c r="AE382" i="32"/>
  <c r="AC483" i="32"/>
  <c r="AC547" i="32"/>
  <c r="AC562" i="32"/>
  <c r="AA626" i="32"/>
  <c r="AC661" i="32"/>
  <c r="AB879" i="32"/>
  <c r="AC931" i="32"/>
  <c r="AC1074" i="32"/>
  <c r="AC1203" i="32"/>
  <c r="AC1426" i="32"/>
  <c r="AC1536" i="32"/>
  <c r="AB1570" i="32"/>
  <c r="AC1623" i="32"/>
  <c r="AA1652" i="32"/>
  <c r="AC1665" i="32"/>
  <c r="AC1683" i="32"/>
  <c r="AB1692" i="32"/>
  <c r="AE1692" i="32" s="1"/>
  <c r="AA1724" i="32"/>
  <c r="AA1772" i="32"/>
  <c r="AA1834" i="32"/>
  <c r="AC1957" i="32"/>
  <c r="AC2053" i="32"/>
  <c r="AC2122" i="32"/>
  <c r="AA2143" i="32"/>
  <c r="AA2161" i="32"/>
  <c r="AA2170" i="32"/>
  <c r="AA2172" i="32"/>
  <c r="AE2184" i="32"/>
  <c r="AC2199" i="32"/>
  <c r="AA2226" i="32"/>
  <c r="AE9" i="32"/>
  <c r="AC20" i="32"/>
  <c r="AC48" i="32"/>
  <c r="AC242" i="32"/>
  <c r="AC310" i="32"/>
  <c r="AB809" i="32"/>
  <c r="AE809" i="32" s="1"/>
  <c r="AC845" i="32"/>
  <c r="AA870" i="32"/>
  <c r="AC1068" i="32"/>
  <c r="AC1071" i="32"/>
  <c r="AC1214" i="32"/>
  <c r="AC1271" i="32"/>
  <c r="AC1287" i="32"/>
  <c r="AC1327" i="32"/>
  <c r="AA1359" i="32"/>
  <c r="AE1470" i="32"/>
  <c r="AA1503" i="32"/>
  <c r="AC1533" i="32"/>
  <c r="AC1551" i="32"/>
  <c r="AA1592" i="32"/>
  <c r="AC1795" i="32"/>
  <c r="AA1915" i="32"/>
  <c r="AE1918" i="32"/>
  <c r="AA1951" i="32"/>
  <c r="AC2056" i="32"/>
  <c r="AC2089" i="32"/>
  <c r="AA2156" i="32"/>
  <c r="AA2298" i="32"/>
  <c r="AC2326" i="32"/>
  <c r="AE92" i="32"/>
  <c r="AE278" i="32"/>
  <c r="AC301" i="32"/>
  <c r="AC313" i="32"/>
  <c r="AC541" i="32"/>
  <c r="AA667" i="32"/>
  <c r="AA705" i="32"/>
  <c r="AE739" i="32"/>
  <c r="AA842" i="32"/>
  <c r="AA925" i="32"/>
  <c r="AA967" i="32"/>
  <c r="AB1012" i="32"/>
  <c r="AE1012" i="32" s="1"/>
  <c r="AE1032" i="32"/>
  <c r="AC1059" i="32"/>
  <c r="AE1083" i="32"/>
  <c r="AE1089" i="32"/>
  <c r="AC1095" i="32"/>
  <c r="AC1101" i="32"/>
  <c r="AC1106" i="32"/>
  <c r="AE1234" i="32"/>
  <c r="AA1347" i="32"/>
  <c r="AC1548" i="32"/>
  <c r="AC1568" i="32"/>
  <c r="AE1576" i="32"/>
  <c r="AA1647" i="32"/>
  <c r="AA1653" i="32"/>
  <c r="AA1693" i="32"/>
  <c r="AE1878" i="32"/>
  <c r="AC1889" i="32"/>
  <c r="AC1933" i="32"/>
  <c r="AC1963" i="32"/>
  <c r="AA1998" i="32"/>
  <c r="AA2020" i="32"/>
  <c r="AC2059" i="32"/>
  <c r="AA2173" i="32"/>
  <c r="AA2187" i="32"/>
  <c r="AA2213" i="32"/>
  <c r="AC2414" i="32"/>
  <c r="AC2429" i="32"/>
  <c r="AA1318" i="32"/>
  <c r="AA1607" i="32"/>
  <c r="AA2293" i="32"/>
  <c r="AA2299" i="32"/>
  <c r="AB2368" i="32"/>
  <c r="AE2368" i="32" s="1"/>
  <c r="AB2372" i="32"/>
  <c r="AE2372" i="32" s="1"/>
  <c r="AC51" i="32"/>
  <c r="AC292" i="32"/>
  <c r="AE352" i="32"/>
  <c r="AC458" i="32"/>
  <c r="AC522" i="32"/>
  <c r="AC630" i="32"/>
  <c r="AE674" i="32"/>
  <c r="AE727" i="32"/>
  <c r="AC730" i="32"/>
  <c r="AB785" i="32"/>
  <c r="AE785" i="32" s="1"/>
  <c r="AC887" i="32"/>
  <c r="AB900" i="32"/>
  <c r="AE900" i="32" s="1"/>
  <c r="AC917" i="32"/>
  <c r="AE959" i="32"/>
  <c r="AC1013" i="32"/>
  <c r="AA1039" i="32"/>
  <c r="AC1156" i="32"/>
  <c r="AC1159" i="32"/>
  <c r="AC1188" i="32"/>
  <c r="AE1262" i="32"/>
  <c r="AE1313" i="32"/>
  <c r="AC1390" i="32"/>
  <c r="AE1521" i="32"/>
  <c r="AC1611" i="32"/>
  <c r="AC2081" i="32"/>
  <c r="AC2114" i="32"/>
  <c r="AA2159" i="32"/>
  <c r="AA2214" i="32"/>
  <c r="AC76" i="32"/>
  <c r="AA399" i="32"/>
  <c r="AA692" i="32"/>
  <c r="AB702" i="32"/>
  <c r="AE702" i="32" s="1"/>
  <c r="AA830" i="32"/>
  <c r="AC926" i="32"/>
  <c r="AA1066" i="32"/>
  <c r="AA1197" i="32"/>
  <c r="AC1201" i="32"/>
  <c r="AA1330" i="32"/>
  <c r="AA1377" i="32"/>
  <c r="AE1424" i="32"/>
  <c r="AC1596" i="32"/>
  <c r="AA1818" i="32"/>
  <c r="AA1921" i="32"/>
  <c r="AC2126" i="32"/>
  <c r="AA2279" i="32"/>
  <c r="AA2296" i="32"/>
  <c r="AC2432" i="32"/>
  <c r="AB245" i="32"/>
  <c r="AE245" i="32" s="1"/>
  <c r="AA606" i="32"/>
  <c r="AA924" i="32"/>
  <c r="AB1129" i="32"/>
  <c r="AE1129" i="32" s="1"/>
  <c r="AA1141" i="32"/>
  <c r="AA1566" i="32"/>
  <c r="AA1588" i="32"/>
  <c r="AA1599" i="32"/>
  <c r="AA1663" i="32"/>
  <c r="AA1719" i="32"/>
  <c r="AA1808" i="32"/>
  <c r="AA2011" i="32"/>
  <c r="AA2084" i="32"/>
  <c r="AA2209" i="32"/>
  <c r="AB2302" i="32"/>
  <c r="AC2417" i="32"/>
  <c r="AA1571" i="32"/>
  <c r="AA1904" i="32"/>
  <c r="AC2034" i="32"/>
  <c r="AA2248" i="32"/>
  <c r="AA2251" i="32"/>
  <c r="AE90" i="32"/>
  <c r="AE197" i="32"/>
  <c r="AE259" i="32"/>
  <c r="AE338" i="32"/>
  <c r="AC520" i="32"/>
  <c r="AE542" i="32"/>
  <c r="AE603" i="32"/>
  <c r="AC609" i="32"/>
  <c r="AC649" i="32"/>
  <c r="AC737" i="32"/>
  <c r="AC988" i="32"/>
  <c r="AE1027" i="32"/>
  <c r="AC1054" i="32"/>
  <c r="AC1090" i="32"/>
  <c r="AE1093" i="32"/>
  <c r="AA1150" i="32"/>
  <c r="AC1179" i="32"/>
  <c r="AE1337" i="32"/>
  <c r="AE1397" i="32"/>
  <c r="AC1487" i="32"/>
  <c r="AC1537" i="32"/>
  <c r="AC1577" i="32"/>
  <c r="AC1645" i="32"/>
  <c r="AC1796" i="32"/>
  <c r="AC1864" i="32"/>
  <c r="AC1873" i="32"/>
  <c r="AC1922" i="32"/>
  <c r="AA1940" i="32"/>
  <c r="AC2049" i="32"/>
  <c r="AA2212" i="32"/>
  <c r="AE2297" i="32"/>
  <c r="AA2415" i="32"/>
  <c r="AA202" i="32"/>
  <c r="AA289" i="32"/>
  <c r="AC523" i="32"/>
  <c r="AC966" i="32"/>
  <c r="AC1043" i="32"/>
  <c r="AE1130" i="32"/>
  <c r="AE1139" i="32"/>
  <c r="AC1145" i="32"/>
  <c r="AC1257" i="32"/>
  <c r="AC1276" i="32"/>
  <c r="AC1292" i="32"/>
  <c r="AA1328" i="32"/>
  <c r="AE1381" i="32"/>
  <c r="AC1388" i="32"/>
  <c r="AC1494" i="32"/>
  <c r="AB1534" i="32"/>
  <c r="AE1812" i="32"/>
  <c r="AA1824" i="32"/>
  <c r="AE1884" i="32"/>
  <c r="AE2031" i="32"/>
  <c r="AC2052" i="32"/>
  <c r="AA2076" i="32"/>
  <c r="AC2142" i="32"/>
  <c r="AA2145" i="32"/>
  <c r="AA2162" i="32"/>
  <c r="AA2207" i="32"/>
  <c r="AA2243" i="32"/>
  <c r="AC558" i="32"/>
  <c r="AE706" i="32"/>
  <c r="AC728" i="32"/>
  <c r="AC753" i="32"/>
  <c r="AA814" i="32"/>
  <c r="AC1024" i="32"/>
  <c r="AB1072" i="32"/>
  <c r="AE1072" i="32" s="1"/>
  <c r="AC1076" i="32"/>
  <c r="AE1127" i="32"/>
  <c r="AE1154" i="32"/>
  <c r="AA1222" i="32"/>
  <c r="AB1331" i="32"/>
  <c r="AE1331" i="32" s="1"/>
  <c r="AB1458" i="32"/>
  <c r="AA1919" i="32"/>
  <c r="AA1976" i="32"/>
  <c r="AC2192" i="32"/>
  <c r="AC2325" i="32"/>
  <c r="AE2344" i="32"/>
  <c r="AE2409" i="32"/>
  <c r="AA2427" i="32"/>
  <c r="AA1499" i="32"/>
  <c r="AA1947" i="32"/>
  <c r="AC2390" i="32"/>
  <c r="AC2393" i="32"/>
  <c r="AC2433" i="32"/>
  <c r="AC13" i="32"/>
  <c r="AE29" i="32"/>
  <c r="AE41" i="32"/>
  <c r="AC71" i="32"/>
  <c r="AE139" i="32"/>
  <c r="AE167" i="32"/>
  <c r="AC495" i="32"/>
  <c r="AC555" i="32"/>
  <c r="AC580" i="32"/>
  <c r="AA669" i="32"/>
  <c r="AC691" i="32"/>
  <c r="AC786" i="32"/>
  <c r="AC1067" i="32"/>
  <c r="AE1079" i="32"/>
  <c r="AE1100" i="32"/>
  <c r="AC1283" i="32"/>
  <c r="AB1317" i="32"/>
  <c r="AC1332" i="32"/>
  <c r="AE1358" i="32"/>
  <c r="AE1619" i="32"/>
  <c r="AE1897" i="32"/>
  <c r="AA1983" i="32"/>
  <c r="AE2055" i="32"/>
  <c r="AC2058" i="32"/>
  <c r="AE2061" i="32"/>
  <c r="AE2124" i="32"/>
  <c r="AA2210" i="32"/>
  <c r="AC2235" i="32"/>
  <c r="AA2267" i="32"/>
  <c r="AA2275" i="32"/>
  <c r="AB2331" i="32"/>
  <c r="AE2331" i="32" s="1"/>
  <c r="AE80" i="32"/>
  <c r="AC80" i="32"/>
  <c r="AE126" i="32"/>
  <c r="AC126" i="32"/>
  <c r="AC145" i="32"/>
  <c r="AE145" i="32"/>
  <c r="AE148" i="32"/>
  <c r="AC148" i="32"/>
  <c r="AE182" i="32"/>
  <c r="AC182" i="32"/>
  <c r="AE290" i="32"/>
  <c r="AC290" i="32"/>
  <c r="AE341" i="32"/>
  <c r="AC341" i="32"/>
  <c r="AE344" i="32"/>
  <c r="AC344" i="32"/>
  <c r="AE381" i="32"/>
  <c r="AC381" i="32"/>
  <c r="AE387" i="32"/>
  <c r="AC387" i="32"/>
  <c r="AE427" i="32"/>
  <c r="AC427" i="32"/>
  <c r="AE447" i="32"/>
  <c r="AC447" i="32"/>
  <c r="AE482" i="32"/>
  <c r="AC482" i="32"/>
  <c r="AE485" i="32"/>
  <c r="AC485" i="32"/>
  <c r="AC19" i="32"/>
  <c r="AE19" i="32"/>
  <c r="AC47" i="32"/>
  <c r="AE47" i="32"/>
  <c r="AE68" i="32"/>
  <c r="AC68" i="32"/>
  <c r="AE74" i="32"/>
  <c r="AC74" i="32"/>
  <c r="AE123" i="32"/>
  <c r="AC123" i="32"/>
  <c r="AE142" i="32"/>
  <c r="AC142" i="32"/>
  <c r="AE179" i="32"/>
  <c r="AC179" i="32"/>
  <c r="AE191" i="32"/>
  <c r="AC191" i="32"/>
  <c r="AE273" i="32"/>
  <c r="AC273" i="32"/>
  <c r="AE309" i="32"/>
  <c r="AC309" i="32"/>
  <c r="AE372" i="32"/>
  <c r="AC372" i="32"/>
  <c r="AE413" i="32"/>
  <c r="AC413" i="32"/>
  <c r="AE420" i="32"/>
  <c r="AC420" i="32"/>
  <c r="AE434" i="32"/>
  <c r="AC434" i="32"/>
  <c r="AE527" i="32"/>
  <c r="AC527" i="32"/>
  <c r="AC549" i="32"/>
  <c r="AE549" i="32"/>
  <c r="AE8" i="32"/>
  <c r="AC8" i="32"/>
  <c r="AE44" i="32"/>
  <c r="AC44" i="32"/>
  <c r="AA91" i="32"/>
  <c r="AE102" i="32"/>
  <c r="AC102" i="32"/>
  <c r="AE127" i="32"/>
  <c r="AA127" i="32"/>
  <c r="AE277" i="32"/>
  <c r="AC277" i="32"/>
  <c r="AC300" i="32"/>
  <c r="AE300" i="32"/>
  <c r="AE395" i="32"/>
  <c r="AC395" i="32"/>
  <c r="AC540" i="32"/>
  <c r="AE540" i="32"/>
  <c r="AE543" i="32"/>
  <c r="AC543" i="32"/>
  <c r="AE607" i="32"/>
  <c r="AC607" i="32"/>
  <c r="AE26" i="32"/>
  <c r="AC26" i="32"/>
  <c r="AE38" i="32"/>
  <c r="AC38" i="32"/>
  <c r="AE53" i="32"/>
  <c r="AC53" i="32"/>
  <c r="AE114" i="32"/>
  <c r="AC114" i="32"/>
  <c r="AE133" i="32"/>
  <c r="AC133" i="32"/>
  <c r="AE164" i="32"/>
  <c r="AC164" i="32"/>
  <c r="AA201" i="32"/>
  <c r="AE297" i="32"/>
  <c r="AC297" i="32"/>
  <c r="AE363" i="32"/>
  <c r="AC363" i="32"/>
  <c r="AE424" i="32"/>
  <c r="AC424" i="32"/>
  <c r="AC460" i="32"/>
  <c r="AE460" i="32"/>
  <c r="AE508" i="32"/>
  <c r="AC508" i="32"/>
  <c r="AE515" i="32"/>
  <c r="AC515" i="32"/>
  <c r="AC524" i="32"/>
  <c r="AE524" i="32"/>
  <c r="AE531" i="32"/>
  <c r="AC531" i="32"/>
  <c r="AE650" i="32"/>
  <c r="AA650" i="32"/>
  <c r="AE111" i="32"/>
  <c r="AC111" i="32"/>
  <c r="AE130" i="32"/>
  <c r="AC130" i="32"/>
  <c r="AE149" i="32"/>
  <c r="AC149" i="32"/>
  <c r="AE287" i="32"/>
  <c r="AC287" i="32"/>
  <c r="AC291" i="32"/>
  <c r="AE291" i="32"/>
  <c r="AE351" i="32"/>
  <c r="AC351" i="32"/>
  <c r="AE388" i="32"/>
  <c r="AC388" i="32"/>
  <c r="AE431" i="32"/>
  <c r="AC431" i="32"/>
  <c r="AE457" i="32"/>
  <c r="AC457" i="32"/>
  <c r="AE559" i="32"/>
  <c r="AC559" i="32"/>
  <c r="AC75" i="32"/>
  <c r="AE75" i="32"/>
  <c r="AE254" i="32"/>
  <c r="AC254" i="32"/>
  <c r="AE274" i="32"/>
  <c r="AC274" i="32"/>
  <c r="AE284" i="32"/>
  <c r="AC284" i="32"/>
  <c r="AE348" i="32"/>
  <c r="AC348" i="32"/>
  <c r="AE357" i="32"/>
  <c r="AC357" i="32"/>
  <c r="AE414" i="32"/>
  <c r="AC414" i="32"/>
  <c r="AC467" i="32"/>
  <c r="AE467" i="32"/>
  <c r="AC512" i="32"/>
  <c r="AE512" i="32"/>
  <c r="AE528" i="32"/>
  <c r="AC528" i="32"/>
  <c r="AE14" i="32"/>
  <c r="AC14" i="32"/>
  <c r="AE72" i="32"/>
  <c r="AC72" i="32"/>
  <c r="AE103" i="32"/>
  <c r="AC103" i="32"/>
  <c r="AE118" i="32"/>
  <c r="AC118" i="32"/>
  <c r="AE158" i="32"/>
  <c r="AC158" i="32"/>
  <c r="AE186" i="32"/>
  <c r="AC186" i="32"/>
  <c r="AE214" i="32"/>
  <c r="AC214" i="32"/>
  <c r="AE239" i="32"/>
  <c r="AC239" i="32"/>
  <c r="AE248" i="32"/>
  <c r="AC248" i="32"/>
  <c r="AE264" i="32"/>
  <c r="AC264" i="32"/>
  <c r="AE281" i="32"/>
  <c r="AC281" i="32"/>
  <c r="AE392" i="32"/>
  <c r="AC392" i="32"/>
  <c r="AE441" i="32"/>
  <c r="AC441" i="32"/>
  <c r="AE454" i="32"/>
  <c r="AC454" i="32"/>
  <c r="AE496" i="32"/>
  <c r="AC496" i="32"/>
  <c r="AE211" i="32"/>
  <c r="AC211" i="32"/>
  <c r="AE268" i="32"/>
  <c r="AC268" i="32"/>
  <c r="AE319" i="32"/>
  <c r="AC319" i="32"/>
  <c r="AE425" i="32"/>
  <c r="AC425" i="32"/>
  <c r="AE63" i="32"/>
  <c r="AC63" i="32"/>
  <c r="AE66" i="32"/>
  <c r="AC66" i="32"/>
  <c r="AC112" i="32"/>
  <c r="AE112" i="32"/>
  <c r="AC131" i="32"/>
  <c r="AE131" i="32"/>
  <c r="AE150" i="32"/>
  <c r="AC150" i="32"/>
  <c r="AE196" i="32"/>
  <c r="AC196" i="32"/>
  <c r="AE224" i="32"/>
  <c r="AC224" i="32"/>
  <c r="AE288" i="32"/>
  <c r="AC288" i="32"/>
  <c r="AE331" i="32"/>
  <c r="AC331" i="32"/>
  <c r="AE334" i="32"/>
  <c r="AC334" i="32"/>
  <c r="AE370" i="32"/>
  <c r="AC370" i="32"/>
  <c r="AC432" i="32"/>
  <c r="AE432" i="32"/>
  <c r="AE438" i="32"/>
  <c r="AC438" i="32"/>
  <c r="AE442" i="32"/>
  <c r="AA442" i="32"/>
  <c r="AE445" i="32"/>
  <c r="AC445" i="32"/>
  <c r="AE493" i="32"/>
  <c r="AC493" i="32"/>
  <c r="AA503" i="32"/>
  <c r="AE519" i="32"/>
  <c r="AC519" i="32"/>
  <c r="AE711" i="32"/>
  <c r="AA711" i="32"/>
  <c r="AE128" i="32"/>
  <c r="AC128" i="32"/>
  <c r="AE205" i="32"/>
  <c r="AC205" i="32"/>
  <c r="AC255" i="32"/>
  <c r="AE255" i="32"/>
  <c r="AE275" i="32"/>
  <c r="AC275" i="32"/>
  <c r="AE349" i="32"/>
  <c r="AC349" i="32"/>
  <c r="AC358" i="32"/>
  <c r="AE358" i="32"/>
  <c r="AE415" i="32"/>
  <c r="AC415" i="32"/>
  <c r="AE429" i="32"/>
  <c r="AC429" i="32"/>
  <c r="AE487" i="32"/>
  <c r="AC487" i="32"/>
  <c r="AE513" i="32"/>
  <c r="AC513" i="32"/>
  <c r="AC535" i="32"/>
  <c r="AE535" i="32"/>
  <c r="AC159" i="32"/>
  <c r="AE159" i="32"/>
  <c r="AE215" i="32"/>
  <c r="AC215" i="32"/>
  <c r="AE221" i="32"/>
  <c r="AC221" i="32"/>
  <c r="AE225" i="32"/>
  <c r="AA225" i="32"/>
  <c r="AE252" i="32"/>
  <c r="AC252" i="32"/>
  <c r="AE265" i="32"/>
  <c r="AC265" i="32"/>
  <c r="AE393" i="32"/>
  <c r="AC393" i="32"/>
  <c r="AE412" i="32"/>
  <c r="AA412" i="32"/>
  <c r="AE422" i="32"/>
  <c r="AC422" i="32"/>
  <c r="AE655" i="32"/>
  <c r="AC655" i="32"/>
  <c r="AA15" i="32"/>
  <c r="AE21" i="32"/>
  <c r="AC21" i="32"/>
  <c r="AE24" i="32"/>
  <c r="AC24" i="32"/>
  <c r="AE36" i="32"/>
  <c r="AC36" i="32"/>
  <c r="AE193" i="32"/>
  <c r="AC193" i="32"/>
  <c r="AE397" i="32"/>
  <c r="AC397" i="32"/>
  <c r="AE452" i="32"/>
  <c r="AC452" i="32"/>
  <c r="AE465" i="32"/>
  <c r="AC465" i="32"/>
  <c r="AE666" i="32"/>
  <c r="AA666" i="32"/>
  <c r="AE28" i="32"/>
  <c r="AC28" i="32"/>
  <c r="AE40" i="32"/>
  <c r="AC40" i="32"/>
  <c r="AE116" i="32"/>
  <c r="AC116" i="32"/>
  <c r="AE135" i="32"/>
  <c r="AC135" i="32"/>
  <c r="AE138" i="32"/>
  <c r="AC138" i="32"/>
  <c r="AE144" i="32"/>
  <c r="AC144" i="32"/>
  <c r="AE166" i="32"/>
  <c r="AC166" i="32"/>
  <c r="AE209" i="32"/>
  <c r="AC209" i="32"/>
  <c r="AE305" i="32"/>
  <c r="AC305" i="32"/>
  <c r="AE311" i="32"/>
  <c r="AC311" i="32"/>
  <c r="AE323" i="32"/>
  <c r="AC323" i="32"/>
  <c r="AA386" i="32"/>
  <c r="AE446" i="32"/>
  <c r="AC446" i="32"/>
  <c r="AE478" i="32"/>
  <c r="AC478" i="32"/>
  <c r="AA484" i="32"/>
  <c r="AC494" i="32"/>
  <c r="AE494" i="32"/>
  <c r="AE510" i="32"/>
  <c r="AC510" i="32"/>
  <c r="AE517" i="32"/>
  <c r="AC517" i="32"/>
  <c r="AE659" i="32"/>
  <c r="AC659" i="32"/>
  <c r="AE18" i="32"/>
  <c r="AC18" i="32"/>
  <c r="AE46" i="32"/>
  <c r="AC46" i="32"/>
  <c r="AE58" i="32"/>
  <c r="AC58" i="32"/>
  <c r="AE172" i="32"/>
  <c r="AC172" i="32"/>
  <c r="AE178" i="32"/>
  <c r="AC178" i="32"/>
  <c r="AE231" i="32"/>
  <c r="AC231" i="32"/>
  <c r="AE237" i="32"/>
  <c r="AC237" i="32"/>
  <c r="AE246" i="32"/>
  <c r="AC246" i="32"/>
  <c r="AE272" i="32"/>
  <c r="AC272" i="32"/>
  <c r="AE329" i="32"/>
  <c r="AC329" i="32"/>
  <c r="AE390" i="32"/>
  <c r="AC390" i="32"/>
  <c r="AA439" i="32"/>
  <c r="AE462" i="32"/>
  <c r="AC462" i="32"/>
  <c r="AE491" i="32"/>
  <c r="AC491" i="32"/>
  <c r="AC61" i="32"/>
  <c r="AE61" i="32"/>
  <c r="AE101" i="32"/>
  <c r="AC101" i="32"/>
  <c r="AE175" i="32"/>
  <c r="AC175" i="32"/>
  <c r="AE234" i="32"/>
  <c r="AC234" i="32"/>
  <c r="AE266" i="32"/>
  <c r="AC266" i="32"/>
  <c r="AE299" i="32"/>
  <c r="AC299" i="32"/>
  <c r="AE394" i="32"/>
  <c r="AC394" i="32"/>
  <c r="AE475" i="32"/>
  <c r="AC475" i="32"/>
  <c r="AE501" i="32"/>
  <c r="AC501" i="32"/>
  <c r="AE25" i="32"/>
  <c r="AC25" i="32"/>
  <c r="AE37" i="32"/>
  <c r="AC37" i="32"/>
  <c r="AE52" i="32"/>
  <c r="AC52" i="32"/>
  <c r="AE77" i="32"/>
  <c r="AC77" i="32"/>
  <c r="AE105" i="32"/>
  <c r="AC105" i="32"/>
  <c r="AE163" i="32"/>
  <c r="AC163" i="32"/>
  <c r="AE194" i="32"/>
  <c r="AC194" i="32"/>
  <c r="AA203" i="32"/>
  <c r="AE219" i="32"/>
  <c r="AC219" i="32"/>
  <c r="AE443" i="32"/>
  <c r="AC443" i="32"/>
  <c r="AE459" i="32"/>
  <c r="AC459" i="32"/>
  <c r="AC530" i="32"/>
  <c r="AE530" i="32"/>
  <c r="AC565" i="32"/>
  <c r="AE604" i="32"/>
  <c r="AC604" i="32"/>
  <c r="AE738" i="32"/>
  <c r="AC738" i="32"/>
  <c r="AE761" i="32"/>
  <c r="AC761" i="32"/>
  <c r="AE795" i="32"/>
  <c r="AC795" i="32"/>
  <c r="AE805" i="32"/>
  <c r="AC805" i="32"/>
  <c r="AE825" i="32"/>
  <c r="AC825" i="32"/>
  <c r="AC835" i="32"/>
  <c r="AE835" i="32"/>
  <c r="AE957" i="32"/>
  <c r="AC957" i="32"/>
  <c r="AE998" i="32"/>
  <c r="AC998" i="32"/>
  <c r="AE1046" i="32"/>
  <c r="AC1046" i="32"/>
  <c r="AE624" i="32"/>
  <c r="AC624" i="32"/>
  <c r="AE638" i="32"/>
  <c r="AC638" i="32"/>
  <c r="AA2345" i="32"/>
  <c r="AB2345" i="32" s="1"/>
  <c r="AB645" i="32"/>
  <c r="AC679" i="32"/>
  <c r="AE697" i="32"/>
  <c r="AC700" i="32"/>
  <c r="AE729" i="32"/>
  <c r="AC729" i="32"/>
  <c r="AE764" i="32"/>
  <c r="AC764" i="32"/>
  <c r="AE812" i="32"/>
  <c r="AC812" i="32"/>
  <c r="AE832" i="32"/>
  <c r="AC832" i="32"/>
  <c r="AE863" i="32"/>
  <c r="AC863" i="32"/>
  <c r="AE909" i="32"/>
  <c r="AC909" i="32"/>
  <c r="AA665" i="32"/>
  <c r="AE726" i="32"/>
  <c r="AC726" i="32"/>
  <c r="AE745" i="32"/>
  <c r="AC745" i="32"/>
  <c r="AE882" i="32"/>
  <c r="AC882" i="32"/>
  <c r="AE919" i="32"/>
  <c r="AC919" i="32"/>
  <c r="AE936" i="32"/>
  <c r="AC936" i="32"/>
  <c r="AC954" i="32"/>
  <c r="AE954" i="32"/>
  <c r="AE1008" i="32"/>
  <c r="AC1008" i="32"/>
  <c r="AE1094" i="32"/>
  <c r="AC1094" i="32"/>
  <c r="AC169" i="32"/>
  <c r="AC199" i="32"/>
  <c r="AC208" i="32"/>
  <c r="AC251" i="32"/>
  <c r="AC280" i="32"/>
  <c r="AC296" i="32"/>
  <c r="AC308" i="32"/>
  <c r="AC328" i="32"/>
  <c r="AC354" i="32"/>
  <c r="AC366" i="32"/>
  <c r="AC384" i="32"/>
  <c r="AC411" i="32"/>
  <c r="AC451" i="32"/>
  <c r="AC490" i="32"/>
  <c r="AC504" i="32"/>
  <c r="AC511" i="32"/>
  <c r="AA516" i="32"/>
  <c r="AC539" i="32"/>
  <c r="AC575" i="32"/>
  <c r="AE586" i="32"/>
  <c r="AC586" i="32"/>
  <c r="AA668" i="32"/>
  <c r="AE673" i="32"/>
  <c r="AC673" i="32"/>
  <c r="AE688" i="32"/>
  <c r="AC688" i="32"/>
  <c r="AE708" i="32"/>
  <c r="AC708" i="32"/>
  <c r="AE771" i="32"/>
  <c r="AC771" i="32"/>
  <c r="AE819" i="32"/>
  <c r="AC819" i="32"/>
  <c r="AE879" i="32"/>
  <c r="AC879" i="32"/>
  <c r="AE896" i="32"/>
  <c r="AC896" i="32"/>
  <c r="AE979" i="32"/>
  <c r="AC979" i="32"/>
  <c r="AE1015" i="32"/>
  <c r="AC1015" i="32"/>
  <c r="AC22" i="32"/>
  <c r="AC115" i="32"/>
  <c r="AC134" i="32"/>
  <c r="AC176" i="32"/>
  <c r="AC190" i="32"/>
  <c r="AC223" i="32"/>
  <c r="AC228" i="32"/>
  <c r="AC235" i="32"/>
  <c r="AC285" i="32"/>
  <c r="AC303" i="32"/>
  <c r="AC345" i="32"/>
  <c r="AC371" i="32"/>
  <c r="AC391" i="32"/>
  <c r="AC421" i="32"/>
  <c r="AC444" i="32"/>
  <c r="AC463" i="32"/>
  <c r="AC476" i="32"/>
  <c r="AC497" i="32"/>
  <c r="AC628" i="32"/>
  <c r="AE703" i="32"/>
  <c r="AC703" i="32"/>
  <c r="AE754" i="32"/>
  <c r="AC754" i="32"/>
  <c r="AE799" i="32"/>
  <c r="AC799" i="32"/>
  <c r="AE854" i="32"/>
  <c r="AC854" i="32"/>
  <c r="AE886" i="32"/>
  <c r="AC886" i="32"/>
  <c r="AE916" i="32"/>
  <c r="AC916" i="32"/>
  <c r="AE923" i="32"/>
  <c r="AC923" i="32"/>
  <c r="AE928" i="32"/>
  <c r="AC928" i="32"/>
  <c r="AC1158" i="32"/>
  <c r="AE1158" i="32"/>
  <c r="AC509" i="32"/>
  <c r="AA526" i="32"/>
  <c r="AC550" i="32"/>
  <c r="AA594" i="32"/>
  <c r="AE733" i="32"/>
  <c r="AC733" i="32"/>
  <c r="AE823" i="32"/>
  <c r="AC823" i="32"/>
  <c r="AE961" i="32"/>
  <c r="AA961" i="32"/>
  <c r="AE976" i="32"/>
  <c r="AC976" i="32"/>
  <c r="AE1025" i="32"/>
  <c r="AA1025" i="32"/>
  <c r="AC1038" i="32"/>
  <c r="AE1038" i="32"/>
  <c r="AE1041" i="32"/>
  <c r="AC1041" i="32"/>
  <c r="AE600" i="32"/>
  <c r="AC600" i="32"/>
  <c r="AA648" i="32"/>
  <c r="AE717" i="32"/>
  <c r="AC717" i="32"/>
  <c r="AE721" i="32"/>
  <c r="AC721" i="32"/>
  <c r="AE816" i="32"/>
  <c r="AC816" i="32"/>
  <c r="AE855" i="32"/>
  <c r="AA855" i="32"/>
  <c r="AE910" i="32"/>
  <c r="AC910" i="32"/>
  <c r="AE955" i="32"/>
  <c r="AC955" i="32"/>
  <c r="AC27" i="32"/>
  <c r="AC39" i="32"/>
  <c r="AC67" i="32"/>
  <c r="AC83" i="32"/>
  <c r="AC104" i="32"/>
  <c r="AC151" i="32"/>
  <c r="AC165" i="32"/>
  <c r="AC181" i="32"/>
  <c r="AC195" i="32"/>
  <c r="AC206" i="32"/>
  <c r="AC247" i="32"/>
  <c r="AC267" i="32"/>
  <c r="AC276" i="32"/>
  <c r="AC362" i="32"/>
  <c r="AC396" i="32"/>
  <c r="AC416" i="32"/>
  <c r="AC426" i="32"/>
  <c r="AC440" i="32"/>
  <c r="AC466" i="32"/>
  <c r="AC486" i="32"/>
  <c r="AC545" i="32"/>
  <c r="AC556" i="32"/>
  <c r="AC566" i="32"/>
  <c r="AE597" i="32"/>
  <c r="AC597" i="32"/>
  <c r="AE614" i="32"/>
  <c r="AC614" i="32"/>
  <c r="AA619" i="32"/>
  <c r="AE634" i="32"/>
  <c r="AC634" i="32"/>
  <c r="AE643" i="32"/>
  <c r="AC643" i="32"/>
  <c r="AE677" i="32"/>
  <c r="AE778" i="32"/>
  <c r="AC778" i="32"/>
  <c r="AA793" i="32"/>
  <c r="AE861" i="32"/>
  <c r="AC861" i="32"/>
  <c r="AE893" i="32"/>
  <c r="AC893" i="32"/>
  <c r="AE980" i="32"/>
  <c r="AC980" i="32"/>
  <c r="AE990" i="32"/>
  <c r="AC990" i="32"/>
  <c r="AE581" i="32"/>
  <c r="AE631" i="32"/>
  <c r="AC631" i="32"/>
  <c r="AC658" i="32"/>
  <c r="AE671" i="32"/>
  <c r="AC671" i="32"/>
  <c r="AE724" i="32"/>
  <c r="AC724" i="32"/>
  <c r="AC755" i="32"/>
  <c r="AE755" i="32"/>
  <c r="AE762" i="32"/>
  <c r="AC762" i="32"/>
  <c r="AC987" i="32"/>
  <c r="AE987" i="32"/>
  <c r="AA1026" i="32"/>
  <c r="AE1098" i="32"/>
  <c r="AC1098" i="32"/>
  <c r="AE553" i="32"/>
  <c r="AC553" i="32"/>
  <c r="AE680" i="32"/>
  <c r="AC680" i="32"/>
  <c r="AE683" i="32"/>
  <c r="AC683" i="32"/>
  <c r="AE712" i="32"/>
  <c r="AC712" i="32"/>
  <c r="AE743" i="32"/>
  <c r="AC743" i="32"/>
  <c r="AE797" i="32"/>
  <c r="AC797" i="32"/>
  <c r="AE827" i="32"/>
  <c r="AC827" i="32"/>
  <c r="AE858" i="32"/>
  <c r="AC858" i="32"/>
  <c r="AE877" i="32"/>
  <c r="AC877" i="32"/>
  <c r="AE907" i="32"/>
  <c r="AC907" i="32"/>
  <c r="AE914" i="32"/>
  <c r="AC914" i="32"/>
  <c r="AC505" i="32"/>
  <c r="AE629" i="32"/>
  <c r="AC664" i="32"/>
  <c r="AE740" i="32"/>
  <c r="AC740" i="32"/>
  <c r="AE752" i="32"/>
  <c r="AC752" i="32"/>
  <c r="AE769" i="32"/>
  <c r="AC769" i="32"/>
  <c r="AE807" i="32"/>
  <c r="AC807" i="32"/>
  <c r="AE831" i="32"/>
  <c r="AA831" i="32"/>
  <c r="AE837" i="32"/>
  <c r="AC837" i="32"/>
  <c r="AE840" i="32"/>
  <c r="AC840" i="32"/>
  <c r="AE849" i="32"/>
  <c r="AC849" i="32"/>
  <c r="AE865" i="32"/>
  <c r="AC865" i="32"/>
  <c r="AC953" i="32"/>
  <c r="AE953" i="32"/>
  <c r="AE1075" i="32"/>
  <c r="AC1075" i="32"/>
  <c r="AE1084" i="32"/>
  <c r="AC1084" i="32"/>
  <c r="AA713" i="32"/>
  <c r="AC725" i="32"/>
  <c r="AE731" i="32"/>
  <c r="AC731" i="32"/>
  <c r="AE884" i="32"/>
  <c r="AC884" i="32"/>
  <c r="AC894" i="32"/>
  <c r="AE894" i="32"/>
  <c r="AE911" i="32"/>
  <c r="AC911" i="32"/>
  <c r="AE921" i="32"/>
  <c r="AC921" i="32"/>
  <c r="AE941" i="32"/>
  <c r="AC941" i="32"/>
  <c r="AC12" i="32"/>
  <c r="AC42" i="32"/>
  <c r="AC56" i="32"/>
  <c r="AC70" i="32"/>
  <c r="AC140" i="32"/>
  <c r="AC154" i="32"/>
  <c r="AC168" i="32"/>
  <c r="AC184" i="32"/>
  <c r="AC198" i="32"/>
  <c r="AC241" i="32"/>
  <c r="AC250" i="32"/>
  <c r="AC260" i="32"/>
  <c r="AC270" i="32"/>
  <c r="AC279" i="32"/>
  <c r="AC295" i="32"/>
  <c r="AC317" i="32"/>
  <c r="AC353" i="32"/>
  <c r="AC365" i="32"/>
  <c r="AC383" i="32"/>
  <c r="AC410" i="32"/>
  <c r="AC489" i="32"/>
  <c r="AA576" i="32"/>
  <c r="AC612" i="32"/>
  <c r="AC741" i="32"/>
  <c r="AE766" i="32"/>
  <c r="AC766" i="32"/>
  <c r="AE770" i="32"/>
  <c r="AC770" i="32"/>
  <c r="AE821" i="32"/>
  <c r="AC821" i="32"/>
  <c r="AE974" i="32"/>
  <c r="AA974" i="32"/>
  <c r="AA1160" i="32"/>
  <c r="AA1161" i="32" s="1"/>
  <c r="AB1161" i="32" s="1"/>
  <c r="AE1160" i="32"/>
  <c r="AC538" i="32"/>
  <c r="AE574" i="32"/>
  <c r="AC615" i="32"/>
  <c r="AC635" i="32"/>
  <c r="AC647" i="32"/>
  <c r="AC656" i="32"/>
  <c r="AE722" i="32"/>
  <c r="AC722" i="32"/>
  <c r="AE811" i="32"/>
  <c r="AC811" i="32"/>
  <c r="AE859" i="32"/>
  <c r="AC859" i="32"/>
  <c r="AE885" i="32"/>
  <c r="AA885" i="32"/>
  <c r="AE891" i="32"/>
  <c r="AC891" i="32"/>
  <c r="AE898" i="32"/>
  <c r="AC898" i="32"/>
  <c r="AC908" i="32"/>
  <c r="AE908" i="32"/>
  <c r="AC557" i="32"/>
  <c r="AC582" i="32"/>
  <c r="AE585" i="32"/>
  <c r="AE593" i="32"/>
  <c r="AC593" i="32"/>
  <c r="AC618" i="32"/>
  <c r="AE678" i="32"/>
  <c r="AC678" i="32"/>
  <c r="AE2026" i="32"/>
  <c r="AE693" i="32"/>
  <c r="AE699" i="32"/>
  <c r="AC699" i="32"/>
  <c r="AE710" i="32"/>
  <c r="AC710" i="32"/>
  <c r="AE732" i="32"/>
  <c r="AE760" i="32"/>
  <c r="AC760" i="32"/>
  <c r="AE866" i="32"/>
  <c r="AC866" i="32"/>
  <c r="AE872" i="32"/>
  <c r="AC872" i="32"/>
  <c r="AE881" i="32"/>
  <c r="AC881" i="32"/>
  <c r="AE588" i="32"/>
  <c r="AE641" i="32"/>
  <c r="AC641" i="32"/>
  <c r="AE662" i="32"/>
  <c r="AC662" i="32"/>
  <c r="AE696" i="32"/>
  <c r="AC696" i="32"/>
  <c r="AE719" i="32"/>
  <c r="AC719" i="32"/>
  <c r="AE818" i="32"/>
  <c r="AC818" i="32"/>
  <c r="AE895" i="32"/>
  <c r="AC895" i="32"/>
  <c r="AE912" i="32"/>
  <c r="AC912" i="32"/>
  <c r="AE918" i="32"/>
  <c r="AA918" i="32"/>
  <c r="AE1049" i="32"/>
  <c r="AC1049" i="32"/>
  <c r="AC1085" i="32"/>
  <c r="AE1085" i="32"/>
  <c r="AE1035" i="32"/>
  <c r="AC1035" i="32"/>
  <c r="AA1114" i="32"/>
  <c r="AC1129" i="32"/>
  <c r="AE1164" i="32"/>
  <c r="AC1164" i="32"/>
  <c r="AE1190" i="32"/>
  <c r="AC1190" i="32"/>
  <c r="AE1304" i="32"/>
  <c r="AA1304" i="32"/>
  <c r="AE1323" i="32"/>
  <c r="AC1323" i="32"/>
  <c r="AC1440" i="32"/>
  <c r="AE1440" i="32"/>
  <c r="AC1535" i="32"/>
  <c r="AE1535" i="32"/>
  <c r="AE1112" i="32"/>
  <c r="AC1112" i="32"/>
  <c r="AE1147" i="32"/>
  <c r="AC1147" i="32"/>
  <c r="AE1170" i="32"/>
  <c r="AC1170" i="32"/>
  <c r="AE1199" i="32"/>
  <c r="AC1199" i="32"/>
  <c r="AE1213" i="32"/>
  <c r="AC1213" i="32"/>
  <c r="AA1229" i="32"/>
  <c r="AE1229" i="32"/>
  <c r="AE1246" i="32"/>
  <c r="AC1246" i="32"/>
  <c r="AE1270" i="32"/>
  <c r="AC1270" i="32"/>
  <c r="AE1286" i="32"/>
  <c r="AC1286" i="32"/>
  <c r="AE1326" i="32"/>
  <c r="AC1326" i="32"/>
  <c r="AE1413" i="32"/>
  <c r="AC1413" i="32"/>
  <c r="AE1472" i="32"/>
  <c r="AC1472" i="32"/>
  <c r="AC800" i="32"/>
  <c r="AC810" i="32"/>
  <c r="AC817" i="32"/>
  <c r="AC864" i="32"/>
  <c r="AC871" i="32"/>
  <c r="AC873" i="32"/>
  <c r="AC878" i="32"/>
  <c r="AC899" i="32"/>
  <c r="AC933" i="32"/>
  <c r="AE1007" i="32"/>
  <c r="AA1052" i="32"/>
  <c r="AE1109" i="32"/>
  <c r="AC1109" i="32"/>
  <c r="AE1126" i="32"/>
  <c r="AC1126" i="32"/>
  <c r="AA1165" i="32"/>
  <c r="AE1180" i="32"/>
  <c r="AC1180" i="32"/>
  <c r="AE1193" i="32"/>
  <c r="AC1193" i="32"/>
  <c r="AE1233" i="32"/>
  <c r="AC1233" i="32"/>
  <c r="AE1240" i="32"/>
  <c r="AA1240" i="32"/>
  <c r="AE1344" i="32"/>
  <c r="AA1344" i="32"/>
  <c r="AA950" i="32"/>
  <c r="AA985" i="32"/>
  <c r="AB1021" i="32"/>
  <c r="AE1088" i="32"/>
  <c r="AC1088" i="32"/>
  <c r="AA1142" i="32"/>
  <c r="AE1174" i="32"/>
  <c r="AA1174" i="32"/>
  <c r="AE1177" i="32"/>
  <c r="AC1177" i="32"/>
  <c r="AA1210" i="32"/>
  <c r="AE1217" i="32"/>
  <c r="AA1217" i="32"/>
  <c r="AE1220" i="32"/>
  <c r="AC1220" i="32"/>
  <c r="AE1255" i="32"/>
  <c r="AC1255" i="32"/>
  <c r="AA1277" i="32"/>
  <c r="AE1320" i="32"/>
  <c r="AC1320" i="32"/>
  <c r="AA1506" i="32"/>
  <c r="AC958" i="32"/>
  <c r="AE996" i="32"/>
  <c r="AC996" i="32"/>
  <c r="AE1010" i="32"/>
  <c r="AC1010" i="32"/>
  <c r="AC1016" i="32"/>
  <c r="AE1091" i="32"/>
  <c r="AC1091" i="32"/>
  <c r="AE1181" i="32"/>
  <c r="AC1181" i="32"/>
  <c r="AE1194" i="32"/>
  <c r="AC1194" i="32"/>
  <c r="AE1230" i="32"/>
  <c r="AC1230" i="32"/>
  <c r="AE1261" i="32"/>
  <c r="AC1261" i="32"/>
  <c r="AE1296" i="32"/>
  <c r="AC1296" i="32"/>
  <c r="AE1333" i="32"/>
  <c r="AA1333" i="32"/>
  <c r="AE1341" i="32"/>
  <c r="AC1341" i="32"/>
  <c r="AE1389" i="32"/>
  <c r="AC1389" i="32"/>
  <c r="AC744" i="32"/>
  <c r="AC763" i="32"/>
  <c r="AC775" i="32"/>
  <c r="AC796" i="32"/>
  <c r="AC822" i="32"/>
  <c r="AC904" i="32"/>
  <c r="AC913" i="32"/>
  <c r="AE938" i="32"/>
  <c r="AC971" i="32"/>
  <c r="AA1030" i="32"/>
  <c r="AC1099" i="32"/>
  <c r="AE1153" i="32"/>
  <c r="AC1153" i="32"/>
  <c r="AE1168" i="32"/>
  <c r="AC1168" i="32"/>
  <c r="AE1184" i="32"/>
  <c r="AC1184" i="32"/>
  <c r="AC1200" i="32"/>
  <c r="AE1200" i="32"/>
  <c r="AE1226" i="32"/>
  <c r="AA1226" i="32"/>
  <c r="AE1268" i="32"/>
  <c r="AC1268" i="32"/>
  <c r="AE1274" i="32"/>
  <c r="AC1274" i="32"/>
  <c r="AE1290" i="32"/>
  <c r="AC1290" i="32"/>
  <c r="AA983" i="32"/>
  <c r="AE1005" i="32"/>
  <c r="AC1005" i="32"/>
  <c r="AE1237" i="32"/>
  <c r="AC1237" i="32"/>
  <c r="AA595" i="32"/>
  <c r="AC735" i="32"/>
  <c r="AC742" i="32"/>
  <c r="AC759" i="32"/>
  <c r="AC789" i="32"/>
  <c r="AC794" i="32"/>
  <c r="AC813" i="32"/>
  <c r="AC820" i="32"/>
  <c r="AC829" i="32"/>
  <c r="AC853" i="32"/>
  <c r="AC883" i="32"/>
  <c r="AE964" i="32"/>
  <c r="AA973" i="32"/>
  <c r="AC989" i="32"/>
  <c r="AC997" i="32"/>
  <c r="AE1011" i="32"/>
  <c r="AC1069" i="32"/>
  <c r="AC1113" i="32"/>
  <c r="AE1191" i="32"/>
  <c r="AC1191" i="32"/>
  <c r="AE1211" i="32"/>
  <c r="AC1211" i="32"/>
  <c r="AE1265" i="32"/>
  <c r="AC1265" i="32"/>
  <c r="AE1284" i="32"/>
  <c r="AC1284" i="32"/>
  <c r="AE1356" i="32"/>
  <c r="AC1356" i="32"/>
  <c r="AC1402" i="32"/>
  <c r="AE1402" i="32"/>
  <c r="AE1405" i="32"/>
  <c r="AC1405" i="32"/>
  <c r="AC1420" i="32"/>
  <c r="AE1420" i="32"/>
  <c r="AE1014" i="32"/>
  <c r="AC1037" i="32"/>
  <c r="AC1064" i="32"/>
  <c r="AE1185" i="32"/>
  <c r="AC1185" i="32"/>
  <c r="AC1231" i="32"/>
  <c r="AE1231" i="32"/>
  <c r="AE1238" i="32"/>
  <c r="AA1238" i="32"/>
  <c r="AA1244" i="32"/>
  <c r="AE1281" i="32"/>
  <c r="AC1281" i="32"/>
  <c r="AE1019" i="32"/>
  <c r="AA1019" i="32"/>
  <c r="AE1055" i="32"/>
  <c r="AC1055" i="32"/>
  <c r="AE1110" i="32"/>
  <c r="AC1110" i="32"/>
  <c r="AA1125" i="32"/>
  <c r="AE1163" i="32"/>
  <c r="AC1163" i="32"/>
  <c r="AA1227" i="32"/>
  <c r="AE1227" i="32"/>
  <c r="AE1241" i="32"/>
  <c r="AC1241" i="32"/>
  <c r="AC1275" i="32"/>
  <c r="AE1275" i="32"/>
  <c r="AC1291" i="32"/>
  <c r="AE1291" i="32"/>
  <c r="AE1508" i="32"/>
  <c r="AA1508" i="32"/>
  <c r="AE1000" i="32"/>
  <c r="AE1017" i="32"/>
  <c r="AE1048" i="32"/>
  <c r="AE1131" i="32"/>
  <c r="AC1131" i="32"/>
  <c r="AE1175" i="32"/>
  <c r="AC1175" i="32"/>
  <c r="AE1218" i="32"/>
  <c r="AC1218" i="32"/>
  <c r="AE1245" i="32"/>
  <c r="AA1245" i="32"/>
  <c r="AE1122" i="32"/>
  <c r="AC1122" i="32"/>
  <c r="AA1157" i="32"/>
  <c r="AE1182" i="32"/>
  <c r="AC1182" i="32"/>
  <c r="AE1195" i="32"/>
  <c r="AC1195" i="32"/>
  <c r="AC1266" i="32"/>
  <c r="AE1266" i="32"/>
  <c r="AE952" i="32"/>
  <c r="AC972" i="32"/>
  <c r="AE982" i="32"/>
  <c r="AA984" i="32"/>
  <c r="AC995" i="32"/>
  <c r="AE1003" i="32"/>
  <c r="AC1003" i="32"/>
  <c r="AE1023" i="32"/>
  <c r="AC1023" i="32"/>
  <c r="AE1056" i="32"/>
  <c r="AE1111" i="32"/>
  <c r="AE1176" i="32"/>
  <c r="AC1176" i="32"/>
  <c r="AE1215" i="32"/>
  <c r="AC1215" i="32"/>
  <c r="AE1235" i="32"/>
  <c r="AC1235" i="32"/>
  <c r="AE1272" i="32"/>
  <c r="AC1272" i="32"/>
  <c r="AC1282" i="32"/>
  <c r="AE1282" i="32"/>
  <c r="AE1288" i="32"/>
  <c r="AC1288" i="32"/>
  <c r="AE1319" i="32"/>
  <c r="AA1319" i="32"/>
  <c r="AE1346" i="32"/>
  <c r="AA1346" i="32"/>
  <c r="AA949" i="32"/>
  <c r="AE1073" i="32"/>
  <c r="AE1143" i="32"/>
  <c r="AC1143" i="32"/>
  <c r="AE1228" i="32"/>
  <c r="AA1228" i="32"/>
  <c r="AE1433" i="32"/>
  <c r="AC1433" i="32"/>
  <c r="AC977" i="32"/>
  <c r="AE1065" i="32"/>
  <c r="AE1081" i="32"/>
  <c r="AC1081" i="32"/>
  <c r="AC1123" i="32"/>
  <c r="AE1135" i="32"/>
  <c r="AC1135" i="32"/>
  <c r="AE1152" i="32"/>
  <c r="AC1152" i="32"/>
  <c r="AE1173" i="32"/>
  <c r="AE1189" i="32"/>
  <c r="AC1189" i="32"/>
  <c r="AE1263" i="32"/>
  <c r="AC1263" i="32"/>
  <c r="AC1298" i="32"/>
  <c r="AE1298" i="32"/>
  <c r="AE2287" i="32"/>
  <c r="AA2287" i="32"/>
  <c r="AE1120" i="32"/>
  <c r="AE1155" i="32"/>
  <c r="AC1155" i="32"/>
  <c r="AE1186" i="32"/>
  <c r="AC1186" i="32"/>
  <c r="AE1557" i="32"/>
  <c r="AA1557" i="32"/>
  <c r="AE1367" i="32"/>
  <c r="AE1391" i="32"/>
  <c r="AE1407" i="32"/>
  <c r="AE1415" i="32"/>
  <c r="AE1430" i="32"/>
  <c r="AC1430" i="32"/>
  <c r="AE1475" i="32"/>
  <c r="AE1532" i="32"/>
  <c r="AC1532" i="32"/>
  <c r="AE1558" i="32"/>
  <c r="AC1558" i="32"/>
  <c r="AE1578" i="32"/>
  <c r="AC1578" i="32"/>
  <c r="AE1661" i="32"/>
  <c r="AC1661" i="32"/>
  <c r="AE1688" i="32"/>
  <c r="AC1688" i="32"/>
  <c r="AE1711" i="32"/>
  <c r="AC1711" i="32"/>
  <c r="AE1756" i="32"/>
  <c r="AC1756" i="32"/>
  <c r="AC1198" i="32"/>
  <c r="AC1216" i="32"/>
  <c r="AC1254" i="32"/>
  <c r="AC1273" i="32"/>
  <c r="AC1280" i="32"/>
  <c r="AC1289" i="32"/>
  <c r="AE1314" i="32"/>
  <c r="AC1324" i="32"/>
  <c r="AC1386" i="32"/>
  <c r="AE1399" i="32"/>
  <c r="AC1399" i="32"/>
  <c r="AC1423" i="32"/>
  <c r="AC1436" i="32"/>
  <c r="AC1524" i="32"/>
  <c r="AE1549" i="32"/>
  <c r="AC1549" i="32"/>
  <c r="AE1667" i="32"/>
  <c r="AC1667" i="32"/>
  <c r="AE1674" i="32"/>
  <c r="AC1674" i="32"/>
  <c r="AA1236" i="32"/>
  <c r="AA1252" i="32"/>
  <c r="AE1305" i="32"/>
  <c r="AE1329" i="32"/>
  <c r="AC1329" i="32"/>
  <c r="AE1362" i="32"/>
  <c r="AC1362" i="32"/>
  <c r="AA1490" i="32"/>
  <c r="AE1515" i="32"/>
  <c r="AE1552" i="32"/>
  <c r="AC1552" i="32"/>
  <c r="AE1616" i="32"/>
  <c r="AC1616" i="32"/>
  <c r="AE1643" i="32"/>
  <c r="AC1643" i="32"/>
  <c r="AE1658" i="32"/>
  <c r="AC1658" i="32"/>
  <c r="AA1715" i="32"/>
  <c r="AE1781" i="32"/>
  <c r="AC1781" i="32"/>
  <c r="AE1797" i="32"/>
  <c r="AC1797" i="32"/>
  <c r="AE1562" i="32"/>
  <c r="AC1562" i="32"/>
  <c r="AE1573" i="32"/>
  <c r="AC1573" i="32"/>
  <c r="AC1598" i="32"/>
  <c r="AE1598" i="32"/>
  <c r="AE1646" i="32"/>
  <c r="AC1646" i="32"/>
  <c r="AE1671" i="32"/>
  <c r="AC1671" i="32"/>
  <c r="AE1788" i="32"/>
  <c r="AC1788" i="32"/>
  <c r="AC1885" i="32"/>
  <c r="AE1885" i="32"/>
  <c r="AC1247" i="32"/>
  <c r="AC1322" i="32"/>
  <c r="AC1373" i="32"/>
  <c r="AE1378" i="32"/>
  <c r="AE1383" i="32"/>
  <c r="AC1383" i="32"/>
  <c r="AE1400" i="32"/>
  <c r="AB1428" i="32"/>
  <c r="AE1518" i="32"/>
  <c r="AC1518" i="32"/>
  <c r="AE1527" i="32"/>
  <c r="AC1527" i="32"/>
  <c r="AE1553" i="32"/>
  <c r="AC1553" i="32"/>
  <c r="AE1565" i="32"/>
  <c r="AC1565" i="32"/>
  <c r="AE1728" i="32"/>
  <c r="AC1728" i="32"/>
  <c r="AA1763" i="32"/>
  <c r="AA1349" i="32"/>
  <c r="AE1392" i="32"/>
  <c r="AC1392" i="32"/>
  <c r="AE1408" i="32"/>
  <c r="AC1408" i="32"/>
  <c r="AE1476" i="32"/>
  <c r="AC1476" i="32"/>
  <c r="AA1513" i="32"/>
  <c r="AE1541" i="32"/>
  <c r="AC1541" i="32"/>
  <c r="AE1595" i="32"/>
  <c r="AC1595" i="32"/>
  <c r="AE1704" i="32"/>
  <c r="AC1704" i="32"/>
  <c r="AE1735" i="32"/>
  <c r="AC1735" i="32"/>
  <c r="AE1823" i="32"/>
  <c r="AA1823" i="32"/>
  <c r="AE1841" i="32"/>
  <c r="AA1841" i="32"/>
  <c r="AE1479" i="32"/>
  <c r="AC1479" i="32"/>
  <c r="AE1538" i="32"/>
  <c r="AC1538" i="32"/>
  <c r="AE1556" i="32"/>
  <c r="AA1556" i="32"/>
  <c r="AC1659" i="32"/>
  <c r="AE1659" i="32"/>
  <c r="AE1732" i="32"/>
  <c r="AC1732" i="32"/>
  <c r="AE1738" i="32"/>
  <c r="AC1738" i="32"/>
  <c r="AC1798" i="32"/>
  <c r="AE1798" i="32"/>
  <c r="AE1811" i="32"/>
  <c r="AA1811" i="32"/>
  <c r="AE1817" i="32"/>
  <c r="AC1817" i="32"/>
  <c r="AE1826" i="32"/>
  <c r="AA1826" i="32"/>
  <c r="AE1898" i="32"/>
  <c r="AC1898" i="32"/>
  <c r="AC1219" i="32"/>
  <c r="AC1232" i="32"/>
  <c r="AA1355" i="32"/>
  <c r="AE1384" i="32"/>
  <c r="AC1416" i="32"/>
  <c r="AE1488" i="32"/>
  <c r="AC1488" i="32"/>
  <c r="AA1507" i="32"/>
  <c r="AC1519" i="32"/>
  <c r="AC1528" i="32"/>
  <c r="AC1672" i="32"/>
  <c r="AE1672" i="32"/>
  <c r="AE1686" i="32"/>
  <c r="AC1686" i="32"/>
  <c r="AE1696" i="32"/>
  <c r="AC1696" i="32"/>
  <c r="AE1770" i="32"/>
  <c r="AC1770" i="32"/>
  <c r="AE1785" i="32"/>
  <c r="AC1785" i="32"/>
  <c r="AE1838" i="32"/>
  <c r="AA1838" i="32"/>
  <c r="AE1866" i="32"/>
  <c r="AC1866" i="32"/>
  <c r="AA1070" i="32"/>
  <c r="AA1414" i="32"/>
  <c r="AE1525" i="32"/>
  <c r="AC1525" i="32"/>
  <c r="AE1539" i="32"/>
  <c r="AE1550" i="32"/>
  <c r="AC1550" i="32"/>
  <c r="AE1624" i="32"/>
  <c r="AA1624" i="32"/>
  <c r="AE1742" i="32"/>
  <c r="AC1742" i="32"/>
  <c r="AC1863" i="32"/>
  <c r="AE1863" i="32"/>
  <c r="AE1886" i="32"/>
  <c r="AA1886" i="32"/>
  <c r="AC1042" i="32"/>
  <c r="AC1053" i="32"/>
  <c r="AA1301" i="32"/>
  <c r="AE1360" i="32"/>
  <c r="AC1360" i="32"/>
  <c r="AE1437" i="32"/>
  <c r="AC1437" i="32"/>
  <c r="AE1516" i="32"/>
  <c r="AC1516" i="32"/>
  <c r="AE1569" i="32"/>
  <c r="AC1569" i="32"/>
  <c r="AA1574" i="32"/>
  <c r="AE1641" i="32"/>
  <c r="AC1641" i="32"/>
  <c r="AE1650" i="32"/>
  <c r="AC1650" i="32"/>
  <c r="AE1656" i="32"/>
  <c r="AC1656" i="32"/>
  <c r="AE1690" i="32"/>
  <c r="AC1690" i="32"/>
  <c r="AE1697" i="32"/>
  <c r="AA1697" i="32"/>
  <c r="AE1713" i="32"/>
  <c r="AC1713" i="32"/>
  <c r="AE1749" i="32"/>
  <c r="AC1749" i="32"/>
  <c r="AE1755" i="32"/>
  <c r="AC1755" i="32"/>
  <c r="AE1758" i="32"/>
  <c r="AC1758" i="32"/>
  <c r="AE1768" i="32"/>
  <c r="AC1768" i="32"/>
  <c r="AA1779" i="32"/>
  <c r="AC1379" i="32"/>
  <c r="AC1489" i="32"/>
  <c r="AA1500" i="32"/>
  <c r="AA1526" i="32"/>
  <c r="AE1545" i="32"/>
  <c r="AA1545" i="32"/>
  <c r="AE1563" i="32"/>
  <c r="AC1563" i="32"/>
  <c r="AE1627" i="32"/>
  <c r="AC1627" i="32"/>
  <c r="AB1669" i="32"/>
  <c r="AE1805" i="32"/>
  <c r="AA1805" i="32"/>
  <c r="AE1353" i="32"/>
  <c r="AA1353" i="32"/>
  <c r="AE1505" i="32"/>
  <c r="AC1505" i="32"/>
  <c r="AA1585" i="32"/>
  <c r="AE1691" i="32"/>
  <c r="AC1691" i="32"/>
  <c r="AE1726" i="32"/>
  <c r="AC1726" i="32"/>
  <c r="AE1746" i="32"/>
  <c r="AC1746" i="32"/>
  <c r="AC1786" i="32"/>
  <c r="AE1786" i="32"/>
  <c r="AE1793" i="32"/>
  <c r="AC1793" i="32"/>
  <c r="AA1345" i="32"/>
  <c r="AE1374" i="32"/>
  <c r="AC1374" i="32"/>
  <c r="AC1382" i="32"/>
  <c r="AE1438" i="32"/>
  <c r="AE1477" i="32"/>
  <c r="AC1477" i="32"/>
  <c r="AE1495" i="32"/>
  <c r="AC1495" i="32"/>
  <c r="AC1517" i="32"/>
  <c r="AE1534" i="32"/>
  <c r="AC1534" i="32"/>
  <c r="AE1560" i="32"/>
  <c r="AA1560" i="32"/>
  <c r="AE1583" i="32"/>
  <c r="AC1583" i="32"/>
  <c r="AE1593" i="32"/>
  <c r="AA1593" i="32"/>
  <c r="AE1618" i="32"/>
  <c r="AC1618" i="32"/>
  <c r="AE1777" i="32"/>
  <c r="AC1777" i="32"/>
  <c r="AE1802" i="32"/>
  <c r="AC1802" i="32"/>
  <c r="AC1396" i="32"/>
  <c r="AE1419" i="32"/>
  <c r="AC1419" i="32"/>
  <c r="AE1483" i="32"/>
  <c r="AC1483" i="32"/>
  <c r="AE1486" i="32"/>
  <c r="AC1486" i="32"/>
  <c r="AE1492" i="32"/>
  <c r="AC1492" i="32"/>
  <c r="AE1514" i="32"/>
  <c r="AC1514" i="32"/>
  <c r="AC1546" i="32"/>
  <c r="AC1561" i="32"/>
  <c r="AA1594" i="32"/>
  <c r="AE1600" i="32"/>
  <c r="AC1600" i="32"/>
  <c r="AE1679" i="32"/>
  <c r="AC1679" i="32"/>
  <c r="AE1730" i="32"/>
  <c r="AC1730" i="32"/>
  <c r="AE1765" i="32"/>
  <c r="AC1765" i="32"/>
  <c r="AE1815" i="32"/>
  <c r="AC1815" i="32"/>
  <c r="AC1321" i="32"/>
  <c r="AC1336" i="32"/>
  <c r="AE1372" i="32"/>
  <c r="AA1393" i="32"/>
  <c r="AA1422" i="32"/>
  <c r="AC1441" i="32"/>
  <c r="AA1478" i="32"/>
  <c r="AE1523" i="32"/>
  <c r="AC1523" i="32"/>
  <c r="AE1540" i="32"/>
  <c r="AC1540" i="32"/>
  <c r="AC1555" i="32"/>
  <c r="AE1654" i="32"/>
  <c r="AC1654" i="32"/>
  <c r="AA1694" i="32"/>
  <c r="AE1717" i="32"/>
  <c r="AC1717" i="32"/>
  <c r="AE1836" i="32"/>
  <c r="AA1836" i="32"/>
  <c r="AC1855" i="32"/>
  <c r="AE1855" i="32"/>
  <c r="AA1343" i="32"/>
  <c r="AA1385" i="32"/>
  <c r="AA1410" i="32"/>
  <c r="AE1484" i="32"/>
  <c r="AE1493" i="32"/>
  <c r="AE1520" i="32"/>
  <c r="AC1520" i="32"/>
  <c r="AE1529" i="32"/>
  <c r="AC1529" i="32"/>
  <c r="AE1543" i="32"/>
  <c r="AC1543" i="32"/>
  <c r="AA1567" i="32"/>
  <c r="AE1581" i="32"/>
  <c r="AA1581" i="32"/>
  <c r="AE1597" i="32"/>
  <c r="AC1597" i="32"/>
  <c r="AE1612" i="32"/>
  <c r="AC1612" i="32"/>
  <c r="AE1615" i="32"/>
  <c r="AA1615" i="32"/>
  <c r="AE1625" i="32"/>
  <c r="AC1625" i="32"/>
  <c r="AE1740" i="32"/>
  <c r="AC1740" i="32"/>
  <c r="AC1747" i="32"/>
  <c r="AE1747" i="32"/>
  <c r="AE1762" i="32"/>
  <c r="AC1762" i="32"/>
  <c r="AC1787" i="32"/>
  <c r="AE1787" i="32"/>
  <c r="AA1891" i="32"/>
  <c r="AE2010" i="32"/>
  <c r="AA2010" i="32"/>
  <c r="AE2013" i="32"/>
  <c r="AC2013" i="32"/>
  <c r="AA2022" i="32"/>
  <c r="AE2022" i="32"/>
  <c r="AC2183" i="32"/>
  <c r="AE2183" i="32"/>
  <c r="AA2223" i="32"/>
  <c r="AE2223" i="32"/>
  <c r="AE2261" i="32"/>
  <c r="AA2261" i="32"/>
  <c r="AC1657" i="32"/>
  <c r="AB1668" i="32"/>
  <c r="AC1670" i="32"/>
  <c r="AC1731" i="32"/>
  <c r="AC1745" i="32"/>
  <c r="AC1754" i="32"/>
  <c r="AC1791" i="32"/>
  <c r="AA1813" i="32"/>
  <c r="AA1839" i="32"/>
  <c r="AE1861" i="32"/>
  <c r="AC1945" i="32"/>
  <c r="AE2028" i="32"/>
  <c r="AA2028" i="32"/>
  <c r="AE2073" i="32"/>
  <c r="AC2073" i="32"/>
  <c r="AE2112" i="32"/>
  <c r="AA2112" i="32"/>
  <c r="AC1632" i="32"/>
  <c r="AC1666" i="32"/>
  <c r="AC1677" i="32"/>
  <c r="AC1684" i="32"/>
  <c r="AC1877" i="32"/>
  <c r="AA1892" i="32"/>
  <c r="AE1894" i="32"/>
  <c r="AE1905" i="32"/>
  <c r="AA1905" i="32"/>
  <c r="AE1908" i="32"/>
  <c r="AC1908" i="32"/>
  <c r="AC1936" i="32"/>
  <c r="AE1939" i="32"/>
  <c r="AC1939" i="32"/>
  <c r="AA1956" i="32"/>
  <c r="AE1995" i="32"/>
  <c r="AC1995" i="32"/>
  <c r="AE2014" i="32"/>
  <c r="AC2014" i="32"/>
  <c r="AE2085" i="32"/>
  <c r="AC2085" i="32"/>
  <c r="AE2155" i="32"/>
  <c r="AC2155" i="32"/>
  <c r="AC1695" i="32"/>
  <c r="AC1729" i="32"/>
  <c r="AC1743" i="32"/>
  <c r="AC1775" i="32"/>
  <c r="AC1789" i="32"/>
  <c r="AC1825" i="32"/>
  <c r="AE1853" i="32"/>
  <c r="AA1853" i="32"/>
  <c r="AE1930" i="32"/>
  <c r="AC1930" i="32"/>
  <c r="AE1948" i="32"/>
  <c r="AC1948" i="32"/>
  <c r="AE1953" i="32"/>
  <c r="AC1953" i="32"/>
  <c r="AE2004" i="32"/>
  <c r="AC2004" i="32"/>
  <c r="AE2218" i="32"/>
  <c r="AA2218" i="32"/>
  <c r="AA2258" i="32"/>
  <c r="AC1610" i="32"/>
  <c r="AC1630" i="32"/>
  <c r="AC1662" i="32"/>
  <c r="AC1675" i="32"/>
  <c r="AC1700" i="32"/>
  <c r="AC1707" i="32"/>
  <c r="AC1720" i="32"/>
  <c r="AC1750" i="32"/>
  <c r="AA1827" i="32"/>
  <c r="AB1874" i="32"/>
  <c r="AE1942" i="32"/>
  <c r="AC1942" i="32"/>
  <c r="AE2025" i="32"/>
  <c r="AA2025" i="32"/>
  <c r="AE2047" i="32"/>
  <c r="AC2047" i="32"/>
  <c r="AC2113" i="32"/>
  <c r="AE2113" i="32"/>
  <c r="AE2265" i="32"/>
  <c r="AA2265" i="32"/>
  <c r="AE2273" i="32"/>
  <c r="AA2273" i="32"/>
  <c r="AE2281" i="32"/>
  <c r="AA2281" i="32"/>
  <c r="AE2289" i="32"/>
  <c r="AA2289" i="32"/>
  <c r="AA1608" i="32"/>
  <c r="AC1642" i="32"/>
  <c r="AC1651" i="32"/>
  <c r="AC1689" i="32"/>
  <c r="AC1714" i="32"/>
  <c r="AC1727" i="32"/>
  <c r="AC1734" i="32"/>
  <c r="AC1741" i="32"/>
  <c r="AC1782" i="32"/>
  <c r="AC1804" i="32"/>
  <c r="AA1837" i="32"/>
  <c r="AA1843" i="32"/>
  <c r="AC1848" i="32"/>
  <c r="AE1914" i="32"/>
  <c r="AC1914" i="32"/>
  <c r="AA1954" i="32"/>
  <c r="AE1964" i="32"/>
  <c r="AC1964" i="32"/>
  <c r="AE1970" i="32"/>
  <c r="AA1970" i="32"/>
  <c r="AE2036" i="32"/>
  <c r="AC2036" i="32"/>
  <c r="AE2068" i="32"/>
  <c r="AC2068" i="32"/>
  <c r="AA2077" i="32"/>
  <c r="AE2080" i="32"/>
  <c r="AC2080" i="32"/>
  <c r="AE2128" i="32"/>
  <c r="AC2128" i="32"/>
  <c r="AE1828" i="32"/>
  <c r="AA1828" i="32"/>
  <c r="AE1903" i="32"/>
  <c r="AA1903" i="32"/>
  <c r="AC1931" i="32"/>
  <c r="AE1959" i="32"/>
  <c r="AC1959" i="32"/>
  <c r="AC2005" i="32"/>
  <c r="AE2008" i="32"/>
  <c r="AA2008" i="32"/>
  <c r="AE2048" i="32"/>
  <c r="AC2048" i="32"/>
  <c r="AE2125" i="32"/>
  <c r="AC2125" i="32"/>
  <c r="AA2196" i="32"/>
  <c r="AC1586" i="32"/>
  <c r="AC1628" i="32"/>
  <c r="AC1640" i="32"/>
  <c r="AC1649" i="32"/>
  <c r="AC1687" i="32"/>
  <c r="AC1712" i="32"/>
  <c r="AC1723" i="32"/>
  <c r="AC1739" i="32"/>
  <c r="AC1757" i="32"/>
  <c r="AC1764" i="32"/>
  <c r="AC1771" i="32"/>
  <c r="AC1780" i="32"/>
  <c r="AE1851" i="32"/>
  <c r="AC1851" i="32"/>
  <c r="AE1875" i="32"/>
  <c r="AE1912" i="32"/>
  <c r="AA1912" i="32"/>
  <c r="AE1928" i="32"/>
  <c r="AC1928" i="32"/>
  <c r="AC1943" i="32"/>
  <c r="AE2030" i="32"/>
  <c r="AA2030" i="32"/>
  <c r="AE2240" i="32"/>
  <c r="AA2240" i="32"/>
  <c r="AE1792" i="32"/>
  <c r="AA1807" i="32"/>
  <c r="AC1854" i="32"/>
  <c r="AA1857" i="32"/>
  <c r="AA1872" i="32"/>
  <c r="AA1887" i="32"/>
  <c r="AC1909" i="32"/>
  <c r="AC1965" i="32"/>
  <c r="AA1975" i="32"/>
  <c r="AE1993" i="32"/>
  <c r="AC1993" i="32"/>
  <c r="AE2018" i="32"/>
  <c r="AA2018" i="32"/>
  <c r="AA2033" i="32"/>
  <c r="AE2150" i="32"/>
  <c r="AC2150" i="32"/>
  <c r="AE2167" i="32"/>
  <c r="AA2167" i="32"/>
  <c r="AA2262" i="32"/>
  <c r="AE2203" i="32"/>
  <c r="AA2203" i="32"/>
  <c r="AC1744" i="32"/>
  <c r="AC1753" i="32"/>
  <c r="AC1767" i="32"/>
  <c r="AC1790" i="32"/>
  <c r="AA1895" i="32"/>
  <c r="AE1901" i="32"/>
  <c r="AC1901" i="32"/>
  <c r="AE1906" i="32"/>
  <c r="AC1906" i="32"/>
  <c r="AA2015" i="32"/>
  <c r="AC2075" i="32"/>
  <c r="AE2075" i="32"/>
  <c r="AE2171" i="32"/>
  <c r="AA2171" i="32"/>
  <c r="AE1888" i="32"/>
  <c r="AC1888" i="32"/>
  <c r="AA1962" i="32"/>
  <c r="AC1994" i="32"/>
  <c r="AA2040" i="32"/>
  <c r="AE2040" i="32"/>
  <c r="AE2285" i="32"/>
  <c r="AA2285" i="32"/>
  <c r="AC1774" i="32"/>
  <c r="AC1938" i="32"/>
  <c r="AE2016" i="32"/>
  <c r="AA2016" i="32"/>
  <c r="AE2060" i="32"/>
  <c r="AC2060" i="32"/>
  <c r="AC2090" i="32"/>
  <c r="AE2090" i="32"/>
  <c r="AE2133" i="32"/>
  <c r="AC2133" i="32"/>
  <c r="AE2136" i="32"/>
  <c r="AC2136" i="32"/>
  <c r="AC1652" i="32"/>
  <c r="AA1814" i="32"/>
  <c r="AC1883" i="32"/>
  <c r="AA1893" i="32"/>
  <c r="AC1896" i="32"/>
  <c r="AE1926" i="32"/>
  <c r="AC1926" i="32"/>
  <c r="AC1941" i="32"/>
  <c r="AE2000" i="32"/>
  <c r="AC2000" i="32"/>
  <c r="AE2012" i="32"/>
  <c r="AA2012" i="32"/>
  <c r="AE2165" i="32"/>
  <c r="AA2165" i="32"/>
  <c r="AE2188" i="32"/>
  <c r="AC2188" i="32"/>
  <c r="AC1803" i="32"/>
  <c r="AE1871" i="32"/>
  <c r="AC1871" i="32"/>
  <c r="AE1944" i="32"/>
  <c r="AC1944" i="32"/>
  <c r="AA2009" i="32"/>
  <c r="AE2146" i="32"/>
  <c r="AA2146" i="32"/>
  <c r="AA2260" i="32"/>
  <c r="AA1842" i="32"/>
  <c r="AE1847" i="32"/>
  <c r="AE1858" i="32"/>
  <c r="AA1868" i="32"/>
  <c r="AE1935" i="32"/>
  <c r="AC1935" i="32"/>
  <c r="AE1950" i="32"/>
  <c r="AB1960" i="32"/>
  <c r="AE1966" i="32"/>
  <c r="AC1966" i="32"/>
  <c r="AA1971" i="32"/>
  <c r="AA2024" i="32"/>
  <c r="AC2201" i="32"/>
  <c r="AE2201" i="32"/>
  <c r="AA2282" i="32"/>
  <c r="AE2302" i="32"/>
  <c r="AC2302" i="32"/>
  <c r="AE2328" i="32"/>
  <c r="AC2328" i="32"/>
  <c r="AE2418" i="32"/>
  <c r="AC2418" i="32"/>
  <c r="AA2029" i="32"/>
  <c r="AE2088" i="32"/>
  <c r="AC2131" i="32"/>
  <c r="AC2163" i="32"/>
  <c r="AE2181" i="32"/>
  <c r="AC2194" i="32"/>
  <c r="AC2229" i="32"/>
  <c r="AA2291" i="32"/>
  <c r="AE2294" i="32"/>
  <c r="AC2294" i="32"/>
  <c r="AC2308" i="32"/>
  <c r="AE2357" i="32"/>
  <c r="AC2357" i="32"/>
  <c r="AE2364" i="32"/>
  <c r="AC2364" i="32"/>
  <c r="AE2367" i="32"/>
  <c r="AC2367" i="32"/>
  <c r="AE2134" i="32"/>
  <c r="AE2141" i="32"/>
  <c r="AA2168" i="32"/>
  <c r="AA2179" i="32"/>
  <c r="AC2237" i="32"/>
  <c r="AA2244" i="32"/>
  <c r="AE2269" i="32"/>
  <c r="AA2280" i="32"/>
  <c r="AA2283" i="32"/>
  <c r="AC2319" i="32"/>
  <c r="AE2318" i="32"/>
  <c r="AE2329" i="32"/>
  <c r="AA2329" i="32"/>
  <c r="AE2338" i="32"/>
  <c r="AC2338" i="32"/>
  <c r="AE2361" i="32"/>
  <c r="AC2361" i="32"/>
  <c r="AE2387" i="32"/>
  <c r="AC2387" i="32"/>
  <c r="AE2403" i="32"/>
  <c r="AC2403" i="32"/>
  <c r="AE2413" i="32"/>
  <c r="AC2413" i="32"/>
  <c r="AA2063" i="32"/>
  <c r="AE2323" i="32"/>
  <c r="AC2323" i="32"/>
  <c r="AE2358" i="32"/>
  <c r="AC2358" i="32"/>
  <c r="AC2039" i="32"/>
  <c r="AE2051" i="32"/>
  <c r="AC2069" i="32"/>
  <c r="AC2116" i="32"/>
  <c r="AE2129" i="32"/>
  <c r="AC2144" i="32"/>
  <c r="AE2202" i="32"/>
  <c r="AC2202" i="32"/>
  <c r="AE2249" i="32"/>
  <c r="AC2249" i="32"/>
  <c r="AC2263" i="32"/>
  <c r="AA2278" i="32"/>
  <c r="AC2295" i="32"/>
  <c r="AE2300" i="32"/>
  <c r="AC2300" i="32"/>
  <c r="AC2306" i="32"/>
  <c r="AE2335" i="32"/>
  <c r="AC2335" i="32"/>
  <c r="AE2351" i="32"/>
  <c r="AC2351" i="32"/>
  <c r="AA1980" i="32"/>
  <c r="AA1982" i="32"/>
  <c r="AA1984" i="32"/>
  <c r="AA1986" i="32"/>
  <c r="AA1988" i="32"/>
  <c r="AA1990" i="32"/>
  <c r="AC2074" i="32"/>
  <c r="AC2104" i="32"/>
  <c r="AA2137" i="32"/>
  <c r="AC2139" i="32"/>
  <c r="AC2151" i="32"/>
  <c r="AA2175" i="32"/>
  <c r="AA2177" i="32"/>
  <c r="AE2189" i="32"/>
  <c r="AE2227" i="32"/>
  <c r="AC2227" i="32"/>
  <c r="AA2246" i="32"/>
  <c r="AA2252" i="32"/>
  <c r="AA2259" i="32"/>
  <c r="AE2292" i="32"/>
  <c r="AC2292" i="32"/>
  <c r="AE2373" i="32"/>
  <c r="AC2373" i="32"/>
  <c r="AE2391" i="32"/>
  <c r="AC2391" i="32"/>
  <c r="AE2394" i="32"/>
  <c r="AC2394" i="32"/>
  <c r="AE2434" i="32"/>
  <c r="AC2434" i="32"/>
  <c r="AE2182" i="32"/>
  <c r="AC2182" i="32"/>
  <c r="AA2224" i="32"/>
  <c r="AA2276" i="32"/>
  <c r="AE2320" i="32"/>
  <c r="AC2320" i="32"/>
  <c r="AE2388" i="32"/>
  <c r="AC2388" i="32"/>
  <c r="AE2404" i="32"/>
  <c r="AC2404" i="32"/>
  <c r="AC2037" i="32"/>
  <c r="AC2054" i="32"/>
  <c r="AC2102" i="32"/>
  <c r="AE2119" i="32"/>
  <c r="AA2303" i="32"/>
  <c r="AE2355" i="32"/>
  <c r="AC2355" i="32"/>
  <c r="AE2375" i="32"/>
  <c r="AC2375" i="32"/>
  <c r="AE2378" i="32"/>
  <c r="AC2378" i="32"/>
  <c r="AE2411" i="32"/>
  <c r="AA2411" i="32"/>
  <c r="AA1932" i="32"/>
  <c r="AA2021" i="32"/>
  <c r="AC2230" i="32"/>
  <c r="AC2238" i="32"/>
  <c r="AA2274" i="32"/>
  <c r="AE2301" i="32"/>
  <c r="AE2336" i="32"/>
  <c r="AC2336" i="32"/>
  <c r="AE2352" i="32"/>
  <c r="AC2352" i="32"/>
  <c r="AE2423" i="32"/>
  <c r="AC2423" i="32"/>
  <c r="AE2154" i="32"/>
  <c r="AA2222" i="32"/>
  <c r="AE2304" i="32"/>
  <c r="AC2304" i="32"/>
  <c r="AE2340" i="32"/>
  <c r="AC2340" i="32"/>
  <c r="AE2395" i="32"/>
  <c r="AC2395" i="32"/>
  <c r="AE2435" i="32"/>
  <c r="AC2435" i="32"/>
  <c r="AC1923" i="32"/>
  <c r="AC1955" i="32"/>
  <c r="AC2006" i="32"/>
  <c r="AA2032" i="32"/>
  <c r="AC2035" i="32"/>
  <c r="AC2057" i="32"/>
  <c r="AC2065" i="32"/>
  <c r="AC2087" i="32"/>
  <c r="AC2130" i="32"/>
  <c r="AC2169" i="32"/>
  <c r="AC2190" i="32"/>
  <c r="AA2272" i="32"/>
  <c r="AE2312" i="32"/>
  <c r="AE2315" i="32"/>
  <c r="AC2315" i="32"/>
  <c r="AC2316" i="32" s="1"/>
  <c r="AB2316" i="32" s="1"/>
  <c r="AE2324" i="32"/>
  <c r="AC2324" i="32"/>
  <c r="AE2330" i="32"/>
  <c r="AC2330" i="32"/>
  <c r="AE2343" i="32"/>
  <c r="AC2343" i="32"/>
  <c r="AE2349" i="32"/>
  <c r="AC2349" i="32"/>
  <c r="AE2359" i="32"/>
  <c r="AC2359" i="32"/>
  <c r="AE2369" i="32"/>
  <c r="AC2369" i="32"/>
  <c r="AE2408" i="32"/>
  <c r="AC2408" i="32"/>
  <c r="AC2193" i="32"/>
  <c r="AE2228" i="32"/>
  <c r="AC2233" i="32"/>
  <c r="AE2245" i="32"/>
  <c r="AE2379" i="32"/>
  <c r="AC2379" i="32"/>
  <c r="AA2430" i="32"/>
  <c r="AE2430" i="32"/>
  <c r="AC2120" i="32"/>
  <c r="AC2198" i="32"/>
  <c r="AC2236" i="32"/>
  <c r="AE2424" i="32"/>
  <c r="AC2424" i="32"/>
  <c r="AA2439" i="32"/>
  <c r="AE2439" i="32"/>
  <c r="AC2038" i="32"/>
  <c r="AA2268" i="32"/>
  <c r="AE2337" i="32"/>
  <c r="AC2337" i="32"/>
  <c r="AC2103" i="32"/>
  <c r="AC2239" i="32"/>
  <c r="AA2266" i="32"/>
  <c r="AA2307" i="32"/>
  <c r="AE2360" i="32"/>
  <c r="AC2360" i="32"/>
  <c r="AE2370" i="32"/>
  <c r="AC2370" i="32"/>
  <c r="AE2386" i="32"/>
  <c r="AC2386" i="32"/>
  <c r="AE2399" i="32"/>
  <c r="AC2399" i="32"/>
  <c r="AE2402" i="32"/>
  <c r="AC2402" i="32"/>
  <c r="AE2412" i="32"/>
  <c r="AC2412" i="32"/>
  <c r="AE2436" i="32"/>
  <c r="AA2436" i="32"/>
  <c r="AE2445" i="32"/>
  <c r="AC2445" i="32"/>
  <c r="AA2148" i="32"/>
  <c r="AA2264" i="32"/>
  <c r="AE2319" i="32"/>
  <c r="AE2383" i="32"/>
  <c r="AC2383" i="32"/>
  <c r="AE2339" i="32"/>
  <c r="AE2384" i="32"/>
  <c r="AC2407" i="32"/>
  <c r="AC2421" i="32"/>
  <c r="AC2428" i="32"/>
  <c r="AC2322" i="32"/>
  <c r="AC2333" i="32"/>
  <c r="AC2346" i="32"/>
  <c r="AC2362" i="32"/>
  <c r="AC2371" i="32"/>
  <c r="AC2389" i="32"/>
  <c r="AC2405" i="32"/>
  <c r="AC2416" i="32"/>
  <c r="AC2426" i="32"/>
  <c r="AC2353" i="32"/>
  <c r="AC2380" i="32"/>
  <c r="AA2442" i="32"/>
  <c r="AC2311" i="32"/>
  <c r="AC2327" i="32"/>
  <c r="AC2342" i="32"/>
  <c r="AC2309" i="32"/>
  <c r="AC2410" i="32"/>
  <c r="AA2406" i="32"/>
  <c r="AC2334" i="32"/>
  <c r="AC2381" i="32"/>
  <c r="AC2397" i="32"/>
  <c r="AC2341" i="32"/>
  <c r="AC2368" i="32" l="1"/>
  <c r="AC1692" i="32"/>
  <c r="AC1072" i="32"/>
  <c r="AC245" i="32"/>
  <c r="AC2331" i="32"/>
  <c r="AC1361" i="32"/>
  <c r="AC2372" i="32"/>
  <c r="AC1012" i="32"/>
  <c r="AE1205" i="32"/>
  <c r="AC1205" i="32"/>
  <c r="AA1205" i="32"/>
  <c r="AA1317" i="32"/>
  <c r="AE1317" i="32"/>
  <c r="AA785" i="32"/>
  <c r="AC1331" i="32"/>
  <c r="AC900" i="32"/>
  <c r="AC809" i="32"/>
  <c r="AE1874" i="32"/>
  <c r="AC1874" i="32"/>
  <c r="AE1668" i="32"/>
  <c r="AC1668" i="32"/>
  <c r="AE1021" i="32"/>
  <c r="AC1021" i="32"/>
  <c r="AE1669" i="32"/>
  <c r="AC1669" i="32"/>
  <c r="AE2314" i="32"/>
  <c r="AE2316" i="32"/>
  <c r="AA2316" i="32"/>
  <c r="AE1161" i="32"/>
  <c r="AC1161" i="32"/>
  <c r="AE645" i="32"/>
  <c r="AC645" i="32"/>
  <c r="AE2345" i="32"/>
  <c r="AC2345" i="32"/>
  <c r="AE1428" i="32"/>
  <c r="AC1428"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tc={2B48DF4D-7FE4-49E4-846E-1643C97CA64C}</author>
  </authors>
  <commentList>
    <comment ref="B2003" authorId="0" shapeId="0" xr:uid="{2B48DF4D-7FE4-49E4-846E-1643C97CA64C}">
      <text>
        <t>[Comentário encadeado]
Sua versão do Excel permite que você leia este comentário encadeado, no entanto, as edições serão removidas se o arquivo for aberto em uma versão mais recente do Excel. Saiba mais: https://go.microsoft.com/fwlink/?linkid=870924
Comentário:
    Duplicate of REF 1686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05" authorId="0" shapeId="0" xr:uid="{00000000-0006-0000-0300-000001000000}">
      <text>
        <r>
          <rPr>
            <b/>
            <sz val="9"/>
            <color indexed="81"/>
            <rFont val="Tahoma"/>
            <family val="2"/>
          </rPr>
          <t>Autor:</t>
        </r>
        <r>
          <rPr>
            <sz val="9"/>
            <color indexed="81"/>
            <rFont val="Tahoma"/>
            <family val="2"/>
          </rPr>
          <t xml:space="preserve">
Assumed equal to H2 as in the model this is reported under LH2</t>
        </r>
      </text>
    </comment>
  </commentList>
</comments>
</file>

<file path=xl/sharedStrings.xml><?xml version="1.0" encoding="utf-8"?>
<sst xmlns="http://schemas.openxmlformats.org/spreadsheetml/2006/main" count="27951" uniqueCount="8941">
  <si>
    <t>Country</t>
  </si>
  <si>
    <t>Project name</t>
  </si>
  <si>
    <t>Technology</t>
  </si>
  <si>
    <t>References</t>
  </si>
  <si>
    <t>Number</t>
  </si>
  <si>
    <t>Reference</t>
  </si>
  <si>
    <t>Reduction and Reuse of CO2: Renewable Fuels for Electricity Production- ZHAW</t>
  </si>
  <si>
    <t>H2FUTURE</t>
  </si>
  <si>
    <t>BOEING (rSOC Demonstrator)</t>
  </si>
  <si>
    <t>GrInHy</t>
  </si>
  <si>
    <t>Sunfire PtL demo "Fuel1"</t>
  </si>
  <si>
    <t>Pilot &amp; Demo PtM HSR</t>
  </si>
  <si>
    <t>Jupiter 1000</t>
  </si>
  <si>
    <t>Don Quichote</t>
  </si>
  <si>
    <t>RENOVAGAS</t>
  </si>
  <si>
    <t>HAEOLUS</t>
  </si>
  <si>
    <t>Aeropila</t>
  </si>
  <si>
    <t>Air Fuel Synthesis pilot plant</t>
  </si>
  <si>
    <t>HyNor Lillestrøm, Akershus Energy Park</t>
  </si>
  <si>
    <t>Baglan Energy Park Wales</t>
  </si>
  <si>
    <t>Bio SNG Güssing</t>
  </si>
  <si>
    <t>CO2RRECT-Niederaussem</t>
  </si>
  <si>
    <t>Commercial Plant Svartsengi/George Olah plant</t>
  </si>
  <si>
    <t>Demo Plant Agricultural University Athens</t>
  </si>
  <si>
    <t>DNV Kema/DNV GL</t>
  </si>
  <si>
    <t>DTE Energy Hydrogen Technoly Park, Southfield Michigan</t>
  </si>
  <si>
    <t>Ekolyser (R&amp;D)</t>
  </si>
  <si>
    <t>ELYGRID (R&amp;D)</t>
  </si>
  <si>
    <t>EnBW H2 station, Stuttgart</t>
  </si>
  <si>
    <t>Eucolino Schwandorf</t>
  </si>
  <si>
    <t>FIRST - Showcase II</t>
  </si>
  <si>
    <t>Foulum Demonstration plant</t>
  </si>
  <si>
    <t>Fronius Energy Cell, self-sufficient house</t>
  </si>
  <si>
    <t>GenHyPEM (R&amp;D)</t>
  </si>
  <si>
    <t>Grimstad Renewable Energy Park</t>
  </si>
  <si>
    <t>H2 from the sun, Brunate</t>
  </si>
  <si>
    <t>H2 research center BTU Cottbus</t>
  </si>
  <si>
    <t>H2Herten</t>
  </si>
  <si>
    <t>H2KT - Hydrogen Energy Storage in Nuuk</t>
  </si>
  <si>
    <t>H2Move, Fraunhofer ISE</t>
  </si>
  <si>
    <t>H2SusBuild / RES-H2</t>
  </si>
  <si>
    <t>Hamburg Hafen City, CEP</t>
  </si>
  <si>
    <t>HARI project, West Beacon Farm</t>
  </si>
  <si>
    <t>HARP System, Bella Coola</t>
  </si>
  <si>
    <t>Hawaii Hydrogen Power Park (phase 2)</t>
  </si>
  <si>
    <t>Hidrolica, Tahivilla</t>
  </si>
  <si>
    <t>Hybrid energy storage system NFCRC, California</t>
  </si>
  <si>
    <t>Hybrid Power Plant Enertrag, Prenzlau</t>
  </si>
  <si>
    <t>Wind2Hydrogen, HyCentA</t>
  </si>
  <si>
    <t>Hychico, Comodoro Rivadavia</t>
  </si>
  <si>
    <t>HyCycle - Center for renewable H2 (R&amp;D)</t>
  </si>
  <si>
    <t>Hydepark</t>
  </si>
  <si>
    <t>Hydrogen Island Aitutaki</t>
  </si>
  <si>
    <t>Hydrogen Island Bozcaada</t>
  </si>
  <si>
    <t>Hydrogen mini grid system Yorkshire (Rotherham)</t>
  </si>
  <si>
    <t>Hydrogen village Burgenland</t>
  </si>
  <si>
    <t>Hydrogen Wind Farm Sotavento</t>
  </si>
  <si>
    <t>HYLINK, Totara Valley</t>
  </si>
  <si>
    <t>Fronius HyLOG-Fleet (Hydrogen powered Logistic System)</t>
  </si>
  <si>
    <t>HyWindBalance, Oldenburg</t>
  </si>
  <si>
    <t>INGRID</t>
  </si>
  <si>
    <t>IRENE System</t>
  </si>
  <si>
    <t>ITHER</t>
  </si>
  <si>
    <t>Laboratory Plant HRI Quebec</t>
  </si>
  <si>
    <t>LastEISys (R&amp;D)</t>
  </si>
  <si>
    <t>MEDLYS, Medium temperature water electrolysis (R&amp;D)</t>
  </si>
  <si>
    <t>MYRTE</t>
  </si>
  <si>
    <t>NEXPEL (R&amp;D)</t>
  </si>
  <si>
    <t>P2G plant Erdgas Schwaben</t>
  </si>
  <si>
    <t>Primolyzer (R&amp;D)</t>
  </si>
  <si>
    <t>PROCON (R&amp;D)</t>
  </si>
  <si>
    <t>PtG-Elektrolyse im MW-Maßstab (R&amp;D)</t>
  </si>
  <si>
    <t>PURE Project, Unst</t>
  </si>
  <si>
    <t>PVFCSYS Agrate</t>
  </si>
  <si>
    <t>PVFCSYS Sophia Antipolis</t>
  </si>
  <si>
    <t>RABH2</t>
  </si>
  <si>
    <t>Ramea Wind-Hydrogen-Diesel Project</t>
  </si>
  <si>
    <t>Regenerativer Energipark Ostfalia/hybrid renewable energy park (HREP)</t>
  </si>
  <si>
    <t>RES2H2 Gran Canaria</t>
  </si>
  <si>
    <t>RESelyser (R&amp;D)</t>
  </si>
  <si>
    <t>RWE PtG plant Ibbenbüren</t>
  </si>
  <si>
    <t>SEE / Storage of electric energy</t>
  </si>
  <si>
    <t>Small Scale Renewable Power System DRI (Desert Research Institute)</t>
  </si>
  <si>
    <t>ETOGAS, Solar Fuel Alpha-plant 250 kW, ZSW</t>
  </si>
  <si>
    <t>ETOGAS, Solar Fuel Beta-plant AUDI, Werlte (Audi e-gas)</t>
  </si>
  <si>
    <t>Stand-alone power system, Neo Olvio of Xanthi</t>
  </si>
  <si>
    <t>The Hydrogen house</t>
  </si>
  <si>
    <t>The Hydrogen office</t>
  </si>
  <si>
    <t>Thüga PtG plant Frankfurt/Main</t>
  </si>
  <si>
    <t>Utsira Island</t>
  </si>
  <si>
    <t>WELTEMP, Water electrolysis at elevated temperature</t>
  </si>
  <si>
    <t>Wind2H2 Project NREL</t>
  </si>
  <si>
    <t>Wind-H2 Village Prince Edward Island</t>
  </si>
  <si>
    <t>Samsø</t>
  </si>
  <si>
    <t>Vestenskov/ Nakskov Industrial and Environmental Park, Lolland</t>
  </si>
  <si>
    <t>BioPower2Gas, Allendorf, Eder</t>
  </si>
  <si>
    <t>MicrobEnergy GmbH, Schwandorf</t>
  </si>
  <si>
    <t>H2BER (Berlin airport)</t>
  </si>
  <si>
    <t>Energiepark Mainz</t>
  </si>
  <si>
    <t>Emden I Biogas upgrading</t>
  </si>
  <si>
    <t>Emden II Upscaling</t>
  </si>
  <si>
    <t>Etzel, Salt caverns</t>
  </si>
  <si>
    <t>Hamburg - Schnackenburgallee</t>
  </si>
  <si>
    <t>Hanau, Wolfgang Industrial Park</t>
  </si>
  <si>
    <t>Hassfurt</t>
  </si>
  <si>
    <t>Regio Energie Solothurn/Aarmat hybrid plant</t>
  </si>
  <si>
    <t>PostBus Hydrogen bus, Brugg, aargau CHIC</t>
  </si>
  <si>
    <t>Rostock, Exytron Demonstrationsanlage</t>
  </si>
  <si>
    <t>Alzey, Exytron Null-E</t>
  </si>
  <si>
    <t>Fife, Levenmouth Community Energy Project</t>
  </si>
  <si>
    <t>HyBALANCE</t>
  </si>
  <si>
    <t>MEFCO2</t>
  </si>
  <si>
    <t>MeGa-stoRE</t>
  </si>
  <si>
    <t>MeGa-stoRE Optimising and Upscaling</t>
  </si>
  <si>
    <t>DVGW-EBI KIT - Demo-SNG</t>
  </si>
  <si>
    <t>Tauron CO2-SNG</t>
  </si>
  <si>
    <t>DRI CO2 recycling</t>
  </si>
  <si>
    <t>Lam Takhong Wind Hydrogen Hybrid Project- EGAT</t>
  </si>
  <si>
    <t>Raglan Nickel mine</t>
  </si>
  <si>
    <t>Demonstration plant Kuala Terengganu, Malaysia</t>
  </si>
  <si>
    <t>Sir Samuel building Griffith Center, Brisbane, Australia</t>
  </si>
  <si>
    <t>Tohoku pilot plant in 2003</t>
  </si>
  <si>
    <t>HyFLEET:CUTE, Hamburg</t>
  </si>
  <si>
    <t>H2ORIZON</t>
  </si>
  <si>
    <t>New zealand Matiu/Somes Island</t>
  </si>
  <si>
    <t>CEC Denizli Turkey</t>
  </si>
  <si>
    <t>Minerve, Nantes</t>
  </si>
  <si>
    <t>DEMETER</t>
  </si>
  <si>
    <t>ElectroHgena</t>
  </si>
  <si>
    <t>ECTOS</t>
  </si>
  <si>
    <t>CUTE and HyFLEET:CUTE, Barcelona</t>
  </si>
  <si>
    <t>HyFLEET:CUTE, Amesterdam</t>
  </si>
  <si>
    <t>CUTE, Stockholm</t>
  </si>
  <si>
    <t>Rapperswil</t>
  </si>
  <si>
    <t>Ameland</t>
  </si>
  <si>
    <t>“Towards the Methane Society”</t>
  </si>
  <si>
    <t>Green Natural Gas</t>
  </si>
  <si>
    <t>Greenhouse heating, solar-H2</t>
  </si>
  <si>
    <t>METHYCENTRE</t>
  </si>
  <si>
    <t>NEDO kofu city, Yamanashi Prefecture</t>
  </si>
  <si>
    <t>HPEM2GAS (R&amp;D)</t>
  </si>
  <si>
    <t>CoSin: Synthetic Natural Gas from Sewage, Barcelona</t>
  </si>
  <si>
    <t>Haldor Topsoe - El-Opgraderet Biogas II</t>
  </si>
  <si>
    <t>SPHYNX, R&amp;D</t>
  </si>
  <si>
    <t>CHOCHCO</t>
  </si>
  <si>
    <t>Kidman Park in Adelaide depot</t>
  </si>
  <si>
    <t>REFLEX</t>
  </si>
  <si>
    <t>CPI Zaoquan thermal power plant in China's Ningxia region</t>
  </si>
  <si>
    <t>Nukissiorfiit Nuuk Hydrogen Plant</t>
  </si>
  <si>
    <t>AltHytude</t>
  </si>
  <si>
    <t>FaHyence</t>
  </si>
  <si>
    <t>Minatec's semiconductor labs in Grenoble</t>
  </si>
  <si>
    <t>Cotbus</t>
  </si>
  <si>
    <t>RH2 Grapzow, Mecklenburg Vorpommern</t>
  </si>
  <si>
    <t>Dresden</t>
  </si>
  <si>
    <t>Energy in the Container, Fraunhofer IISB, Erlangen, Leistungszentren Elektroniksysteme (LZE)</t>
  </si>
  <si>
    <t>HySynGas</t>
  </si>
  <si>
    <t>Hazira, Reliance, back-up hydrogen supply</t>
  </si>
  <si>
    <t>Dahej, Reliance, back-up hydrogen supply</t>
  </si>
  <si>
    <t>Higashi-Ogishima-Naga-Park</t>
  </si>
  <si>
    <t>Shoro Dam in Shiranuka-cho, Shiranuka-gun, Hokkaido</t>
  </si>
  <si>
    <t>Musashi-Mizonokuchi Station</t>
  </si>
  <si>
    <t>Tomamae Town, Hokkaido</t>
  </si>
  <si>
    <t>Sendai City</t>
  </si>
  <si>
    <t>Yokohama City Wind Power Plant (Hama Wing)</t>
  </si>
  <si>
    <t>Rakuten Seimei Park Miyagi</t>
  </si>
  <si>
    <t>Tokyu Construction Institute of Technology</t>
  </si>
  <si>
    <t>Power plant in Lebanon for a Power Plant Cooling application</t>
  </si>
  <si>
    <t>HYLINK Totara</t>
  </si>
  <si>
    <t>Oslo, CHIC</t>
  </si>
  <si>
    <t>ASKO Midt-Norge</t>
  </si>
  <si>
    <t>Glomfjord Hydrogen AS</t>
  </si>
  <si>
    <t>Porto, CUTE</t>
  </si>
  <si>
    <t>Oxelösund Forklifts</t>
  </si>
  <si>
    <t>Solothurn, STORE&amp;GO</t>
  </si>
  <si>
    <t>Istanbul</t>
  </si>
  <si>
    <t>HyDeploy</t>
  </si>
  <si>
    <t>Synthetic Energy, Idaho</t>
  </si>
  <si>
    <t>Naval Facilities Engineering Command, Engineering and Expeditionary Warfare Center</t>
  </si>
  <si>
    <t>H&amp;R Ölwerke Hamburg-Neuhof</t>
  </si>
  <si>
    <t>Markham Energy Storage, Ontario</t>
  </si>
  <si>
    <t>Crystal Brook Energy Park, South Australia</t>
  </si>
  <si>
    <t>Centurion</t>
  </si>
  <si>
    <t>Green hydrogen Project, Mohammad Bin Rashid Solar Park</t>
  </si>
  <si>
    <t>Air Liquide Becancour</t>
  </si>
  <si>
    <t>Duwaal</t>
  </si>
  <si>
    <t>smart grid solar - arzberg</t>
  </si>
  <si>
    <t>Semakau island microgrid Engie (SPORE)</t>
  </si>
  <si>
    <t>Centre of Fuel Cell Technology, Chennai</t>
  </si>
  <si>
    <t>Agios Efstratios</t>
  </si>
  <si>
    <t>Savli wind-hydrogen demo project</t>
  </si>
  <si>
    <t>Gwalpahari Solar-Hydrogen demonstration</t>
  </si>
  <si>
    <t>Energy observer</t>
  </si>
  <si>
    <t>Vendée hydrogène</t>
  </si>
  <si>
    <t>Tongji solar hybrid hydrogen refueling station</t>
  </si>
  <si>
    <t>Fenosa Canberra hydrogen demo project</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</si>
  <si>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</si>
  <si>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</si>
  <si>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</si>
  <si>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</si>
  <si>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</si>
  <si>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</si>
  <si>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</si>
  <si>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</si>
  <si>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</si>
  <si>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</si>
  <si>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</si>
  <si>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</si>
  <si>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</si>
  <si>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</si>
  <si>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</si>
  <si>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</si>
  <si>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</si>
  <si>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</si>
  <si>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</si>
  <si>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</si>
  <si>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</si>
  <si>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</si>
  <si>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</si>
  <si>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</si>
  <si>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</si>
  <si>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</si>
  <si>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</si>
  <si>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</si>
  <si>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</si>
  <si>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</si>
  <si>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</si>
  <si>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</si>
  <si>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</si>
  <si>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</si>
  <si>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</si>
  <si>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</si>
  <si>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</si>
  <si>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</si>
  <si>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</si>
  <si>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</si>
  <si>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</si>
  <si>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</si>
  <si>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</si>
  <si>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</si>
  <si>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</si>
  <si>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</si>
  <si>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</si>
  <si>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</si>
  <si>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</si>
  <si>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</si>
  <si>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</si>
  <si>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</si>
  <si>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</si>
  <si>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</si>
  <si>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</si>
  <si>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</si>
  <si>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</si>
  <si>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</si>
  <si>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</si>
  <si>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</si>
  <si>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</si>
  <si>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</si>
  <si>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</si>
  <si>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</si>
  <si>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</si>
  <si>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</si>
  <si>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</si>
  <si>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</si>
  <si>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</si>
  <si>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</si>
  <si>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</si>
  <si>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</si>
  <si>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</si>
  <si>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</si>
  <si>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</si>
  <si>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</si>
  <si>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</si>
  <si>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</si>
  <si>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</si>
  <si>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</si>
  <si>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</si>
  <si>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</si>
  <si>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</si>
  <si>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</si>
  <si>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</si>
  <si>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</si>
  <si>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</si>
  <si>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</si>
  <si>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</si>
  <si>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</si>
  <si>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</si>
  <si>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</si>
  <si>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</si>
  <si>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</si>
  <si>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</si>
  <si>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</si>
  <si>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</si>
  <si>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</si>
  <si>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</si>
  <si>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</si>
  <si>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</si>
  <si>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</si>
  <si>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</si>
  <si>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</si>
  <si>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</si>
  <si>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</si>
  <si>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</si>
  <si>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</si>
  <si>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</si>
  <si>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</si>
  <si>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</si>
  <si>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</si>
  <si>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</si>
  <si>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</si>
  <si>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</si>
  <si>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</si>
  <si>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</si>
  <si>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</si>
  <si>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</si>
  <si>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</si>
  <si>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</si>
  <si>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</si>
  <si>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</si>
  <si>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</si>
  <si>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</si>
  <si>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</si>
  <si>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</si>
  <si>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</si>
  <si>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</si>
  <si>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</si>
  <si>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</si>
  <si>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</si>
  <si>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</si>
  <si>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</si>
  <si>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</si>
  <si>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</si>
  <si>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</si>
  <si>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</si>
  <si>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</si>
  <si>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</si>
  <si>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</si>
  <si>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</si>
  <si>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</si>
  <si>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</si>
  <si>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</si>
  <si>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</si>
  <si>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</si>
  <si>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</si>
  <si>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</si>
  <si>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</si>
  <si>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</si>
  <si>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</si>
  <si>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</si>
  <si>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</si>
  <si>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</si>
  <si>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</si>
  <si>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</si>
  <si>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</si>
  <si>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</si>
  <si>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</si>
  <si>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</si>
  <si>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</si>
  <si>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</si>
  <si>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</si>
  <si>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</si>
  <si>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</si>
  <si>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</si>
  <si>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</si>
  <si>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</si>
  <si>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</si>
  <si>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</si>
  <si>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</si>
  <si>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</si>
  <si>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</si>
  <si>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</si>
  <si>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</si>
  <si>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</si>
  <si>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</si>
  <si>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</si>
  <si>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</si>
  <si>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</si>
  <si>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</si>
  <si>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</si>
  <si>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</si>
  <si>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</si>
  <si>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</si>
  <si>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</si>
  <si>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</si>
  <si>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</si>
  <si>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</si>
  <si>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</si>
  <si>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</si>
  <si>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</si>
  <si>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</si>
  <si>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</si>
  <si>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</si>
  <si>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</si>
  <si>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</si>
  <si>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</si>
  <si>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</si>
  <si>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</si>
  <si>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</si>
  <si>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</si>
  <si>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</si>
  <si>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</si>
  <si>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</si>
  <si>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</si>
  <si>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</si>
  <si>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</si>
  <si>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</si>
  <si>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</si>
  <si>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</si>
  <si>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</si>
  <si>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</si>
  <si>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</si>
  <si>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</si>
  <si>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</si>
  <si>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</si>
  <si>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</si>
  <si>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</si>
  <si>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</si>
  <si>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</si>
  <si>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</si>
  <si>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</si>
  <si>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</si>
  <si>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</si>
  <si>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</si>
  <si>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</si>
  <si>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</si>
  <si>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</si>
  <si>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</si>
  <si>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</si>
  <si>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</si>
  <si>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</si>
  <si>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</si>
  <si>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</si>
  <si>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</si>
  <si>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</si>
  <si>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</si>
  <si>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</si>
  <si>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</si>
  <si>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</si>
  <si>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</si>
  <si>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</si>
  <si>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</si>
  <si>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</si>
  <si>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</si>
  <si>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</si>
  <si>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</si>
  <si>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</si>
  <si>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</si>
  <si>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</si>
  <si>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</si>
  <si>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</si>
  <si>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</si>
  <si>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</si>
  <si>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</si>
  <si>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</si>
  <si>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</si>
  <si>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</si>
  <si>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</si>
  <si>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</si>
  <si>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</si>
  <si>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</si>
  <si>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Quest</t>
  </si>
  <si>
    <t>Port Jerome</t>
  </si>
  <si>
    <t>Tomakomai</t>
  </si>
  <si>
    <t>Port Arthur</t>
  </si>
  <si>
    <t>Coffeyville fertilizer plant</t>
  </si>
  <si>
    <t>http://www.teessidecollective.co.uk/wp-content/uploads/2015/06/Teesside-Collective-Executive-Summary.pdf</t>
  </si>
  <si>
    <t>North West Sturgeon refinery</t>
  </si>
  <si>
    <t>Unknown PtX</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</si>
  <si>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</si>
  <si>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Lake Charles Methanol</t>
  </si>
  <si>
    <t>Yanchang Integrated Carbon Capture and Storage Demonstration</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</si>
  <si>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</si>
  <si>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</si>
  <si>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</si>
  <si>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</si>
  <si>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</si>
  <si>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</si>
  <si>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</si>
  <si>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</si>
  <si>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</si>
  <si>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</si>
  <si>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</si>
  <si>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</si>
  <si>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</si>
  <si>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</si>
  <si>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</si>
  <si>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</si>
  <si>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</si>
  <si>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</si>
  <si>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</si>
  <si>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</si>
  <si>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</si>
  <si>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</si>
  <si>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</si>
  <si>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</si>
  <si>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</si>
  <si>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</si>
  <si>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</si>
  <si>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</si>
  <si>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</si>
  <si>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</si>
  <si>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</si>
  <si>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</si>
  <si>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</si>
  <si>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</si>
  <si>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</si>
  <si>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</si>
  <si>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</si>
  <si>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</si>
  <si>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</si>
  <si>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</si>
  <si>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</si>
  <si>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</si>
  <si>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</si>
  <si>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</si>
  <si>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</si>
  <si>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</si>
  <si>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Murchison</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</si>
  <si>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</si>
  <si>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</si>
  <si>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</si>
  <si>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</si>
  <si>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</si>
  <si>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</si>
  <si>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</si>
  <si>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</si>
  <si>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</si>
  <si>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</si>
  <si>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</si>
  <si>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</si>
  <si>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</si>
  <si>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</si>
  <si>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</si>
  <si>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</si>
  <si>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</si>
  <si>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</si>
  <si>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</si>
  <si>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</si>
  <si>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</si>
  <si>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</si>
  <si>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</si>
  <si>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</si>
  <si>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</si>
  <si>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</si>
  <si>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</si>
  <si>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</si>
  <si>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</si>
  <si>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</si>
  <si>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</si>
  <si>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</si>
  <si>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</si>
  <si>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</si>
  <si>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</si>
  <si>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</si>
  <si>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</si>
  <si>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</si>
  <si>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</si>
  <si>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</si>
  <si>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</si>
  <si>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</si>
  <si>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</si>
  <si>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</si>
  <si>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</si>
  <si>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</si>
  <si>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</si>
  <si>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</si>
  <si>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</si>
  <si>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</si>
  <si>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</si>
  <si>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</si>
  <si>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</si>
  <si>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[306] [307]</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</si>
  <si>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</si>
  <si>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</si>
  <si>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</si>
  <si>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</si>
  <si>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</si>
  <si>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[296] [311]</t>
  </si>
  <si>
    <t>H2</t>
  </si>
  <si>
    <t>Ramboll study for an e-fuel plant in Greenland</t>
  </si>
  <si>
    <t>H2-based residential area in Van der Veen</t>
  </si>
  <si>
    <t>Unknown</t>
  </si>
  <si>
    <t>https://fuelcellsworks.com/news/arcadis-hoogeveen-and-livefree-realize-the-first-hydrogen-based-residential-area-in-the-netherlands/</t>
  </si>
  <si>
    <t>[312]</t>
  </si>
  <si>
    <t>Product</t>
  </si>
  <si>
    <t>https://ramboll.com/media/rgr/carbon-capture-and-e-fuel-production-in-greenland</t>
  </si>
  <si>
    <t>[313]</t>
  </si>
  <si>
    <t>https://www.hybridge.net/index-2.html</t>
  </si>
  <si>
    <t>[1] [7] [9] [99]</t>
  </si>
  <si>
    <t>GRHYD</t>
  </si>
  <si>
    <t>https://refhyne.eu/about/</t>
  </si>
  <si>
    <t>[76] [104] [129]</t>
  </si>
  <si>
    <t>Date online</t>
  </si>
  <si>
    <t>Decomission date</t>
  </si>
  <si>
    <t>https://oge.net/en/us/projects/westkueste-100</t>
  </si>
  <si>
    <t>https://www.get-h2.de/en/project-lingen/</t>
  </si>
  <si>
    <t>LOHC</t>
  </si>
  <si>
    <t>https://fuelcellsworks.com/news/1-28m-arena-backing-for-agn-to-establish-the-australian-hydrogen-centre/</t>
  </si>
  <si>
    <t>H2Gas</t>
  </si>
  <si>
    <t>https://www.pv-magazine.com/2020/03/02/hydrogen-production-coupled-to-solar-and-storage-to-debut-in-spain/</t>
  </si>
  <si>
    <t>https://www.entsog.eu/power-green-hydrogen-mallorca</t>
  </si>
  <si>
    <t>Bad Lauchstädt energy park</t>
  </si>
  <si>
    <t>https://energiepark-bad-lauchstaedt.de/#reallabor-zur-intelligenten-erzeugung-speicherung-transport-und-nutzung-von-gruenem-wasserstoff</t>
  </si>
  <si>
    <t>https://static1.squarespace.com/static/5d3f0387728026000121b2a2/t/5d9f24f459c7f056aca5a74f/1570710781671/4.A+Green+Spider+project.pdf</t>
  </si>
  <si>
    <t>[316]</t>
  </si>
  <si>
    <t>[319]</t>
  </si>
  <si>
    <t>Long Beach Fuel Cell plant</t>
  </si>
  <si>
    <t>Biogas reforming</t>
  </si>
  <si>
    <t>[320]</t>
  </si>
  <si>
    <t>https://crystalbrookenergypark.com.au/</t>
  </si>
  <si>
    <t>Unisa, Mawson Lakes campus</t>
  </si>
  <si>
    <t>[323]</t>
  </si>
  <si>
    <t>CH4</t>
  </si>
  <si>
    <t>[207] [323]</t>
  </si>
  <si>
    <t>ATCO clean energy innovation hub</t>
  </si>
  <si>
    <t>Hazer group CH4 pyrolysis</t>
  </si>
  <si>
    <t>https://thewest.com.au/business/energy/hazer-group-wants-to-make-clean-hydrogen-from-perth-sewerage-ng-b881217005z</t>
  </si>
  <si>
    <t>https://www.csiro.au/en/Do-business/Futures/Reports/Hydrogen-Roadmap</t>
  </si>
  <si>
    <t>Fukushima Hydrogen Energy Research Field</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</si>
  <si>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</si>
  <si>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</si>
  <si>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</si>
  <si>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</si>
  <si>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[58] [135] [326] [327] [328]</t>
  </si>
  <si>
    <t>NEL-Champaign-Urbana Mass Transit District</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</si>
  <si>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</si>
  <si>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</si>
  <si>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</si>
  <si>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[288] [331]</t>
  </si>
  <si>
    <t>https://www.sunfire.de/en/company/news/detail/first-commercial-plant-for-the-production-of-blue-crude-planned-in-norway</t>
  </si>
  <si>
    <t>https://methycentre.eu/</t>
  </si>
  <si>
    <t>[103] [130]</t>
  </si>
  <si>
    <t>https://www.supergen-bioenergy.net/wp-content/uploads/2019/06/Bioenergy-and-waste-gasification-report-2019.pdf</t>
  </si>
  <si>
    <t>[334]</t>
  </si>
  <si>
    <t>https://www.certifhy.eu/project-description/pilot-projects.html</t>
  </si>
  <si>
    <t>https://fr.media.airliquide.com/actualites/premiere-mondiale-air-liquide-inaugure-cryocaptm-une-technologie-de-captage-de-co2-par-le-froid-aadd-1ba6d.html</t>
  </si>
  <si>
    <t>[335] [336]</t>
  </si>
  <si>
    <t>https://www.smart-energy.com/renewable-energy/engie-signs-cooperation-deal-to-participate-in-hygreen-provence-project-air-liquede/</t>
  </si>
  <si>
    <t>https://www.engie.com/business-case/engie-x-hygreen</t>
  </si>
  <si>
    <t>[337] [338]</t>
  </si>
  <si>
    <t>https://new.siemens.com/mea/en/company/stories/energy/a-trailblazer-of-green-hydrogen.html</t>
  </si>
  <si>
    <t>[298]</t>
  </si>
  <si>
    <t>GrInHy2.0</t>
  </si>
  <si>
    <t>HYBRIT pilot</t>
  </si>
  <si>
    <t>HYBRIT demo</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</si>
  <si>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</si>
  <si>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</si>
  <si>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</si>
  <si>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[342]</t>
  </si>
  <si>
    <t>E-CO2MET Raffinerie Mitteldeutschland</t>
  </si>
  <si>
    <t>https://www.ocap.nl/nl/</t>
  </si>
  <si>
    <t>https://www.ocap.nl/nl/images/OCAP_Factsheet_English_tcm978-561158.pdf</t>
  </si>
  <si>
    <t>[343] [344]</t>
  </si>
  <si>
    <t>http://documents.ieaghg.org/index.php/s/4hyafrmhu2bobOs/download</t>
  </si>
  <si>
    <t>[345]</t>
  </si>
  <si>
    <t>https://www.hydrogen.energy.gov/pdfs/htac_dec18_05_brown.pdf</t>
  </si>
  <si>
    <t>https://actl.ca/</t>
  </si>
  <si>
    <t>https://nwrsturgeonrefinery.com/</t>
  </si>
  <si>
    <t>[279]</t>
  </si>
  <si>
    <t>https://sequestration.mit.edu/tools/projects/quest.html</t>
  </si>
  <si>
    <t>https://www.energy.gov/sites/prod/files/2015/01/f19/EIS-0464-FEIS-Volume-1-2013.pdf</t>
  </si>
  <si>
    <t>[273] [350]</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</si>
  <si>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</si>
  <si>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</si>
  <si>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[352]</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</si>
  <si>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</si>
  <si>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</si>
  <si>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</si>
  <si>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</si>
  <si>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</si>
  <si>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[240] [357]</t>
  </si>
  <si>
    <t>Sarawak Energy</t>
  </si>
  <si>
    <t>https://arena.gov.au/news/hydrogen-gives-new-life-to-toyotas-altona-car-manufacturing-plant/</t>
  </si>
  <si>
    <t>Oman</t>
  </si>
  <si>
    <t>OMN</t>
  </si>
  <si>
    <t>https://www.deme-group.com/news/deme-and-partners-present-hyportrduqm-large-scale-green-hydrogen-project-oman-1</t>
  </si>
  <si>
    <t>http://chuneng.bjx.com.cn/news/20200310/1052255.shtml</t>
  </si>
  <si>
    <t>[360]</t>
  </si>
  <si>
    <t>Fine Chemical Industry Park of Lanzhou</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</si>
  <si>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</si>
  <si>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</si>
  <si>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</si>
  <si>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</si>
  <si>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</si>
  <si>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</si>
  <si>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</si>
  <si>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[369]</t>
  </si>
  <si>
    <t>[370]</t>
  </si>
  <si>
    <t>https://www.jupiter1000.eu/english</t>
  </si>
  <si>
    <t>https://cordis.europa.eu/project/id/700092</t>
  </si>
  <si>
    <t>[372]</t>
  </si>
  <si>
    <t>https://www.storeandgo.info/about-the-project/</t>
  </si>
  <si>
    <t>https://exytron.online/en/news/</t>
  </si>
  <si>
    <t>https://www.balance-project.org/projects</t>
  </si>
  <si>
    <t>[1] [5] [7] [9] [47]</t>
  </si>
  <si>
    <t>Hydrogen Park Gladstone</t>
  </si>
  <si>
    <t>https://www.australiangasnetworks.com.au/our-business/about-us/media-releases/gas-groups-hydrogen-push-moves-into-queensland</t>
  </si>
  <si>
    <t>[375]</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</si>
  <si>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</si>
  <si>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</si>
  <si>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</si>
  <si>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[379]</t>
  </si>
  <si>
    <t>https://www.next-kraftwerke.com/company/case-studies/electrolysis-hydrogen-with-excess-renewables</t>
  </si>
  <si>
    <t>https://www.energiepark-mainz.de/artikel-detailseite/article/langfristige-zukunft-fuer-den-energiepark-mainz/</t>
  </si>
  <si>
    <t>[382]</t>
  </si>
  <si>
    <t>[297]</t>
  </si>
  <si>
    <t>[226] [366]</t>
  </si>
  <si>
    <t>Hydrogen plant - Orkney Islands - BIG HIT 2n phase</t>
  </si>
  <si>
    <t>Hydrogen plant - Orkney Islands - BIG HIT 1st phase</t>
  </si>
  <si>
    <t>http://www.surfnturf.org.uk/page/hydrogen</t>
  </si>
  <si>
    <t>[371] [383]</t>
  </si>
  <si>
    <t>Falkenhagen STORE&amp;GO</t>
  </si>
  <si>
    <t>Troia,  STORE&amp;GO</t>
  </si>
  <si>
    <t>[2], [4], [8], [48], [49]</t>
  </si>
  <si>
    <t>[2], [165] [373]</t>
  </si>
  <si>
    <t>[278]</t>
  </si>
  <si>
    <t>[282]</t>
  </si>
  <si>
    <t>[281]</t>
  </si>
  <si>
    <t>[362]</t>
  </si>
  <si>
    <t>[280]</t>
  </si>
  <si>
    <t>[1], [2], [7], [59]</t>
  </si>
  <si>
    <t>[287]</t>
  </si>
  <si>
    <t>[376]</t>
  </si>
  <si>
    <t>[7] [182] [183] [184]</t>
  </si>
  <si>
    <t>[1] [2] [7] [64]</t>
  </si>
  <si>
    <t>[1] [5] [7] [11] [19] [20]</t>
  </si>
  <si>
    <t>MicroPyros, Staubing</t>
  </si>
  <si>
    <t>MicroPyros, Altenstant</t>
  </si>
  <si>
    <t>https://www.energate-messenger.de/news/200507/power-to-gas-micro-pyros-geht-in-die-insolvenz</t>
  </si>
  <si>
    <t>[384]</t>
  </si>
  <si>
    <t>[7] [143] [144]</t>
  </si>
  <si>
    <t>Haldor Topsoe - El-Opgraderet Biogas I</t>
  </si>
  <si>
    <t>[126]</t>
  </si>
  <si>
    <t>[2], [3], [9], [125]</t>
  </si>
  <si>
    <t>http://www.renewableenergyfocus.com/view/42805/rwe-starts-up-power-to-gas-plant-in-germany-featuring-itm-power-electrolyser/</t>
  </si>
  <si>
    <t>[1], [2], [7], [9], [82] [385]</t>
  </si>
  <si>
    <t>[221]</t>
  </si>
  <si>
    <t>https://www.rh2-wka.de/chronik.html</t>
  </si>
  <si>
    <t>[3], [92], [93]</t>
  </si>
  <si>
    <t>DemoSNG</t>
  </si>
  <si>
    <t>https://www.sciencedaily.com/releases/2015/01/150109045544.htm</t>
  </si>
  <si>
    <t>[387]</t>
  </si>
  <si>
    <t>http://www.don-quichote.eu/</t>
  </si>
  <si>
    <t>[4] [388]</t>
  </si>
  <si>
    <t>http://h2b2.es/h2b2-has-finished-the-delivery-and-commissioning-of-an-electrolyser-system-to-vtt-technical-research-centre-of-finland-ltd/</t>
  </si>
  <si>
    <t>[234] [389]</t>
  </si>
  <si>
    <t>https://www.hytep.cz/projects/visegrad/images/news/hydrogen-mobility-in-visegrad-countries/H2nodes_Riga_transport_CZ_workshop_23_september_2019.pdf</t>
  </si>
  <si>
    <t>https://www.h2nodes.eu/</t>
  </si>
  <si>
    <t>[392]</t>
  </si>
  <si>
    <t>https://www.engie.com/en/journalists/press-releases/largest-hydrogen-utility-fleet-alternative-multi-fuel-station</t>
  </si>
  <si>
    <t>[140], [208] [393]</t>
  </si>
  <si>
    <t>http://www.afhypac.org/documents/divers/AFHYPAC_H2regions_2017-06-09_web.pdf</t>
  </si>
  <si>
    <t>https://p2gconference.com/news/north-america%E2%80%99s-first-power-to-gas-energy-storage-facility-using-hydrogen.html</t>
  </si>
  <si>
    <t>[394]</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</si>
  <si>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</si>
  <si>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</si>
  <si>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</si>
  <si>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</si>
  <si>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</si>
  <si>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[399]</t>
  </si>
  <si>
    <t>https://mcphy.com/en/press-releases/power_plant_cooling_on_site_hydrogen_production/</t>
  </si>
  <si>
    <t>[401]</t>
  </si>
  <si>
    <t>https://www.reflex-energy.eu/</t>
  </si>
  <si>
    <t>[120], [202], [203] [402]</t>
  </si>
  <si>
    <t>[403]</t>
  </si>
  <si>
    <t>https://www.ademe.fr/sites/default/files/assets/documents/02_the_japanese_policy-t_nagai.pdf</t>
  </si>
  <si>
    <t>[244]</t>
  </si>
  <si>
    <t>https://www.sciencedirect.com/science/article/pii/S1464285918300506</t>
  </si>
  <si>
    <t>[404]</t>
  </si>
  <si>
    <t>[405]</t>
  </si>
  <si>
    <t>https://www.hydrogenics.com/2017/04/21/hydrogenics-selected-as-technology-provider-for-sunline-transit-agency/</t>
  </si>
  <si>
    <t>[1], [5], [160]</t>
  </si>
  <si>
    <t>[4], [109], [214]</t>
  </si>
  <si>
    <t>https://www.hydrogenics.com/2016/11/01/hydrogenics-enters-into-strategic-collaboration-with-stratosfuel-for-2-5-mw-power-to-gas-project-in-california/</t>
  </si>
  <si>
    <t>https://etipwind.eu/wp-content/uploads/A2-Hydrogenics_v2.pdf</t>
  </si>
  <si>
    <t>[407]</t>
  </si>
  <si>
    <t>http://www.mefco2.eu/mefco2.php</t>
  </si>
  <si>
    <t>[2], [4], [8], [50], [51] [408]</t>
  </si>
  <si>
    <t>https://public.tableau.com/views/HydrogenPowerProjects/Dashboard1?:embed=y&amp;:display_count=yes&amp;publish=yes&amp;:origin=viz_share_link&amp;:showVizHome=no</t>
  </si>
  <si>
    <t>[249] [409]</t>
  </si>
  <si>
    <t>[1], [5] [409]</t>
  </si>
  <si>
    <t>[409]</t>
  </si>
  <si>
    <t>[1], [5], [72], [73] [409]</t>
  </si>
  <si>
    <t>[1], [2], [5], [7], [9], [55], [57] [409[</t>
  </si>
  <si>
    <t>[2], [4], [189], [190], [191] [409]</t>
  </si>
  <si>
    <t>[31], [137], [138] [409]</t>
  </si>
  <si>
    <t>[2], [7], [97] [409]</t>
  </si>
  <si>
    <t>[2], [3] [409]</t>
  </si>
  <si>
    <t>[2], [166], [167] [409]</t>
  </si>
  <si>
    <t>[1], [29] [409]</t>
  </si>
  <si>
    <t>[87] [409]</t>
  </si>
  <si>
    <t>Cerro Pabellón Microgrid 450 kWh Hydrogen ESS</t>
  </si>
  <si>
    <t>[108], [199] [410]</t>
  </si>
  <si>
    <t>https://energyandmines.com/2017/06/worlds-first-247-solar-hydrogen-lithium-energy-storage-microgrid-comes-online/</t>
  </si>
  <si>
    <t>https://mcphy.com/fr/realisations/fahyence/</t>
  </si>
  <si>
    <t>[411]</t>
  </si>
  <si>
    <t>https://www.engie-cofely.fr/publications/hydrogene-renouvelable-cea-grenoble/</t>
  </si>
  <si>
    <t>Guangdong Synergy Hydrogen Power Technology Co. 1st phase</t>
  </si>
  <si>
    <t>Referenzkraftwerk Lausitz</t>
  </si>
  <si>
    <t>https://www.co2value.eu/wp-content/uploads/2019/09/2.-CRI.pdf</t>
  </si>
  <si>
    <t>[413]</t>
  </si>
  <si>
    <t>https://www.dena.de/fileadmin/dena/Dokumente/Veranstaltungen/PtG-Dialogforum_III/Praesentationen/6_Karl_Hauptmeier_sunfire_GmbH.pdf</t>
  </si>
  <si>
    <t>https://www.yara.com/news-and-media/news/archive/2019/yara-and-nel-carbon-free-hydrogen-for-fertilizer-production/</t>
  </si>
  <si>
    <t>[416]</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</si>
  <si>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</si>
  <si>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</si>
  <si>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</si>
  <si>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</si>
  <si>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[419]</t>
  </si>
  <si>
    <t>GZI Next</t>
  </si>
  <si>
    <t>[421]</t>
  </si>
  <si>
    <t>https://newenergycoalition.org/en/gzi-next-plan-for-construction-of-hydrogen-plant-in-emmen-parties-sign-letter-of-intent/</t>
  </si>
  <si>
    <t>https://cordis.europa.eu/project/id/826089</t>
  </si>
  <si>
    <t>REMOTE - Norway</t>
  </si>
  <si>
    <t>https://www.remote-euproject.eu/remote-project/</t>
  </si>
  <si>
    <t>[423]</t>
  </si>
  <si>
    <t>FUTURECEM</t>
  </si>
  <si>
    <t>https://www.umweltfoerderung.at/fileadmin/user_upload/pics/allgemein/News/Innovation_Fund_092019/7_Langhammer_D_OMV_UpHy.pdf</t>
  </si>
  <si>
    <t>UpHy</t>
  </si>
  <si>
    <t>PtG Switzerland</t>
  </si>
  <si>
    <t>https://www.solarserver.de/2020/02/05/industrielle-power-to-gas-anlage-in-der-schweiz/</t>
  </si>
  <si>
    <t>https://www.erneuerbareenergien.de/1-spatenstich-fuer-buergerwindpark-mit-speicherloesung</t>
  </si>
  <si>
    <t>Methanation at Eichhof</t>
  </si>
  <si>
    <t>Stromlückenfüller 2nd phase</t>
  </si>
  <si>
    <t>Stromlückenfüller 1st phase</t>
  </si>
  <si>
    <t>https://www.h-tec.com/anwendungen/stromlueckenfueller/</t>
  </si>
  <si>
    <t>[427]</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</si>
  <si>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</si>
  <si>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</si>
  <si>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</si>
  <si>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</si>
  <si>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</si>
  <si>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</si>
  <si>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Leuchtturmprojekt Power-to-Gas Baden-Württemberg</t>
  </si>
  <si>
    <t>http://www.ptg-bw.de/</t>
  </si>
  <si>
    <t>http://www.ieabioenergy.com/wp-content/uploads/2017/10/4_Hybridwerk_Aarmatt_A.Lochbrunner.pdf</t>
  </si>
  <si>
    <t>[269] [302] [436]</t>
  </si>
  <si>
    <t>http://h2est.ee/wp-content/uploads/2017/09/H2Nodes-NT-Bene-Raigo-Pert.pdf</t>
  </si>
  <si>
    <t>[390] [391] [437]</t>
  </si>
  <si>
    <t>HyNetherlands, 1st phase</t>
  </si>
  <si>
    <t>HyNetherlands 2nd phase</t>
  </si>
  <si>
    <t>https://www.lemvigbiogas.com/MeGa-stoREfinalreport.pdf</t>
  </si>
  <si>
    <t>[438]</t>
  </si>
  <si>
    <t>Windgas Haurup, 1st phase</t>
  </si>
  <si>
    <t>[440]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</si>
  <si>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</si>
  <si>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</si>
  <si>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</si>
  <si>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</si>
  <si>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</si>
  <si>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Kopernikus</t>
  </si>
  <si>
    <t>https://www.kopernikus-projekte.de/projekte/p2x</t>
  </si>
  <si>
    <t>[445]</t>
  </si>
  <si>
    <t>Kopernikus 2.0</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</si>
  <si>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</si>
  <si>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</si>
  <si>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</si>
  <si>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[448]</t>
  </si>
  <si>
    <t>Hypos - Sunfire</t>
  </si>
  <si>
    <t>https://meltwater.pressify.io/publication/5e79bf403083780004d7cb4c/5df7589de3f2f21000aa4852?&amp;sh=false</t>
  </si>
  <si>
    <t>https://www.liquidwind.se/</t>
  </si>
  <si>
    <t>HRS CMB Port of Antwerp</t>
  </si>
  <si>
    <t>Halcyon Power</t>
  </si>
  <si>
    <t>Aberdeen Conference Center</t>
  </si>
  <si>
    <t>https://www.fluxys.com/en/press-releases/fluxys-group/2020/200227_press_hyoffwind_installation</t>
  </si>
  <si>
    <t>Carbon2Chem</t>
  </si>
  <si>
    <t>ZAF</t>
  </si>
  <si>
    <t>https://nelhydrogen.com/press-release/press-release-nel-receives-purchase-order-for-a-3-5-mw-electrolyser-from-engie/</t>
  </si>
  <si>
    <t>[452]</t>
  </si>
  <si>
    <t>www.westkueste100.de</t>
  </si>
  <si>
    <t>https://www.uniper.energy/storage/what-we-do/power-to-gas</t>
  </si>
  <si>
    <t>https://zenodo.org/record/3464775#.Xo96YMgzY2z</t>
  </si>
  <si>
    <t>https://mcphy.com/fr/communiques/hydrogene-industriel-projet-20-mw-aux-pays-bas/</t>
  </si>
  <si>
    <t>Parnu refuelling station</t>
  </si>
  <si>
    <t>https://www.hydrogenics.com/2017/04/06/hydrogenics-awarded-funding-to-build-two-hydrogen-fueling-stations-for-the-greater-toronto-area-gta/</t>
  </si>
  <si>
    <t>Quebec Great Toronto Area East</t>
  </si>
  <si>
    <t>https://engineered.thyssenkrupp.com/en/climateprotection-carbon2chem-when-emissions-become-valuable-substances/</t>
  </si>
  <si>
    <t>[459]</t>
  </si>
  <si>
    <t>https://www.hydrogenics.com/2017/03/23/hydrogenics-awarded-contract-to-provide-electrolyzers-to-doosan-babcock-for-aberdeen-exhibition-conference-centre/</t>
  </si>
  <si>
    <t>[460]</t>
  </si>
  <si>
    <t>H2SusBuild</t>
  </si>
  <si>
    <t>http://www.h2susbuild.ntua.gr/Default.aspx</t>
  </si>
  <si>
    <t>[461]</t>
  </si>
  <si>
    <t>Neo Olvio of Xanthi</t>
  </si>
  <si>
    <t>https://www.sciencedirect.com/science/article/pii/S0360319908007027</t>
  </si>
  <si>
    <t>[462]</t>
  </si>
  <si>
    <t>https://www.sciencedirect.com/science/article/pii/S0360319908015619#sec4</t>
  </si>
  <si>
    <t>[1] [5] [463]</t>
  </si>
  <si>
    <t>[1], [158], [159], [206]</t>
  </si>
  <si>
    <t>[1], [102]</t>
  </si>
  <si>
    <t>VTT Bio economy+</t>
  </si>
  <si>
    <t>Balance project</t>
  </si>
  <si>
    <t>https://www.dnvgl.com/oilgas/perspectives/heating-dutch-homes-with-hydrogen.html</t>
  </si>
  <si>
    <t>[7], [9], [148] [464]</t>
  </si>
  <si>
    <t>Rozenburg Power2Gas Phase 1</t>
  </si>
  <si>
    <t>Rozenburg Power2Gas Phase 2</t>
  </si>
  <si>
    <t>El Tubo - ACTA EL500</t>
  </si>
  <si>
    <t>https://www.actaspa.com/projects/hydrogen-generator-demonstrated-by-abengoa/</t>
  </si>
  <si>
    <t>[7], [185], [186] [465]</t>
  </si>
  <si>
    <t>https://www.universita.corsica/en/research/myrte/</t>
  </si>
  <si>
    <t>[1], [2], [5], [7], [9], [83] [466]</t>
  </si>
  <si>
    <t>https://polytech.univ-nantes.fr/une-ecole-sur-3-campus/actualites/le-demonstrateur-power-to-gas-entre-en-service-sur-le-site-de-la-chantrerie--2180311.kjsp</t>
  </si>
  <si>
    <t>[7], [9], [139] [467]</t>
  </si>
  <si>
    <t>Laboratory System at IFE Kjeller Phase 1</t>
  </si>
  <si>
    <t>Laboratory System at IFE Kjeller Pahse 2</t>
  </si>
  <si>
    <t>https://ife.no/en/laboratory/n-fch-systems-laboratory/</t>
  </si>
  <si>
    <t>[1], [5] [468]</t>
  </si>
  <si>
    <t>[1], [5]</t>
  </si>
  <si>
    <t>https://diamondlite.com/wp-content/uploads/2017/06/EFCF-2015_Paper_B1505_Hybrid-plant-Aarmatt-a-novel-concept-applying-PEM-electrolysis_Rindlisbacher_Marcel_01.pdf</t>
  </si>
  <si>
    <t>[2], [109], [110] [469]</t>
  </si>
  <si>
    <t>[1], [2], [7], [12], [18], [122], [123]</t>
  </si>
  <si>
    <t>http://www.afhypac.org/documents/tout-savoir/Fiche%209.5%20-%20Power-to-gas%20-%20rev%20mars2017%20ThA.pdf</t>
  </si>
  <si>
    <t xml:space="preserve"> [1], [156], [157</t>
  </si>
  <si>
    <t>[1], [2], [7], [9], [81]  [470]</t>
  </si>
  <si>
    <t>RegEnKibo, Kirchheimbolanden (R&amp;D)</t>
  </si>
  <si>
    <t>HELMETH (R&amp;D)</t>
  </si>
  <si>
    <t>Power to flex (several pilot projects)</t>
  </si>
  <si>
    <t>https://slideplayer.com/slide/4218317/</t>
  </si>
  <si>
    <t>[471]</t>
  </si>
  <si>
    <t>IHAVU</t>
  </si>
  <si>
    <t>[472]</t>
  </si>
  <si>
    <t>http://www.labtech-hydrogen.com/index.php?page=IHAVU</t>
  </si>
  <si>
    <t>THEUS H2 Energy Storage, Takasago (R&amp;D)</t>
  </si>
  <si>
    <t>BNEF - Hydrogen Economy Outlook</t>
  </si>
  <si>
    <t>GreenHydroChem Central German Chemical Triangle</t>
  </si>
  <si>
    <t>[473]</t>
  </si>
  <si>
    <t>[232] [473]</t>
  </si>
  <si>
    <t>[264] [473]</t>
  </si>
  <si>
    <t>http://www.teessidecollective.co.uk/project/what-we-do/</t>
  </si>
  <si>
    <t>https://pale-blu.com/acorn/</t>
  </si>
  <si>
    <t>https://nelhydrogen.com/press-release/nel-asa-awarded-contract-with-asko-for-hydrogen-production-and-fueling-solution-in-trondheim/</t>
  </si>
  <si>
    <t>[476]</t>
  </si>
  <si>
    <t>https://www.navy.mil/submit/display.asp?story_id=92948</t>
  </si>
  <si>
    <t>[477]</t>
  </si>
  <si>
    <t>[3], [7], [9], [98] [478]</t>
  </si>
  <si>
    <t>SoCalGas-NREL</t>
  </si>
  <si>
    <t>https://news.bloombergenvironment.com/environment-and-energy/chinas-ningxia-plans-198-million-solar-hydrogen-project</t>
  </si>
  <si>
    <t xml:space="preserve">Solar Energy Centre SmartFuel hydrogen station </t>
  </si>
  <si>
    <t>SoCalGas and University of California Irvine 1</t>
  </si>
  <si>
    <t>SoCalGas and University of California Irvine 2</t>
  </si>
  <si>
    <t>https://www.sciencedirect.com/science/article/pii/S1464285915301243</t>
  </si>
  <si>
    <t>[480]</t>
  </si>
  <si>
    <t>https://windeurope.org/wp-content/uploads/files/misc/20190130-p2g-workshop/190129-4-Wind2hydrogen-OMV.pdf</t>
  </si>
  <si>
    <t>[113], [114], [213] [456] [481]</t>
  </si>
  <si>
    <t>https://www.zerocarbonhumber.co.uk/wp-content/uploads/2019/11/HUMBER-DIGITAL-V4.6-reduced.pdf</t>
  </si>
  <si>
    <t>http://www.rtsafrica.co.za/Documents/NEL%20Hydrogen%20Brochure.pdf</t>
  </si>
  <si>
    <t>[483]</t>
  </si>
  <si>
    <t>https://www.greencarcongress.com/2016/03/20160304-h2logic.html</t>
  </si>
  <si>
    <t>[484]</t>
  </si>
  <si>
    <t>Taleghan solar hydrogen energy system</t>
  </si>
  <si>
    <t>IRN</t>
  </si>
  <si>
    <t>Islamic Republic of Iran</t>
  </si>
  <si>
    <t>http://www.lifesciencesite.com/lsj/life0904/028_10515life0904_191_196.pdf</t>
  </si>
  <si>
    <t>[485] [486]</t>
  </si>
  <si>
    <t>https://www.worldenergy.org/assets/downloads/1Hydrogen-an-enabler-of-the-Grand-Transition_FEL_WEC_2018_Final.pdf</t>
  </si>
  <si>
    <t>MCRC bio-hydrogen facility Chennai</t>
  </si>
  <si>
    <t>Microbial fermentation</t>
  </si>
  <si>
    <t>http://www.amm-mcrc.org/Download/source/MCRCBrouchure.pdf</t>
  </si>
  <si>
    <t>[487]</t>
  </si>
  <si>
    <t>https://www.arci.res.in/facilities-cfct#302</t>
  </si>
  <si>
    <t>[247][488]</t>
  </si>
  <si>
    <t>EE-Methan aus CO2 (R&amp;D)</t>
  </si>
  <si>
    <t>OptFuel (R&amp;D)</t>
  </si>
  <si>
    <t>Methane Synthesis test facility in Koshijihara Plant of INPEX’s - Nagaoa</t>
  </si>
  <si>
    <t>https://www.hitachizosen.co.jp/english/news/2019/10/003405.html</t>
  </si>
  <si>
    <t>[489]</t>
  </si>
  <si>
    <t>Hitachi Zosen - PTTEP CO2 Conversion to Methane Project R&amp;D)</t>
  </si>
  <si>
    <t>eSMR Methanol demo plant in Aarhus University</t>
  </si>
  <si>
    <t>https://blog.topsoe.com/topsoe-to-build-demonstration-plant-to-produce-cost-competitive-co2-neutral-methanol-from-biogas-and-green-electricity</t>
  </si>
  <si>
    <t>Electrochaea: Biological methanation in Avedøre</t>
  </si>
  <si>
    <t>[491]</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</si>
  <si>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</si>
  <si>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</si>
  <si>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</si>
  <si>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</si>
  <si>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</si>
  <si>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</si>
  <si>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[496]</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</si>
  <si>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</si>
  <si>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</si>
  <si>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</si>
  <si>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</si>
  <si>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PosHYdon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</si>
  <si>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</si>
  <si>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</si>
  <si>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</si>
  <si>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</si>
  <si>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GreenH2UB (1st hub, Noord Brabant)</t>
  </si>
  <si>
    <t>https://energiewerkplaatsbrabant.nl/nieuws+pnb/energiefestival+hoofdpagina/energiefestival+2019+-+presentaties/energiefestival+documenten+en+verslagen/handlerdownloadfiles.ashx?idnv=1492307</t>
  </si>
  <si>
    <t>Bio Energy Netherlands</t>
  </si>
  <si>
    <t>Biomass gasification</t>
  </si>
  <si>
    <t>H2ermes</t>
  </si>
  <si>
    <t>Blue Hydrogen Den Helder</t>
  </si>
  <si>
    <t>GldH2</t>
  </si>
  <si>
    <t>Hydrogenpilot Oosterwolde</t>
  </si>
  <si>
    <t>Cyrus Smith</t>
  </si>
  <si>
    <t>P2P IPKW</t>
  </si>
  <si>
    <t>H₂ Air Base Leeuwarden</t>
  </si>
  <si>
    <t>Hysolar Green on Road - Nieuwegein</t>
  </si>
  <si>
    <t>E-Thor</t>
  </si>
  <si>
    <t>Multiphly</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</si>
  <si>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</si>
  <si>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</si>
  <si>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</si>
  <si>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</si>
  <si>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[509]</t>
  </si>
  <si>
    <t>ELY4OFF</t>
  </si>
  <si>
    <t>http://ely4off.eu/wp-content/uploads/2019/12/prd20191_ely4off.pdf</t>
  </si>
  <si>
    <t>[510}</t>
  </si>
  <si>
    <t>Seafuel project</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</si>
  <si>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</si>
  <si>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</si>
  <si>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Solena Group Plasma enhanced gasification</t>
  </si>
  <si>
    <t>https://www.environmentalleader.com/2020/05/lancaster-renewable-hydrogen-project/</t>
  </si>
  <si>
    <t>H2OzBus Project</t>
  </si>
  <si>
    <t>[514]</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</si>
  <si>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</si>
  <si>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</si>
  <si>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</si>
  <si>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</si>
  <si>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[516][517]</t>
  </si>
  <si>
    <t>Hyflexpower</t>
  </si>
  <si>
    <t>https://fuelcellsworks.com/news/hyflexpower-the-worlds-first-integrated-power-to-x-to-power-hydrogen-gas-turbine-demonstrator/</t>
  </si>
  <si>
    <t>https://cordis.europa.eu/project/id/884229/es</t>
  </si>
  <si>
    <t>https://reneweconomy.com.au/massive-1000mw-baseload-wind-solar-and-hydrogen-plant-pitched-for-nsw-16049/</t>
  </si>
  <si>
    <t>[520]</t>
  </si>
  <si>
    <t>https://www.bp.com/en/global/corporate/news-and-insights/press-releases/bp-australia-announces-feasibility-study-into-hydrogen-energy-production-facility.html</t>
  </si>
  <si>
    <t>Project NEO</t>
  </si>
  <si>
    <t>Norsk e-Fuel Phase 1</t>
  </si>
  <si>
    <t>https://www.norsk-e-fuel.com/en/</t>
  </si>
  <si>
    <t>Norsk e-Fuel Phase 2</t>
  </si>
  <si>
    <t>http://www.renewableh2canada.ca/</t>
  </si>
  <si>
    <t>https://fuelcellsworks.com/news/canada-macquarie-capital-to-finance-new-200-plus-million-renewable-hydrogen-plant-in-chetwynd/</t>
  </si>
  <si>
    <t>[522] [523]</t>
  </si>
  <si>
    <t>Sundance Hydrogen</t>
  </si>
  <si>
    <t>Vårgårda Bostäder housing complex</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</si>
  <si>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</si>
  <si>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</si>
  <si>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</si>
  <si>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</si>
  <si>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Statkraft-CELSA-Mo green H2 for steel production</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</si>
  <si>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</si>
  <si>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</si>
  <si>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</si>
  <si>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</si>
  <si>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</si>
  <si>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</si>
  <si>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</si>
  <si>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</si>
  <si>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</si>
  <si>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</si>
  <si>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</si>
  <si>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</si>
  <si>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</si>
  <si>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</si>
  <si>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</si>
  <si>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</si>
  <si>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</si>
  <si>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</si>
  <si>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</si>
  <si>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</si>
  <si>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</si>
  <si>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</si>
  <si>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</si>
  <si>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</si>
  <si>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</si>
  <si>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</si>
  <si>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</si>
  <si>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</si>
  <si>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</si>
  <si>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</si>
  <si>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</si>
  <si>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</si>
  <si>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</si>
  <si>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</si>
  <si>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</si>
  <si>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</si>
  <si>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</si>
  <si>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</si>
  <si>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</si>
  <si>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</si>
  <si>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</si>
  <si>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</si>
  <si>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</si>
  <si>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</si>
  <si>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</si>
  <si>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</si>
  <si>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</si>
  <si>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</si>
  <si>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</si>
  <si>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</si>
  <si>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</si>
  <si>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</si>
  <si>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</si>
  <si>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</si>
  <si>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</si>
  <si>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</si>
  <si>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</si>
  <si>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</si>
  <si>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</si>
  <si>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</si>
  <si>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Hyport - Toulouse-Blagnac Airport</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</si>
  <si>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</si>
  <si>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</si>
  <si>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</si>
  <si>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</si>
  <si>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</si>
  <si>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</si>
  <si>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 xml:space="preserve">Tapada do Outeiro natural gas power plant </t>
  </si>
  <si>
    <t>[534]</t>
  </si>
  <si>
    <t>Portuguese Hydrogen Strategy</t>
  </si>
  <si>
    <t>Aviation synfuels</t>
  </si>
  <si>
    <t>Queensland Government HRS</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</si>
  <si>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</si>
  <si>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</si>
  <si>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</si>
  <si>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</si>
  <si>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</si>
  <si>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</si>
  <si>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</si>
  <si>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[540] [541]</t>
  </si>
  <si>
    <t>https://en.media.airliquide.com/news/air-liquide-will-build-the-first-high-pressure-hydrogen-refueling-station-for-long-haul-trucks-in-europe-803c-56033.html</t>
  </si>
  <si>
    <t>https://www.toshiba-energy.com/en/hydrogen/results/index.htm</t>
  </si>
  <si>
    <t>[543]</t>
  </si>
  <si>
    <t>https://www.thechemicalengineer.com/news/two-new-large-scale-ccus-facilities-now-in-operation/</t>
  </si>
  <si>
    <t>[348] [544]</t>
  </si>
  <si>
    <t>[346] [347] [544]</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</si>
  <si>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</si>
  <si>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</si>
  <si>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[239] [354] [546]</t>
  </si>
  <si>
    <t>https://www.h2-view.com/story/itm-power-provides-trading-update/</t>
  </si>
  <si>
    <t>[383] [547]</t>
  </si>
  <si>
    <t>[547]</t>
  </si>
  <si>
    <t>H2One - Toranomon Hills Business Tower</t>
  </si>
  <si>
    <t>https://www.toshiba-energy.com/en/info/info2020_0610.htm</t>
  </si>
  <si>
    <t>[548]</t>
  </si>
  <si>
    <t xml:space="preserve">H2One - Toyama City Environment Center </t>
  </si>
  <si>
    <t>[549]</t>
  </si>
  <si>
    <t>https://www.toshiba-energy.com/en/info/info2020_0123.htm</t>
  </si>
  <si>
    <t>https://www.toshiba-energy.com/en/info/info2019_1226.htm</t>
  </si>
  <si>
    <t>H2One - Tsuruga City</t>
  </si>
  <si>
    <t>[550]</t>
  </si>
  <si>
    <t>[551]</t>
  </si>
  <si>
    <t>H2One - Kyushu Resort Hotel,  Huis Ten Bosch</t>
  </si>
  <si>
    <t>https://www.toshiba.co.jp/about/press/2016_03/pr1402.htm</t>
  </si>
  <si>
    <t>H2One - Yokohama Cargo Center</t>
  </si>
  <si>
    <t>[552]</t>
  </si>
  <si>
    <t>https://www.toshiba.co.jp/about/press/2016_04/pr2101.htm</t>
  </si>
  <si>
    <t>H2One - Hydrogen Application Center, Fuchu Complex</t>
  </si>
  <si>
    <t>https://www.toshiba.co.jp/about/press/2017_07/pr1301.htm</t>
  </si>
  <si>
    <t>[553]</t>
  </si>
  <si>
    <t>H2PLAZA - Toyota Industries Corporation’s Takahama</t>
  </si>
  <si>
    <t>https://www.toshiba-energy.com/en/info/info2019_0322.htm</t>
  </si>
  <si>
    <t>H2One - Asahi Breweries in Ibaraki</t>
  </si>
  <si>
    <t>https://www.toshiba-energy.com/en/info/info2019_0614.htm</t>
  </si>
  <si>
    <t>[555]</t>
  </si>
  <si>
    <t>H2One - SP Group</t>
  </si>
  <si>
    <t>[556]</t>
  </si>
  <si>
    <t>https://www.toshiba-energy.com/en/info/info2019_1030.htm</t>
  </si>
  <si>
    <t>https://www.powermag.com/worlds-first-integrated-hydrogen-power-to-power-demonstration-launched/</t>
  </si>
  <si>
    <t>https://www.engie-solutions.com/fr/actualites/hydrogene-michelin-morbihan</t>
  </si>
  <si>
    <t>Air Liquide liquid hydrogen production plant</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</si>
  <si>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</si>
  <si>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</si>
  <si>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</si>
  <si>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</si>
  <si>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</si>
  <si>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HRS Charleroi</t>
  </si>
  <si>
    <t>[564]</t>
  </si>
  <si>
    <t>https://www.7sur7.be/ecologie/des-bus-du-tec-charleroi-vont-rouler-a-l-hydrogene~aacd0a8a/</t>
  </si>
  <si>
    <t>Power2Met</t>
  </si>
  <si>
    <t>https://www.idag.dk/article/view/726710/fra_ptxide_til_virkelighed_danmarks_forste_emethanolanlaeg_producerer_flydende_el</t>
  </si>
  <si>
    <t>[565]</t>
  </si>
  <si>
    <t>https://www.obayashi.co.jp/news/detail/news20200709_1.html</t>
  </si>
  <si>
    <t>[566]</t>
  </si>
  <si>
    <t>Obayashi geothermal hydrogen</t>
  </si>
  <si>
    <t>Costa Rica Transportation Ecosystem Project</t>
  </si>
  <si>
    <t>CRI</t>
  </si>
  <si>
    <t>https://www.ft.com/content/19d3e1ff-748b-4e86-957a-8fe018f64b9b</t>
  </si>
  <si>
    <t>https://www.theguardian.com/environment/2020/jul/19/can-a-hydrogen-boom-fuel-a-green-recovery-for-britain</t>
  </si>
  <si>
    <t>https://fuelcellsworks.com/news/enagas-receives-eu-support-for-the-development-of-hydrogen-station-in-madrid/</t>
  </si>
  <si>
    <t>[570]</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</si>
  <si>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</si>
  <si>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</si>
  <si>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</si>
  <si>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</si>
  <si>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</si>
  <si>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Siemens Energy and Beijing Green Hydrogen Technology Development HRS</t>
  </si>
  <si>
    <t>[575]</t>
  </si>
  <si>
    <t>https://www.worldoil.com/news/2020/8/19/siemens-energy-launches-its-first-megawatt-green-hydrogen-production-project-in-china</t>
  </si>
  <si>
    <t>https://www.reuters.com/article/us-sweden-steel-hydrogen/swedens-hybrit-starts-operations-at-pilot-plant-for-fossil-free-steel-idUSKBN25R1PI</t>
  </si>
  <si>
    <t>Apex Energy, Rostock-Laage</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</si>
  <si>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</si>
  <si>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</si>
  <si>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</si>
  <si>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</si>
  <si>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[580]</t>
  </si>
  <si>
    <t>https://www.itm-power.com/news/first-project-to-deliver-a-10mw-electrolyser-to-glasgow-facility</t>
  </si>
  <si>
    <t>[582]</t>
  </si>
  <si>
    <t>https://fuelcellsworks.com/news/siemens-to-build-large-co2-free-hydrogen-production-plant-in-southern-germany/</t>
  </si>
  <si>
    <t>HRS Aalborg</t>
  </si>
  <si>
    <t>[583]</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</si>
  <si>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</si>
  <si>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</si>
  <si>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</si>
  <si>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[236] [355][585]</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</si>
  <si>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</si>
  <si>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</si>
  <si>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</si>
  <si>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</si>
  <si>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</si>
  <si>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Alliander Oosterwolde - solar park of GroenLeven</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</si>
  <si>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</si>
  <si>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</si>
  <si>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</si>
  <si>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</si>
  <si>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Wunsiedel Energy Park (Phase 2)</t>
  </si>
  <si>
    <t>https://m.solarbe.com/21-0-330298-1.html?utm_campaign=China%20Clean%20Energy%20Syndicate%20&amp;utm_medium=email&amp;utm_source=Revue%20newsletter</t>
  </si>
  <si>
    <t>Weifang Binhai Photovoltaic 100MW Hydrogen Generation Project</t>
  </si>
  <si>
    <t>https://dieselprogress.com/cummins-to-supply-5-mw-hydrogen-electrolyzer-34112/</t>
  </si>
  <si>
    <t>https://www.h2-view.com/story/ghs-to-supply-electrolyser-to-p2x-project/</t>
  </si>
  <si>
    <t>http://www.kit.edu/kit/pi_2019_107_kohlendioxidneutrale-kraftstoffe-aus-luft-und-strom.php</t>
  </si>
  <si>
    <t>[445][599]</t>
  </si>
  <si>
    <t>HydroHub-Fenne</t>
  </si>
  <si>
    <t>https://fuelcellsworks.com/news/wind-and-solar-energy-hydrogen-hydrohub-fenne-to-become-a-real-world-laboratory/</t>
  </si>
  <si>
    <t>Wyhlen hydroelectric power plant</t>
  </si>
  <si>
    <t>https://fuelcellsworks.com/news/zsw-green-hydrogen-production-at-power-to-gas-plant-in-grenzach-wyhlen-working-reliably/</t>
  </si>
  <si>
    <t>Localhy</t>
  </si>
  <si>
    <t>https://localhy.de/#intro</t>
  </si>
  <si>
    <t>[601][602]</t>
  </si>
  <si>
    <t>https://www.uni-weimar.de/en/civil-engineering/chairs/energy-systems/research/current-projects/localhy/</t>
  </si>
  <si>
    <t>PFI - Pirmasens-Winzeln</t>
  </si>
  <si>
    <t>https://www.foederal-erneuerbar.de/best-practice-detailseite/items/power-to-gas-anlage-speist-biomethan-ins-erdgasnetz</t>
  </si>
  <si>
    <t>[604]</t>
  </si>
  <si>
    <t>MethFuel</t>
  </si>
  <si>
    <t>https://www.methquest.de/ueber-methquest/methfuel/</t>
  </si>
  <si>
    <t>[605]</t>
  </si>
  <si>
    <t>eFarm (5 production sites in North Frisia)</t>
  </si>
  <si>
    <t>Windgas Haurup, 2nd phase</t>
  </si>
  <si>
    <t>WindGas Hamburg-Reitbrook</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</si>
  <si>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</si>
  <si>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</si>
  <si>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</si>
  <si>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</si>
  <si>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</si>
  <si>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</si>
  <si>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</si>
  <si>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</si>
  <si>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</si>
  <si>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</si>
  <si>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</si>
  <si>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</si>
  <si>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</si>
  <si>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</si>
  <si>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</si>
  <si>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</si>
  <si>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</si>
  <si>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</si>
  <si>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</si>
  <si>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</si>
  <si>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</si>
  <si>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</si>
  <si>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</si>
  <si>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</si>
  <si>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</si>
  <si>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</si>
  <si>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</si>
  <si>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</si>
  <si>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</si>
  <si>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</si>
  <si>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</si>
  <si>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</si>
  <si>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</si>
  <si>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</si>
  <si>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</si>
  <si>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</si>
  <si>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</si>
  <si>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</si>
  <si>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</si>
  <si>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</si>
  <si>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</si>
  <si>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</si>
  <si>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</si>
  <si>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</si>
  <si>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</si>
  <si>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</si>
  <si>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</si>
  <si>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</si>
  <si>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</si>
  <si>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</si>
  <si>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</si>
  <si>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</si>
  <si>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</si>
  <si>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</si>
  <si>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</si>
  <si>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</si>
  <si>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</si>
  <si>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</si>
  <si>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</si>
  <si>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</si>
  <si>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</si>
  <si>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</si>
  <si>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</si>
  <si>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</si>
  <si>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</si>
  <si>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</si>
  <si>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</si>
  <si>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</si>
  <si>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</si>
  <si>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</si>
  <si>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</si>
  <si>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</si>
  <si>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</si>
  <si>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</si>
  <si>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</si>
  <si>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</si>
  <si>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</si>
  <si>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</si>
  <si>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</si>
  <si>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</si>
  <si>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</si>
  <si>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</si>
  <si>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</si>
  <si>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</si>
  <si>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</si>
  <si>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</si>
  <si>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</si>
  <si>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</si>
  <si>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</si>
  <si>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</si>
  <si>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Refs</t>
  </si>
  <si>
    <t>Feasibility study</t>
  </si>
  <si>
    <t>https://participa.pt/pt/consulta/en-h2-estrategia-nacional-para-o-hidrogenio</t>
  </si>
  <si>
    <t>10MW</t>
  </si>
  <si>
    <t>1GW</t>
  </si>
  <si>
    <t>https://www.pv-magazine.com/2020/07/30/portuguese-consortium-plans-1-gw-green-hydrogen-cluster/</t>
  </si>
  <si>
    <t>2.5MW</t>
  </si>
  <si>
    <t>26MW</t>
  </si>
  <si>
    <t>https://www.goeree-overflakkee.nl/duurzaam-go/waterstof_46733/item/h2go-programma_232204.html</t>
  </si>
  <si>
    <t>Operational</t>
  </si>
  <si>
    <t>4.5MW</t>
  </si>
  <si>
    <t>Scenario</t>
  </si>
  <si>
    <t>STEPS</t>
  </si>
  <si>
    <t>SDS</t>
  </si>
  <si>
    <t>20 MW</t>
  </si>
  <si>
    <t>2.5 MW</t>
  </si>
  <si>
    <t>Grid inj.</t>
  </si>
  <si>
    <t>Refhyne</t>
  </si>
  <si>
    <t>10 MW</t>
  </si>
  <si>
    <t>ECB Omega Green biofuel project</t>
  </si>
  <si>
    <t>SynCH4</t>
  </si>
  <si>
    <t>CO2 origin</t>
  </si>
  <si>
    <t>Biogenic</t>
  </si>
  <si>
    <t>Fossil</t>
  </si>
  <si>
    <t>Mixed</t>
  </si>
  <si>
    <t>DAC</t>
  </si>
  <si>
    <t>Uruguay</t>
  </si>
  <si>
    <t>URY</t>
  </si>
  <si>
    <t>[610]</t>
  </si>
  <si>
    <t>Olive Creek 1</t>
  </si>
  <si>
    <t>Olive Creek 2</t>
  </si>
  <si>
    <t>https://monolithmaterials.com/news/monolith-materials-carbon-free-ammonia-plant</t>
  </si>
  <si>
    <t>https://www.fch.europa.eu/press-releases/green-hysland-mallorca-first-green-hydrogen-project-mediterranean-country-due-get</t>
  </si>
  <si>
    <t>https://www.nrel.gov/aries/</t>
  </si>
  <si>
    <t>ARIES project</t>
  </si>
  <si>
    <t>https://nelhydrogen.com/press-release/nel-asa-receives-purchase-order-for-a-1-25-mw-containerized-pem-electrolyser-from-nrel/</t>
  </si>
  <si>
    <t>1.25 MW</t>
  </si>
  <si>
    <t>None</t>
  </si>
  <si>
    <t>2 MW</t>
  </si>
  <si>
    <t>[577][578]</t>
  </si>
  <si>
    <t>1.3 MW</t>
  </si>
  <si>
    <t>1.125 MW</t>
  </si>
  <si>
    <t>1 MW</t>
  </si>
  <si>
    <t>REMOTE - Agkistro (Greece</t>
  </si>
  <si>
    <t>https://engie-eps.com/corporate/engie-eps-hydrogen-technology-proven-to-make-microgrids-100-green-once-again/</t>
  </si>
  <si>
    <t>50 kW</t>
  </si>
  <si>
    <t>6 MW</t>
  </si>
  <si>
    <t>4 MW</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</si>
  <si>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</si>
  <si>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</si>
  <si>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</si>
  <si>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0.5 MW</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</si>
  <si>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</si>
  <si>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XKX</t>
  </si>
  <si>
    <t>Slovenia</t>
  </si>
  <si>
    <t>SVN</t>
  </si>
  <si>
    <t>0.35 MW</t>
  </si>
  <si>
    <t>0.25 MW</t>
  </si>
  <si>
    <t>[3] [109]</t>
  </si>
  <si>
    <t>If dedicated renewables, type of renewable</t>
  </si>
  <si>
    <t>Type of renewable</t>
  </si>
  <si>
    <t>Solar PV</t>
  </si>
  <si>
    <t>Onshore wind</t>
  </si>
  <si>
    <t>Offshore wind</t>
  </si>
  <si>
    <t>Hydropower</t>
  </si>
  <si>
    <t>Others/Various</t>
  </si>
  <si>
    <t>Grid (excess renewable)</t>
  </si>
  <si>
    <t>0.025MW</t>
  </si>
  <si>
    <t>0.05 MW</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</si>
  <si>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</si>
  <si>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</si>
  <si>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</si>
  <si>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</si>
  <si>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</si>
  <si>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</si>
  <si>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</si>
  <si>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</si>
  <si>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</si>
  <si>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</si>
  <si>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</si>
  <si>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</si>
  <si>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</si>
  <si>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</si>
  <si>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</si>
  <si>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</si>
  <si>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</si>
  <si>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</si>
  <si>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</si>
  <si>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</si>
  <si>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</si>
  <si>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</si>
  <si>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</si>
  <si>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</si>
  <si>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</si>
  <si>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</si>
  <si>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</si>
  <si>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[617]</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</si>
  <si>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</si>
  <si>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0.2 MW</t>
  </si>
  <si>
    <t>0.15MW</t>
  </si>
  <si>
    <t>0.01 MW - 10m3 H2/h</t>
  </si>
  <si>
    <t>0.007 MW</t>
  </si>
  <si>
    <t>2.4 MW - 450m3 H2/h</t>
  </si>
  <si>
    <t>1.2 MW</t>
  </si>
  <si>
    <t>0.225 MW</t>
  </si>
  <si>
    <t>4m3 H2/h</t>
  </si>
  <si>
    <t>5 MW</t>
  </si>
  <si>
    <t>0.0625MW</t>
  </si>
  <si>
    <t>Ref</t>
  </si>
  <si>
    <t>1.25MW</t>
  </si>
  <si>
    <t>0.2MW</t>
  </si>
  <si>
    <t>[119][200]</t>
  </si>
  <si>
    <t>0.185 MW</t>
  </si>
  <si>
    <t>[2][7][45]</t>
  </si>
  <si>
    <t>0.075MW</t>
  </si>
  <si>
    <t>[242]</t>
  </si>
  <si>
    <t>1.5 MW</t>
  </si>
  <si>
    <t>1MW - 200m3 H2/h</t>
  </si>
  <si>
    <t>P2G-Biocat - Continued (Ref 508)</t>
  </si>
  <si>
    <t>0.02MW</t>
  </si>
  <si>
    <t>[2], [177], [178]</t>
  </si>
  <si>
    <t>H2 Logic HRS with onsite electrolysis Aalborg</t>
  </si>
  <si>
    <t>200 kg H2/d</t>
  </si>
  <si>
    <t>H2 Logic HRS with onsite electrolysis Holstebro</t>
  </si>
  <si>
    <t>3x200 kg H2/d</t>
  </si>
  <si>
    <t>[1]</t>
  </si>
  <si>
    <t>40-50MW</t>
  </si>
  <si>
    <t>https://news.cision.com/nel-asa/r/nel-signs-loi-with-statkraft-for-a-green-hydrogen-project-with-up-to-50mw-of-electrolyser-capacity,c3228323</t>
  </si>
  <si>
    <t>[527][619]</t>
  </si>
  <si>
    <t>0.18 MW</t>
  </si>
  <si>
    <t>0.04MW</t>
  </si>
  <si>
    <t>0.165MW</t>
  </si>
  <si>
    <t>0.14MW</t>
  </si>
  <si>
    <t>[1], [2], [5], [7], [46]</t>
  </si>
  <si>
    <t>[1], [2], [3], [9], [36]</t>
  </si>
  <si>
    <t>0.03MW</t>
  </si>
  <si>
    <t>[1], [2], [5], [7]</t>
  </si>
  <si>
    <t>[1], [7], [65], [66]</t>
  </si>
  <si>
    <t>[1], [2], [5], [7], [9], [71] [526]</t>
  </si>
  <si>
    <t>[1], [2]</t>
  </si>
  <si>
    <t>0.01MW</t>
  </si>
  <si>
    <t>[1], [3],[22]</t>
  </si>
  <si>
    <t>0.006MW</t>
  </si>
  <si>
    <t>[1], [161], [162]</t>
  </si>
  <si>
    <t>[1], [5], [17]</t>
  </si>
  <si>
    <t>0.034MW</t>
  </si>
  <si>
    <t>[1], [2], [5], [7], [67], [68]</t>
  </si>
  <si>
    <t>0.05MW</t>
  </si>
  <si>
    <t xml:space="preserve"> [1], [5], [53]</t>
  </si>
  <si>
    <t>https://www.iberdrola.com/press-room/news/detail/iberdrola-fertiberia-place-spain-forefront-green-hydrogen-europe-with-1-8-billion-investment-projected-2027</t>
  </si>
  <si>
    <t>1MW</t>
  </si>
  <si>
    <t>25MW</t>
  </si>
  <si>
    <t>1000MW</t>
  </si>
  <si>
    <t>50MW</t>
  </si>
  <si>
    <t>5MW</t>
  </si>
  <si>
    <t>100MW</t>
  </si>
  <si>
    <t>250MW</t>
  </si>
  <si>
    <t>100 MW</t>
  </si>
  <si>
    <t>[1], [155]</t>
  </si>
  <si>
    <t>[1], [2], [3], [7], [9], [38]</t>
  </si>
  <si>
    <t>[3], [9]</t>
  </si>
  <si>
    <t>0.25MW</t>
  </si>
  <si>
    <t>[3], [7], [9], [98]</t>
  </si>
  <si>
    <t>2MW</t>
  </si>
  <si>
    <t>0.25MW - 60m3 H2/h</t>
  </si>
  <si>
    <t>20MW</t>
  </si>
  <si>
    <t>10kg MeOH/h</t>
  </si>
  <si>
    <t>[1], [152], [153]</t>
  </si>
  <si>
    <t>10m3 H2/h</t>
  </si>
  <si>
    <t>[1], [2], [5], [7], [87], [88]</t>
  </si>
  <si>
    <t>2.5MW - 500m3 H2/h</t>
  </si>
  <si>
    <t>[1], [5], [173], [174]</t>
  </si>
  <si>
    <t>0.005MW</t>
  </si>
  <si>
    <t>[1], [5], [136]</t>
  </si>
  <si>
    <t>[1], [5], [15]</t>
  </si>
  <si>
    <t>0.37MW</t>
  </si>
  <si>
    <t>[2], [4], [187], [188]</t>
  </si>
  <si>
    <t>0.015MW</t>
  </si>
  <si>
    <t>[1], [5], [86], [87]</t>
  </si>
  <si>
    <t>3MW</t>
  </si>
  <si>
    <t>30MW</t>
  </si>
  <si>
    <t>700MW</t>
  </si>
  <si>
    <t>Buildings uses</t>
  </si>
  <si>
    <t>Residential</t>
  </si>
  <si>
    <t>Non Res - Education</t>
  </si>
  <si>
    <t>Non Res - Health</t>
  </si>
  <si>
    <t>Non Res - Hospitality</t>
  </si>
  <si>
    <t>Non Res - Office</t>
  </si>
  <si>
    <t>Non Res - Trade</t>
  </si>
  <si>
    <t>Non Res - Commercial</t>
  </si>
  <si>
    <t>Non Res - Leisure/Other</t>
  </si>
  <si>
    <t>Residential and non-residential</t>
  </si>
  <si>
    <t>CF Industries - Donaldsonville Nitrogen Complex</t>
  </si>
  <si>
    <t>https://www.cfindustries.com/newsroom/2020/commitment-to-clean-energy-economy</t>
  </si>
  <si>
    <t>https://www.h2-view.com/story/cf-industries-to-construct-green-hydrogen-based-ammonia-facility-in-louisiana/</t>
  </si>
  <si>
    <t>Linde - Ontario (California)</t>
  </si>
  <si>
    <t>https://www.linde.com/news-media/press-releases/2020/linde-to-produce-green-hydrogen-for-mobility-market-in-california</t>
  </si>
  <si>
    <t>120MW</t>
  </si>
  <si>
    <t>Other/unknown</t>
  </si>
  <si>
    <t>[215]</t>
  </si>
  <si>
    <t>https://www.irishtimes.com/business/ireland-s-first-green-hydrogen-project-to-come-on-stream-in-weeks-1.4399291</t>
  </si>
  <si>
    <t>https://www.h2-view.com/story/logan-energy-playing-a-major-role-in-northern-irelands-hydrogen-economy/</t>
  </si>
  <si>
    <t>[624][625]</t>
  </si>
  <si>
    <t>1.5MW</t>
  </si>
  <si>
    <t>0.6MW</t>
  </si>
  <si>
    <t>0.114MW</t>
  </si>
  <si>
    <t>https://www.naturgy.com/conocenos/innovacion_y_futuro/plan_de_innovacion_tecnologica/ris3cat_cosin_combustibles_sinteticos</t>
  </si>
  <si>
    <t>20m3 CH4/h</t>
  </si>
  <si>
    <t>[250] [365]</t>
  </si>
  <si>
    <t>https://www.liquidwind.se/flagships</t>
  </si>
  <si>
    <t>DEMO</t>
  </si>
  <si>
    <t>0.7MW - 60m3 H2/h</t>
  </si>
  <si>
    <t>0.12MW</t>
  </si>
  <si>
    <t>https://nelhydrogen.com/wp-content/uploads/2019/10/nel-q3-2014-presentation.pdf</t>
  </si>
  <si>
    <t>0.1MW</t>
  </si>
  <si>
    <t>https://www.h2-view.com/story/south-australia-backs-240m-green-hydrogen-project/</t>
  </si>
  <si>
    <t>[3], [196]</t>
  </si>
  <si>
    <t>[1], [5], [39]</t>
  </si>
  <si>
    <t>6MW - 1200m3 H2/h</t>
  </si>
  <si>
    <t>[1], [5], [69]</t>
  </si>
  <si>
    <t>0.065MW</t>
  </si>
  <si>
    <t>0.022MW</t>
  </si>
  <si>
    <t>0.007MW</t>
  </si>
  <si>
    <t>[1], [5], [70]</t>
  </si>
  <si>
    <t>0.08MW</t>
  </si>
  <si>
    <t>[3], [193]</t>
  </si>
  <si>
    <t>0.004MW</t>
  </si>
  <si>
    <t>0.0025MW</t>
  </si>
  <si>
    <t>[1], [5], [54]</t>
  </si>
  <si>
    <t>[1], [5], [171]</t>
  </si>
  <si>
    <t>[1], [5], [7], [55], [63]</t>
  </si>
  <si>
    <t>0.055MW</t>
  </si>
  <si>
    <t>[1], [5], [55], [62]</t>
  </si>
  <si>
    <t>[1], [5], [55], [56]</t>
  </si>
  <si>
    <t>[7], [133]</t>
  </si>
  <si>
    <t>[3] [7]</t>
  </si>
  <si>
    <t xml:space="preserve"> [1], [5], [87], [89], [90]</t>
  </si>
  <si>
    <t>5000MW</t>
  </si>
  <si>
    <t>Both</t>
  </si>
  <si>
    <t>https://www.topsectorenergie.nl/sites/default/files/uploads/TKI%20Gas/nieuws/Overview%20of%20Hydrogen%20project%20in%20the%20Netherlands.pdf</t>
  </si>
  <si>
    <t>[275] [630]</t>
  </si>
  <si>
    <t>[266][630]</t>
  </si>
  <si>
    <t>130MW</t>
  </si>
  <si>
    <t>17MW</t>
  </si>
  <si>
    <t>200MW</t>
  </si>
  <si>
    <t>160MW</t>
  </si>
  <si>
    <t>150MW</t>
  </si>
  <si>
    <t>60MW</t>
  </si>
  <si>
    <t xml:space="preserve"> [1], [60], [61]</t>
  </si>
  <si>
    <t>2.6MW</t>
  </si>
  <si>
    <t>Wunsiedel Energy Park (Phase 1)</t>
  </si>
  <si>
    <t>6MW</t>
  </si>
  <si>
    <t>15MW</t>
  </si>
  <si>
    <t>16m3 H2/h</t>
  </si>
  <si>
    <t>[1], [5], [72], [73]</t>
  </si>
  <si>
    <t>0.0012MW</t>
  </si>
  <si>
    <t>3.4MW</t>
  </si>
  <si>
    <t>[1] [3]</t>
  </si>
  <si>
    <t>[63]</t>
  </si>
  <si>
    <t>0.001MW</t>
  </si>
  <si>
    <t>[3], [194]</t>
  </si>
  <si>
    <t>60m3 H2/h</t>
  </si>
  <si>
    <t>0.312MW</t>
  </si>
  <si>
    <t>[2], [149], [150]</t>
  </si>
  <si>
    <t>0.11MW</t>
  </si>
  <si>
    <t>[7], [211]</t>
  </si>
  <si>
    <t xml:space="preserve"> [7], [181]</t>
  </si>
  <si>
    <t xml:space="preserve"> [1], [27], [28]</t>
  </si>
  <si>
    <t xml:space="preserve"> [1], [116]</t>
  </si>
  <si>
    <t xml:space="preserve"> [2], [3], [7]</t>
  </si>
  <si>
    <t xml:space="preserve"> [100], [198]</t>
  </si>
  <si>
    <t xml:space="preserve"> [1], [3]</t>
  </si>
  <si>
    <t xml:space="preserve"> [1], [3], [117]</t>
  </si>
  <si>
    <t xml:space="preserve"> [7], [133]</t>
  </si>
  <si>
    <t xml:space="preserve"> [141], [142]</t>
  </si>
  <si>
    <t xml:space="preserve"> [1], [2], [5], [7], [9], [52]</t>
  </si>
  <si>
    <t xml:space="preserve"> [3]</t>
  </si>
  <si>
    <t xml:space="preserve"> [7], [151]</t>
  </si>
  <si>
    <t xml:space="preserve"> [2], [163]</t>
  </si>
  <si>
    <t xml:space="preserve"> [1], [2], [3], [5], [7], [9]</t>
  </si>
  <si>
    <t xml:space="preserve"> [3], [124]</t>
  </si>
  <si>
    <t xml:space="preserve"> [1], [2], [5], [7], [64]</t>
  </si>
  <si>
    <t xml:space="preserve"> [1], [5], [87], [111], [112]</t>
  </si>
  <si>
    <t xml:space="preserve"> [1], [5], [85], [86], [87]</t>
  </si>
  <si>
    <t xml:space="preserve"> [1], [5], [86], [87]</t>
  </si>
  <si>
    <t xml:space="preserve"> [1], [5], [106]</t>
  </si>
  <si>
    <t xml:space="preserve"> [1], [14]</t>
  </si>
  <si>
    <t xml:space="preserve"> [1], [5], [37], [106]</t>
  </si>
  <si>
    <t xml:space="preserve"> [7], [9], [147]</t>
  </si>
  <si>
    <t>0.3MW</t>
  </si>
  <si>
    <t>0.3MW - 60m3 H2/h</t>
  </si>
  <si>
    <t>100kt CO2/y</t>
  </si>
  <si>
    <t>t CO₂ captured/y</t>
  </si>
  <si>
    <t>0.15MW - 37.5m3 H2/h</t>
  </si>
  <si>
    <t>0.135MW</t>
  </si>
  <si>
    <t>0.041MW</t>
  </si>
  <si>
    <t>0.0036MW</t>
  </si>
  <si>
    <t>0.0034MW</t>
  </si>
  <si>
    <t>0.05m3 H2/h</t>
  </si>
  <si>
    <t>0.099MW</t>
  </si>
  <si>
    <t>0.0065MW</t>
  </si>
  <si>
    <t xml:space="preserve"> [1], [5], [164]</t>
  </si>
  <si>
    <t xml:space="preserve"> [1], [5], [25], [26]</t>
  </si>
  <si>
    <t xml:space="preserve"> [1], [5], [7], [87]</t>
  </si>
  <si>
    <t xml:space="preserve"> [1], [5], [169], [170]</t>
  </si>
  <si>
    <t xml:space="preserve"> [1], [5], [79]</t>
  </si>
  <si>
    <t xml:space="preserve"> [1], [9], [23], [24]</t>
  </si>
  <si>
    <t>1-10MW</t>
  </si>
  <si>
    <t>12m3 H2/h</t>
  </si>
  <si>
    <t>100000t CO2/y - 4500kg H2/h</t>
  </si>
  <si>
    <t>[9], Cap. network</t>
  </si>
  <si>
    <t>[118], [205]</t>
  </si>
  <si>
    <t>PEM+ALK+SOEC</t>
  </si>
  <si>
    <t>HYPOS (several projects)</t>
  </si>
  <si>
    <t>[2], [7], [95], [96]</t>
  </si>
  <si>
    <t>20MW - 8t H2/d</t>
  </si>
  <si>
    <t>4.3 t H2/d</t>
  </si>
  <si>
    <t>9MW</t>
  </si>
  <si>
    <t>4MW</t>
  </si>
  <si>
    <t>3.5MW</t>
  </si>
  <si>
    <t>0.5MW</t>
  </si>
  <si>
    <t>0.22MW</t>
  </si>
  <si>
    <t>[1], [115] [456]</t>
  </si>
  <si>
    <t>300000t CO2/y</t>
  </si>
  <si>
    <t>[5], [105]</t>
  </si>
  <si>
    <t>[1], [5], [21]</t>
  </si>
  <si>
    <t>[1], [5], [172]</t>
  </si>
  <si>
    <t>NG pyrolysis</t>
  </si>
  <si>
    <t>1.4MW</t>
  </si>
  <si>
    <t>30t H2/d (only part from biogas, but at least 1/3)</t>
  </si>
  <si>
    <t>275kt NH3/y</t>
  </si>
  <si>
    <t>Presentation of Iberdola in the Chilean Hydrogen Summit, 4 Nov 2020</t>
  </si>
  <si>
    <t>[620][631]</t>
  </si>
  <si>
    <t>[588][620][631]</t>
  </si>
  <si>
    <t>[567] [572][620][631]</t>
  </si>
  <si>
    <t>Unknown technology</t>
  </si>
  <si>
    <t>ALK+PEM</t>
  </si>
  <si>
    <t>1.7t H2/d</t>
  </si>
  <si>
    <t>GreenH2UB (10 hubs of 3-10MW, the first one Ref786)</t>
  </si>
  <si>
    <t>1.5MW - 250m3 H2/h</t>
  </si>
  <si>
    <t>0.175MW</t>
  </si>
  <si>
    <t>310MW</t>
  </si>
  <si>
    <t>40MW</t>
  </si>
  <si>
    <t>35MW</t>
  </si>
  <si>
    <t>4200000t CO2/y</t>
  </si>
  <si>
    <t>1300000t CO2/y</t>
  </si>
  <si>
    <t>Toyota Hydrogen Centre, Altona, Victoria</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</si>
  <si>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</si>
  <si>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</si>
  <si>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</si>
  <si>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</si>
  <si>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</si>
  <si>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</si>
  <si>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</si>
  <si>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</si>
  <si>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[503][630][609]</t>
  </si>
  <si>
    <t>[503][630]</t>
  </si>
  <si>
    <t>[503][630] [630]</t>
  </si>
  <si>
    <t>https://www.nytimes.com/2020/11/11/business/hydrogen-fuel-california.html</t>
  </si>
  <si>
    <t>[559] [561][639]</t>
  </si>
  <si>
    <t>Hystock (EnergyStock)</t>
  </si>
  <si>
    <t>[268]</t>
  </si>
  <si>
    <t>DJEWELS Chemiepark - Delfzijl, Phase 1</t>
  </si>
  <si>
    <t>DJEWELS Chemiepark - Delfzijl, Phase 2</t>
  </si>
  <si>
    <t>Curthyl</t>
  </si>
  <si>
    <t>Deltaurus 1</t>
  </si>
  <si>
    <t>https://www.klimaatakkoord.nl/binaries/klimaatakkoord/documenten/publicaties/2020/10/22/koplopersprogramma-cluster-smart-delta/SDR-Regioplan+2030-2050.pdf</t>
  </si>
  <si>
    <t>[640]</t>
  </si>
  <si>
    <t>150MW - 1GW</t>
  </si>
  <si>
    <t>Deltaurus 3</t>
  </si>
  <si>
    <t>H2 Logic 3 HRS with onsite electrolysis in Copenhagen</t>
  </si>
  <si>
    <t>H2 Logic HRS with onsite electrolysis in Vejle</t>
  </si>
  <si>
    <t>HySynergy, phase 1</t>
  </si>
  <si>
    <t>1000W</t>
  </si>
  <si>
    <t>HySynergy, phase 2</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</si>
  <si>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</si>
  <si>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</si>
  <si>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</si>
  <si>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</si>
  <si>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</si>
  <si>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</si>
  <si>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Fortescue Metals Group - Bell Bay, Tasmania</t>
  </si>
  <si>
    <t>250MW - 250kt NH3/y</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</si>
  <si>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</si>
  <si>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[646]</t>
  </si>
  <si>
    <t>H2HUB</t>
  </si>
  <si>
    <t>[647]</t>
  </si>
  <si>
    <t>https://assets.ey.com/content/dam/ey-sites/ey-com/it_it/news/2020/ey-summary-report-green-recovery-v2.pdf</t>
  </si>
  <si>
    <t>https://www.eleconomista.es/empresas-finanzas/noticias/10896511/11/20/Repsol-invertira-hasta-2900-millones-en-hidrogeno-en-cinco-anos-.html</t>
  </si>
  <si>
    <t>EMEC tidal-battery-hydrogen demo</t>
  </si>
  <si>
    <t>https://fuelcellsworks.com/news/a-world-first-project-will-combine-flow-battery-technology-with-tidal-power-to-produce-continuous-green-hydrogen/</t>
  </si>
  <si>
    <t>H2RES - Orsted offshore wind</t>
  </si>
  <si>
    <t>DJEWELS Chemiepark - Delfzijl, Phase 3</t>
  </si>
  <si>
    <t>Huaneng electrolysis plant in Western Sichuan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</si>
  <si>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</si>
  <si>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</si>
  <si>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6000m3 H2/h</t>
  </si>
  <si>
    <t>H-Vision (phase 1)</t>
  </si>
  <si>
    <t>HaYrport</t>
  </si>
  <si>
    <t>0.75MW</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</si>
  <si>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</si>
  <si>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</si>
  <si>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</si>
  <si>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</si>
  <si>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</si>
  <si>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</si>
  <si>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</si>
  <si>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</si>
  <si>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</si>
  <si>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</si>
  <si>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</si>
  <si>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</si>
  <si>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</si>
  <si>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</si>
  <si>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</si>
  <si>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</si>
  <si>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</si>
  <si>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</si>
  <si>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</si>
  <si>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</si>
  <si>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</si>
  <si>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</si>
  <si>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</si>
  <si>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</si>
  <si>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</si>
  <si>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</si>
  <si>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</si>
  <si>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</si>
  <si>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</si>
  <si>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</si>
  <si>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</si>
  <si>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</si>
  <si>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</si>
  <si>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</si>
  <si>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</si>
  <si>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</si>
  <si>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</si>
  <si>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</si>
  <si>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</si>
  <si>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</si>
  <si>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</si>
  <si>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</si>
  <si>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</si>
  <si>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</si>
  <si>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</si>
  <si>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</si>
  <si>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</si>
  <si>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</si>
  <si>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</si>
  <si>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</si>
  <si>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</si>
  <si>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</si>
  <si>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</si>
  <si>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</si>
  <si>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</si>
  <si>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</si>
  <si>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</si>
  <si>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</si>
  <si>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</si>
  <si>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</si>
  <si>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</si>
  <si>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</si>
  <si>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</si>
  <si>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</si>
  <si>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</si>
  <si>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</si>
  <si>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</si>
  <si>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</si>
  <si>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</si>
  <si>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</si>
  <si>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</si>
  <si>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</si>
  <si>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</si>
  <si>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</si>
  <si>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</si>
  <si>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</si>
  <si>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</si>
  <si>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</si>
  <si>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</si>
  <si>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</si>
  <si>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</si>
  <si>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</si>
  <si>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</si>
  <si>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</si>
  <si>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</si>
  <si>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</si>
  <si>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</si>
  <si>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</si>
  <si>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</si>
  <si>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</si>
  <si>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</si>
  <si>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</si>
  <si>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</si>
  <si>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</si>
  <si>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</si>
  <si>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</si>
  <si>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</si>
  <si>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</si>
  <si>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</si>
  <si>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</si>
  <si>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</si>
  <si>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</si>
  <si>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</si>
  <si>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</si>
  <si>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</si>
  <si>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</si>
  <si>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</si>
  <si>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</si>
  <si>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</si>
  <si>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</si>
  <si>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</si>
  <si>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</si>
  <si>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</si>
  <si>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</si>
  <si>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</si>
  <si>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</si>
  <si>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</si>
  <si>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</si>
  <si>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</si>
  <si>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</si>
  <si>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</si>
  <si>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</si>
  <si>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</si>
  <si>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</si>
  <si>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</si>
  <si>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</si>
  <si>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</si>
  <si>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</si>
  <si>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</si>
  <si>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</si>
  <si>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</si>
  <si>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</si>
  <si>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</si>
  <si>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</si>
  <si>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</si>
  <si>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</si>
  <si>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</si>
  <si>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</si>
  <si>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</si>
  <si>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</si>
  <si>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</si>
  <si>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</si>
  <si>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</si>
  <si>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</si>
  <si>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</si>
  <si>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</si>
  <si>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</si>
  <si>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</si>
  <si>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</si>
  <si>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</si>
  <si>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</si>
  <si>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</si>
  <si>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</si>
  <si>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</si>
  <si>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</si>
  <si>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</si>
  <si>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</si>
  <si>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</si>
  <si>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</si>
  <si>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</si>
  <si>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</si>
  <si>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</si>
  <si>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</si>
  <si>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</si>
  <si>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</si>
  <si>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</si>
  <si>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</si>
  <si>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</si>
  <si>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</si>
  <si>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</si>
  <si>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</si>
  <si>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</si>
  <si>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</si>
  <si>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</si>
  <si>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</si>
  <si>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</si>
  <si>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</si>
  <si>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</si>
  <si>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</si>
  <si>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</si>
  <si>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</si>
  <si>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</si>
  <si>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</si>
  <si>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</si>
  <si>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</si>
  <si>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</si>
  <si>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</si>
  <si>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</si>
  <si>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</si>
  <si>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</si>
  <si>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</si>
  <si>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</si>
  <si>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</si>
  <si>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</si>
  <si>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</si>
  <si>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</si>
  <si>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</si>
  <si>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</si>
  <si>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</si>
  <si>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</si>
  <si>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</si>
  <si>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</si>
  <si>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</si>
  <si>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</si>
  <si>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</si>
  <si>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</si>
  <si>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</si>
  <si>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</si>
  <si>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</si>
  <si>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</si>
  <si>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</si>
  <si>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</si>
  <si>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</si>
  <si>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</si>
  <si>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</si>
  <si>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</si>
  <si>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</si>
  <si>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</si>
  <si>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</si>
  <si>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</si>
  <si>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</si>
  <si>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</si>
  <si>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</si>
  <si>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</si>
  <si>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</si>
  <si>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</si>
  <si>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</si>
  <si>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</si>
  <si>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</si>
  <si>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</si>
  <si>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</si>
  <si>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</si>
  <si>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</si>
  <si>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</si>
  <si>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</si>
  <si>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</si>
  <si>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</si>
  <si>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</si>
  <si>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</si>
  <si>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</si>
  <si>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</si>
  <si>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</si>
  <si>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</si>
  <si>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</si>
  <si>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</si>
  <si>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</si>
  <si>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</si>
  <si>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</si>
  <si>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</si>
  <si>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</si>
  <si>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</si>
  <si>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</si>
  <si>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</si>
  <si>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</si>
  <si>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</si>
  <si>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</si>
  <si>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</si>
  <si>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</si>
  <si>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</si>
  <si>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</si>
  <si>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</si>
  <si>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</si>
  <si>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</si>
  <si>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</si>
  <si>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</si>
  <si>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</si>
  <si>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</si>
  <si>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</si>
  <si>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</si>
  <si>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</si>
  <si>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</si>
  <si>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</si>
  <si>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</si>
  <si>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</si>
  <si>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</si>
  <si>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</si>
  <si>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</si>
  <si>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</si>
  <si>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</si>
  <si>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</si>
  <si>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</si>
  <si>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</si>
  <si>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</si>
  <si>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</si>
  <si>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</si>
  <si>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</si>
  <si>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</si>
  <si>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</si>
  <si>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</si>
  <si>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</si>
  <si>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</si>
  <si>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</si>
  <si>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</si>
  <si>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</si>
  <si>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300MW</t>
  </si>
  <si>
    <t>1500-2115MW</t>
  </si>
  <si>
    <t>320 t H2/d</t>
  </si>
  <si>
    <t>Green Crane Pais Vasco Hub</t>
  </si>
  <si>
    <t>Green Crane, Aragon Hub</t>
  </si>
  <si>
    <t>IPCEI SilverFrog</t>
  </si>
  <si>
    <t>IPCEI New Green Flamingo</t>
  </si>
  <si>
    <t>IPCEI Blue Danube</t>
  </si>
  <si>
    <t>IPCEI Black Horse (40 electrolysis production sites)</t>
  </si>
  <si>
    <t>IPCEI Green Crane, Italy Hubs</t>
  </si>
  <si>
    <t>https://northccuhub.eu/about-us/#Mission_%E2%80%93_Vision_%E2%80%93_Roadmap</t>
  </si>
  <si>
    <t>[444] [654]</t>
  </si>
  <si>
    <t>North CCU HUB, phase 2. North-C -full scale</t>
  </si>
  <si>
    <t>North CCU HUB, phase 3 (Deltaurus 4)</t>
  </si>
  <si>
    <t>600MW</t>
  </si>
  <si>
    <t>https://www.waterstofnet.eu/_asset/_public/Waterstofregio20/5-Presentatie-Colruyt-Group.pdf</t>
  </si>
  <si>
    <t>[655]</t>
  </si>
  <si>
    <t>HRS Halle (Continued as Ref148)</t>
  </si>
  <si>
    <t>"Waste-to-wheels" Charleroi</t>
  </si>
  <si>
    <t>https://fuelcellsworks.com/news/belgium-green-light-for-a-hydrogen-production-and-distribution-station-in-charleroi/</t>
  </si>
  <si>
    <t>POL
CZE
SVK
HUN</t>
  </si>
  <si>
    <t>ROM
DEU
AUT</t>
  </si>
  <si>
    <t>Origin Energy Tasmania’s Bell Bay</t>
  </si>
  <si>
    <t>https://www.originenergy.com.au/about/investors-media/media-centre/origin_to_investigate_export_scale_green_hydrogen_project_in_tasmania.html</t>
  </si>
  <si>
    <t>500MW-420 ktnNH3/y</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</si>
  <si>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</si>
  <si>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</si>
  <si>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H2One Multistation- Tsuruga City</t>
  </si>
  <si>
    <t>[659]</t>
  </si>
  <si>
    <t>https://www.pv-magazine.com/2020/11/17/danish-investment-fund-backs-5-gw-australian-renewable-hydrogen-project/</t>
  </si>
  <si>
    <t>500MW</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</si>
  <si>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</si>
  <si>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</si>
  <si>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</si>
  <si>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</si>
  <si>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</si>
  <si>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[241][665]</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</si>
  <si>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</si>
  <si>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</si>
  <si>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Recycle Carbone Varennes biofuels plant</t>
  </si>
  <si>
    <t>http://news.hydroquebec.com/en/news/229/developing-green-hydrogen-in-quebec-an-important-step-toward-a-carbon-free-economy/</t>
  </si>
  <si>
    <t>https://globalnews.ca/news/7508377/biofuel-plant-varennes-quebec/</t>
  </si>
  <si>
    <t>BENORTH2 (Amorebieta-Boroa power plant), phase 1</t>
  </si>
  <si>
    <t>BENORTH2 (Amorebieta-Boroa power plant), phase 2</t>
  </si>
  <si>
    <t>Beijing Jingneng Power Company</t>
  </si>
  <si>
    <t>[670]</t>
  </si>
  <si>
    <t>https://www.reuters.com/article/idUSL4N2IO1KX</t>
  </si>
  <si>
    <t>500kt H2/y</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</si>
  <si>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</si>
  <si>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</si>
  <si>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Wallonia e-methane project</t>
  </si>
  <si>
    <t>75MW</t>
  </si>
  <si>
    <t>https://johncockerill.com/app/uploads/2020/12/201210-Joint-Development-Agreement-Carmeuse-ENGIE-and-John-Cockerill-ENG.pdf</t>
  </si>
  <si>
    <t>[673]</t>
  </si>
  <si>
    <t>https://www.get-h2.de/en/get-h2-nukleus/</t>
  </si>
  <si>
    <t>https://www.get-h2.de/wp-content/uploads/geth2-nukleus_praesentation_en_201127.pdf</t>
  </si>
  <si>
    <t>NortH2, phase 1</t>
  </si>
  <si>
    <t>3GW</t>
  </si>
  <si>
    <t>NortH2, phase 2</t>
  </si>
  <si>
    <t>10GW</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</si>
  <si>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</si>
  <si>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</si>
  <si>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</si>
  <si>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</si>
  <si>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</si>
  <si>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Brande Hydrogen project</t>
  </si>
  <si>
    <t>0.4MW</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</si>
  <si>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</si>
  <si>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</si>
  <si>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</si>
  <si>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 xml:space="preserve">Horizeo project </t>
  </si>
  <si>
    <t>[684]</t>
  </si>
  <si>
    <t>https://www.greentechmedia.com/articles/read/engie-and-neoen-to-build-1gw-solar-battery-and-hydrogen-project?utm_medium=email&amp;utm_source=Daily&amp;utm_campaign=GTMDaily</t>
  </si>
  <si>
    <t>Deep Purple</t>
  </si>
  <si>
    <t>https://www.technipfmc.com/en/what-we-do/subsea/energy-transition-deep-purple/</t>
  </si>
  <si>
    <t>[685] [686] [687]</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</si>
  <si>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</si>
  <si>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</si>
  <si>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</si>
  <si>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[681] [689]</t>
  </si>
  <si>
    <t>https://www.siemensgamesa.com/es-es/-/media/siemensgamesa/downloads/es/newsroom/2020/12/siemens-gamesa-press-release-hydrogen-pilot-project-es.pdf</t>
  </si>
  <si>
    <t>https://www.eleconomista.es/pais_vasco/noticias/10923476/12/20/La-primera-planta-de-hidrogeno-verde-estara-operativa-en-Amorebieta-en-2022.html</t>
  </si>
  <si>
    <t>[666] [690]</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</si>
  <si>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</si>
  <si>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</si>
  <si>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Linde Leuna Chemical Complex</t>
  </si>
  <si>
    <t>24MW</t>
  </si>
  <si>
    <t>https://www.rechargenews.com/transition/linde-to-build-world-s-largest-electrolyser-to-produce-green-hydrogen/2-1-944080?utm_source=emailsharing</t>
  </si>
  <si>
    <t>[693]</t>
  </si>
  <si>
    <t>IJGlobal - Strike Energy launches A$2bn urea
project</t>
  </si>
  <si>
    <t>https://www.thyssenkrupp.com/en/newsroom/press-releases/pressdetailpage/first-green-hydrogen-project-becomes-reality--thyssenkrupp-to-install-88-megawatt-water-electrolysis-plant-for-hydro-quebec-in-canada-93778</t>
  </si>
  <si>
    <t>[668] [669] [695]</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</si>
  <si>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</si>
  <si>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</si>
  <si>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Grupa Lotos refinery</t>
  </si>
  <si>
    <t>https://www.spglobal.com/marketintelligence/en/news-insights/latest-news-headlines/poland-s-hydrogen-strategy-aims-for-2-gw-of-electrolysis-by-2030-61971797</t>
  </si>
  <si>
    <t>[698]</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</si>
  <si>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</si>
  <si>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</si>
  <si>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Sumitomo Queensland</t>
  </si>
  <si>
    <t>https://www.pv-magazine.com/2021/01/26/sumitomo-reveals-hydrogen-plans-in-australia-oman/</t>
  </si>
  <si>
    <t>https://www.spglobal.com/platts/en/market-insights/latest-news/electric-power/012221-japans-sumitomo-eyes-green-hydrogen-output-in-australias-gladstone-in-2023</t>
  </si>
  <si>
    <t>Sumitomo Oman</t>
  </si>
  <si>
    <t>0.3-0.4 kt H2/y</t>
  </si>
  <si>
    <t xml:space="preserve">https://open.alberta.ca/dataset/f74375f3-3c73-4b9c-af2b-ef44e59b7890/resource/ff260985-e616-4d2e-92e0-9b91f5590136/download/energy-quest-annual-summary-alberta-department-of-energy-2019.pdf </t>
  </si>
  <si>
    <t>[349] [703]</t>
  </si>
  <si>
    <t>4.39 Mt CO2/y - 770 tH2/d</t>
  </si>
  <si>
    <t>https://www.repsol.com/en/press-room/press-releases/2021/repsol-joins-international-consortium-to-develop-cutting-edge-renewable-hydrogen-technology.cshtml</t>
  </si>
  <si>
    <t>https://www.eu-japan.eu/sites/default/files/publications/docs/hydrogen_and_fuel_cells_in_japan.pdf</t>
  </si>
  <si>
    <t>[109], [201], [705]</t>
  </si>
  <si>
    <t>As Pontes power plant</t>
  </si>
  <si>
    <t>https://www.lavozdegalicia.es/noticia/ferrol/as-pontes-de-garcia-rodriguez/2021/01/28/endesa-invertira-cien-millones-planta-hidrogeno-as-pontes/00031611865046071316641.htm</t>
  </si>
  <si>
    <t>[706]</t>
  </si>
  <si>
    <t xml:space="preserve">https://www.siew.gov.sg/docs/default-source/default-document-library/siew-energy-insights/the-reids-spore-platform-by-loic-villocel-and-dr-peng-xiaoyang.pdf?sfvrsn=2 </t>
  </si>
  <si>
    <t>[244], [707]</t>
  </si>
  <si>
    <t>https://www.hydrogenfuelnews.com/fuel-cell-forklifts-powered-in-japan-with-solar-hydrogen-energy/8537581/</t>
  </si>
  <si>
    <t>[554], [708]</t>
  </si>
  <si>
    <t>https://hynet.co.uk/app/uploads/2020/10/HyNet_NW-Vision-Document-2020_FINAL.pdf</t>
  </si>
  <si>
    <t>[300], [709]</t>
  </si>
  <si>
    <t>[248] [485] [710]</t>
  </si>
  <si>
    <t>https://projektinfos.energiewendebauen.de/en/research-in-dialogue/news-from-research/detail/esslingen-district-setting-up-its-own-hydrogen-production/</t>
  </si>
  <si>
    <t>https://www.linkedin.com/feed/update/urn:li:activity:6760234702914772992/</t>
  </si>
  <si>
    <t>Huelva - Endesa</t>
  </si>
  <si>
    <t>Hidrogeno El Cierzo</t>
  </si>
  <si>
    <t>Teruel - Endesa</t>
  </si>
  <si>
    <t>Almeria - Endesa</t>
  </si>
  <si>
    <t>Barranco de Tirajana - Endesa</t>
  </si>
  <si>
    <t>Granadilla - Endesa</t>
  </si>
  <si>
    <t>7.2MW</t>
  </si>
  <si>
    <t>7MW</t>
  </si>
  <si>
    <t>8MW</t>
  </si>
  <si>
    <t>https://cincodias.elpais.com/cincodias/2021/01/29/companias/1611950644_648508.html?id_externo_rsoc=TW_CC</t>
  </si>
  <si>
    <t>https://www.endesa.com/es/prensa/sala-de-prensa/noticias/transicion-energetica/endesa-contempla-desarrollo-23-proyectos-hidrogeno-verde-espana</t>
  </si>
  <si>
    <t>[713] [714]</t>
  </si>
  <si>
    <t>https://fuelcellsworks.com/news/green-hydrogen-air-liquide-electrolysis-with-h2v/?mc_cid=97c6cd5d96&amp;mc_eid=da4624d261</t>
  </si>
  <si>
    <t>Announced Size</t>
  </si>
  <si>
    <t>https://mcphy.com/fr/communiques/zero-emission-valley-2/?cn-reloaded=1</t>
  </si>
  <si>
    <t>HRS CNH2 Puertollano</t>
  </si>
  <si>
    <t>0.06MW</t>
  </si>
  <si>
    <t>[717]</t>
  </si>
  <si>
    <t>https://ijglobal.com/articles/153070/jv-inks-terms-on-oz-hydrogen</t>
  </si>
  <si>
    <t>KOGAN HYDROGEN DEMONSTRATION PROJECT</t>
  </si>
  <si>
    <t>https://www.csenergy.com.au/news/queensland-collaborates-with-japan-on-green-hydrogen-plant</t>
  </si>
  <si>
    <t>Masdar City green H2</t>
  </si>
  <si>
    <t>https://www.pv-magazine.com/2021/01/29/solar-powered-hydrogen-for-masdar-city/</t>
  </si>
  <si>
    <t>https://www.energyvoice.com/renewables-energy-transition/ccs/uk-ccs/294427/storegga-geotechnologies-acorn-project-fid/</t>
  </si>
  <si>
    <t>[475] [721]</t>
  </si>
  <si>
    <t>200-500MW</t>
  </si>
  <si>
    <t>[722]</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</si>
  <si>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</si>
  <si>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</si>
  <si>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</si>
  <si>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</si>
  <si>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</si>
  <si>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ORANGE.BAT Castellon</t>
  </si>
  <si>
    <t>[726]</t>
  </si>
  <si>
    <t>Orange-BAT Puerto Valencia</t>
  </si>
  <si>
    <t>https://ijglobal.com/articles/153317/enel-and-saras-to-develop-hydrogen-project-in-italy</t>
  </si>
  <si>
    <t>H2 Creteil</t>
  </si>
  <si>
    <t>[728]</t>
  </si>
  <si>
    <t>https://www.h2-view.com/story/plans-unveiled-for-green-hydrogen-site-at-french-energy-from-waste-unit/</t>
  </si>
  <si>
    <t>https://renewablesnow.com/news/naturgy-enagas-to-go-for-h2-from-350-mw-of-onshore-floating-wind-in-spain-729879/</t>
  </si>
  <si>
    <t>[319] [715] [729]</t>
  </si>
  <si>
    <t>https://fuelcellsworks.com/news/green-energy-for-isolated-areas-with-hydrogen-technology/</t>
  </si>
  <si>
    <t>[615] [730]</t>
  </si>
  <si>
    <t>SunLine Transit Agency</t>
  </si>
  <si>
    <t>https://www.nellionaire.com/sunline/</t>
  </si>
  <si>
    <t>SunLine Palms Springs</t>
  </si>
  <si>
    <t>[73]</t>
  </si>
  <si>
    <t>Wuppertal refuelling station</t>
  </si>
  <si>
    <t>https://www.cewep.eu/wuppteral-hydrogen-buses/</t>
  </si>
  <si>
    <t>[231] [356] [732]</t>
  </si>
  <si>
    <t>Jemena Western Sydney - H2GO project</t>
  </si>
  <si>
    <t>https://nelhydrogen.com/wp-content/uploads/2021/02/Nel_2020_Q4_Presentation.pdf</t>
  </si>
  <si>
    <t>BF blending</t>
  </si>
  <si>
    <t>Other iron and steel</t>
  </si>
  <si>
    <t>Other chemicals</t>
  </si>
  <si>
    <t>Non-specified other industry</t>
  </si>
  <si>
    <t>https://renews.biz/66655/cip-unveils-plans-for-esbjerg-green-ammonia-plant/</t>
  </si>
  <si>
    <t>[734]</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</si>
  <si>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</si>
  <si>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</si>
  <si>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</si>
  <si>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</si>
  <si>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</si>
  <si>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H2 DRI</t>
  </si>
  <si>
    <t>https://www.th-energy.net/english/platform-hydrogen-applications/flagship-projects-generation-electrolyzers/</t>
  </si>
  <si>
    <t>[2] [7] [11] [42] [381] [737]</t>
  </si>
  <si>
    <t>[229] [737]</t>
  </si>
  <si>
    <t>[222] [431] [737]</t>
  </si>
  <si>
    <t>[372] [737]</t>
  </si>
  <si>
    <t>[2] [7] [380] [737]</t>
  </si>
  <si>
    <t>[386] [737]</t>
  </si>
  <si>
    <t>[239] [354] [546] [737]</t>
  </si>
  <si>
    <t>New York Science, Technology and Advanced Manufacturing Park</t>
  </si>
  <si>
    <t>https://www.ir.plugpower.com/Press-Releases/Press-Release-Details/2021/Plug-Power-to-Build-North-Americas-Largest-Green-Hydrogen-Production-Facility-in-Western-New-York/default.aspx</t>
  </si>
  <si>
    <t>https://fuelcellsworks.com/news/basque-hydrogen-corridor-unveiled-a-e1-3billion-hydrogen-project/</t>
  </si>
  <si>
    <t>Abanto Technology Park</t>
  </si>
  <si>
    <t>Concept</t>
  </si>
  <si>
    <t>https://mcphy.com/en/news/hydeal-ambition/</t>
  </si>
  <si>
    <t>ESP
FRA</t>
  </si>
  <si>
    <t>Boryeong LNG Terminal</t>
  </si>
  <si>
    <t>https://asia.nikkei.com/Business/Companies/South-Korea-s-SK-bets-16bn-on-hydrogen-Five-things-to-know</t>
  </si>
  <si>
    <t>https://www.donga.com/en/article/all/20201202/2258721/1/SK-Holdings-announces-plans-to-enter-hydrogen-industry</t>
  </si>
  <si>
    <t>[741] [742]</t>
  </si>
  <si>
    <t>[743]</t>
  </si>
  <si>
    <t>https://www.h2-view.com/story/siemens-energy-and-intermountain-power-agency-join-forces-on-utility-scale-hydrogen-pilot-project/</t>
  </si>
  <si>
    <t>https://www.h2-view.com/story/shell-to-upgrade-existing-hydrogen-facility-to-develop-sustainable-aviation-fuels/</t>
  </si>
  <si>
    <t>Refhyne II</t>
  </si>
  <si>
    <t>https://www.globalbankingandfinance.com/shell-in-germany-seeks-to-speed-up-drive-to-go-green/</t>
  </si>
  <si>
    <t>H2-Login</t>
  </si>
  <si>
    <t>6 kg H2/d</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</si>
  <si>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</si>
  <si>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</si>
  <si>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Pinto waste water plant</t>
  </si>
  <si>
    <t>https://www.bloomenergy.com/newsroom/press-releases/bloom-energy-and-sk-ec-win-competitive-bid#:~:text=Bloom%20Energy%20will%20supply%201.8,from%20late%202021%20into%202022.&amp;text=In%20addition%2C%20Bloom%20Energy%20intends,to%20the%20site%20in%202022.</t>
  </si>
  <si>
    <t>[749]</t>
  </si>
  <si>
    <t>http://www.finanztreff.de/news/uniper-plant-anlandeterminal-fuer-gruenes-ammoniak-in-wilhemshaven/23760196</t>
  </si>
  <si>
    <t>Cancelled</t>
  </si>
  <si>
    <t>https://co2re.co/FacilityData</t>
  </si>
  <si>
    <t>Karamay Dunhua Oil Technology CCUS EOR Project</t>
  </si>
  <si>
    <t>https://realiseccus.eu/news/blog-chinese-case-study-set-deliver-co2-capture-insights</t>
  </si>
  <si>
    <t>[751]</t>
  </si>
  <si>
    <t>100000t CO2/y</t>
  </si>
  <si>
    <t>Great Plains Synfuel Plant and Weyburn-Midale</t>
  </si>
  <si>
    <t>3000000 t CO2/y</t>
  </si>
  <si>
    <t>800000 t CO2/y</t>
  </si>
  <si>
    <t>https://www.cslforum.org/cslf/sites/default/files/documents/AbuDhabi2017/AbuDhabi17-TW-Sakaria-Session2.pdf</t>
  </si>
  <si>
    <t>[752]</t>
  </si>
  <si>
    <t>400kg H2/d</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</si>
  <si>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</si>
  <si>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</si>
  <si>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[756]</t>
  </si>
  <si>
    <t>[739] [757]</t>
  </si>
  <si>
    <t>https://www.pv-magazine.com/2021/02/12/new-european-project-to-drive-95-gw-of-solar-and-67-gw-of-hydrogen/</t>
  </si>
  <si>
    <t>[758]</t>
  </si>
  <si>
    <t>Northwest Natural Holding synthetic methane plant</t>
  </si>
  <si>
    <t>2-10MW</t>
  </si>
  <si>
    <t>https://www.spglobal.com/marketintelligence/en/news-insights/latest-news-headlines/northwest-natural-aims-to-develop-large-scale-ore-green-hydrogen-project-60697835</t>
  </si>
  <si>
    <t>[759]</t>
  </si>
  <si>
    <t>Centre Point Energy Minnesota</t>
  </si>
  <si>
    <t>[760]</t>
  </si>
  <si>
    <t>https://environmental-initiative.org/news/centerpoint-energy-pursuing-a-clean-energy-future/</t>
  </si>
  <si>
    <t>New Jersey Resources Howell</t>
  </si>
  <si>
    <t>https://www.spglobal.com/marketintelligence/en/news-insights/latest-news-headlines/new-jersey-resources-plots-new-strategy-focused-on-renewable-energy-61510875</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</si>
  <si>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</si>
  <si>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</si>
  <si>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</si>
  <si>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</si>
  <si>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</si>
  <si>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</si>
  <si>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</si>
  <si>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</si>
  <si>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</si>
  <si>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</si>
  <si>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</si>
  <si>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</si>
  <si>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</si>
  <si>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</si>
  <si>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</si>
  <si>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</si>
  <si>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</si>
  <si>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</si>
  <si>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Capacity_kt H2/y</t>
  </si>
  <si>
    <t>Capacity_t CO₂ captured/y</t>
  </si>
  <si>
    <t>Vantaa-Wartsila methanation</t>
  </si>
  <si>
    <t>https://www.wartsila.com/media/news/18-05-2020-wartsila-and-vantaa-energy-ltd-to-cooperate-on-a-carbon-neutral-synthetic-biogas-production-project-in-finland-2709538</t>
  </si>
  <si>
    <t>[762] [763]</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</si>
  <si>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</si>
  <si>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</si>
  <si>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</si>
  <si>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</si>
  <si>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Huaneng Qingneng Institute demo plant</t>
  </si>
  <si>
    <t>https://www.tuvsud.cn/zh-cn/press-and-media/2020/september/completed-wind-power-dynamic-electrolysis-hydrogen-production-system-operation-test?utm_campaign=China%20Clean%20Energy%20Syndicate%20&amp;utm_medium=email&amp;utm_source=Revue%20newsletter</t>
  </si>
  <si>
    <t>[767]</t>
  </si>
  <si>
    <t>http://chuneng.bjx.com.cn/news/20201015/1109864.shtml?utm_campaign=China%20Clean%20Energy%20Syndicate%20&amp;utm_medium=email&amp;utm_source=Revue%20newsletter</t>
  </si>
  <si>
    <t>[361] [768]</t>
  </si>
  <si>
    <t>https://energyiceberg.com/ten-chinese-green-hydrogen-companies/</t>
  </si>
  <si>
    <t>[595] [769]</t>
  </si>
  <si>
    <t>CNNC HTGR P2G demo</t>
  </si>
  <si>
    <t>[769]</t>
  </si>
  <si>
    <t>CNNC 600MW HTGR P2G for steel</t>
  </si>
  <si>
    <t>50000m3 H2/h</t>
  </si>
  <si>
    <t>https://energyiceberg.com/china-renewable-green-hydrogen/</t>
  </si>
  <si>
    <t>https://mcphy.com/en/press-releases/power_to_gas_mcphy_hebei_delivery/?cn-reloaded=1</t>
  </si>
  <si>
    <t>Hebei Jiantou Guyuan wind project - 1st phase</t>
  </si>
  <si>
    <t>Hebei Jiantou Guyuan wind project - 2nd phase</t>
  </si>
  <si>
    <t>[360] [771]</t>
  </si>
  <si>
    <t>[360][587] [771]</t>
  </si>
  <si>
    <t>Chongli wind-solar Hydrogen Project - first phase</t>
  </si>
  <si>
    <t>Chongli wind-solar Hydrogen Project - second phase</t>
  </si>
  <si>
    <t>https://energyiceberg.com/the-final-sprints-to-subsidy-china-clean-energy-syndicate/</t>
  </si>
  <si>
    <t>[650] [772]</t>
  </si>
  <si>
    <t>Baicheng, Jilin wind-solar project</t>
  </si>
  <si>
    <t>https://www.evwind.es/2019/07/20/goldwind-joins-20gw-hydrogen-plan-in-china/68122</t>
  </si>
  <si>
    <t>[773]</t>
  </si>
  <si>
    <t>2 x 1.25MW - 450m3 H2/h</t>
  </si>
  <si>
    <t>https://www.salzgitter-ag.com/de/newsroom/pressemeldungen/details/windwasserstoff-salzgitter-windh2-ein-wichtiger-schritt-auf-dem-weg-zur-dekarbonisierung-der-stahlindustrie-14823.html</t>
  </si>
  <si>
    <t>[294][672] [774]</t>
  </si>
  <si>
    <t>200 MW</t>
  </si>
  <si>
    <t>https://www.power-eng.com/gas/national-grid-in-jv-to-build-new-york-green-hydrogen-storage-delivery-project/</t>
  </si>
  <si>
    <t>https://fuelcellsworks.com/news/the-port-of-malaga-is-committed-to-green-hydrogen-with-the-digital-h2-green-project/</t>
  </si>
  <si>
    <t>[778]</t>
  </si>
  <si>
    <t>Saipem and Alboran Hydrogen (1 plant)</t>
  </si>
  <si>
    <t>https://www.h2-view.com/story/five-hydrogen-plants-planned-for-italy-and-the-mediterranean-basis/</t>
  </si>
  <si>
    <t>https://ijglobal.com/articles/153847/thyssenkrupp-and-steag-to-build-500mw-green-hydrogen-plant</t>
  </si>
  <si>
    <t>Optimal-ITM agreement</t>
  </si>
  <si>
    <t>0.7MW</t>
  </si>
  <si>
    <t>https://ir.q4europe.com/Tools/newsArticleHTML.aspx?solutionID=3512&amp;customerKey=itmpower&amp;storyID=14931292&amp;language=en</t>
  </si>
  <si>
    <t>[780]</t>
  </si>
  <si>
    <t>https://ir.q4europe.com/Tools/newsArticleHTML.aspx?solutionID=3512&amp;customerKey=itmpower&amp;storyID=14682293&amp;language=en</t>
  </si>
  <si>
    <t>https://ir.q4europe.com/Tools/newsArticleHTML.aspx?solutionID=3512&amp;customerKey=itmpower&amp;storyID=14667777&amp;language=en</t>
  </si>
  <si>
    <t>[782]</t>
  </si>
  <si>
    <t>HRS Gatwick airport</t>
  </si>
  <si>
    <t>[783]</t>
  </si>
  <si>
    <t>https://ir.q4europe.com/Tools/newsArticleHTML.aspx?solutionID=3512&amp;customerKey=itmpower&amp;storyID=14489824&amp;language=en</t>
  </si>
  <si>
    <t>https://ir.q4europe.com/Tools/newsArticleHTML.aspx?solutionID=3512&amp;customerKey=itmpower&amp;storyID=14360203&amp;language=en</t>
  </si>
  <si>
    <t>[2], [7], [103], [127] [395] [396] [547] [784]</t>
  </si>
  <si>
    <t>4 projects of ITM in Australia</t>
  </si>
  <si>
    <t>4 x 0.25MW</t>
  </si>
  <si>
    <t>https://ir.q4europe.com/Tools/newsArticleHTML.aspx?solutionID=3512&amp;customerKey=itmpower&amp;storyID=14184657&amp;language=en</t>
  </si>
  <si>
    <t>https://ir.q4europe.com/Tools/newsArticleHTML.aspx?solutionID=3512&amp;customerKey=itmpower&amp;storyID=14252224&amp;language=en</t>
  </si>
  <si>
    <t>[785] [786]</t>
  </si>
  <si>
    <t>HRS Swindon</t>
  </si>
  <si>
    <t>https://ir.q4europe.com/Tools/newsArticleHTML.aspx?solutionID=3512&amp;customerKey=itmpower&amp;storyID=14068801&amp;language=en</t>
  </si>
  <si>
    <t>[787]</t>
  </si>
  <si>
    <t>HRS Beaconsfield</t>
  </si>
  <si>
    <t>https://ir.q4europe.com/Tools/newsArticleHTML.aspx?solutionID=3512&amp;customerKey=itmpower&amp;storyID=13861111&amp;language=en</t>
  </si>
  <si>
    <t>[788]</t>
  </si>
  <si>
    <t>QEM Julia Creek - Queensland</t>
  </si>
  <si>
    <t>https://www.h2-view.com/story/qem-looks-to-produce-green-hydrogen-at-julia-creek/</t>
  </si>
  <si>
    <t>[789]</t>
  </si>
  <si>
    <t>https://chemengonline.com/inovyn-plans-20-mw-green-hydrogen-project-in-norway/</t>
  </si>
  <si>
    <t>Synkero synfuels project</t>
  </si>
  <si>
    <t>[791]</t>
  </si>
  <si>
    <t>https://news.klm.com/world-first-in-the-netherlands-by-klm-shell-and-dutch-ministry-for-infrastructure-and-water-management-first-passenger-flight-performed-with-sustainable-synthetic-kerosene/</t>
  </si>
  <si>
    <t>Zenid Initiative</t>
  </si>
  <si>
    <t>ITM-Sumitomo Coorp</t>
  </si>
  <si>
    <t>https://www.h2-view.com/story/itm-power-makes-first-sale-in-japan-sells-1-4mw-electrolyser-to-sumitomo-corp/</t>
  </si>
  <si>
    <t>https://www.bp.com/en/global/corporate/news-and-insights/press-releases/bp-plans-uks-largest-hydrogen-project.html</t>
  </si>
  <si>
    <t>[794]</t>
  </si>
  <si>
    <t>https://www.mitsubishicorp.com/jp/en/pr/archive/2021/html/0000046720.html</t>
  </si>
  <si>
    <t>67GW</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</si>
  <si>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</si>
  <si>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</si>
  <si>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</si>
  <si>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</si>
  <si>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</si>
  <si>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Hysencia, Phase I</t>
  </si>
  <si>
    <t>[560] [800]</t>
  </si>
  <si>
    <t>Presentation from World Hydrogen Iberia 2021</t>
  </si>
  <si>
    <t>Hysencia, Phase II</t>
  </si>
  <si>
    <t>Renewstable</t>
  </si>
  <si>
    <t>NewGen</t>
  </si>
  <si>
    <t>https://www.prnewswire.com/news-releases/nauticol-energy-and-enhance-energy-partner-to-capture-up-to-one-million-tonnes-of-co2-annually-from-blue-methanol-production-and-distribution-business-301253245.html</t>
  </si>
  <si>
    <t>https://globalnews.ca/news/7714950/proposed-alberta-methanol-project-carbon-capture/</t>
  </si>
  <si>
    <t>Evolugen H2 injection project</t>
  </si>
  <si>
    <t>https://evolugen.com/news-releases/</t>
  </si>
  <si>
    <t>[803]</t>
  </si>
  <si>
    <t>Bangladesh Council of Scientific and Industrial Research demo</t>
  </si>
  <si>
    <t>[804]</t>
  </si>
  <si>
    <t>https://www.pv-magazine.com/2021/01/22/bangladesh-joins-hydrogen-energy-race/</t>
  </si>
  <si>
    <t>[805]</t>
  </si>
  <si>
    <t>https://fuelcellsworks.com/news/enegix-energy-partners-with-black-veatch-on-green-hydrogen-plant-in-ceara-brazil/?mc_cid=fbb2a1bb9c&amp;mc_eid=da4624d261</t>
  </si>
  <si>
    <t>https://energynow.tt/blog/newgen-hydrogen-project-update</t>
  </si>
  <si>
    <t>[806]</t>
  </si>
  <si>
    <t>Westkuste 100 (Phase 2)</t>
  </si>
  <si>
    <t>Aquamarine</t>
  </si>
  <si>
    <t>https://ceenergynews.com/hydrogen/hungarian-gas-storages-aquamarine-project-to-play-an-active-role-in-the-decarbonisation-process/</t>
  </si>
  <si>
    <t>400MW</t>
  </si>
  <si>
    <t>https://www.swb.de/ueber-swb/unternehmen/nachhaltigkeit/wasserstoff/clean-hydrogen-coastline</t>
  </si>
  <si>
    <t>https://fuelcellsworks.com/news/toyota-unveils-victorias-first-commercial-hydrogen-production-and-re-fuelling-facility-at-centre-of-excellence/</t>
  </si>
  <si>
    <t>[261] [262] [264] [321][358][632][786] [809]</t>
  </si>
  <si>
    <t>Douglas County PUD - industrial area north of East Wenatchee</t>
  </si>
  <si>
    <t>Camberra HRS</t>
  </si>
  <si>
    <t>https://engv.com.au/hydrogen-refuelling-station-actewagl-canberra/</t>
  </si>
  <si>
    <t>https://fuelcellsworks.com/news/australias-first-public-hydrogen-refuelling-station-opens-in-canberra/?mc_cid=cebb9719c0&amp;mc_eid=da4624d261</t>
  </si>
  <si>
    <t>[810] [811]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</si>
  <si>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</si>
  <si>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</si>
  <si>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</si>
  <si>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</si>
  <si>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</si>
  <si>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</si>
  <si>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Prince George refinery</t>
  </si>
  <si>
    <t>https://renewablesnow.com/news/bc-govt-supports-tidewater-midstreams-renewable-diesel-hydrogen-plan-734165/</t>
  </si>
  <si>
    <t>Science Parks of Tainan and Hsinchu</t>
  </si>
  <si>
    <t>https://www.gasworld.com/air-liquide-celebrates-hydrogen-milestone-in-taiwan/2020650.article</t>
  </si>
  <si>
    <t>SeaH2Land</t>
  </si>
  <si>
    <t>https://seah2land.nl/</t>
  </si>
  <si>
    <t>HRS Bremervörde - trains</t>
  </si>
  <si>
    <t>1.6 t H2/d</t>
  </si>
  <si>
    <t>https://www.linde.com/news-media/press-releases/2020/linde-to-build-and-operate-world-s-first-hydrogen-refueling-station-for-passenger-trains</t>
  </si>
  <si>
    <t>https://corporate.arcelormittal.com/media/news-articles/arcelormittal-europe-to-produce-green-steel-starting-in-2020</t>
  </si>
  <si>
    <t>[823]</t>
  </si>
  <si>
    <t>Rossello paper factory</t>
  </si>
  <si>
    <t>https://www.segre.com/es/noticias/comarcas/2021/03/21/impulsan_una_planta_pionera_lleida_para_obtener_hidrogeno_usarlo_como_combustible_129129_1091.html?</t>
  </si>
  <si>
    <t>DG Fuels</t>
  </si>
  <si>
    <t>https://hydrogen-pro.com/wp-content/uploads/2021/02/HydrogenPro-Q4-2020-Report-and-Company-update-22FEB21.pdf</t>
  </si>
  <si>
    <t>Energía Los Cabos</t>
  </si>
  <si>
    <t>GICON - Vietnam Petroleum Institute MoU</t>
  </si>
  <si>
    <t>https://www.gicon.de/en/aktuelles/nachrichtenliste-aktuell/newsdetails/archive/2021/march/29/article/giconR-and-vietnam-petroleum-institute-sign-mou.html</t>
  </si>
  <si>
    <t>[825]</t>
  </si>
  <si>
    <t>Heritage Gas - Ottawa</t>
  </si>
  <si>
    <t>https://www.planetaryhydrogen.com/news/</t>
  </si>
  <si>
    <t>[826]</t>
  </si>
  <si>
    <t>https://www.cbc.ca/news/canada/nova-scotia/nova-scotia-hub-green-hydrogen-1.5973355</t>
  </si>
  <si>
    <t>RHYME</t>
  </si>
  <si>
    <t>20MW - 15kt MeOH/y</t>
  </si>
  <si>
    <t>https://www.wacker.com/cms/en-ca/about-wacker/research-and-development/rhyme-bavaria/detail.html</t>
  </si>
  <si>
    <t>https://fuelcellsworks.com/news/world-first-hydrogen-distribution-station-in-the-port-of-antwerp-functionally-operational/</t>
  </si>
  <si>
    <t>https://chuneng.bjx.com.cn/news/20210326/1144111.shtml</t>
  </si>
  <si>
    <t>Cangzhou Bohai New District Hydrogen</t>
  </si>
  <si>
    <t>[831]</t>
  </si>
  <si>
    <t>Hydrogen Energy Equipment Industrial Cluster Project in Handan Economic and Technological Development Zone</t>
  </si>
  <si>
    <t>Zhangjiakou Yangyuan Jingxi New Energy Base Project</t>
  </si>
  <si>
    <t>CGN Baicheng Hydrogen Production Project - Jilin</t>
  </si>
  <si>
    <t>[832]</t>
  </si>
  <si>
    <t>[770] [836]</t>
  </si>
  <si>
    <t>Datong City solar plant, phase 1</t>
  </si>
  <si>
    <t>Datong City solar plant, phase 2</t>
  </si>
  <si>
    <t>Baicheng City Bus Company - Songyuan City</t>
  </si>
  <si>
    <t>https://chuneng.bjx.com.cn/news/20201015/1110001.shtml</t>
  </si>
  <si>
    <t>https://www.wiva.at/v2/portfolio-item/h2pioneer-pave-the-way-for-green-hydrogen-for-early-adopters-in-the-light-industry/?lang=en</t>
  </si>
  <si>
    <t>WIVA P&amp;G Hydrogen Region</t>
  </si>
  <si>
    <t>PEM &amp; SOEC</t>
  </si>
  <si>
    <t>10t H2/d</t>
  </si>
  <si>
    <t>https://www.h2v.eu/hydrogen-valleys/wiva-pg-wasserstoffinitiative-vorzeigeregion-austria-power-gas</t>
  </si>
  <si>
    <t>[838]</t>
  </si>
  <si>
    <t>https://news.solarbe.com/202001/08/319050.html</t>
  </si>
  <si>
    <t>https://www.china5e.com/news/news-1107445-1.html</t>
  </si>
  <si>
    <t>https://www.sohu.com/a/421783419_703050</t>
  </si>
  <si>
    <t>https://chuneng.bjx.com.cn/news/20210316/1141882.shtml</t>
  </si>
  <si>
    <t>http://www3.weforum.org/docs/WEF_System_Value_China_Market_Analysis_2020.pdf</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</si>
  <si>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</si>
  <si>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</si>
  <si>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</si>
  <si>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Hydrospider - St Gallen</t>
  </si>
  <si>
    <t>https://www.e15.cz/byznys/prumysl-a-energetika/skupina-solar-global-spusti-vyrobu-prvniho-zeleneho-vodiku-v-cesku-1379128</t>
  </si>
  <si>
    <t>[842]</t>
  </si>
  <si>
    <t>https://www.gie.eu/index.php/events-diary/workshops/2019-workshops/gie-gaz-system-joint-workshop-on-the-energy-transition-in-the-cee-region/27870-09-michal-slaby-net4gas/file</t>
  </si>
  <si>
    <t>50m3 CH4/h</t>
  </si>
  <si>
    <t>HyMAT SH</t>
  </si>
  <si>
    <t>https://www.eon.com/en/business-customers/hydrogen-rediscovery-of-the-oldest-element.html</t>
  </si>
  <si>
    <t>We-4-PUR</t>
  </si>
  <si>
    <t>[844]</t>
  </si>
  <si>
    <t>H2 in the Ketzin energy transition laborator</t>
  </si>
  <si>
    <t>Green Energy Hub Helmstedt</t>
  </si>
  <si>
    <t>Speicherstadt Kerpen</t>
  </si>
  <si>
    <t>28MW</t>
  </si>
  <si>
    <t>H2Nodes, Riga</t>
  </si>
  <si>
    <t>https://hungarianinsider.com/matra-power-plant-now-has-a-long-term-strategy-7020/</t>
  </si>
  <si>
    <t>Matra power pant</t>
  </si>
  <si>
    <t>[845]</t>
  </si>
  <si>
    <t>769MW</t>
  </si>
  <si>
    <t>https://www.zepak.com.pl/en/clean-poland/hydrogen-production-at-ze-pak-sa.html</t>
  </si>
  <si>
    <t>Project AIR (Perstorp - Stenungsund)</t>
  </si>
  <si>
    <t>https://ilbioeconomista.com/2020/11/30/perstorp-aims-at-reducing-carbon-emission-by-producing-sustainable-methanol/</t>
  </si>
  <si>
    <t>Steklarna Hrastnik glass manufactuing plant</t>
  </si>
  <si>
    <t>https://fuelcellsworks.com/news/slovenian-glass-manufacturer-to-use-solar-power-plant-to-create-green-hydrogen/</t>
  </si>
  <si>
    <t>[848]</t>
  </si>
  <si>
    <t>SLOP2G Project</t>
  </si>
  <si>
    <t>https://www.eles.si/en/news/ArticleID/16904/Slovenia%E2%80%99s-Green-Hydrogen-and-the-Coalition-of-Electricity-and-Gas-Sectors-within-the-SLOP2G-Project</t>
  </si>
  <si>
    <t>[849]</t>
  </si>
  <si>
    <t>Thermal Power Plant Sostanj</t>
  </si>
  <si>
    <t>TPJ Jesenice</t>
  </si>
  <si>
    <t>0.35MW</t>
  </si>
  <si>
    <t>H2MUCTYNIC (Confidential data from H2 Europe)</t>
  </si>
  <si>
    <t>https://www.erm.com/news/erm-gets-go-ahead-to-develop-green-hydrogen-at-scale-from-offshore-wind/</t>
  </si>
  <si>
    <t>[852]</t>
  </si>
  <si>
    <t>https://www.nottinghampost.com/news/local-news/new-innovative-hydrogen-power-plant-4527703</t>
  </si>
  <si>
    <t>[851]</t>
  </si>
  <si>
    <t>PTG Bilsthorpe, Nottinghamshire</t>
  </si>
  <si>
    <t>Uniper Killingholme site</t>
  </si>
  <si>
    <t>https://www.uniper.energy/news/unipers-killingholme-the-right-place-the-right-time-the-right-plans</t>
  </si>
  <si>
    <t>[630] [853]</t>
  </si>
  <si>
    <t>North Sea Wind Power Hub</t>
  </si>
  <si>
    <t>30 GWh H2/d</t>
  </si>
  <si>
    <t>[853]</t>
  </si>
  <si>
    <t>P2G Velke Kapusany</t>
  </si>
  <si>
    <t>78MW</t>
  </si>
  <si>
    <t>Greening of Gas (GoG) - Net4Gas DEMO</t>
  </si>
  <si>
    <t>[843] [853]</t>
  </si>
  <si>
    <t>https://renews.biz/67813/scottishpower-files-to-build-whitelee-electrolyser/</t>
  </si>
  <si>
    <t>DEU
DNK</t>
  </si>
  <si>
    <t>HyGéo</t>
  </si>
  <si>
    <t>Pegasus</t>
  </si>
  <si>
    <t>23MW</t>
  </si>
  <si>
    <t>[853] [855]</t>
  </si>
  <si>
    <t>https://www.gasdottitalia.it/it/content/progetto-pegasus</t>
  </si>
  <si>
    <t>Hydrogen injection into the gas network in Lithuania</t>
  </si>
  <si>
    <t>Power to Gas Production with infrastructure building/enhacement in Latvia</t>
  </si>
  <si>
    <t>G2F - Gas to Future, phase 1</t>
  </si>
  <si>
    <t>84MW</t>
  </si>
  <si>
    <t>332MW</t>
  </si>
  <si>
    <t>G2F - Gas to Future, phase 2</t>
  </si>
  <si>
    <t>https://www.now-gmbh.de/en/news/pressreleases/circular-economy-in-action/</t>
  </si>
  <si>
    <t>Herten HRS</t>
  </si>
  <si>
    <t>0.44kt H2/y</t>
  </si>
  <si>
    <t>https://www.h2-mobile.fr/actus/hygo-station-hydrogene-vannes-ouvrira-octobre-2021/</t>
  </si>
  <si>
    <t>https://fuelcellsworks.com/news/in-france-the-vhygo-project-grand-ouest-hydrogen-valley-will-deploy-green-hydrogen-in-three-different-regions/?mc_cid=4101eb9ee9&amp;mc_eid=da4624d261</t>
  </si>
  <si>
    <t>[857] [858]</t>
  </si>
  <si>
    <t>NEL-Lhyfe Agreement</t>
  </si>
  <si>
    <t>McDermott - CB&amp;I 2nd project</t>
  </si>
  <si>
    <t>https://www.h2-view.com/story/50mw-green-hydrogen-facility-one-step-closer-to-completion/</t>
  </si>
  <si>
    <t>[761] [859]</t>
  </si>
  <si>
    <t>https://www.h2v.eu/hydrogen-valleys/crystal-brook-hydrogen-superhub</t>
  </si>
  <si>
    <t>[232] [322] [606] [860]</t>
  </si>
  <si>
    <t>Hy-Fi</t>
  </si>
  <si>
    <t>https://www.h2v.eu/hydrogen-valleys/hy-fi-hydrogen-facility-initiative</t>
  </si>
  <si>
    <t>[861]</t>
  </si>
  <si>
    <t>https://www.h2v.eu/hydrogen-valleys/ceog-centrale-electrique-de-louest-guyanais</t>
  </si>
  <si>
    <t>https://www.h2-view.com/story/leading-us-carbon-capture-project-set-to-produce-clean-hydrogen/</t>
  </si>
  <si>
    <t>[277] [341] [863]</t>
  </si>
  <si>
    <t>Hydrogen Valley South Tyrol - Bolzano, CHIC</t>
  </si>
  <si>
    <t>https://www.h2v.eu/hydrogen-valleys/hydrogen-valley-south-tyrol</t>
  </si>
  <si>
    <t>https://www.h2-suedtirol.com/de/das-wasserstoffzentrum-bozen</t>
  </si>
  <si>
    <t>[864] [865]</t>
  </si>
  <si>
    <t>https://www.h2v.eu/hydrogen-valleys/zev-zero-emission-valley</t>
  </si>
  <si>
    <t>HYBAYERN</t>
  </si>
  <si>
    <t>1.18t H2/d</t>
  </si>
  <si>
    <t>[867]</t>
  </si>
  <si>
    <t>https://www.h2v.eu/hydrogen-valleys/hybayern</t>
  </si>
  <si>
    <t>3t H2/d</t>
  </si>
  <si>
    <t>[868]</t>
  </si>
  <si>
    <t>https://www.h2v.eu/hydrogen-valleys/hyways-future</t>
  </si>
  <si>
    <t>Norddeutsches Reallabor - Living Lab Northern Germany</t>
  </si>
  <si>
    <t>https://fuelcellsworks.com/news/agr-and-linde-engineering-work-together-on-a-green-hydrogen-project/</t>
  </si>
  <si>
    <t>[856] [869]</t>
  </si>
  <si>
    <t>https://www.siemens-energy.com/global/en/offerings/renewable-energy/hydrogen-solutions/haru-oni.html</t>
  </si>
  <si>
    <t>Haru Oni, phase 1</t>
  </si>
  <si>
    <t>https://hydrogen-central.com/johnson-matthey-chile-methanol-green-hydrogen-project/</t>
  </si>
  <si>
    <t>Haru Oni, phase 2</t>
  </si>
  <si>
    <t>Haru Oni, phase 3</t>
  </si>
  <si>
    <t>https://www.h2-view.com/story/australian-project-to-produce-green-hydrogen-by-2022-powered-by-green-hydrogen-systems-technology/</t>
  </si>
  <si>
    <t>Origin Energy - Kawasaki Heavy Industries Townsville project</t>
  </si>
  <si>
    <t>https://www.energyvoice.com/renewables-energy-transition/314698/origin-signs-pact-for-australian-green-hydrogen-export-project/</t>
  </si>
  <si>
    <t>[873]</t>
  </si>
  <si>
    <t>Yanqing Hydrogen Energy Industrial Park</t>
  </si>
  <si>
    <t>2.8t H2/d</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</si>
  <si>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</si>
  <si>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</si>
  <si>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</si>
  <si>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</si>
  <si>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</si>
  <si>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</si>
  <si>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</si>
  <si>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</si>
  <si>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</si>
  <si>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Ercros - Sabinanigo</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</si>
  <si>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</si>
  <si>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</si>
  <si>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</si>
  <si>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</si>
  <si>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</si>
  <si>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</si>
  <si>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https://www.businesswire.com/news/home/20210421006131/en/</t>
  </si>
  <si>
    <t>[886]</t>
  </si>
  <si>
    <t>https://www.aramis.admin.ch/Default?DocumentID=46495&amp;Load=true</t>
  </si>
  <si>
    <t>Sapio - Mantova</t>
  </si>
  <si>
    <t>Data from Hydrogen Europe</t>
  </si>
  <si>
    <t>https://www.h2euro.org/whats-h2appening/hannover-2015-finlands-first-in-large-scale-hydrogen-plants/</t>
  </si>
  <si>
    <t>[888]</t>
  </si>
  <si>
    <t>14000MW</t>
  </si>
  <si>
    <t>https://www.rechargenews.com/energy-transition/growing-ambition-the-worlds-20-largest-green-hydrogen-projects/2-1-933755</t>
  </si>
  <si>
    <t>[493][618][660][889]</t>
  </si>
  <si>
    <t>[291] [377] [494] [520] [660] [676][889]</t>
  </si>
  <si>
    <t>HyEnergy Zero Carbon Hydrogen</t>
  </si>
  <si>
    <t>8000MW</t>
  </si>
  <si>
    <t>[889]</t>
  </si>
  <si>
    <t>Yellow Sea</t>
  </si>
  <si>
    <t>2000MW</t>
  </si>
  <si>
    <t>HyEx - phase 1</t>
  </si>
  <si>
    <t>HyEx - phase 2</t>
  </si>
  <si>
    <t>HNH</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</si>
  <si>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</si>
  <si>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</si>
  <si>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</si>
  <si>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</si>
  <si>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https://www.italgas.it/en/press-release/Protocollo-dintesa-tra-CRS4-e-Italgas-per-la-realizzazione-di-un-impianto-per-la-produzione-di-idrogeno-in-Sardegna/</t>
  </si>
  <si>
    <t>[893]</t>
  </si>
  <si>
    <t>80MW</t>
  </si>
  <si>
    <t>https://www.hydroreview.com/business-finance/vitol-acquires-stake-in-hydrogen-company-gen2-energy-that-uses-hydropower/#gref</t>
  </si>
  <si>
    <t>https://cincodias.elpais.com/cincodias/2021/04/28/companias/1619600656_589151.html</t>
  </si>
  <si>
    <t xml:space="preserve">SmartQuart project - Kaisersesch </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</si>
  <si>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</si>
  <si>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</si>
  <si>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</si>
  <si>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</si>
  <si>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Canary Islands Hub, phase 1</t>
  </si>
  <si>
    <t>1kt H2/y</t>
  </si>
  <si>
    <t>[900]</t>
  </si>
  <si>
    <t>Canary Islands Hub, phase 2</t>
  </si>
  <si>
    <t>https://www.enagas.es/enagas/es/Comunicacion/NotasPrensa/27_04_21_NP_Proyecto_DISA_h2_verde_en_Canarias</t>
  </si>
  <si>
    <t>300 kt H2/y - 2Mt CO2/y</t>
  </si>
  <si>
    <t>https://www.cbc.ca/news/canada/calgary/suncor-atco-hydrogen-project-alberta-1.6021796</t>
  </si>
  <si>
    <t>[901]</t>
  </si>
  <si>
    <t>https://hexagonresources.com/wp-content/uploads/2021/03/HXG4335_Draft4_Roadshow-Presentation_FINAL-LGv2_full-version.pdf</t>
  </si>
  <si>
    <t>1000t H2/y</t>
  </si>
  <si>
    <t>https://www.spglobal.com/platts/en/market-insights/latest-news/electric-power/050621-siemens-energy-masdar-to-build-pilot-uae-hydrogen-plant-by-2022-with-focus-on-saf</t>
  </si>
  <si>
    <t>[720] [903]</t>
  </si>
  <si>
    <t>https://www.maritime-executive.com/article/korea-adds-hydrogen-plant-as-it-approves-giant-floating-wind-farm-plan</t>
  </si>
  <si>
    <t>Donghae 1 offshore wind plant</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</si>
  <si>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</si>
  <si>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</si>
  <si>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</si>
  <si>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1t H2/d</t>
  </si>
  <si>
    <t>https://www.globalcement.com/news/item/12369-carbon-clean-partners-with-bayotech-for-carbon-capture-and-storage-from-hydrogen-production</t>
  </si>
  <si>
    <t>https://www.bayotech.us/news/bayotech-partners-with-carbon-clean</t>
  </si>
  <si>
    <t>https://www.energymagazine.com.au/100-million-for-large-scale-hydrogen-plants/</t>
  </si>
  <si>
    <t>Hydrogen Park Murray Valley, Victoria</t>
  </si>
  <si>
    <t>[724] [910]</t>
  </si>
  <si>
    <t>https://www.iberdrola.com/press-room/news/detail/iberdrola-porcelanosa-launch-their-first-project-electrify-ceramic-production-combining-renewables-green-hydrogen-heat-pump-technology</t>
  </si>
  <si>
    <t>[701] [912]</t>
  </si>
  <si>
    <t>https://fuelcellsworks.com/news/in-oman-a-unique-h2-project-is-being-developed-by-ara-petroleum-and-sumitomo-corporation/</t>
  </si>
  <si>
    <t>Element One (Element Eins), phase 3</t>
  </si>
  <si>
    <t>Taranto Sustainable Refinery</t>
  </si>
  <si>
    <t>ZEHUS</t>
  </si>
  <si>
    <t>Nemo Hydrogen Project</t>
  </si>
  <si>
    <t>https://www.h2-view.com/story/25gw-hydrogen-mega-project-set-for-oman/</t>
  </si>
  <si>
    <t>HyDeal Ambition</t>
  </si>
  <si>
    <t>https://www.bloomberg.com/news/articles/2021-05-14/plug-power-to-bring-wind-powered-hydrogen-plant-to-fort-worth</t>
  </si>
  <si>
    <t>Plug Power - Fort Worth</t>
  </si>
  <si>
    <t>https://www.energia-loscabos.com/tecnologia</t>
  </si>
  <si>
    <t>[915]</t>
  </si>
  <si>
    <t>https://www.group.rwe/en/our-portfolio/innovation-and-technology/project-proposals/offshore-to-x</t>
  </si>
  <si>
    <t>HyDeal LA</t>
  </si>
  <si>
    <t>[917]</t>
  </si>
  <si>
    <t>https://www.environmentalleader.com/2021/05/ladwp-joins-hydeal-la-to-scale-green-hydrogen/</t>
  </si>
  <si>
    <t>https://www.h2-view.com/story/green-hydrogen-systems-technology-selected-for-wind-to-hydrogen-demo/</t>
  </si>
  <si>
    <t>https://www.h2-view.com/story/orsted-begins-construction-of-1000kg-of-hydrogen-a-day-h2res-project/</t>
  </si>
  <si>
    <t>Energiepark Eemshaven West (phase I)</t>
  </si>
  <si>
    <t>https://www.topsectorenergie.nl/sites/default/files/uploads/TKI Gas/publicaties/Overview Hydrogen projects in the Netherlands - version 18 May 2021.pdf</t>
  </si>
  <si>
    <t>[920]</t>
  </si>
  <si>
    <t>Energiepark Eemshaven West (phase II)</t>
  </si>
  <si>
    <t>ELYgator</t>
  </si>
  <si>
    <t>FUREC</t>
  </si>
  <si>
    <t>BrigH2</t>
  </si>
  <si>
    <t>50MW H2</t>
  </si>
  <si>
    <t>5-10MW</t>
  </si>
  <si>
    <t>H2-gateway</t>
  </si>
  <si>
    <t>0.2Mt H2/y</t>
  </si>
  <si>
    <t>[339][921]</t>
  </si>
  <si>
    <t>https://www.prnewswire.com/ae/news-releases/dubai-inaugurates-green-hydrogen-project-first-of-its-kind-in-mena-301295800.html</t>
  </si>
  <si>
    <t>Sinopec - Kuqa</t>
  </si>
  <si>
    <t>https://fuelcellsworks.com/news/sinopec-to-launch-first-green-hydrogen-project-in-2022/</t>
  </si>
  <si>
    <t>[923]</t>
  </si>
  <si>
    <t>https://www.h2-view.com/story/mmex-signs-new-agreement-to-advance-its-first-hydrogen-project-in-texas/</t>
  </si>
  <si>
    <t>https://www.greenlab.dk/knowledge/greenhyscale-project-enter-grant-agreement-preparation-phase/</t>
  </si>
  <si>
    <t>https://www.renews.biz/69799/irish-start-up-unveils-plans-for-green-hydrogen-in-cork/</t>
  </si>
  <si>
    <t>Green lab skive (Phase I)</t>
  </si>
  <si>
    <t>12MW</t>
  </si>
  <si>
    <t>https://www.h2-view.com/story/new-24mw-electrolysis-plant-set-for-large-scale-green-hydrogen-production/</t>
  </si>
  <si>
    <t>Green lab skive (Phase II)</t>
  </si>
  <si>
    <t>[927]</t>
  </si>
  <si>
    <t>https://www.h2-view.com/story/1bn-abu-dhabi-project-will-produce-200000-tonnes-of-green-ammonia-from-hydrogen/</t>
  </si>
  <si>
    <t>https://www.theguardian.com/world/2021/may/27/oman-plans-to-build-worlds-largest-green-hydrogen-plant</t>
  </si>
  <si>
    <t>REMOTE - Spain, Canary Islands</t>
  </si>
  <si>
    <t>0.080MW</t>
  </si>
  <si>
    <t>https://fuelcellsworks.com/news/mauritania-signs-agreement-to-develop-green-hydrogen-production-plant/</t>
  </si>
  <si>
    <t>HySynergy, phase 3</t>
  </si>
  <si>
    <t>https://fuelcellsworks.com/news/everfuel-plans-300mw-hysynergy-phase-ii-electrolyser-in-fredericia/?mc_cid=5381e371d3&amp;mc_eid=da4624d261</t>
  </si>
  <si>
    <t>[288] [331][930]</t>
  </si>
  <si>
    <t>2t H2/d</t>
  </si>
  <si>
    <t>https://www.greenhydrogennz.com/</t>
  </si>
  <si>
    <t>[932]</t>
  </si>
  <si>
    <t>438000t CO2/y</t>
  </si>
  <si>
    <t>https://www.cnrl.com/corporate-responsibility/advancements-in-technology/managing-tailings.html</t>
  </si>
  <si>
    <t>http://webadmin.cnrl.com/upload/media_element/1129/04/2020-technology-and-innovation-case-studies.pdf</t>
  </si>
  <si>
    <t>[933-934]</t>
  </si>
  <si>
    <t>1.5GW</t>
  </si>
  <si>
    <t>https://www.h2-view.com/story/10bn-hydrogen-and-floating-wind-mega-project-to-be-developed-for-uk-north-sea/</t>
  </si>
  <si>
    <t>https://www.h2-view.com/story/the-e8bn-white-dragon-project-could-produce-250000-tonnes-of-green-hydrogen-annually/</t>
  </si>
  <si>
    <t>[936]</t>
  </si>
  <si>
    <t>White Dragon</t>
  </si>
  <si>
    <t>Hyundai Oilbank - Blue H2 Ecosystem</t>
  </si>
  <si>
    <t>100kt H2/y</t>
  </si>
  <si>
    <t>[937]</t>
  </si>
  <si>
    <t>http://m.koreaherald.com/view.php?ud=20210531000636</t>
  </si>
  <si>
    <t>https://elperiodicodelaenergia.com/galicia-acoge-un-proyecto-para-producir-combustibles-cero-emisiones-netas-a-partir-de-co2-e-hidrogeno-verde/</t>
  </si>
  <si>
    <t>SoHyCal</t>
  </si>
  <si>
    <t>7.5MW</t>
  </si>
  <si>
    <t>https://sevilla.abc.es/economia/sevi-h2b2-producira-hidrogeno-para-automoviles-california-202105080733_noticia.html</t>
  </si>
  <si>
    <t>https://www.h2b2.es/project/solar-pv-hydrogen-production-plant-in-central-california/</t>
  </si>
  <si>
    <t>Bee’ah waste-to-hydrogen</t>
  </si>
  <si>
    <t>[941]</t>
  </si>
  <si>
    <t>https://www.h2-view.com/story/beeah-to-construct-the-uaes-first-waste-to-hydrogen-facility/</t>
  </si>
  <si>
    <t>Industrial Cachimayo</t>
  </si>
  <si>
    <t>[942]</t>
  </si>
  <si>
    <t>Dos Bocas refinery</t>
  </si>
  <si>
    <t>https://www.sireagroup.com/en/2021/03/22/green-hydrogen-photovoltaics/</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</si>
  <si>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</si>
  <si>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</si>
  <si>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</si>
  <si>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</si>
  <si>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</si>
  <si>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Rostock - RWE (future phases)</t>
  </si>
  <si>
    <t>AquaPrimus (AquaVentus, phase 1), Heligoland</t>
  </si>
  <si>
    <t>Prairie Island</t>
  </si>
  <si>
    <t>Bruce Nuclear Generating Station</t>
  </si>
  <si>
    <t>1-5MW</t>
  </si>
  <si>
    <t>Heysham demonstrator 1</t>
  </si>
  <si>
    <t>Sinopec Qilu Petrochemical CCS</t>
  </si>
  <si>
    <t>Methane pyrolysis</t>
  </si>
  <si>
    <t>https://hazergroup.com.au/wp-content/uploads/2021/03/210315-Commencement-of-site-works-and-project-update-FINAL.pdf</t>
  </si>
  <si>
    <t>100t H2/y</t>
  </si>
  <si>
    <t>https://www.airproducts.com/news-center/2021/06/0609-air-products-net-zero-hydrogen-energy-complex-in-edmonton-alberta-canada</t>
  </si>
  <si>
    <t>https://hydrogen-central.com/hydrogen-lab-leuna-starts-operations-germany/</t>
  </si>
  <si>
    <t>https://www.awi.de/en/about-us/service/press/single-view/co2-neutral-auf-der-nordsee.html</t>
  </si>
  <si>
    <t>[948][949]</t>
  </si>
  <si>
    <t>Hydrogen Lab Bremerhaven (phase 1)</t>
  </si>
  <si>
    <t>Hydrogen Lab Bremerhaven (phase 2)</t>
  </si>
  <si>
    <t>Hydrogen Lab Leuna (phase 1)</t>
  </si>
  <si>
    <t>Hydrogen Lab Gorlitz</t>
  </si>
  <si>
    <t>https://www.hydrogen-lab.de/</t>
  </si>
  <si>
    <t>[948][949][950]</t>
  </si>
  <si>
    <t>Hydrogen Eagle (various hubs)</t>
  </si>
  <si>
    <t>[951]</t>
  </si>
  <si>
    <t>https://www.orlen.pl/EN/PressOffice/Pages/ORLEN-Group-to-launch-international-hydrogen-program.aspx</t>
  </si>
  <si>
    <t>15kt H2/y</t>
  </si>
  <si>
    <t>Hydrogen Eagle (Spolana)</t>
  </si>
  <si>
    <t>Hydrogen Eagle (Litvínov)</t>
  </si>
  <si>
    <t>18MW</t>
  </si>
  <si>
    <t>PRT
ESP</t>
  </si>
  <si>
    <t>https://www.reuters.com/business/energy/portugals-galp-moves-green-hydrogen-refinery-eyes-12-bln-investment-2021-06-14/</t>
  </si>
  <si>
    <t>[952]</t>
  </si>
  <si>
    <t>https://baijiahao.baidu.com/s?id=1704431415159222866&amp;wfr=spider&amp;for=pc</t>
  </si>
  <si>
    <t>https://www.terram.cl/2021/03/aes-gener-da-primer-paso-en-chile-para-desarrollar-proyecto-en-base-a-hidrogeno-verde/</t>
  </si>
  <si>
    <t>Porto do Acu Fortescue Ammonia Project</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</si>
  <si>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</si>
  <si>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</si>
  <si>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[955] [956]</t>
  </si>
  <si>
    <t>https://www.capitalenergetico.cl/wp-content/uploads/2021/03/La-Economia-Verde-Final-Plug-Power.pdf</t>
  </si>
  <si>
    <t>Hoasis (TCP Gecomp)</t>
  </si>
  <si>
    <t>Ecopetrol 50kW electrolyser</t>
  </si>
  <si>
    <t>50kW</t>
  </si>
  <si>
    <t>METH2 Atacama</t>
  </si>
  <si>
    <t xml:space="preserve">Villa Lisa </t>
  </si>
  <si>
    <t>200kgH2/day</t>
  </si>
  <si>
    <t xml:space="preserve">Ciudad del Este </t>
  </si>
  <si>
    <t xml:space="preserve">Encarnacion </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</si>
  <si>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</si>
  <si>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</si>
  <si>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</si>
  <si>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</si>
  <si>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https://www.energiaestrategica.com/tci-gecomp-apuesta-fuerte-en-latinoamerica-con-el-proyecto-hoasis/</t>
  </si>
  <si>
    <t>[959]</t>
  </si>
  <si>
    <t>https://www.ecopetrol.com.co/wps/wcm/connect/b01bdd8a-5f4e-4e23-bab4-53bc536071fe/4May21+Reporte+1T21+ESPA%C3%91OL.PDF?MOD=AJPERES&amp;attachment=false&amp;id=1620164477387</t>
  </si>
  <si>
    <t>[961]</t>
  </si>
  <si>
    <t>300 MW</t>
  </si>
  <si>
    <t>[962][963][964]</t>
  </si>
  <si>
    <t>[963]</t>
  </si>
  <si>
    <t>TA’ZIZ blue ammonia</t>
  </si>
  <si>
    <t>1000 kt NH3/y</t>
  </si>
  <si>
    <t>https://adnoc.ae/en/news-and-media/press-releases/2021/adnoc-to-build-world-scale-blue-ammonia-project</t>
  </si>
  <si>
    <t>[965]</t>
  </si>
  <si>
    <t>https://www.h2-view.com/story/cmb-tech-opens-antwerps-first-multimodal-hydrogen-station-launches-new-hydrogen-truck/</t>
  </si>
  <si>
    <t>[616] [829][966]</t>
  </si>
  <si>
    <t>https://arena.gov.au/news/seven-shortlisted-for-70-million-hydrogen-funding-round/#funding-applicants</t>
  </si>
  <si>
    <t>[967]</t>
  </si>
  <si>
    <t xml:space="preserve">BHP Nickel West Green Hydrogen </t>
  </si>
  <si>
    <t>Dawson Mine</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</si>
  <si>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</si>
  <si>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</si>
  <si>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</si>
  <si>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https://www.reuters.com/business/sustainable-business/chinas-sinopec-targets-500000-t-green-hydrogen-capacity-by-2025-2021-06-09/</t>
  </si>
  <si>
    <t>Green Fuels for Denmark - Phase 1</t>
  </si>
  <si>
    <t>Green Fuels for Denmark - Phase 2</t>
  </si>
  <si>
    <t>Green Fuels for Denmark - Phase 3</t>
  </si>
  <si>
    <t>Pego coal plant transition</t>
  </si>
  <si>
    <t>https://www.endesa.com/es/prensa/sala-de-prensa/noticias/transicion-energetica/inversion-600-millones-proyecto-futuro-renovable-sostenible-central-pego-portugal</t>
  </si>
  <si>
    <t>[973]</t>
  </si>
  <si>
    <t>https://www.azocleantech.com/article.aspx?ArticleID=1254</t>
  </si>
  <si>
    <t>Rajasthan pilot plant</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</si>
  <si>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</si>
  <si>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</si>
  <si>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</si>
  <si>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Hofors rolling project</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</si>
  <si>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</si>
  <si>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</si>
  <si>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</si>
  <si>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14GW</t>
  </si>
  <si>
    <t>[913] [928][980]</t>
  </si>
  <si>
    <t>5GW</t>
  </si>
  <si>
    <t>[677][945][980]</t>
  </si>
  <si>
    <t>[677] [980]</t>
  </si>
  <si>
    <t>Port of Pecem - Base One</t>
  </si>
  <si>
    <t>EI-H2 - Aghada (phase 1)</t>
  </si>
  <si>
    <t>2.7GW</t>
  </si>
  <si>
    <t>EI-H2 - Aghada (phase 2)</t>
  </si>
  <si>
    <t>https://www.independent.ie/business/irish/ei-h2-and-zenith-announce-plans-for-green-hydrogen-plant-in-bantry-bay-40623074.html</t>
  </si>
  <si>
    <t>EI-H2 - Aghada (phase 3)</t>
  </si>
  <si>
    <t>[981]</t>
  </si>
  <si>
    <t>[925][981]</t>
  </si>
  <si>
    <t>https://blog.topsoe.com/danish-partnership-receives-support-from-the-danish-energy-technology-development-and-demonstration-program-eudp-for-worlds-first-industrial-dynamic-green-ammoni-1624599909696?utm_content=170812983&amp;utm_medium=social&amp;utm_source=twitter&amp;hss_channel=tw-2233307129</t>
  </si>
  <si>
    <t>Ferrolterra plant</t>
  </si>
  <si>
    <t>https://fuelcellsworks.com/news/spain-reganosa-edp-renovaveis-investment-of-780-million-in-galicia-includes-a-100-mw-electrolysis-hydrogen-h2-production-plant/</t>
  </si>
  <si>
    <t>https://www.equinor.com/en/news/20210408-sse-thermal-hydrogen-ccs-humber.html</t>
  </si>
  <si>
    <t>New Jersey Offshore Wind plant</t>
  </si>
  <si>
    <t>[984]</t>
  </si>
  <si>
    <t>https://www.offshorewind.biz/2020/12/16/atlantic-shores-partners-up-with-sji-for-green-hydrogen-pilot/</t>
  </si>
  <si>
    <t>Delicias Solar</t>
  </si>
  <si>
    <t>https://apps1.semarnat.gob.mx:8443/dgiraDocs/documentos/gto/estudios/2020/11GU2020E0092.pdf</t>
  </si>
  <si>
    <t>[985]</t>
  </si>
  <si>
    <t>Pico Truncado</t>
  </si>
  <si>
    <t>[986]</t>
  </si>
  <si>
    <t>https://www.revistapetroquimica.com/quieren-reactivar-la-planta-de-hidrogeno-de-pico-truncado/</t>
  </si>
  <si>
    <t xml:space="preserve">Dhamma Energy Guanajuato </t>
  </si>
  <si>
    <t>https://www.mexicangreenhydrogen.com/</t>
  </si>
  <si>
    <t>Algeciras Bay</t>
  </si>
  <si>
    <t>237MW</t>
  </si>
  <si>
    <t>https://www.h2-view.com/story/new-237mw-green-hydrogen-plant-set-for-the-spanish-bay-of-algeciras/</t>
  </si>
  <si>
    <t>Gazifere grid injection</t>
  </si>
  <si>
    <t>[989]</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</si>
  <si>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</si>
  <si>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</si>
  <si>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</si>
  <si>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[988][991]</t>
  </si>
  <si>
    <t>GREEN H2 Langosteira</t>
  </si>
  <si>
    <t>[992]</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</si>
  <si>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</si>
  <si>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</si>
  <si>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</si>
  <si>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</si>
  <si>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</si>
  <si>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 xml:space="preserve">Jintongling Biomass Gasification </t>
  </si>
  <si>
    <t>Pouakai - Taranaki - NH3</t>
  </si>
  <si>
    <t>Allam Cycle</t>
  </si>
  <si>
    <t>https://www.globalccsinstitute.com/wp-content/uploads/2019/10/Lee_Hydrogen_Innovation_leadership.pdf</t>
  </si>
  <si>
    <t>[996][997]</t>
  </si>
  <si>
    <t>Pouakai - Taranaki - H2</t>
  </si>
  <si>
    <t>https://www.reuters.com/world/china/sinopec-starts-building-carbon-capture-project-east-china-2021-07-05/</t>
  </si>
  <si>
    <t>900000t CO2/y - 151000m3 H2/h</t>
  </si>
  <si>
    <t>1.2GW</t>
  </si>
  <si>
    <t>Veolia wastewater sludge plant</t>
  </si>
  <si>
    <t>https://www.youtube.com/watch?v=ma_6qiEXWU8</t>
  </si>
  <si>
    <t>[999]</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</si>
  <si>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</si>
  <si>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</si>
  <si>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</si>
  <si>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[853][1003]</t>
  </si>
  <si>
    <t>https://fuelcellsworks.com/news/amber-grid-the-first-green-hydrogen-production-project-is-launched-in-lithuania/?mc_cid=fdae331992&amp;mc_eid=da4624d261</t>
  </si>
  <si>
    <t>IPCEI Blue Danube - first project</t>
  </si>
  <si>
    <t>[1005]</t>
  </si>
  <si>
    <t>https://www.spglobal.com/platts/en/market-insights/latest-news/electric-power/061521-bavarias-six-ipcei-shortlisted-hydrogen-projects-may-get-eur1-billion</t>
  </si>
  <si>
    <t>[1004]</t>
  </si>
  <si>
    <t>Enid fertiliser</t>
  </si>
  <si>
    <t>https://sequestration.mit.edu/tools/projects/enid_fertilizer.html</t>
  </si>
  <si>
    <t>Ervia CCS - Irving refinery</t>
  </si>
  <si>
    <t>2.5 Mt CO2/y</t>
  </si>
  <si>
    <t>[1006]</t>
  </si>
  <si>
    <t>https://www.gasnetworks.ie/corporate/gas-regulation/service-for-suppliers/code-of-operations/code-modifications/code-modification-forum-meetings/2019_cmf_meetings/20190612_Cod_Mod_Forum_CCS__H2-Slide-Presentation.pdf</t>
  </si>
  <si>
    <t>200MW - 0.4Mt CO2/y</t>
  </si>
  <si>
    <t>Energean Prinos oil field</t>
  </si>
  <si>
    <t>[1007]</t>
  </si>
  <si>
    <t>https://www.bloomberg.com/news/articles/2021-02-25/energean-plans-500-million-greek-carbon-storage-and-h2-facility</t>
  </si>
  <si>
    <t>https://www.cffertilisers.co.uk/media-centre/news/cf-fertilisers-welcomes-carbon-capture-and-storage-ccs-funding-related-to-hynet-north-west-project/</t>
  </si>
  <si>
    <t>https://corporate.arcelormittal.com/media/news-articles/air-liquide-and-arcelormittal-join-forces-to-accelerate-the-decarbonisation-of-steel-production-in-the-dunkirk-industrial-basin</t>
  </si>
  <si>
    <t>Sinopec Zhongyuan Oilfield EOR</t>
  </si>
  <si>
    <t>Changqing Oil Field EOR</t>
  </si>
  <si>
    <t>50kt CO2/y</t>
  </si>
  <si>
    <t>https://www.windpowermonthly.com/article/1721806/huge-offshore-wind-farm-power-green-hydrogen-brazil</t>
  </si>
  <si>
    <t>https://renewablesnow.com/news/fortescue-plans-usd-6bn-green-hydrogen-project-at-brazils-pecem-port-746992/</t>
  </si>
  <si>
    <t>Marítimo Dragão - Qair</t>
  </si>
  <si>
    <t>RIST Hydrogen Research Centre - nuclear Hydrogen project</t>
  </si>
  <si>
    <t>https://www.youtube.com/watch?v=0XGGMELbQHQ</t>
  </si>
  <si>
    <t>[1012]</t>
  </si>
  <si>
    <t xml:space="preserve">Rhode Green Energy Park </t>
  </si>
  <si>
    <t>[1013]</t>
  </si>
  <si>
    <t>https://www.youtube.com/watch?v=oNYekd5IzbI</t>
  </si>
  <si>
    <t>https://www.youtube.com/watch?v=ofjObCUg6xQ&amp;t=2s</t>
  </si>
  <si>
    <t>Lysekil refinery (phase 1)</t>
  </si>
  <si>
    <t>Lysekil refinery (phase 2)</t>
  </si>
  <si>
    <t>KIMA - Aswan electrolyser</t>
  </si>
  <si>
    <t>165MW</t>
  </si>
  <si>
    <t>http://www.elygrid.com/wp-content/uploads/2015/09/HE8-Zhaoquing-China-022014-Empa-Vg-ex.pdf</t>
  </si>
  <si>
    <t>http://41.222.168.85/NewsDetails.aspx?id=34</t>
  </si>
  <si>
    <t>[1015][1016]</t>
  </si>
  <si>
    <t>Zimbabwe NH3 plant</t>
  </si>
  <si>
    <t>[1015]</t>
  </si>
  <si>
    <t>https://www.upstreamonline.com/energy-transition/shell-unveils-plans-for-giant-canadian-carbon-capture-and-storage-project/2-1-1039795</t>
  </si>
  <si>
    <t>Aukra CCS</t>
  </si>
  <si>
    <t>https://energy.economictimes.indiatimes.com/news/oil-and-gas/shell-to-join-clean-hydrogen-project-in-norway/84342116</t>
  </si>
  <si>
    <t>[1019]</t>
  </si>
  <si>
    <t>APEX-Plug Power H2 plamt</t>
  </si>
  <si>
    <t>https://www.ir.plugpower.com/Press-Releases/Press-Release-Details/2021/Apex-Clean-Energy-and-Plug-Power-Partner-on-Largest-Green-Hydrogen-Power-Purchase-Agreement-in-the-United-States/default.aspx</t>
  </si>
  <si>
    <t>[329][1020]</t>
  </si>
  <si>
    <t>[1020]</t>
  </si>
  <si>
    <t>Giner ELX, H2@Scale (Florida)</t>
  </si>
  <si>
    <t>https://www.energy.gov/sites/prod/files/2020/10/f79/h2iq_10082020_h2scale.pdf</t>
  </si>
  <si>
    <t>[1020][1021]</t>
  </si>
  <si>
    <t>3 x 1250 kW projects in USA</t>
  </si>
  <si>
    <t>3 x 1250kw</t>
  </si>
  <si>
    <t>1 x 500 kW projects in USA</t>
  </si>
  <si>
    <t>500kw</t>
  </si>
  <si>
    <t>18x180 kW projects in USA</t>
  </si>
  <si>
    <t>18x180kw</t>
  </si>
  <si>
    <t>12 x 120 kW projects in USA</t>
  </si>
  <si>
    <t>12x120kw</t>
  </si>
  <si>
    <t>Frontier Energy, H2@Scale - electrolysis</t>
  </si>
  <si>
    <t>20kg H2/d</t>
  </si>
  <si>
    <t>[636][637][1021]</t>
  </si>
  <si>
    <t>Frontier Energy, H2@Scale - gasification</t>
  </si>
  <si>
    <t>75kg H2/d</t>
  </si>
  <si>
    <t>https://www.h2-view.com/story/siemens-unveils-plans-for-one-of-germanys-largest-hydrogen-production-plants/</t>
  </si>
  <si>
    <t>https://www.iberdrola.com/sala-comunicacion/noticias/detalle/iberdrola-foresa-proyectan-inversiones-hidrogeno-renovable-para-produccion-metanol-verde-galicia</t>
  </si>
  <si>
    <t>[1023]</t>
  </si>
  <si>
    <t>https://www.sunfire.de/en/news/detail/totalenergies-sunfire-and-fraunhofer-give-the-go-ahead-for-green-methanol-in-leuna</t>
  </si>
  <si>
    <t>[290] [446][1024]</t>
  </si>
  <si>
    <t>Hynet Northwest, phase 1 (Essar Stanlow refinery)</t>
  </si>
  <si>
    <t>Gela refinery</t>
  </si>
  <si>
    <t>Balico - Virginia</t>
  </si>
  <si>
    <t>Harrison Power Project in Cadiz, Ohio</t>
  </si>
  <si>
    <t>Danskammer Energy - Newburgh</t>
  </si>
  <si>
    <t>https://www.world-energy.org/article/12157.html</t>
  </si>
  <si>
    <t>[1025]</t>
  </si>
  <si>
    <t>Project GERI</t>
  </si>
  <si>
    <t>[1026]</t>
  </si>
  <si>
    <t>Western Green Energy Hub</t>
  </si>
  <si>
    <t>[1027]</t>
  </si>
  <si>
    <t>https://intercontinentalenergy.com/western-green-energy-hub</t>
  </si>
  <si>
    <t>Manilla Solar &amp; Renewable Energy Storage Project</t>
  </si>
  <si>
    <t>APA Renewable Methane Demonstration Project</t>
  </si>
  <si>
    <t>Bio-Hydrogen Demonstration Plant</t>
  </si>
  <si>
    <t>Waste gases from biofuels production</t>
  </si>
  <si>
    <t>200-400kW</t>
  </si>
  <si>
    <t>https://research.csiro.au/hyresource/bio-hydrogen-demonstration-plant/</t>
  </si>
  <si>
    <t>[1028]</t>
  </si>
  <si>
    <t>[1029]</t>
  </si>
  <si>
    <t>https://research.csiro.au/hyresource/apa-renewable-methane-demonstration-project/</t>
  </si>
  <si>
    <t>https://research.csiro.au/hyresource/manilla-solar-project/</t>
  </si>
  <si>
    <t>Bundaberg Hydrogen Hub</t>
  </si>
  <si>
    <t>[1031]</t>
  </si>
  <si>
    <t>https://research.csiro.au/hyresource/bundaberg-hydrogen-hub/</t>
  </si>
  <si>
    <t>Daintree Microgrid Project</t>
  </si>
  <si>
    <t>[1032]</t>
  </si>
  <si>
    <t>https://research.csiro.au/hyresource/daintree-microgrid-project/</t>
  </si>
  <si>
    <t>H2-hub Gladstone (Queensland) - phase 1</t>
  </si>
  <si>
    <t>H2-hub Gladstone (Queensland) - phases 2-3</t>
  </si>
  <si>
    <t>https://research.csiro.au/hyresource/h2-hub-gladstone/</t>
  </si>
  <si>
    <t>[679] [680][1033]</t>
  </si>
  <si>
    <t>https://research.csiro.au/hyresource/queensland-nitrates-renewable-hydrogen-and-ammonia-project/</t>
  </si>
  <si>
    <t>Queensland Nitrates Renewable Hydrogen and Ammonia</t>
  </si>
  <si>
    <t>Dyno Nobel Renewable Hydrogen Project</t>
  </si>
  <si>
    <t>Hydrogen Park South Australia - HyPSA</t>
  </si>
  <si>
    <t>https://research.csiro.au/hyresource/origin-green-hydrogen-and-ammonia-plant/</t>
  </si>
  <si>
    <t>[657][1034]</t>
  </si>
  <si>
    <t>https://research.csiro.au/hyresource/arrowsmith-hydrogen-project/</t>
  </si>
  <si>
    <t>Christmas Creek Renewable Hydrogen Mobility 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</si>
  <si>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</si>
  <si>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</si>
  <si>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</si>
  <si>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</si>
  <si>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Grange Resources Renewable Hydrogen</t>
  </si>
  <si>
    <t>90-100MW</t>
  </si>
  <si>
    <t>[1040]</t>
  </si>
  <si>
    <t>https://research.csiro.au/hyresource/grange-resources-renewable-hydrogen-study/</t>
  </si>
  <si>
    <t>Melbourne Hydrogen Hub</t>
  </si>
  <si>
    <t>[1041]</t>
  </si>
  <si>
    <t>https://research.csiro.au/hyresource/melbourne-hydrogen-hub/</t>
  </si>
  <si>
    <t>https://research.csiro.au/hyresource/portland-renewable-hydrogen-project/</t>
  </si>
  <si>
    <t>[1042]</t>
  </si>
  <si>
    <t>Swinburne University of Technology Victorian Hydrogen Hub – CSIRO Hydrogen Refuelling Station</t>
  </si>
  <si>
    <t>20 kg H2/d</t>
  </si>
  <si>
    <t>https://research.csiro.au/hyresource/swinburne-university-of-technology-victorian-hydrogen-hub-csiro-hydrogen-refuelling-station/</t>
  </si>
  <si>
    <t>Agnes Energy Hub</t>
  </si>
  <si>
    <t>410MW</t>
  </si>
  <si>
    <t>Konin Power Plant, phase 3</t>
  </si>
  <si>
    <t>Platts European Gas Daily 26-07-2021</t>
  </si>
  <si>
    <t>14MW</t>
  </si>
  <si>
    <t>H2Mare</t>
  </si>
  <si>
    <t>Green Crane, Asturias Hub, Phase I</t>
  </si>
  <si>
    <t>Meirama plant, phase 1</t>
  </si>
  <si>
    <t>Meirama plant, phase 2</t>
  </si>
  <si>
    <t>Freienbach plant</t>
  </si>
  <si>
    <t>[648], Platts European Gas Daily 29-07-2021</t>
  </si>
  <si>
    <t>Wintershall Dea - VNG Turquoise H2 project</t>
  </si>
  <si>
    <t>1Mt NH3/y</t>
  </si>
  <si>
    <t>https://www.pv-tech.org/acme-to-set-up-3-5gw-green-hydrogen-facility-in-oman-in-us3-5bn-deal/</t>
  </si>
  <si>
    <t>https://www.h2-view.com/story/e100m-awarded-to-german-offshore-wind-to-green-hydrogen-project/</t>
  </si>
  <si>
    <t>[1046], Platts European Gas Daily 26-07-2021</t>
  </si>
  <si>
    <t>Yarwun alumina refinery</t>
  </si>
  <si>
    <t>https://www.h2-view.com/story/rio-tinto-looks-to-decarbonise-operations-with-hydrogen/</t>
  </si>
  <si>
    <t>[1047]</t>
  </si>
  <si>
    <t>https://www.rumbominero.com/noticias/internacionales/chile-produce-su-primera-molecula-de-hidrogeno-verde-para-mineria/</t>
  </si>
  <si>
    <t>https://fuelcellsworks.com/news/anglo-american-opens-first-green-hydrogen-station-for-zero-carbon-mining-vehicles-in-chile/</t>
  </si>
  <si>
    <t>[1048[]1049]</t>
  </si>
  <si>
    <t>2kg H2/d</t>
  </si>
  <si>
    <t>Sonam Nurboo Memorial Hopsital</t>
  </si>
  <si>
    <t>[1050]</t>
  </si>
  <si>
    <t>Hokkaido green hydrogen plant</t>
  </si>
  <si>
    <t>550 t H2/y</t>
  </si>
  <si>
    <t>[1052]</t>
  </si>
  <si>
    <t>https://www.argusmedia.com/en/news/2242438-trinidad-lays-groundwork-for-green-ammonia</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</si>
  <si>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</si>
  <si>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</si>
  <si>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https://ijglobal.com/articles/157261/india-to-pilot-green-hydrogen-at-hospital</t>
  </si>
  <si>
    <t>MMEX - Pecos, Texas</t>
  </si>
  <si>
    <t>https://fuelcellsworks.com/news/mmex-resources-corp-advances-planned-solar-powered-green-hydrogen-project-in-pecos-county-texas/?mc_cid=796d0f825a&amp;mc_eid=da4624d261</t>
  </si>
  <si>
    <t>[1054]</t>
  </si>
  <si>
    <t>Energy-Norweigian Catapult Centre</t>
  </si>
  <si>
    <t>0.9MW</t>
  </si>
  <si>
    <t>https://fuelcellsworks.com/news/green-hydrogen-systems-signs-the-first-purchase-order-of-electrolysers-in-norway/?mc_cid=796d0f825a&amp;mc_eid=da4624d261</t>
  </si>
  <si>
    <t>Raven - Republic Services H2 from waste plant</t>
  </si>
  <si>
    <t>2kt H2/y</t>
  </si>
  <si>
    <t>https://fuelcellsworks.com/news/raven-sr-partners-with-republic-services-to-produce-commercial-green-hydrogen-in-northern-california-starting-summer-2022/?mc_cid=796d0f825a&amp;mc_eid=da4624d261</t>
  </si>
  <si>
    <t xml:space="preserve">Wabash Valley Resources </t>
  </si>
  <si>
    <t>https://www.spglobal.com/platts/en/market-insights/latest-news/oil/082521-exxonmobils-imperial-oil-plans-canadian-renewable-diesel-project</t>
  </si>
  <si>
    <t>Javelina refinery</t>
  </si>
  <si>
    <t>https://www.gasworld.com/hydrogen-and-ccs-developments-planned-for-the-port-of-corpus-christi/2021509.article</t>
  </si>
  <si>
    <t>[1058]</t>
  </si>
  <si>
    <t>[1059]</t>
  </si>
  <si>
    <t>310000t H2/y</t>
  </si>
  <si>
    <t>North Dakota Hydrogen Hub (former Great Plains Synfuel Plant)</t>
  </si>
  <si>
    <t>https://www.greencarcongress.com/2021/08/20210819-bakken.html</t>
  </si>
  <si>
    <t>[753][1059]</t>
  </si>
  <si>
    <t>https://fuelcellsworks.com/news/green-hydrogen-systems-electrolysers-chosen-by-octopus-hydrogen-for-a-project-in-the-uk/?mc_cid=e5c7eff1d8&amp;mc_eid=da4624d261</t>
  </si>
  <si>
    <t>[837][1061]</t>
  </si>
  <si>
    <t>https://fuelcellsworks.com/news/linde-signs-long-term-agreement-with-infineon-technologies-for-on-site-green-hydrogen-production/?mc_cid=e5c7eff1d8&amp;mc_eid=da4624d261</t>
  </si>
  <si>
    <t>HEVO-Sul</t>
  </si>
  <si>
    <t>85MW</t>
  </si>
  <si>
    <t>https://mb.cision.com/Main/115/3399294/1455892.pdf</t>
  </si>
  <si>
    <t>HYVALUE</t>
  </si>
  <si>
    <t>1600 t H2/y</t>
  </si>
  <si>
    <t>H2 Évora - GreenGas I</t>
  </si>
  <si>
    <t>H2 Évora - GreenGas II</t>
  </si>
  <si>
    <t>15t H2/y</t>
  </si>
  <si>
    <t>60t H2/y</t>
  </si>
  <si>
    <t>[1064]</t>
  </si>
  <si>
    <t>https://ir.fusion-fuel.eu/static-files/1992cf1f-fe4e-4479-8ac4-e62b81eda238</t>
  </si>
  <si>
    <t>[1063] [1064]</t>
  </si>
  <si>
    <t>PRIO ENERGY</t>
  </si>
  <si>
    <t>KEME ENERGY</t>
  </si>
  <si>
    <t>140t H2/y</t>
  </si>
  <si>
    <t>HEVO-Morocco</t>
  </si>
  <si>
    <t>OceanH2</t>
  </si>
  <si>
    <t>https://www.rechargenews.com/transition/acciona-leads-plan-to-build-worlds-first-floating-wind-and-solar-hydrogen-complex/2-1-946028?hs=</t>
  </si>
  <si>
    <t>[1065]</t>
  </si>
  <si>
    <t>TAQA-Emirates Steel Green H2</t>
  </si>
  <si>
    <t>[1066]</t>
  </si>
  <si>
    <t>https://fuelcellsworks.com/news/taqa-group-emirates-steel-to-enable-the-regions-first-green-steel-manufacturing-using-green-hydrogen/?mc_cid=17d3840ce5&amp;mc_eid=da4624d261</t>
  </si>
  <si>
    <t>Salamander</t>
  </si>
  <si>
    <t>[1067]</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</si>
  <si>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</si>
  <si>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</si>
  <si>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</si>
  <si>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Tokyo Sewage-to-H2 plant</t>
  </si>
  <si>
    <t>40-50 kg H2/d</t>
  </si>
  <si>
    <t>https://www.chemengonline.com/sewage-to-hydrogen-plant-reaches-completion-in-tokyo/</t>
  </si>
  <si>
    <t>[1070]</t>
  </si>
  <si>
    <t>Inner Mongolia green hydrogen</t>
  </si>
  <si>
    <t>https://www.straitstimes.com/business/economy/china-approves-renewable-mega-project-for-green-hydrogen</t>
  </si>
  <si>
    <t>[1071]</t>
  </si>
  <si>
    <t>https://www.vitol.com/phillips-66-uniper-and-vitols-vpi-immingham-enter-mou-to-develop-decarbonisation-project-humber-zero/</t>
  </si>
  <si>
    <t>Heroya Industrial Park</t>
  </si>
  <si>
    <t>http://www.asianmetal.com/news/data/1649670/7/HBIS%20to%20put%20hydrogen-based%20DRI%20plant%20phase%20I%20into%20operation%20by%20late%202021</t>
  </si>
  <si>
    <t>[1073]</t>
  </si>
  <si>
    <t>Hydrogen Utopia waste-to-plastic plant</t>
  </si>
  <si>
    <t>Itochu/Petronas ammonia project</t>
  </si>
  <si>
    <t>https://asia.nikkei.com/Business/Energy/Itochu-s-blue-ammonia-from-Canada-to-power-Japan-s-green-future</t>
  </si>
  <si>
    <t>[1074]</t>
  </si>
  <si>
    <t>[857] [858][1014], Platts European Gas Daily 08-09-2021</t>
  </si>
  <si>
    <t>1.1Mt CO2/y</t>
  </si>
  <si>
    <t>Platts European Gas Daily 08-09-2021</t>
  </si>
  <si>
    <t>ArcelorMittal Hamburg</t>
  </si>
  <si>
    <t>https://www.latercera.com/pulso/noticia/gasvalpo-lanza-proyecto-piloto-para-distribucion-de-hidrogeno-verde-a-hogares/ZD23RJY7TRELTGKDOB5VGHEVHU/</t>
  </si>
  <si>
    <t>150kW</t>
  </si>
  <si>
    <t xml:space="preserve">Shell heavy residue gasification CCUS - Pernis refinery </t>
  </si>
  <si>
    <t>https://www.enelgreenpower.com/media/press/2021/09/groundbreaking-ceremony-first-green-hydrogen-pilot-plant-magallanes-chile</t>
  </si>
  <si>
    <t>https://www.h2-view.com/story/repsol-to-develop-new-2-5mw-electrolyser-in-basque-country-spain/</t>
  </si>
  <si>
    <t>2 GW - 550 million liter synfuel/y</t>
  </si>
  <si>
    <t>https://www.zukunftsheizen.de/fileadmin/user_upload/Downloads/BET_2021_Vortrag_Tremel_Siemens_Chiles_wind_to_Europe.pdf</t>
  </si>
  <si>
    <t>[589][645] [870] [871] [1078]</t>
  </si>
  <si>
    <t>https://www.sgn.co.uk/H100Fife</t>
  </si>
  <si>
    <t>[1079] [1080]</t>
  </si>
  <si>
    <t>H100 Fife Project, Levenmouth</t>
  </si>
  <si>
    <t>Southland green hydrogen project</t>
  </si>
  <si>
    <t>https://www.southerngreenhydrogen.co.nz/articles/huge-interest-in-southland-green-hydrogen-project</t>
  </si>
  <si>
    <t>https://totalenergies.com/media/news/press-releases/totalenergies-and-air-liquide-partner-develop-low-carbon-hydrogen</t>
  </si>
  <si>
    <t>[1082]</t>
  </si>
  <si>
    <t>4GW</t>
  </si>
  <si>
    <t>https://svevind.se/en/2021/10/10/roadmap-signed-or-30-gw-green-hydrogen-developments-in-kazakhstan/</t>
  </si>
  <si>
    <t>https://www.actusnews.com/fr/hdf-energy/cp/2021/09/29/hdf-energy-breaks-ground-on-world_s-largest-green-hydrogen-power-project</t>
  </si>
  <si>
    <t>Vlissingen - VoltH2 - phase I</t>
  </si>
  <si>
    <t>https://volth2.com/projects/</t>
  </si>
  <si>
    <t>Vlissingen - VoltH2 - phase II</t>
  </si>
  <si>
    <t>Green Wolverine</t>
  </si>
  <si>
    <t>[1084]</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</si>
  <si>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</si>
  <si>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</si>
  <si>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</si>
  <si>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PYROCO2</t>
  </si>
  <si>
    <t>https://cordis.europa.eu/project/id/101037009</t>
  </si>
  <si>
    <t>[1087]</t>
  </si>
  <si>
    <t>9100 t acetone/y</t>
  </si>
  <si>
    <t>Wartsila - Vaasan</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</si>
  <si>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</si>
  <si>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</si>
  <si>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Concrete Chemicals - I</t>
  </si>
  <si>
    <t>[1092]</t>
  </si>
  <si>
    <t>https://www.concrete-chemicals.eu/project</t>
  </si>
  <si>
    <t>Concrete Chemicals - II</t>
  </si>
  <si>
    <t>H2Perth electrolysis - I</t>
  </si>
  <si>
    <t>H2Perth electrolysis - II</t>
  </si>
  <si>
    <t>[1093]</t>
  </si>
  <si>
    <t>H2Perth NG with CCUS - I</t>
  </si>
  <si>
    <t>40TJ of natural gas/day</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</si>
  <si>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</si>
  <si>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</si>
  <si>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</si>
  <si>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</si>
  <si>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</si>
  <si>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5 Mt CO2/y - 750 millin scfd</t>
  </si>
  <si>
    <t>https://gov.louisiana.gov/index.cfm/newsroom/detail/3421</t>
  </si>
  <si>
    <t>[1097][1098]</t>
  </si>
  <si>
    <t>https://www.world-nuclear-news.org/Articles/US-DOE-funds-hydrogen-production-from-nuclear-powe</t>
  </si>
  <si>
    <t>https://www.horisontenergi.no/horisont-energi-equinor-and-var-energi-enter-cooperation-agreement-for-barents-blue-ammonia-plant/</t>
  </si>
  <si>
    <t>[797][798][799][944][1100], Platts European Gas Daily 17-08-2021</t>
  </si>
  <si>
    <t>https://www.greenlab.dk/knowledge/greenhyscale-project-official-kick-off/</t>
  </si>
  <si>
    <t>Hypster</t>
  </si>
  <si>
    <t>https://www.h2-view.com/story/france-hypster-project-to-produce-400kg-of-green-hydrogen-daily/</t>
  </si>
  <si>
    <t>839 MW</t>
  </si>
  <si>
    <t>https://hydrogen-pro.com/2021/10/29/hydrogenpro-as-ose-hypro-hydrogenpro-joins-key-suppliers-and-investors-in-providing-convertible-loan-to-dg-fuels-sustainable-aviation-fuel-facility-in-louisiana/</t>
  </si>
  <si>
    <t>Hyphen Hydrogen Energy - phase I</t>
  </si>
  <si>
    <t>Hyphen Hydrogen Energy - phase II</t>
  </si>
  <si>
    <t>https://www.h2-view.com/story/9-4bn-hydrogen-megaproject-set-for-namibia/</t>
  </si>
  <si>
    <t>300 kt H2/y</t>
  </si>
  <si>
    <t>https://www.itm-power.com/news/12mw-electrolyser-sale</t>
  </si>
  <si>
    <t>H2TAS - phase I</t>
  </si>
  <si>
    <t>H2TAS - phase II</t>
  </si>
  <si>
    <t>https://www.h2-view.com/story/tasmania-targets-1-7gw-hydrogen-production-with-new-woodside-project/</t>
  </si>
  <si>
    <t>https://www.constructioncayola.com/batiment/article/2021/09/09/136025/vicat-hynamics-edf-partenariat-dans-sens-neutralite-carbone</t>
  </si>
  <si>
    <t>[1107]</t>
  </si>
  <si>
    <t>Axpo Brugg</t>
  </si>
  <si>
    <t>15 MW</t>
  </si>
  <si>
    <t>H2 Green - Shoreham port - phase I</t>
  </si>
  <si>
    <t>3Mt NH3/y - 6 Mt CO2/y</t>
  </si>
  <si>
    <t>3400t NH3/d - 0.5 Mt CO2/y</t>
  </si>
  <si>
    <t>600t H2/d - 0.5 Mt CO2/y</t>
  </si>
  <si>
    <t>https://ec.europa.eu/clima/system/files/2021-11/policy_funding_innovation-fund_large-scale_successful_projects_en.pdf</t>
  </si>
  <si>
    <t>[299] [340][1108]</t>
  </si>
  <si>
    <t>Port of Gothenburg - Statkraft</t>
  </si>
  <si>
    <t>[1109]</t>
  </si>
  <si>
    <t>https://www.goteborgshamn.se/press/pressmeddelanden/anlaggning-for-vatgasproduktion-planeras-i-goteborgs-hamn/</t>
  </si>
  <si>
    <t>H2opZee</t>
  </si>
  <si>
    <t>https://www.icis.com/explore/resources/news/2021/08/04/10670520/uk-cluster-sequencing-could-support-8gw-of-hydrogen-capacity</t>
  </si>
  <si>
    <t>Latitude</t>
  </si>
  <si>
    <t>Longitude</t>
  </si>
  <si>
    <t>SK Ulsan Complex</t>
  </si>
  <si>
    <t>400 kt CO2/y</t>
  </si>
  <si>
    <t>https://pmt.honeywell.com/us/en/about-pmt/newsroom/press-release/2021/11/sk-innovation-to-use-honeywell-technology-for-carbon-capture-and-sequestration-feasibility-study-in-korea?utm_medium=social&amp;utm_source=everyonesocial&amp;es_id=41eb30e602</t>
  </si>
  <si>
    <t>165 kt H2/y</t>
  </si>
  <si>
    <t>https://www.mitsubishicorp.com/jp/en/pr/archive/2021/html/0000047710.html</t>
  </si>
  <si>
    <t>[1112]</t>
  </si>
  <si>
    <t>Uniper Maasvlakte, phase I</t>
  </si>
  <si>
    <t>Uniper Maasvlakte, phase II</t>
  </si>
  <si>
    <t>https://hydrogen-central.com/shell-largest-green-hydrogen-factory-maasvlakte-2-kraaijvanger-netherlands/</t>
  </si>
  <si>
    <t>Northern Horizons wind project</t>
  </si>
  <si>
    <t>[1114]</t>
  </si>
  <si>
    <t>https://www.akerhorizons.com/news/northern-horizons-a-pathway-for-scotland-to-become-a-clean-energy-exporter</t>
  </si>
  <si>
    <t>Terneuzen - VoltH2 - phase I</t>
  </si>
  <si>
    <t>Terneuzen - VoltH2 - phase II</t>
  </si>
  <si>
    <t>https://www.h2-view.com/story/75mw-green-hydrogen-project-gets-greenlight-for-development-in-the-netherlands/</t>
  </si>
  <si>
    <t>[1115]</t>
  </si>
  <si>
    <t>Green Fuel Iceland - phase I</t>
  </si>
  <si>
    <t>Green Fuel Iceland - phase II</t>
  </si>
  <si>
    <t>https://africa-energy-portal.org/news/kepsa-signs-large-scale-green-energy-projects-mou-kenya</t>
  </si>
  <si>
    <t>[1116]</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</si>
  <si>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</si>
  <si>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</si>
  <si>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</si>
  <si>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</si>
  <si>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Sun Metals Zinc Refinery, phase I</t>
  </si>
  <si>
    <t>255 tH2/d - 650 ktCO2/y by 2030</t>
  </si>
  <si>
    <t xml:space="preserve">https://www.northerngasnetworks.co.uk/wp-content/uploads/2018/11/H21-Meeting-UK-Climate-Change-Obligations.pdf </t>
  </si>
  <si>
    <t>[269] [302] [1121]</t>
  </si>
  <si>
    <t>HyGreen Teesside, phase I</t>
  </si>
  <si>
    <t>HyGreen Teesside, phase II</t>
  </si>
  <si>
    <t>https://www.spglobal.com/platts/es/products-services/metals/market-data-metals</t>
  </si>
  <si>
    <t>Sun Metals Zinc Refinery, phase II</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</si>
  <si>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</si>
  <si>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</si>
  <si>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[492][1124]</t>
  </si>
  <si>
    <t>Gigastack-Hornsea 2, phase I</t>
  </si>
  <si>
    <t>Gigastack-Hornsea 2, phase II</t>
  </si>
  <si>
    <t>1 GW</t>
  </si>
  <si>
    <t>[1124]</t>
  </si>
  <si>
    <t>https://flexnconfu.eu/demonstration/</t>
  </si>
  <si>
    <t>https://www.lavieeco.com/economie/lhydrogene-vert-sera-bientot-produit-au-maroc/</t>
  </si>
  <si>
    <t>[976][994][1126]</t>
  </si>
  <si>
    <t>Lesedi Power Project</t>
  </si>
  <si>
    <t>https://energynews.biz/tlou-energy-and-synergen-met-partner-on-green-hydrogen-project-in-botswana/</t>
  </si>
  <si>
    <t>[1127]</t>
  </si>
  <si>
    <t>Sinopec - Zhangzhou</t>
  </si>
  <si>
    <t>https://www.argusmedia.com/en/news/2272275-chinas-sinopec-to-launch-qingdao-hydrogen-facility</t>
  </si>
  <si>
    <t>[1128]</t>
  </si>
  <si>
    <t>Port of Newcastle</t>
  </si>
  <si>
    <t>https://www.energy.gov.au/news-media/news/funding-renewable-hydrogen-projects</t>
  </si>
  <si>
    <t>Yosemite Clean Energy - Oroville</t>
  </si>
  <si>
    <t>12.2 t H2/d</t>
  </si>
  <si>
    <t>https://www.h2-view.com/story/californian-plant-to-produce-12200kg-of-green-hydrogen-daily/</t>
  </si>
  <si>
    <t>KazMunayGas - Linde MoU</t>
  </si>
  <si>
    <t>Unknown green/blue hydrogen</t>
  </si>
  <si>
    <t>https://www.h2-view.com/story/green-hydrogen-and-ammonia-project-planned-for-kazakhstan/</t>
  </si>
  <si>
    <t>Fortescue Metals - Rio Negro, phase I</t>
  </si>
  <si>
    <t>[1131]</t>
  </si>
  <si>
    <t>[1132]</t>
  </si>
  <si>
    <t>Fortescue Metals - Rio Negro, phase II</t>
  </si>
  <si>
    <t>Fortescue Metals - Rio Negro, phase III</t>
  </si>
  <si>
    <t>2GW</t>
  </si>
  <si>
    <t>15GW</t>
  </si>
  <si>
    <t>https://www.argusmedia.com/en/news/2270376-fortescue-plans-argentina-green-hydrogen-project</t>
  </si>
  <si>
    <t>Tiwi Islands Green Hydrogen Project, phase I</t>
  </si>
  <si>
    <t>Tiwi Islands Green Hydrogen Project, phase II</t>
  </si>
  <si>
    <t>https://fuelcellsworks.com/news/gev-to-develop-2-8-gw-green-hydrogen-export-project-tiwi-islands-australia/</t>
  </si>
  <si>
    <t>AEM</t>
  </si>
  <si>
    <t>https://fuelcellsworks.com/news/first-order-placed-for-enapters-aem-multicore-megawatt-class-electrolyser-system/?mc_cid=9ed68568bf&amp;mc_eid=da4624d261</t>
  </si>
  <si>
    <t>Aberdeen Hydrogen Hub, phase I</t>
  </si>
  <si>
    <t>[644][979],  Platts European Gas Daily 27-10-2021</t>
  </si>
  <si>
    <t>Aberdeen Hydrogen Hub, phase II</t>
  </si>
  <si>
    <t>INEOS Köln site</t>
  </si>
  <si>
    <t>https://www.ineos.com/news/ineos-group/ineos-green-hydrogen-project-accelerates-towards-net-zero-future-in-germany-by-2045/</t>
  </si>
  <si>
    <t>https://www.governor.ny.gov/news/governor-hochul-announces-construction-start-largest-green-hydrogen-plant-north-america</t>
  </si>
  <si>
    <t>Plug Power - Fresno County, California</t>
  </si>
  <si>
    <t>https://www.ir.plugpower.com/Press-Releases/Press-Release-Details/2021/Plug-Power-to-Build-Largest-Green-Hydrogen-Production-Facility-on-the-West-Coast/default.aspx</t>
  </si>
  <si>
    <t>Oracle Power - Power China International MoU, Sindh</t>
  </si>
  <si>
    <t>https://www.dawn.com/news/1653735</t>
  </si>
  <si>
    <t>https://www.rtbf.be/info/belgique/detail_cop26-la-belgique-importera-de-l-hydrogene-vert-produit-en-namibie?id=10873065</t>
  </si>
  <si>
    <t>Herne Bay, Kent</t>
  </si>
  <si>
    <t>https://www.woodplc.com/news/latest-press-releases/2021/Wood-and-HYGEN-Energy-to-accelerate-green-hydrogen-production-in-the-UK</t>
  </si>
  <si>
    <t>Steinbeis Innovation Center Braunschweig</t>
  </si>
  <si>
    <t>Carlentini Energy park (Sicily)</t>
  </si>
  <si>
    <t>https://mcphy.com/en/press-releases/cooperation-agreement-with-enel-green-power/?cn-reloaded=1&amp;cn-reloaded=1</t>
  </si>
  <si>
    <t>[1139]</t>
  </si>
  <si>
    <t>Iberdrola - H2 Green Steel</t>
  </si>
  <si>
    <t>[1142]</t>
  </si>
  <si>
    <t>https://www.h2greensteel.com/h2-green-steel-and-iberdrola-announce-23-billion-green-hydrogen-venture</t>
  </si>
  <si>
    <t>H2PiyR Pamiers</t>
  </si>
  <si>
    <t>http://h2piyr.eu/es/los-socios-del-proyecto-h2piyr-inauguran-la-hidrogenera-de-pamiers/</t>
  </si>
  <si>
    <t>[1143]</t>
  </si>
  <si>
    <t>66MW</t>
  </si>
  <si>
    <t>https://reneweconomy.com.au/solar-powered-green-ammonia-plans-in-pilbara-submitted-to-state-epa/amp/</t>
  </si>
  <si>
    <t>[266] [309] [310] [664] [882] [910][1144]</t>
  </si>
  <si>
    <t>8GW</t>
  </si>
  <si>
    <t>https://www.total-eren.com/wp-content/uploads/2021/12/PR-Chile_H2_02122021_EN_FINAL-TC_pp_V2.pdf</t>
  </si>
  <si>
    <t>https://www.power-technology.com/news/acciona-energia-australia-hydrogen/</t>
  </si>
  <si>
    <t>Mathura refinery</t>
  </si>
  <si>
    <t>Panipat refinery</t>
  </si>
  <si>
    <t>5 kt H2/y</t>
  </si>
  <si>
    <t>2 kt H2/y</t>
  </si>
  <si>
    <t>https://www.pv-magazine.com/2021/11/22/indian-oil-launches-tender-for-green-hydrogen-generation-units/</t>
  </si>
  <si>
    <t>260MW</t>
  </si>
  <si>
    <t>World’s Largest Green Hydrogen Project Begins Construction - BNEF</t>
  </si>
  <si>
    <t>https://fuelcellsworks.com/news/france-auxerois-inagurates-largest-hydrogen-production-and-distribution-site-in-france/?mc_cid=8a8bc1ef04&amp;mc_eid=da4624d261</t>
  </si>
  <si>
    <t>https://www.youtube.com/watch?v=Hkub341JQxA</t>
  </si>
  <si>
    <t>Dolphyn 1, phase 1</t>
  </si>
  <si>
    <t>Dolphyn 1, phase 2</t>
  </si>
  <si>
    <t>Budweiser - Protium Wales brewery</t>
  </si>
  <si>
    <t>https://fuelcellsworks.com/news/budweiser-brewing-group-protium-go-green-with-hydrogen-at-wales-brewery/?mc_cid=8a8bc1ef04&amp;mc_eid=da4624d261</t>
  </si>
  <si>
    <t>[1150]</t>
  </si>
  <si>
    <t>[1151]</t>
  </si>
  <si>
    <t>450 kg H2/d</t>
  </si>
  <si>
    <t>https://fuelcellsworks.com/news/ineos-announces-over-e2-billion-investment-in-green-hydrogen-production/?mc_cid=8a8bc1ef04&amp;mc_eid=da4624d261</t>
  </si>
  <si>
    <t>[790][1152]</t>
  </si>
  <si>
    <t>[1135][1152]</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</si>
  <si>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</si>
  <si>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</si>
  <si>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Mississippi Clean Hydrogen Hub</t>
  </si>
  <si>
    <t>110 kt H2/y</t>
  </si>
  <si>
    <t>https://fuelcellsworks.com/news/hy-stor-energy-developing-first-ever-u-s-zero-carbon-green-hydrogen-storage-hub/?mc_cid=8a8bc1ef04&amp;mc_eid=da4624d261</t>
  </si>
  <si>
    <t>https://www.businesswire.com/news/home/20211019005429/en/Hy-Stor-Energy-Developing-First-Ever-U.S.-Zero-Carbon-Green-Hydrogen-Storage-Hub</t>
  </si>
  <si>
    <t>Tent Mountain</t>
  </si>
  <si>
    <t>https://www.cbc.ca/news/canada/calgary/montem-tent-mountain-green-energy-complex-1.6218293</t>
  </si>
  <si>
    <t>[1157]</t>
  </si>
  <si>
    <t>0.67MW</t>
  </si>
  <si>
    <t>[649], Platts European Gas Daily 15-07-2021</t>
  </si>
  <si>
    <t>Port of Auckland HRS</t>
  </si>
  <si>
    <t>Linde Niagara Falls</t>
  </si>
  <si>
    <t>https://fuelcellsworks.com/news/empire-state-development-announces-linde-to-invest-17-million-in-first-north-american-pem-electrolyzer-plant-in-new-york-state/?mc_cid=77e2194253&amp;mc_eid=da4624d261</t>
  </si>
  <si>
    <t>Doosan Changwon City</t>
  </si>
  <si>
    <t>5t H2/d - 48t CO2/d</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</si>
  <si>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</si>
  <si>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</si>
  <si>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[1161]</t>
  </si>
  <si>
    <t>Wilhelmshaven , phase 1</t>
  </si>
  <si>
    <t>70MW</t>
  </si>
  <si>
    <t>Wilhelmshaven , phase 2</t>
  </si>
  <si>
    <t>https://www.sasgroup.net/newsroom/press-releases/2021/sas-vattenfall-shell-and-lanzatech-to-explore-synthetic-sustainable-aviation-fuel-production/</t>
  </si>
  <si>
    <t>Sweetman Hunter Valley</t>
  </si>
  <si>
    <t>16MW</t>
  </si>
  <si>
    <t>[862][1089][1153], Platts European Gas Daily 01-10-2021</t>
  </si>
  <si>
    <t>Middle East Petroleum and Economic Publications - Weekly Energy, Economic &amp; Geopolitical Outlook Vol. 64. No. 39, 1.October.2021.</t>
  </si>
  <si>
    <t>[1064][1163]</t>
  </si>
  <si>
    <t>SalalaH2</t>
  </si>
  <si>
    <t>https://energy-utilities.com/international-firms-sign-agreement-with-oman-for-news114757.html</t>
  </si>
  <si>
    <t>[1164]</t>
  </si>
  <si>
    <t>400MW - 150t H/d</t>
  </si>
  <si>
    <t>700MW-1.2 Mt CO2/y</t>
  </si>
  <si>
    <t>Flotta Hydrogen Hub</t>
  </si>
  <si>
    <t>[1095], Platts European Gas Daily 13-10-2021</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</si>
  <si>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</si>
  <si>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</si>
  <si>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</si>
  <si>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[701][1167]</t>
  </si>
  <si>
    <t>https://www.mitsubishicorp.com/jp/en/pr/archive/2021/html/0000047790.html</t>
  </si>
  <si>
    <t>Arrowsmith Hydrogen Project, phase 1</t>
  </si>
  <si>
    <t>https://www.infiniteblueenergy.com/projects/arrowsmith-hydrogen-plant-stage-1/</t>
  </si>
  <si>
    <t>Arrowsmith Hydrogen Project, phase 2</t>
  </si>
  <si>
    <t>https://fuelcellsworks.com/news/infinite-blue-energy-signs-mou-with-strike-energys-project-haber/?mc_cid=e014ff7079&amp;mc_eid=da4624d261</t>
  </si>
  <si>
    <t>https://www.bluescope.com/bluescope-news/2021/12/bluescope-and-shell-sign-mou/</t>
  </si>
  <si>
    <t>[1171]</t>
  </si>
  <si>
    <t>BlueScope’s Port Kembla Steelworks, Illawarra</t>
  </si>
  <si>
    <t>Project Haber, phase 1</t>
  </si>
  <si>
    <t>Project Haber, phase 2</t>
  </si>
  <si>
    <t>https://strikeenergy.com.au/project-haber/</t>
  </si>
  <si>
    <t>[695][1172][1173]</t>
  </si>
  <si>
    <t>https://renewablesnow.com/news/edp-to-pour-eur-550m-to-revamp-spanish-coal-fired-plant-into-green-h2-facility-754051/</t>
  </si>
  <si>
    <t>[1175]</t>
  </si>
  <si>
    <t>South West Blue Hydrogen</t>
  </si>
  <si>
    <t>https://www.pilotenergy.com.au/sites/pilotenergy.com.au/files/asx-announcements/61045427.pdf</t>
  </si>
  <si>
    <t>https://www.ineos.com/news/shared-news/ineos-grangemouth-moves-forward-on-the-next-phase-of-its-journey-to-reduce-greenhouse-gas-emissions-to-net-zero-by-2045-with-further-investment-in-excess-of-1-billion/</t>
  </si>
  <si>
    <t>Air Liquide Botlek Rotterdam refinery (Porthos CCS)</t>
  </si>
  <si>
    <t>Air Products Botlek Rotterdam refinery (Porthos CCS)</t>
  </si>
  <si>
    <t>https://www.engineering-airliquide.com/air-liquide-engineering-construction-supports-decarbonization-zeeland-refinery</t>
  </si>
  <si>
    <t>https://www.sasol.com/media-centre/media-releases/sasol-announces-lead-role-feasibility-study-boegoebaai-green-hydrogen</t>
  </si>
  <si>
    <t>H2Oman (Dhofar)</t>
  </si>
  <si>
    <t>Fawley refinery</t>
  </si>
  <si>
    <t>4.3 TWh H2/y - 2Mt CO2/y</t>
  </si>
  <si>
    <t>Nyrstar Port Pirie, phase 1</t>
  </si>
  <si>
    <t>Nyrstar Port Pirie, phase 2</t>
  </si>
  <si>
    <t>https://renews.biz/74222/south-australia-unveils-plans-for-440mw-electrolyser/</t>
  </si>
  <si>
    <t>440MW</t>
  </si>
  <si>
    <t>https://global.kawasaki.com/news_211209-2e.pdf</t>
  </si>
  <si>
    <t>[314][945][1180], Platts European Gas Daily 08-12-2021</t>
  </si>
  <si>
    <t>[272][638], Platts European Gas Daily 08-12-2021</t>
  </si>
  <si>
    <t>https://www.upstreamonline.com/energy-transition/novatek-speeds-up-hydrogen-and-ccs-preparations/2-1-1046544</t>
  </si>
  <si>
    <t>https://www.upstreamonline.com/lng/novatek-hunting-partners-for-obsky-hydrogen-and-ammonia-facility-in-west-siberia/2-1-1030940</t>
  </si>
  <si>
    <t>KeyState Natural Gas Synthesis &amp; CCUS</t>
  </si>
  <si>
    <t>https://environmental.pasenategop.com/wp-content/uploads/sites/34/2021/03/03.10.2021-Babb-Perry-KeyState-Senate-Energy-Comm.-Hearing-3.10.21.pdf</t>
  </si>
  <si>
    <t>Desert Bloom, phase 1</t>
  </si>
  <si>
    <t>Desert Bloom, phase 2</t>
  </si>
  <si>
    <t>400Mw</t>
  </si>
  <si>
    <t>https://reneweconomy.com.au/massive-15bn-desert-bloom-green-hydrogen-project-gets-planning-fast-track/</t>
  </si>
  <si>
    <t>Hunter Energy Hub</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</si>
  <si>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</si>
  <si>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</si>
  <si>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</si>
  <si>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Monolith Materials demo plant</t>
  </si>
  <si>
    <t>200t H2/y</t>
  </si>
  <si>
    <t>https://www.ammoniaenergy.org/wp-content/uploads/2019/08/20191113.0935-Hanson_2019_AIChE_Ammonia-Synthesis_Pyrolysis.pdf</t>
  </si>
  <si>
    <t>[1188]</t>
  </si>
  <si>
    <t>https://arpa-e.energy.gov/sites/default/files/2021-01/08%20OK%20-Monolith_ARPAE_MethanePyrolysis2021_v3.pdf</t>
  </si>
  <si>
    <t>[611][1189]</t>
  </si>
  <si>
    <t>https://www.h2-view.com/story/linde-africa-hive-hydrogen-to-develop-4-6bn-green-ammonia-production-project-in-south-africa/</t>
  </si>
  <si>
    <t>Uljin County nuclear plant</t>
  </si>
  <si>
    <t>Tamil Nadu project</t>
  </si>
  <si>
    <t>https://www.greenhydrogen-india.com/projects-in-india/7929ac33-daa1-4cc3-8dcf-e8d7da6716a7/</t>
  </si>
  <si>
    <t>[1192]</t>
  </si>
  <si>
    <t>https://psuwatch.com/ntpc-larsen-and-toubro-co2-to-methanol-plants</t>
  </si>
  <si>
    <t>https://investors.technipenergies.com/news-releases/news-release-details/technip-energies-awarded-indias-largest-pem-based-hydrogen</t>
  </si>
  <si>
    <t>NTPC-Technip-L&amp;T MeOH project, Vindhyachal</t>
  </si>
  <si>
    <t>NTPC green hydrogen mobiity project - Ladakh</t>
  </si>
  <si>
    <t>https://www.ntpc.co.in/en/media/press-releases/details/ntpc-invites-tender-set-india%E2%80%99s-first-green-hydrogen-fuelling-station-leh</t>
  </si>
  <si>
    <t>[1195]</t>
  </si>
  <si>
    <t>https://www.acme.in/green_hydrogen</t>
  </si>
  <si>
    <t>[975][1196]</t>
  </si>
  <si>
    <t>H2BE</t>
  </si>
  <si>
    <t>https://www.yara.com/corporate-releases/yara-begins-electrifying-the-factory-at-heroya/</t>
  </si>
  <si>
    <t>https://green-planet-energy.de/presse/artikel/neuer-windgas-elektrolyseur-in-haurup-nimmt-regelbetrieb-auf.html</t>
  </si>
  <si>
    <t>[440] [737][1002][1198]</t>
  </si>
  <si>
    <t>https://www.thebusinessdesk.com/westmidlands/news/2058416-all-aboard-the-hydrogen-bus</t>
  </si>
  <si>
    <t>[592] [593][1199]</t>
  </si>
  <si>
    <t>Ningxia Solar Hydrogen Project, Phase 1</t>
  </si>
  <si>
    <t>https://www.ladepeche.fr/2021/11/03/toulouse-hyport-la-premiere-unite-au-monde-de-production-dhydrogene-vert-installee-a-laeroport-9906959.php</t>
  </si>
  <si>
    <t>https://ijglobal.com/articles/160627/nelson-mandela-bay-green-ammonia-plant-announced</t>
  </si>
  <si>
    <t>[1191] [1201]</t>
  </si>
  <si>
    <t>Ningxia Solar Hydrogen Project, Phase 2</t>
  </si>
  <si>
    <t>https://www.h2-view.com/story/8gw-hydrogen-production-project-in-australia-receives-lead-agency-status/</t>
  </si>
  <si>
    <t>https://www.biofuelsdigest.com/bdigest/2021/12/15/wood-waste-to-hydrogen-motes-h2-gambit-in-california-announced/</t>
  </si>
  <si>
    <t>[1203]</t>
  </si>
  <si>
    <t xml:space="preserve">8Rivers - Wyoming </t>
  </si>
  <si>
    <t>100 mmscf H2/d</t>
  </si>
  <si>
    <t>Project Phoenix</t>
  </si>
  <si>
    <t>https://www.wyoenergy.org/wp-content/uploads/2022/01/2022-01-20-CCUS-RFP-PR-Final.pdf</t>
  </si>
  <si>
    <t>[1204]</t>
  </si>
  <si>
    <t>OCP Group demo project</t>
  </si>
  <si>
    <t>Boegoebaai green hydrogen</t>
  </si>
  <si>
    <t>Anglo-American Mogalakwena mine</t>
  </si>
  <si>
    <t>https://hyphenafrica.com/news/namibia-announces-hyphen-as-preferred-bidder-to-implement-us9-4bn-green-hydrogen-project/</t>
  </si>
  <si>
    <t>Masen - KfW</t>
  </si>
  <si>
    <t>https://www.masen.ma/fr/actualites-masen/masen-prepare-un-mega-projet-dans-lhydrogene-vert-une-1ere-en-afrique</t>
  </si>
  <si>
    <t>[1208]</t>
  </si>
  <si>
    <t>Africa Green Hydrogen Forum, November 22-23 2021, Online event</t>
  </si>
  <si>
    <t>Secunda SAF Project - Phase I</t>
  </si>
  <si>
    <t>Secunda SAF Project - Phase II</t>
  </si>
  <si>
    <t>100-200 MW</t>
  </si>
  <si>
    <t>https://press.siemens-energy.com/mea/en/pressrelease/siemens-energy-supports-egypt-develop-green-hydrogen-industry</t>
  </si>
  <si>
    <t>240MW</t>
  </si>
  <si>
    <t>https://www.corfo.cl/sites/cpp/sala_de_prensa/nacional/27_12_2021_ganadores_hidrogeno_verde;jsessionid=AtmVall_qC_xbEQ78caDTJmM19RoKSj2ln2G-JlYRLnD1fSNOPDM!1252277378!-615728055</t>
  </si>
  <si>
    <t>[1210]</t>
  </si>
  <si>
    <t>[537] [579][892][1044][1210]</t>
  </si>
  <si>
    <t>[537] [579][995][1044][1210]</t>
  </si>
  <si>
    <t>HyPro Aconcagua</t>
  </si>
  <si>
    <t>Hidrógeno Verde Bahía Quintero</t>
  </si>
  <si>
    <t>https://www.elconfidencial.com/espana/andalucia/2022-01-23/primera-planta-comercial-hidrogeno-verde-algeciras_3362444/</t>
  </si>
  <si>
    <t>https://www.rwe.com/en/press/rwe-generation/2021-12-20-rwe-working-with-linde-to-develop-electrolyser-plant-in-lingen</t>
  </si>
  <si>
    <t>[314][945][1180][1212], Platts European Gas Daily 08-12-2021, Platts European Gas Daily 21-12-2021</t>
  </si>
  <si>
    <t>[674] [675][1212]</t>
  </si>
  <si>
    <t>Grand Inga hydroelectric power project</t>
  </si>
  <si>
    <t>https://www.reuters.com/business/energy/australias-fortescue-talks-worlds-biggest-hydropower-project-congo-2021-06-15/</t>
  </si>
  <si>
    <t>[1213]</t>
  </si>
  <si>
    <t>190 kt H2/y - 1000000 t CO2/y</t>
  </si>
  <si>
    <t>https://www.spglobal.com/platts/en/market-insights/latest-news/electric-power/092221-ineos-to-invest-14-bil-in-blue-hydrogen-production-at-grangemouth-refinery</t>
  </si>
  <si>
    <t>[1176][1214]</t>
  </si>
  <si>
    <t>https://www.spglobal.com/platts/es/market-insights/latest-news/electric-power/012822-linde-engineering-wins-24-mw-electrolyzer-order-from-yara-norge</t>
  </si>
  <si>
    <t>[415][664][1197][1215]</t>
  </si>
  <si>
    <t>https://www.shell.com/media/news-and-media-releases/2022/shell-starts-up-hydrogen-electrolyser-in-china-with-20mw-product.html</t>
  </si>
  <si>
    <t>[642] [772][1216]</t>
  </si>
  <si>
    <t>Shell China - Zhangjiakou, phase 2</t>
  </si>
  <si>
    <t>[1216]</t>
  </si>
  <si>
    <t>H2biscus, phase 1</t>
  </si>
  <si>
    <t>H2biscus, phase 2</t>
  </si>
  <si>
    <t>H2biscus, phase 3</t>
  </si>
  <si>
    <t>https://www.spglobal.com/platts/en/market-insights/podcasts/oil/012722-good-bad-ugly-asian-oil-markets-2022-gasoline-gasoil-jet-fuel</t>
  </si>
  <si>
    <t>https://www.ammoniaenergy.org/articles/trafigura-plans-new-green-export-project-in-south-australia/</t>
  </si>
  <si>
    <t>[1179][1218]</t>
  </si>
  <si>
    <t>https://www.ijglobal.com/articles/161019/shells-mandates-for-dutch-electrolyser</t>
  </si>
  <si>
    <t>1700MW</t>
  </si>
  <si>
    <t>https://fuelcellsworks.com/news/copenhagen-infrastructure-partners-announce-partnership-with-austriaenergy-and-oekowind-on-hnh-project-the-green-hydrogen-project-under-development-in-chile/</t>
  </si>
  <si>
    <t>Oskarshamn nuclear plant</t>
  </si>
  <si>
    <t>https://www.world-nuclear-news.org/Articles/OKG-signs-hydrogen-supply-contract</t>
  </si>
  <si>
    <t>[1221]</t>
  </si>
  <si>
    <t>https://www.marseille-port.fr/sites/default/files/2022-01/20220117CPGPMM_H2V_VF.pdf</t>
  </si>
  <si>
    <t>[1223]</t>
  </si>
  <si>
    <t>https://fuelcellsworks.com/news/mcphy-to-install-a-1-mw-electrolyzer-and-a-refueling-station-in-belfort-to-provide-hydrogen-for-a-fleet-of-buses/</t>
  </si>
  <si>
    <t>https://www.ntpc.co.in/en/media/press-releases/details/ntpc-awards-india%E2%80%99s-first-green-hydrogen-microgrid-project</t>
  </si>
  <si>
    <t>SoCalGaS - Kore demo facility</t>
  </si>
  <si>
    <t>Waste pyrolysis</t>
  </si>
  <si>
    <t>[1224]</t>
  </si>
  <si>
    <t>https://koreinfrastructure.com/projects/</t>
  </si>
  <si>
    <t>Port of Hanstholm - hydrogen</t>
  </si>
  <si>
    <t>https://stateofgreen.com/en/partners/state-of-green/news/danish-port-aims-to-become-europes-first-co2-neutral-fishing-port/</t>
  </si>
  <si>
    <t>[1225]</t>
  </si>
  <si>
    <t>Port of Hanstholm - methanol</t>
  </si>
  <si>
    <t>https://www.thinkgeoenergy.com/first-green-hydrogen-plant-in-new-zealand-starts-operations/</t>
  </si>
  <si>
    <t>[529][1226]</t>
  </si>
  <si>
    <t>https://jemena.com.au/about/newsroom/media-release/2021/first-green-hydrogen-for-new-south-wales-homes-and</t>
  </si>
  <si>
    <t xml:space="preserve"> [224] [308][1227]</t>
  </si>
  <si>
    <t>Lhyfe-Enerparc Luckau project</t>
  </si>
  <si>
    <t>Ande - Fortescue Future Industries MoU</t>
  </si>
  <si>
    <t>Ande - Maire Tecnimont - FerSam</t>
  </si>
  <si>
    <t>350MW</t>
  </si>
  <si>
    <t>Ande - Neogreen Hydrogen, phase 2</t>
  </si>
  <si>
    <t>Ande - Neogreen Hydrogen, phase 1</t>
  </si>
  <si>
    <t>https://p2x.fi/en/p2x-solutions-has-made-an-investment-decision-to-construct-finlands-first-green-hydrogen-production-plant-in-harjavalta/</t>
  </si>
  <si>
    <t>P2X Harjavalta project</t>
  </si>
  <si>
    <t>Dorset Green H2 Project</t>
  </si>
  <si>
    <t>https://www.dorsetlep.co.uk/dorset-green-h2</t>
  </si>
  <si>
    <t>[1229]</t>
  </si>
  <si>
    <t>GreenH2Atlantic</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</si>
  <si>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</si>
  <si>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</si>
  <si>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[924][1101][1231]</t>
  </si>
  <si>
    <t>Catalina Project, Phase 1</t>
  </si>
  <si>
    <t>500MW - 40 kt H2/y</t>
  </si>
  <si>
    <t>Trzebinia refinery</t>
  </si>
  <si>
    <t>Baltic Power wind project</t>
  </si>
  <si>
    <t>https://www.eleconomista.es/energia/noticias/11594929/02/22/El-fondo-de-Copenhague-lanza-un-megaproyecto-de-hidrogeno-con-Naturgy-Enagas-Fertiberia-y-Vestas.html</t>
  </si>
  <si>
    <t>CNPC China Northwest (Xinjiang) hub refinery hydrogen</t>
  </si>
  <si>
    <t>https://www.ogci.com/action-and-engagement/removing-carbon-dioxide-ccus/our-kickstarter-hubs/#hub4</t>
  </si>
  <si>
    <t>[1147]</t>
  </si>
  <si>
    <t>https://www.lexlatin.com/noticias/paraguay-planta-hidrogeno-amoniaco-verde-NeoGreen-Hydrogen</t>
  </si>
  <si>
    <t>[1234]</t>
  </si>
  <si>
    <t>https://www.abc.com.py/nacionales/2021/11/12/fortescue-de-australia-manifesto-su-interes-en-producir-amoniaco-e-hidrogeno-verde-en-paraguay/</t>
  </si>
  <si>
    <t>[1235]</t>
  </si>
  <si>
    <t>https://www.abc.com.py/nacionales/2021/11/18/interes-italiano-en-producir-hidrogeno-verde-pondra-a-prueba-a-itaipu/</t>
  </si>
  <si>
    <t>[1236]</t>
  </si>
  <si>
    <t>https://www.lukoil.com/PressCenter/Pressreleases/Pressrelease?rid=570986</t>
  </si>
  <si>
    <t>https://www.lightsourcebp.com/2021/12/introducing-our-green-hydrogen-partnership-with-portugals-dourogas/</t>
  </si>
  <si>
    <t>https://www.energias-renovables.com/hidrogeno/mallorca-comienza-a-producir-hidrogeno-renovable-20211223</t>
  </si>
  <si>
    <t>[317] [319] [594] [682] [691] [692][1239]</t>
  </si>
  <si>
    <t>Geelong Hydrogen Hub</t>
  </si>
  <si>
    <t>https://engage.geelongport.com.au/geelonghydrogenhub</t>
  </si>
  <si>
    <t>[1240]</t>
  </si>
  <si>
    <t>https://www.bondalti.com/en/multimedia/news/bondalti-fosters-hydrogen-strategy/</t>
  </si>
  <si>
    <t>3.2MW</t>
  </si>
  <si>
    <t>https://www.demo4grid.eu/wp-content/uploads/2021/12/Demo4Grid-Project-Partners-Successfully-Install-a-3.2-MW-Pressurized-Alkaline-Electrolyzer-Sunfire.pdf</t>
  </si>
  <si>
    <t>Hy2gen Sauda project</t>
  </si>
  <si>
    <t>https://www.trafigura.com/press-releases/green-ammonia-production-facility-planned-in-norway-s-municipality-of-sauda-feed-study-underway/</t>
  </si>
  <si>
    <t>https://www.upstreamonline.com/hydrogen/baofeng-energy-brings-worlds-largest-green-hydrogen-project-on-line-in-china/2-1-1161221</t>
  </si>
  <si>
    <t>[479] [830][1244]</t>
  </si>
  <si>
    <t>Firlough project</t>
  </si>
  <si>
    <t>https://www.rte.ie/news/business/2021/1210/1266080-new-green-hydrogen-production-plant-planned-for-mayo/</t>
  </si>
  <si>
    <t>[1245]</t>
  </si>
  <si>
    <t>Alcázar de San Juan - pHYnix</t>
  </si>
  <si>
    <t>[1246]</t>
  </si>
  <si>
    <t>Sojitz Queensland project</t>
  </si>
  <si>
    <t>https://www.reuters.com/business/energy/japans-sojitz-provide-green-hydrogen-made-australia-palau-2022-01-12/#:~:text=Sojitz%2C%20along%20with%20Australian%20power,backing%20from%20Japan's%20environment%20ministry.</t>
  </si>
  <si>
    <t>[1247]</t>
  </si>
  <si>
    <t>https://balticwind.eu/orsted-to-launch-h2res-electrolyzer-demonstrator-in-the-first-half-of-2022/</t>
  </si>
  <si>
    <t>[696] [918] [919][1248]</t>
  </si>
  <si>
    <t>https://ens.dk/sites/ens.dk/files/ptx/strategy_ptx.pdf</t>
  </si>
  <si>
    <t>Green CCU Hub Aalborg</t>
  </si>
  <si>
    <t>120 MW</t>
  </si>
  <si>
    <t>[1249]</t>
  </si>
  <si>
    <t>Green Hydrogen Hub, phase 1</t>
  </si>
  <si>
    <t>Green Hydrogen Hub, phase 2</t>
  </si>
  <si>
    <t>Blue Seal</t>
  </si>
  <si>
    <t>GreenHyScale</t>
  </si>
  <si>
    <t>Green lab skive (Phase III)</t>
  </si>
  <si>
    <t>[641][924][926][1249]</t>
  </si>
  <si>
    <t>Høst - Esbjerg green ammonia plant</t>
  </si>
  <si>
    <t>European Energy, phase I</t>
  </si>
  <si>
    <t>European Energy, phase II</t>
  </si>
  <si>
    <t>Eurowind Mariagerfjord, phase 1</t>
  </si>
  <si>
    <t>Eurowind Mariagerfjord, phase 2</t>
  </si>
  <si>
    <t>35-50MW</t>
  </si>
  <si>
    <t>H2 Energy Europe Esbjerg green hydrogen</t>
  </si>
  <si>
    <t>Vordingborg biofuels</t>
  </si>
  <si>
    <t>Aalborg MeOH project</t>
  </si>
  <si>
    <t>300-400MW</t>
  </si>
  <si>
    <t>CCU biogas (11x36MW)</t>
  </si>
  <si>
    <t>11x36MW</t>
  </si>
  <si>
    <t>Fortescue Future Industries - Incitec Pivot MoU</t>
  </si>
  <si>
    <t>https://fuelcellsworks.com/news/first-milestone-reached-for-fortescue-future-industries-and-incitec-pivots-green-ammonia-hydrogen-collaboration-in-queensland/?mc_cid=768757ae05&amp;mc_eid=da4624d261</t>
  </si>
  <si>
    <t>[1250]</t>
  </si>
  <si>
    <t>Fortescue Future Industries - Refining NZ MoU</t>
  </si>
  <si>
    <t>https://fuelcellsworks.com/news/fortescue-future-industries-may-convert-rnz-marsden-point-oil-refinery-to-produce-green-hydrogen-and-green-hydrogen-products/?mc_cid=768757ae05&amp;mc_eid=da4624d261</t>
  </si>
  <si>
    <t>10 MW - 1.45 kt H2/y</t>
  </si>
  <si>
    <t>Enagas - CEAR MoU</t>
  </si>
  <si>
    <t>[1252]</t>
  </si>
  <si>
    <t>https://fuelcellsworks.com/news/spain-enagas-and-cear-sign-agreement-for-the-development-of-a-300mw-green-hydrogen-plant-in-aragon/?mc_cid=c129b2caa7&amp;mc_eid=da4624d261</t>
  </si>
  <si>
    <t>Sun Brilliance West Australia Project, phase 1</t>
  </si>
  <si>
    <t>Sun Brilliance West Australia Project, phase 2</t>
  </si>
  <si>
    <t>800 kt NH3/y</t>
  </si>
  <si>
    <t>[1253]</t>
  </si>
  <si>
    <t>https://fuelcellsworks.com/news/clough-and-tsk-working-to-develop-green-hydrogen-and-green-ammonia-plants-for-sun-brilliance/?mc_cid=768757ae05&amp;mc_eid=da4624d261</t>
  </si>
  <si>
    <t>Borealis-Hynamic MoU Green Ammonia</t>
  </si>
  <si>
    <t>[1254]</t>
  </si>
  <si>
    <t>https://fuelcellsworks.com/news/borealis-and-hynamics-jointly-work-on-project-to-produce-low-carbon-ammonia/?mc_cid=c129b2caa7&amp;mc_eid=da4624d261</t>
  </si>
  <si>
    <t>Montana Renewables</t>
  </si>
  <si>
    <t>https://renewablesnow.com/news/calumet-unit-secures-usd-50m-for-renewable-hydrogen-project-in-montana-768025/</t>
  </si>
  <si>
    <t>http://calumetspecialty.investorroom.com/download/CLMT+-+Corp+Pres+2022.01.04+vFINAL.pdf</t>
  </si>
  <si>
    <t>[1255][1256]</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</si>
  <si>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</si>
  <si>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</si>
  <si>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[512] [515][1258]</t>
  </si>
  <si>
    <t>[512] [515][725][1258]</t>
  </si>
  <si>
    <t>Fortescue Future Industries Gull Island</t>
  </si>
  <si>
    <t>https://fuelcellsworks.com/news/australian-company-signs-mou-with-innu-nation-to-look-at-feasbility-of-green-hydrogen-at-gull-island/?mc_cid=d03ba51fd9&amp;mc_eid=da4624d261</t>
  </si>
  <si>
    <t>[1259]</t>
  </si>
  <si>
    <t>[1260]</t>
  </si>
  <si>
    <t>https://fuelcellsworks.com/news/ammpower-to-work-with-port-of-south-louisiana-to-develop-a-green-hydrogen-ammonia-production-facility-for-shipping-fuel-energy-transfer/?mc_cid=d03ba51fd9&amp;mc_eid=da4624d261</t>
  </si>
  <si>
    <t>Port of South Louisiana</t>
  </si>
  <si>
    <t>Hive Energy green ammonia plant</t>
  </si>
  <si>
    <t>https://ir.fusion-fuel.eu/news-releases/news-release-details/fusion-fuel-supply-hevo-solar-technology-hive-energy-green</t>
  </si>
  <si>
    <t>[1261]</t>
  </si>
  <si>
    <t>Cactus Energia Verde Port of Pecem</t>
  </si>
  <si>
    <t>https://renewablesnow.com/news/brazils-cactus-energia-signs-h2-mou-in-ceara-backed-by-36-gw-of-solar-offshore-wind-772305/</t>
  </si>
  <si>
    <t>Ingenostrum - Total Eren MoU</t>
  </si>
  <si>
    <t>[1263]</t>
  </si>
  <si>
    <t>https://renewablesnow.com/news/brazilian-state-ceara-inks-mous-for-green-h2-2-gw-of-solar-projects-764979/</t>
  </si>
  <si>
    <t>Reuze</t>
  </si>
  <si>
    <t>[1264]</t>
  </si>
  <si>
    <t>https://www.engie.com/en/journalists/press-releases/engie-and-infinium-unveil-a-partnership-to-develop-an-industrial-hub-on-an-european-scale-to-produce-synthetic-fuel-in-dunkirk</t>
  </si>
  <si>
    <t>Octopus Hydrogen - BayWa MoU</t>
  </si>
  <si>
    <t>https://www.ijglobal.com/articles/161943/octopus-hydrogen-baywa-re-shake-on-hydrogen</t>
  </si>
  <si>
    <t>50kt H2/y</t>
  </si>
  <si>
    <t>https://energia.gob.cl/sites/default/files/documentos/green_h2_strategy_chile.pdf</t>
  </si>
  <si>
    <t>[764] [954][1266]</t>
  </si>
  <si>
    <t>Atacama Hydrogen Hub, phase 1</t>
  </si>
  <si>
    <t>[1266]</t>
  </si>
  <si>
    <t>Atacama Hydrogen Hub, phase 2</t>
  </si>
  <si>
    <t>Green Steel - H2V CAP</t>
  </si>
  <si>
    <t>[1210][1267]</t>
  </si>
  <si>
    <t>H1 Magallanes</t>
  </si>
  <si>
    <t>Selknam</t>
  </si>
  <si>
    <t>85kt H2/y</t>
  </si>
  <si>
    <t>200-1200 t H2/d</t>
  </si>
  <si>
    <t>Aker - Berlevag</t>
  </si>
  <si>
    <t>Aker - Rjukan, phase 1</t>
  </si>
  <si>
    <t>Aker - Rjukan, phase 2</t>
  </si>
  <si>
    <t>https://www.reuters.com/business/energy/rwe-neptune-energy-join-forces-dutch-north-sea-green-hydrogen-plan-2022-02-15/#:~:text=OSLO%2FFRANKFURT%2C%20Feb%2015%20(,Dutch%20North%20Sea%20by%202030.</t>
  </si>
  <si>
    <t>[1267]</t>
  </si>
  <si>
    <t>https://renewablesnow.com/news/heliogen-to-build-20000-tonne-green-hydrogen-plant-on-blm-land-in-arizona-772506/</t>
  </si>
  <si>
    <t>[1268]</t>
  </si>
  <si>
    <t>105MW</t>
  </si>
  <si>
    <t>15kW</t>
  </si>
  <si>
    <t>Green Crane, Asturias Hub, Phase II</t>
  </si>
  <si>
    <t>https://www.enagas.es/stfls/ENAGAS/Notas%20de%20prensa/Nota%20de%20prensa%20conjunta%20MoU%20H2%20(bp%20Iberdrola%20Enagas)%2028042021_EN_pr.pdf</t>
  </si>
  <si>
    <t>Wilhelmshaven , phase 3</t>
  </si>
  <si>
    <t>https://www.rechargenews.com/energy-transition/germany-s-first-major-hydrogen-hub-uniper-to-supply-salzgitter-steel-plant-with-green-h2/2-1-1171937</t>
  </si>
  <si>
    <t>[750], [1270]</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</si>
  <si>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</si>
  <si>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[1271]</t>
  </si>
  <si>
    <t>Nazare Green Hydrogen Valley, phase 1</t>
  </si>
  <si>
    <t>https://www.reuters.com/business/environment/portugals-top-cement-glass-makers-join-new-consortium-green-hydrogen-plant-2022-02-22/#:~:text=LISBON%2C%20Feb%2022%20(Reuters),launch%20a%20green%20hydrogen%20plant.</t>
  </si>
  <si>
    <t>[1272]</t>
  </si>
  <si>
    <t>Nazare Green Hydrogen Valley, phase 2</t>
  </si>
  <si>
    <t>[1138]</t>
  </si>
  <si>
    <t>Sinopec Yanshan Petrochemical</t>
  </si>
  <si>
    <t>https://tanknewsinternational.com/sinopecs-first-pem-hydrogen-production-demonstration-station-begins-operations/</t>
  </si>
  <si>
    <t>Green Crane, Murcia (part of Green Crane Gigafactory)</t>
  </si>
  <si>
    <t>25 kt H2/y</t>
  </si>
  <si>
    <t>Lacq Hydrogen</t>
  </si>
  <si>
    <t>First HyDeal hub, phase 1</t>
  </si>
  <si>
    <t>First HyDeal hub, completion</t>
  </si>
  <si>
    <t>7.4 GW</t>
  </si>
  <si>
    <t>https://www.enagas.es/enagas/es/Comunicacion/NotasPrensa/15_02_2022_NP_HyDeal_Espan%CC%83a</t>
  </si>
  <si>
    <t>H2 Green - Shoreham port - phase II</t>
  </si>
  <si>
    <t>Origin Hunter Valley hydrogen hub</t>
  </si>
  <si>
    <t>https://reneweconomy.com.au/origin-teams-with-orica-to-propose-hunter-green-hydrogen-hub/</t>
  </si>
  <si>
    <t>55MW</t>
  </si>
  <si>
    <t>https://cmb.tech/news/the-ohlthaver-list-o-l-group-and-cmb-tech-launch-namibias-first-green-hydrogen-production-plant</t>
  </si>
  <si>
    <t>O&amp;L group - CMB.TECH hydrogen hub</t>
  </si>
  <si>
    <t xml:space="preserve">Cavendish NextGen Hydrogen Hub </t>
  </si>
  <si>
    <t>White Martins - Rio Grande do Su MoU</t>
  </si>
  <si>
    <t>https://renewablesnow.com/news/white-martins-signs-pact-for-green-h2-project-in-rio-grande-do-sul-765821/</t>
  </si>
  <si>
    <t>[1277]</t>
  </si>
  <si>
    <t>Hazer-Suncor-FortisBC MoU</t>
  </si>
  <si>
    <t>2.5 kt H2/y - 9 kt carbon</t>
  </si>
  <si>
    <t>https://fuelcellsworks.com/news/hazer-group-enters-mou-for-developing-hydrogen-production-facility-in-canada/?mc_cid=8d7926e8c4&amp;mc_eid=da4624d261</t>
  </si>
  <si>
    <t>[1278]</t>
  </si>
  <si>
    <t>Ballylumford energy storage demo project</t>
  </si>
  <si>
    <t>https://www.ogv.energy/news-item/ballylumford-power-to-x-project-to-accelerate-the-commercialisation-of-first-of-a-kind-longer-duration-energy-storage</t>
  </si>
  <si>
    <t>https://www.gov.uk/government/news/government-boost-for-new-renewable-energy-storage-technologies</t>
  </si>
  <si>
    <t>[1279] [1280]</t>
  </si>
  <si>
    <t>https://fuelcellsworks.com/news/petrofac-to-evaluate-green-hydrogen-development-on-sakhalin-island/?mc_cid=8d7926e8c4&amp;mc_eid=da4624d261</t>
  </si>
  <si>
    <t>Russian Atlas of Low-Carbon and Carbon-Free Hydrogen and Ammonia Production Projects - Ministry of Industry and Trade of Russia</t>
  </si>
  <si>
    <t>10 kt H2/y</t>
  </si>
  <si>
    <t>3.5 kt H2/y</t>
  </si>
  <si>
    <t>Freeport East Hydrogen Hub</t>
  </si>
  <si>
    <t>https://www.freeporteast.com/hydrogen</t>
  </si>
  <si>
    <t>[1283]</t>
  </si>
  <si>
    <t>Kola Nuclear Power Plant demo</t>
  </si>
  <si>
    <t>Bell Bay smelter</t>
  </si>
  <si>
    <t>https://reneweconomy.com.au/rio-tinto-looks-to-hydrogen-electrolysers-to-support-bell-bay-smelter-and-tasmanian-renewables/</t>
  </si>
  <si>
    <t>[1284]</t>
  </si>
  <si>
    <t>Raahe hub</t>
  </si>
  <si>
    <t>[1285]</t>
  </si>
  <si>
    <t>ExxonMobil Baytown petrochemical site</t>
  </si>
  <si>
    <t>https://www.h2-view.com/story/exxonmobil-unveils-ambitious-blue-hydrogen-targets-for-integrated-refining-and-petrochemical-site/</t>
  </si>
  <si>
    <t>https://www.h2-view.com/story/finnish-city-bets-big-on-hydrogen-with-multiple-production-plans/</t>
  </si>
  <si>
    <t>[1286]</t>
  </si>
  <si>
    <t>[1081][1287]</t>
  </si>
  <si>
    <t>New Fortress Energy green hydrogen US gulf, phase 1</t>
  </si>
  <si>
    <t>https://www.norsk-e-fuel.com/about-us</t>
  </si>
  <si>
    <t>[414] [521][1288]</t>
  </si>
  <si>
    <t>Norsk e-Fuel Phase 3</t>
  </si>
  <si>
    <t>https://fuelcellsworks.com/news/rubis-invests-in-the-largest-green-hydrogen-power-plant-in-the-caribbean/?mc_cid=fdcdedc4cd&amp;mc_eid=da4624d261</t>
  </si>
  <si>
    <t>https://www.energy.gov/eere/fuelcells/articles/us-hydrogen-electrolyzer-locations-and-capacity</t>
  </si>
  <si>
    <t>Air Liquide Dunkirk</t>
  </si>
  <si>
    <t>[1291]</t>
  </si>
  <si>
    <t>Renewstable Swakopmund</t>
  </si>
  <si>
    <t>[1292] [1293]</t>
  </si>
  <si>
    <t>https://cdn.slrconsulting.com/uploads/2022-02/22-02-2022%20HDF%20Energy%20Renewstable%20Swakopmund%20BID_Final_V1.pdf</t>
  </si>
  <si>
    <t>https://www.hdf-energy.com/en/references/</t>
  </si>
  <si>
    <t>Cartagena refinery</t>
  </si>
  <si>
    <t>Sonangol</t>
  </si>
  <si>
    <t>https://www.oilreviewafrica.com/exploration/industry/sonangol-works-on-producing-green-hydrogen</t>
  </si>
  <si>
    <t>Petronas-ENEOS MoU</t>
  </si>
  <si>
    <t>[1295]</t>
  </si>
  <si>
    <t>https://fuelcellsworks.com/news/scatec-partners-with-acme-group-to-develop-a-large-scale-green-ammonia-facility-in-oman/?mc_cid=07efbb08b8&amp;mc_eid=da4624d261</t>
  </si>
  <si>
    <t>https://fuelcellsworks.com/news/petronas-partners-eneos-for-first-commercial-scale-hydrogen-to-mch-project/?mc_cid=07efbb08b8&amp;mc_eid=da4624d261</t>
  </si>
  <si>
    <t>https://www.bloomberg.com/news/articles/2022-03-17/saudi-arabia-to-start-building-green-hydrogen-plant-in-neom</t>
  </si>
  <si>
    <t>Leeds Bradford Airport hub</t>
  </si>
  <si>
    <t>H2ercules</t>
  </si>
  <si>
    <t>https://www.h2-view.com/story/e3-5bn-project-to-create-1500km-hydrogen-backbone-pipeline-for-germany/</t>
  </si>
  <si>
    <t>Promigas</t>
  </si>
  <si>
    <t>22kW</t>
  </si>
  <si>
    <t>https://www.elcolombiano.com/negocios/colombia-pone-en-marcha-dos-pilotos-de-hidrogeno-DJ16974623</t>
  </si>
  <si>
    <t>[1299]</t>
  </si>
  <si>
    <t>[960][1299]</t>
  </si>
  <si>
    <t>https://www.haeolus.eu/?page_id=531</t>
  </si>
  <si>
    <t>Rostock - RWE - (HyTechHafen-Rostock)</t>
  </si>
  <si>
    <t>10 t H2/d</t>
  </si>
  <si>
    <t>https://www.thyssenkrupp.com/en/newsroom/press-releases/pressdetailpage/second-joint-project-under-strategic-partnership-agreement--thyssenkrupp-nucera-to-deliver-electrolyzers-for-air-products-hydrogen-facility-in-arizona--usa-130204</t>
  </si>
  <si>
    <t>[1300]</t>
  </si>
  <si>
    <t>https://www.rwe.com/en/press/rwe-ag/2022-03-24-oge-and-rwe-present-national-infrastructure-concept--h2ercules</t>
  </si>
  <si>
    <t>[1298] [1301]</t>
  </si>
  <si>
    <t>https://www.power-technology.com/marketdata/sinopec-ordos-solar-pv-park-china/</t>
  </si>
  <si>
    <t>H2UDF, phase I</t>
  </si>
  <si>
    <t>https://www.durofelguera.com/index.asp?MP=11&amp;MS=36&amp;TR=A&amp;IDR=19&amp;tipo=2&amp;id=519&amp;fecha=20/01/2021</t>
  </si>
  <si>
    <t>[1303]</t>
  </si>
  <si>
    <t>https://esenergia.es/planta-de-hidrogeno-verde/</t>
  </si>
  <si>
    <t>[1304]</t>
  </si>
  <si>
    <t>Hidroversol Castilla y León</t>
  </si>
  <si>
    <t>H2UDF, phase II</t>
  </si>
  <si>
    <t>AsturiasH2Valley, Abono</t>
  </si>
  <si>
    <t>https://www.lavozdeasturias.es/noticia/asturias/2021/10/14/edppretende-crear-valle-hidrogeno-asturias/00031634225270324999555.htm</t>
  </si>
  <si>
    <t>https://espana.edp.com/en/news/2021/05/21/edp-presents-its-energy-transition-projects-asturias-offshore-wind-farm-and</t>
  </si>
  <si>
    <t>[1305] [1306]</t>
  </si>
  <si>
    <t>https://fptaximadrid.es/la-fptm-impulsa-el-mayor-proyecto-de-movilidad-publica-con-hidrogeno-verde/</t>
  </si>
  <si>
    <t>[1307]</t>
  </si>
  <si>
    <t>Inspira Madrid</t>
  </si>
  <si>
    <t>https://elvagonpurpura.com/heilbronn-quiere-enviar-trenes-llenos-de-hidrogeno-verde-a-karlsruhe/</t>
  </si>
  <si>
    <t>SolarHy Cordoba</t>
  </si>
  <si>
    <t>55 MW</t>
  </si>
  <si>
    <t>[1308]</t>
  </si>
  <si>
    <t>https://cincodias.elpais.com/cincodias/2021/02/05/companias/1612525996_216085.html</t>
  </si>
  <si>
    <t>[651] [1309]</t>
  </si>
  <si>
    <t>Waste to hydrogen Boson Energy (H2-BEAM)</t>
  </si>
  <si>
    <t>https://www.rechargenews.com/energy-transition/-we-will-produce-carbon-negative-green-hydrogen-from-non-recyclable-waste-at-zero-or-below-zero-cost-/2-1-1162744</t>
  </si>
  <si>
    <t>[1310]</t>
  </si>
  <si>
    <t>15 kt H2/y</t>
  </si>
  <si>
    <t>Green Hydrogen Kherson region, phase 1</t>
  </si>
  <si>
    <t>46 MW - 29.9 kt NH3/y</t>
  </si>
  <si>
    <t>https://h2argus.com/assets/p1-ponyativka-green-hydrogen_ammonia-pv-wind-hydro_whiter.pdf</t>
  </si>
  <si>
    <t>[1311]</t>
  </si>
  <si>
    <t>Green Hydrogen Kherson region, phase 2</t>
  </si>
  <si>
    <t>92 MW - 75 kt NH3/y</t>
  </si>
  <si>
    <t>Green Hydrogen Kherson region, phase 3</t>
  </si>
  <si>
    <t>201 MW - 184.4 kt NH3/y</t>
  </si>
  <si>
    <t>Waste to hydrogen Boson Energy (BEH2X NO1)</t>
  </si>
  <si>
    <t>Ruse project
(part of Green Hydrogen @ Blue Danube IPCEI)</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</si>
  <si>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</si>
  <si>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</si>
  <si>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</si>
  <si>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[1312] [1313] [1314]</t>
  </si>
  <si>
    <t>https://h2v.net/projet/projet-h2v-59/</t>
  </si>
  <si>
    <t>[305]  [131] [1315]</t>
  </si>
  <si>
    <t>[304]  [131] [715] [1315]</t>
  </si>
  <si>
    <t>https://h2v.net/projet/projet-h2v-marseille-fos/</t>
  </si>
  <si>
    <t>[1222] [1316]</t>
  </si>
  <si>
    <t>400 MW</t>
  </si>
  <si>
    <t>https://grande-region-hydrogen.eu/en/projects/h2v-warndt-naborien-h2v-wn/</t>
  </si>
  <si>
    <t>https://h2v.net/projet/projet-h2v-idf/</t>
  </si>
  <si>
    <t>https://vighy.france-hydrogene.org/projets/projet-h2-pierre-benite/</t>
  </si>
  <si>
    <t>[1319]</t>
  </si>
  <si>
    <t>[1320]</t>
  </si>
  <si>
    <t>Val d'Hygo (Occitanie H2 Corridor)</t>
  </si>
  <si>
    <t>https://www.usinenouvelle.com/article/h2v-produira-de-l-hydrogene-vert-sur-le-site-de-l-ancienne-acierie-de-gandrange.N1073449</t>
  </si>
  <si>
    <t>https://ax.legal/2021/12/07/chiles-hydrogen-project-pipeline/</t>
  </si>
  <si>
    <t>https://www.sustainable-bus.com/fuel-cell-bus/tmb-barcelona-hydrogen-bus-on-the-road/</t>
  </si>
  <si>
    <t>[563] [1323]</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</si>
  <si>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</si>
  <si>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</si>
  <si>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</si>
  <si>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[711] [712] [1326]</t>
  </si>
  <si>
    <t>https://www.indrastra.com/2022/01/china-completes-first-megaton-scale-ccs.html</t>
  </si>
  <si>
    <t>[753] [953][998] [1327]</t>
  </si>
  <si>
    <t>3000MW</t>
  </si>
  <si>
    <t>https://fuelcellsworks.com/news/fm-logistic-completes-successful-test-of-hydrogen-generator/</t>
  </si>
  <si>
    <t>https://www.spglobal.com/marketintelligence/en/news-insights/latest-news-headlines/new-jersey-resources-starts-up-1st-east-coast-green-hydrogen-blending-project-67570888</t>
  </si>
  <si>
    <t>[761] [859] [1329]</t>
  </si>
  <si>
    <t>175 kW</t>
  </si>
  <si>
    <t>http://www.eog-asia.com/sumitomo-starts-hydrogen-demonstration-experiment-using-megawatt-class-water-electrolyser/</t>
  </si>
  <si>
    <t>https://sghydrogen.com/#about</t>
  </si>
  <si>
    <t>Pertamina Ulubelu geothermal plant</t>
  </si>
  <si>
    <t>https://www.pertamina.com/en/news-room/news-release/supports-the-government.s-energy-transition-plan-this-is-pertamina.s-clean-energy-project</t>
  </si>
  <si>
    <t>https://www.exeloncorp.com/newsroom/Pages/DOE-Grant-to-Support-Hydrogen-Production-Project-at-Nine-Mile-Point.aspx</t>
  </si>
  <si>
    <t>Davis-Besse Nuclear Power Station</t>
  </si>
  <si>
    <t>https://research.csiro.au/hyresource/green-hydrogen-for-city-of-cockburn/</t>
  </si>
  <si>
    <t>Green Hydrogen for the City of Cockburn, phase 1</t>
  </si>
  <si>
    <t>Green Hydrogen for the City of Cockburn, phase 2</t>
  </si>
  <si>
    <t>Green Hydrogen for the City of Cockburn, phase 3</t>
  </si>
  <si>
    <t>https://www.wa.gov.au/system/files/2022-04/City%20of%20Cockburn%20-%20Green%20Hydrogen%20-%20Final%20Knowledge%20Sharing%20Report.pdf</t>
  </si>
  <si>
    <t>[1334] [1335]</t>
  </si>
  <si>
    <t>Green Shepherd</t>
  </si>
  <si>
    <t>https://www.hoganlovells.com/-/media/hogan-lovells/global/knowledge/publications/files/2020/australian-hydrogen-projects-paper.pdf</t>
  </si>
  <si>
    <t>[1336]</t>
  </si>
  <si>
    <t>H2Kwinana</t>
  </si>
  <si>
    <t>75 MW</t>
  </si>
  <si>
    <t>Kwinana Energy Transformation Hub (KETH)</t>
  </si>
  <si>
    <t>https://cooperativeresearch.org.au/ceo-appointed-to-lead-the-kwinana-energy-transformation-hub-keth/</t>
  </si>
  <si>
    <t>[1338]</t>
  </si>
  <si>
    <t>https://research.csiro.au/hyresource/h2kwinana/</t>
  </si>
  <si>
    <t>Edify Green Hydrogen Project, Lansdown Precint</t>
  </si>
  <si>
    <t>https://research.csiro.au/hyresource/edify-green-hydrogen-project/#:~:text=Project%20description,tender%20application%20in%20June%202020.</t>
  </si>
  <si>
    <t>Central Queensland Hydrogen CQ-H2, phase 1</t>
  </si>
  <si>
    <t>Central Queensland Hydrogen CQ-H2, phase 2</t>
  </si>
  <si>
    <t>https://www.kellasmidstream.com/news-kellas/kellas-announces-the-development-of-h2northeast-a-low-carbon-blue-hydrogen-production-site-in-teesside-uk#:~:text=H2%20NorthEast%20is%20being%20developed,blue%20hydrogen%20capacity%20by%202030</t>
  </si>
  <si>
    <t>Shell Uniper Humber Hub Blue North Killingholme</t>
  </si>
  <si>
    <t>[1341]</t>
  </si>
  <si>
    <t>https://wintershalldea.com/en/newsroom/wintershall-dea-helps-shape-wilhelmshaven-energy-hub</t>
  </si>
  <si>
    <t>https://www.business-live.co.uk/manufacturing/energy-giants-uniper-shell-unite-23666723</t>
  </si>
  <si>
    <t>[1342]</t>
  </si>
  <si>
    <t>Wilheimshaven Energy Hub BlueHyNow</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</si>
  <si>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</si>
  <si>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</si>
  <si>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</si>
  <si>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</si>
  <si>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[1346]</t>
  </si>
  <si>
    <t>https://grande-region-hydrogen.eu/en/projects/hydrohub-fenne/</t>
  </si>
  <si>
    <t>https://www.steag.com/de/steag-news-ausgabe-4-2019/hydrohub-fenne-mit-wasserstoff-die-energiewende-gestalten</t>
  </si>
  <si>
    <t>[600] [1347] [1348]</t>
  </si>
  <si>
    <t>35 MW</t>
  </si>
  <si>
    <t>EnZaH2</t>
  </si>
  <si>
    <t>https://caphenia.tech/en/caphenia-produces-e-fuels-in-lower-saxony/</t>
  </si>
  <si>
    <t>[1349]</t>
  </si>
  <si>
    <t>https://report.basf.com/2021/en/shareholders/basf-on-the-capital-market/methane-pyrolysis.html</t>
  </si>
  <si>
    <t>HH2 Europe</t>
  </si>
  <si>
    <t>https://www.erneuerbare-energien-hamburg.de/en/about-us/cluster-members/member-companies/details/hh2e-ag.html</t>
  </si>
  <si>
    <t>[1351]</t>
  </si>
  <si>
    <t>Goßschwechten</t>
  </si>
  <si>
    <t>30 MW</t>
  </si>
  <si>
    <t>DUSEDAU</t>
  </si>
  <si>
    <t>24 MW</t>
  </si>
  <si>
    <t>GreenMotionSteel</t>
  </si>
  <si>
    <t>https://www.klimaschutz.nrw.de/aktuelles/detail/europas-wasserstoffwirtschaft-nimmt-fahrt-auf-nordrhein-westfalen-beteiligt-sich-mit-zehn-projekten-am-groessten-wasserstoff-verbundvorhaben-in-der-eu</t>
  </si>
  <si>
    <t>CHESS</t>
  </si>
  <si>
    <t>https://www.uniper.energy/de/medien/projekte/projekt-chess</t>
  </si>
  <si>
    <t>[1353]</t>
  </si>
  <si>
    <t>PROMETHEAN</t>
  </si>
  <si>
    <t>54 MW</t>
  </si>
  <si>
    <t>https://energiepark-bad-lauchstaedt.de/</t>
  </si>
  <si>
    <t>[318] [853] [1354], Platts European Gas Daily 10-09-2021</t>
  </si>
  <si>
    <t>https://xfuels.de/hykero/</t>
  </si>
  <si>
    <t>HyKero</t>
  </si>
  <si>
    <t>https://www.powerfuels.org/fileadmin/powerfuels.org/Dokumente/Presentations_Annual_Conference_2021/S5-01_Schmidt_Hydrogenious.pdf</t>
  </si>
  <si>
    <t>H2Agrar</t>
  </si>
  <si>
    <t>https://h2agrar-niedersachsen.de/projektziele/</t>
  </si>
  <si>
    <t>[1357]</t>
  </si>
  <si>
    <t>Flughafen Rostock-Laage PtX</t>
  </si>
  <si>
    <t>https://www.energy-saxony.net/fileadmin/Inhalte/Downloads/Veranstaltungen/2022/SUMMIT22/20220119_energy_saxony_EDL_HyKero_Praesentation_de_final.pdf</t>
  </si>
  <si>
    <t>[1358]</t>
  </si>
  <si>
    <t>Waste to hydrogen Boson Energy (BEH2X Wood SWG)</t>
  </si>
  <si>
    <t>800 t H2/y</t>
  </si>
  <si>
    <t>Waste to hydrogen Boson Energy (BEH2X DE)</t>
  </si>
  <si>
    <t>HEAL - Hydrogen-based Energy Systems for Arctic Logistics</t>
  </si>
  <si>
    <t>https://ihubssweden.se/article/norra-sverige-satsar-pa-vatgas/</t>
  </si>
  <si>
    <t>[1359]</t>
  </si>
  <si>
    <t>Vätgas Ljungby</t>
  </si>
  <si>
    <t>https://vatgas.se/2021/09/07/strandmollen-ab-far-investeringsstod-fran-klimatklivet-for-vatgasproduktion/</t>
  </si>
  <si>
    <t>Barsebäck Hydrogen Hub</t>
  </si>
  <si>
    <t>BotnialänkenH2</t>
  </si>
  <si>
    <t>https://www.uniper.energy/sv/sverige/om-uniper-i-sverige/vatgas-i-sverige</t>
  </si>
  <si>
    <t>[1361]</t>
  </si>
  <si>
    <t>Rabbalshede Krafts</t>
  </si>
  <si>
    <t>50 MW</t>
  </si>
  <si>
    <t>https://www.rabbalshedekraft.com/en/green-hydrogen/</t>
  </si>
  <si>
    <t>[1362]</t>
  </si>
  <si>
    <t>https://www.mynewsdesk.com/se/uniper/news/uniper-aer-med-och-bygger-en-vaetgashubb-i-luleaa-429036</t>
  </si>
  <si>
    <t>Waste to hydrogen Boson Energy (BEH2X SE)</t>
  </si>
  <si>
    <t>4.5 kt H2/y</t>
  </si>
  <si>
    <t>Power2AX</t>
  </si>
  <si>
    <t>225 t H2/y</t>
  </si>
  <si>
    <t>https://flexens.com/hydrogen-ferries-might-soon-traffic-the-baltic-sea/</t>
  </si>
  <si>
    <t>[1364]</t>
  </si>
  <si>
    <t>SHARC - Sustainable Hydrogen and Recovery of Carbon (phase 1)</t>
  </si>
  <si>
    <t>SHARC - Sustainable Hydrogen and Recovery of Carbon (phase 2)</t>
  </si>
  <si>
    <t>SHARC - Sustainable Hydrogen and Recovery of Carbon (phase 3)</t>
  </si>
  <si>
    <t>270 MW</t>
  </si>
  <si>
    <t>https://www.greencarcongress.com/2021/11/20211118-neste.html</t>
  </si>
  <si>
    <t>[1365]</t>
  </si>
  <si>
    <t>H2UDF, phase III</t>
  </si>
  <si>
    <t>25 MW</t>
  </si>
  <si>
    <t>32 MW</t>
  </si>
  <si>
    <t>Waste to hydrogen Boson Energy (BEH2X PLGM)</t>
  </si>
  <si>
    <t>https://news.cision.com/se/sustainable-energy-solutions-sweden-holding-ab/r/sens-tecknar-ett-joint-venture-avtal-med-boson-for-att-utveckla-projekt-i-polen,c3408502</t>
  </si>
  <si>
    <t>[1367]</t>
  </si>
  <si>
    <t>Waste to hydrogen Boson Energy (BEH2X PLRE)</t>
  </si>
  <si>
    <t>http://h2est.ee/wp-content/uploads/2021/07/8_NeptHyne_from-Innovation-to-International-Cooperation_Tomasz-Pelc.pdf</t>
  </si>
  <si>
    <t>[1368]</t>
  </si>
  <si>
    <t>Dalrymple Bay</t>
  </si>
  <si>
    <t>https://energynews.biz/funding-secured-for-dalrymple-bay-hydrogen-project-feasibility-studies/</t>
  </si>
  <si>
    <t>[1369]</t>
  </si>
  <si>
    <t>https://www.upstreamonline.com/hydrogen/santos-looking-to-supply-blue-hydrogen-to-new-south-wales-in-study-with-qenos/2-1-1093360</t>
  </si>
  <si>
    <t>[1371]</t>
  </si>
  <si>
    <t>https://reneweconomy.com.au/south-australia-renewable-hydrogen-export-plan-wins-japanese-backing/#:~:text=South%20Australia%20renewable%20hydrogen%20hub%20wins%20Japanese%20backing,-Sophie%20Vorrath%2015&amp;text=Plans%20to%20export%20renewable%20hydrogen,for%20the%20zero%20emissions%20fuel.</t>
  </si>
  <si>
    <t>[1372]</t>
  </si>
  <si>
    <t>South Australia renewable hydrogen hub</t>
  </si>
  <si>
    <t>AMpHytrite demonstrator, Port of Rotterdam, phase 1</t>
  </si>
  <si>
    <t>https://www.offshorewind.biz/2022/05/17/sif-ge-and-pondera-team-up-on-off-grid-offshore-wind-to-hydrogen-project/</t>
  </si>
  <si>
    <t>https://www.bp.com/en/global/corporate/news-and-insights/press-releases/bp-and-linde-plan-major-ccs-project-to-advance-decarbonization-efforts-across-texas-gulf-coast.html</t>
  </si>
  <si>
    <t>[1373]</t>
  </si>
  <si>
    <t>Ain Sokhna plant, Suez Canal Economic Zone (SCZone), phase 1</t>
  </si>
  <si>
    <t>Ain Sokhna plant, Suez Canal Economic Zone (SCZone), phase 2</t>
  </si>
  <si>
    <t>https://www.rystadenergy.com/newsevents/news/press-releases/COP27-host-Egypt-commits-40bn-to-green-hydrogen-economy-to-attract-foreign-investment/</t>
  </si>
  <si>
    <t>[1374]</t>
  </si>
  <si>
    <t>VISION 2025</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</si>
  <si>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</si>
  <si>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[1375]</t>
  </si>
  <si>
    <t>https://fuelcellsworks.com/news/hydrogen-greek-companies-participating-in-the-5-major-eu-projects-get-greek-govt-approval/</t>
  </si>
  <si>
    <t>https://ecubes.si/zero-emission-mobility-corridor-project-in-slovenia/</t>
  </si>
  <si>
    <t>Zero Emission Mobility Corridor</t>
  </si>
  <si>
    <t>34 Mw</t>
  </si>
  <si>
    <t>http://h2est.ee/wp-content/uploads/2021/07/7_Port_of_Tallinn_Hydrogen_Week_Hele-Mai-Metsal.pdf</t>
  </si>
  <si>
    <t>[1378]</t>
  </si>
  <si>
    <t xml:space="preserve"> HYEELIWTS - terminal of Muuga</t>
  </si>
  <si>
    <t>EHYTRANSP - TS Laevad &amp; H2</t>
  </si>
  <si>
    <t>https://www.hdf-cyprus.com/technology</t>
  </si>
  <si>
    <t>Waste to hydrogen Boson Energy (BEH2X LUX)</t>
  </si>
  <si>
    <t>https://www.linkedin.com/pulse/boson-energy-ready-step-gas-green-hydrogen-bosonenergy</t>
  </si>
  <si>
    <t>[1380]</t>
  </si>
  <si>
    <t>AM Gent H2 consumption Hub</t>
  </si>
  <si>
    <t>90 kt H2/year</t>
  </si>
  <si>
    <t>[1381]</t>
  </si>
  <si>
    <t>https://corporate.arcelormittal.com/media/press-releases/arcelormittal-signs-letter-of-intent-with-the-governments-of-belgium-and-flanders-supporting-1-1-billion-investment-in-decarbonisation-technologies-at-its-flagship-gent-plant#</t>
  </si>
  <si>
    <t>Waste to hydrogen Boson Energy (BEH2X LAVNT)</t>
  </si>
  <si>
    <t>0.640 ktH2/y</t>
  </si>
  <si>
    <t>Dimdini H2 ecosystem</t>
  </si>
  <si>
    <t>https://newsbeezer.com/portugaleng/producing-hydrogen-at-alandroal-this-can-be-possible-after-an-investment-of-more-than-e-300-million/</t>
  </si>
  <si>
    <t>[1382]</t>
  </si>
  <si>
    <t>[1383]</t>
  </si>
  <si>
    <t>250 MW</t>
  </si>
  <si>
    <t>https://www.pv-magazine.es/2021/09/17/hyperion-renewables-construira-en-portugal-una-planta-de-produccion-de-hidrogeno-verde-alimentada-por-fotovoltaica/</t>
  </si>
  <si>
    <t>7.5 MW</t>
  </si>
  <si>
    <t>40 MW</t>
  </si>
  <si>
    <t>60 MW</t>
  </si>
  <si>
    <t>Flavian superhybrid</t>
  </si>
  <si>
    <t>300 MW - 24 kt H2/y</t>
  </si>
  <si>
    <t>https://reneweconomy.com.au/world-first-super-hybrid-wind-hydro-and-hydrogen-project-planned-for-queensland/</t>
  </si>
  <si>
    <t>[1384]</t>
  </si>
  <si>
    <t>220 MW</t>
  </si>
  <si>
    <t>https://www.canarymedia.com/articles/hydrogen/massive-green-hydrogen-hub-in-utah-wins-504m-federal-loan-guarantee</t>
  </si>
  <si>
    <t>https://renewablesnow.com/news/plug-power-to-create-green-hydrogen-jv-with-olin-build-plant-in-louisiana-782996/</t>
  </si>
  <si>
    <t>Szazhalombatta refinery</t>
  </si>
  <si>
    <t>[1387]</t>
  </si>
  <si>
    <t>https://www.ir.plugpower.com/press-releases/news-details/2022/MOL-GROUP-Launches-Green-Hydrogen-Production-Using-Plug-Electrolyzers/default.aspx</t>
  </si>
  <si>
    <t>Masdar Hassan Allam green hydrogen, phase 1</t>
  </si>
  <si>
    <t>Masdar Hassan Allam green hydrogen, phase 2</t>
  </si>
  <si>
    <t>[1389]</t>
  </si>
  <si>
    <t>https://www.afrik21.africa/en/egypt-with-hassan-allam-masdar-wants-to-convert-4-gw-of-electricity-into-hydrogen/</t>
  </si>
  <si>
    <t>https://www.bp.com/en/global/corporate/news-and-insights/press-releases/abu-dhabis-adnoc-and-masdar-to-join-bps-uk-hydrogen-projects.html</t>
  </si>
  <si>
    <t>[1122] [1390]</t>
  </si>
  <si>
    <t>H2Teesside 1st phase</t>
  </si>
  <si>
    <t>H2Teesside 2nd phase</t>
  </si>
  <si>
    <t>[792] [1390]</t>
  </si>
  <si>
    <t>https://www.bloomberg.com/press-releases/2022-05-25/lsb-industries-launches-green-ammonia-project-l3lmwsiu</t>
  </si>
  <si>
    <t>[1391]</t>
  </si>
  <si>
    <t>LSB Industries - Pryor green ammonia project, Phase 1</t>
  </si>
  <si>
    <t>https://www.chemengonline.com/repsol-to-begin-operating-2-5-mw-electrolyzer-at-petronor-refinery/?printmode=1</t>
  </si>
  <si>
    <t>[531] [532] [739] [757][1392]</t>
  </si>
  <si>
    <t>https://energyegypt.net/total-eren-enara-capital-to-build-green-ammonia-facility-in-egypts-sczone/</t>
  </si>
  <si>
    <t>https://www.reuters.com/world/middle-east/egypt-agrees-5-bln-deal-with-norways-scatec-green-ammonia-project-2022-03-10/</t>
  </si>
  <si>
    <t>1 Mt NH3/y</t>
  </si>
  <si>
    <t>https://www.reuters.com/markets/commodities/vietnam-company-invest-840-mln-countrys-first-green-hydrogen-plant-2022-05-25/</t>
  </si>
  <si>
    <t>[1395]</t>
  </si>
  <si>
    <t>https://lapisenergy.com/lapis-energy-to-develop-carbon-capture-sequestration-project-with-lsb-industries/</t>
  </si>
  <si>
    <t>[1396]</t>
  </si>
  <si>
    <t>https://energynews.biz/uk-oil-gas-announces-future-hydrogen-ready-energy-storage-project/?utm_source=rss&amp;utm_medium=rss&amp;utm_campaign=uk-oil-gas-announces-future-hydrogen-ready-energy-storage-project</t>
  </si>
  <si>
    <t>Ferrolterra plant, pahse 1</t>
  </si>
  <si>
    <t>https://www.reganosa.com/es/la-primera-gran-planta-de-hidr%C3%B3geno-verde-de-galicia-inicia-su-tramitaci%C3%B3n</t>
  </si>
  <si>
    <t>[598][1398]</t>
  </si>
  <si>
    <t>https://news.cision.com/nel-asa/r/nel-asa--receives-purchase-order-for-an-alkaline-electrolyser-system-from-glencore-nikkelverk,c3576789</t>
  </si>
  <si>
    <t>[828] [1344] [1345]</t>
  </si>
  <si>
    <t>NeptHyne, phase 1</t>
  </si>
  <si>
    <t>NeptHyne, phase 2</t>
  </si>
  <si>
    <t>Hydrogen Eagle (Spolana), phase 1</t>
  </si>
  <si>
    <t>Hydrogen Eagle (Spolana), phase 2</t>
  </si>
  <si>
    <t>36 MW</t>
  </si>
  <si>
    <t>Hyways for future, total</t>
  </si>
  <si>
    <t>Hyways for future, 1st hub</t>
  </si>
  <si>
    <t>800MW</t>
  </si>
  <si>
    <t>https://w3.windfair.net/wind-energy/pr/41036-statkraft-h2-green-steel-renewables-electricity-sweden-price-hydropower-green-steel-production-industry</t>
  </si>
  <si>
    <t>Waste-to-hydrogen East Port Said</t>
  </si>
  <si>
    <t>Waste thermolysis</t>
  </si>
  <si>
    <t>https://h2-industries.com/en/waste-to-energy/</t>
  </si>
  <si>
    <t>https://energycapitalpower.com/h2-industries-receives-preliminary-approval-for-3-billion-waste-to-hydrogen-plant-in-egypt/</t>
  </si>
  <si>
    <t>[1401] [1402]</t>
  </si>
  <si>
    <t>E.ON H2.Ruhr wind exports from Italy</t>
  </si>
  <si>
    <t>Wenger Engineering Bremerhaven</t>
  </si>
  <si>
    <t>[1404]</t>
  </si>
  <si>
    <t>https://www.dena.de/en/newsroom/news/2019-1/global-alliance-powerfuels-partners-are-advancing-the-market-development-of-powerfuels-in-german-regulatory-sandboxes-of-energiewende/</t>
  </si>
  <si>
    <t>https://energynews.biz/green-hydrogen-systems-electrolysers-chosen-for-green-hydrogen-project-in-germany/</t>
  </si>
  <si>
    <t>[1405]</t>
  </si>
  <si>
    <t>https://www.ise.fraunhofer.de/en/research-projects/lighthouse-project-power-to-gas.html</t>
  </si>
  <si>
    <t xml:space="preserve">Hidroelectrica Ostrovu Mare </t>
  </si>
  <si>
    <t>https://fuelcellsworks.com/news/romanias-hidroelectrica-plans-green-hydrogen-production-on-the-danube/</t>
  </si>
  <si>
    <t>[1407]</t>
  </si>
  <si>
    <t>KEME Energy Sines</t>
  </si>
  <si>
    <t>https://hydrogen-central.com/portugal-keme-energy-green-hydrogen-plant-sines-5-million-euros-investment/</t>
  </si>
  <si>
    <t>[1408]</t>
  </si>
  <si>
    <t>Hyundai Heavy Industries - HHI East Sea - Phase I</t>
  </si>
  <si>
    <t>Hyundai Heavy Industries - HHI East Sea- Phase II</t>
  </si>
  <si>
    <t>1200 MW</t>
  </si>
  <si>
    <t>[1409]</t>
  </si>
  <si>
    <t>https://energynews.biz/hhi-to-build-pilot-green-hydrogen-production-plant/</t>
  </si>
  <si>
    <t>Huadian Baotou City Damaoqi Hydrogen Production Electrolysis Project</t>
  </si>
  <si>
    <t>1000 MW</t>
  </si>
  <si>
    <t>Gron Fuel Renewable Energy Complex</t>
  </si>
  <si>
    <t>https://www.kochprojectsolutions.com/news/2021/louisiana-to-get-9-2-billion-renewables-complex-after-koch-fidelis-infrastructure-deal</t>
  </si>
  <si>
    <t>[1410]</t>
  </si>
  <si>
    <t>60,000 bpd low-carbon renewable diesel - 1000 MW equivalnet</t>
  </si>
  <si>
    <t>Woodside H2OK</t>
  </si>
  <si>
    <t>290 MW</t>
  </si>
  <si>
    <t>https://www.offshore-energy.biz/woodside-starts-engineering-activities-on-h2ok-hydrogen-project/</t>
  </si>
  <si>
    <t>[1411]</t>
  </si>
  <si>
    <t>Avangrid Connecticut project</t>
  </si>
  <si>
    <t>Avangrid Oregon project</t>
  </si>
  <si>
    <t>https://renewablesnow.com/news/avangrid-has-green-hydrogen-plans-ready-for-doe-rfi-747452/</t>
  </si>
  <si>
    <t>https://www.bloomberg.com/press-releases/2021-07-08/avangrid-poised-to-build-green-hydrogen-future</t>
  </si>
  <si>
    <t>[1412] [1413]</t>
  </si>
  <si>
    <t>https://libertysteelgroup.com/news/liberty-develop-hydrogen-steel-making-plant/</t>
  </si>
  <si>
    <t>https://gh2.eu/news/gh2-increases-the-capacity-of-its-green-hydrogen-based-efuel-production-plant-project-in-the-port-of</t>
  </si>
  <si>
    <t>[1415]</t>
  </si>
  <si>
    <t>https://hydrogen-central.com/gh2-port-bordeaux-largest-hydrogen-production-unit-project/</t>
  </si>
  <si>
    <t>[1416]</t>
  </si>
  <si>
    <t>Masshylia</t>
  </si>
  <si>
    <t>https://totalenergies.com/media/news/press-releases/total-and-engie-to-develop-france-s-largest-site-of-green-hydrogen#:~:text=Paris%2C%20January%2013%2C%202021%20%E2%80%93,C%C3%B4te%20d%27Azur%20South%20region.</t>
  </si>
  <si>
    <t>[1417]</t>
  </si>
  <si>
    <t>https://mcphy.com/en/achievements/hydrogen-mobility-en/dijon-metropole-smart-energhy-dmse/?cn-reloaded=1</t>
  </si>
  <si>
    <t>https://www.metropole-dijon.fr/Actualites/Production-d-hydrogene2</t>
  </si>
  <si>
    <t>H-Awel</t>
  </si>
  <si>
    <t>https://www.ofgem.gov.uk/sites/default/files/docs/2019/04/nic_isp_vattenfall_ng.pdf</t>
  </si>
  <si>
    <t>[1420]</t>
  </si>
  <si>
    <t>Mayflower Hydrogen project</t>
  </si>
  <si>
    <t>https://www.argusmedia.com/en/news/2254679-uniper-targets-green-hydrogen-production-in-uk</t>
  </si>
  <si>
    <t>[1421]</t>
  </si>
  <si>
    <t>Eneus Energy Hammars Hill</t>
  </si>
  <si>
    <t>12.9 MW</t>
  </si>
  <si>
    <t>https://hammarshillenergy.co.uk/type-news/media-release/</t>
  </si>
  <si>
    <t>Tarragona Green Chenical complex, phase 1</t>
  </si>
  <si>
    <t>Tarragona Green Chenical complex, phase 2</t>
  </si>
  <si>
    <t>Tarragona Green Chenical complex, phase 3</t>
  </si>
  <si>
    <t>70 MW</t>
  </si>
  <si>
    <t>https://press.siemens-energy.com/eu/en/pressrelease/siemens-energy-and-messer-group-cooperate-hydrogen-electrolysis-integrated-hub-concept</t>
  </si>
  <si>
    <t>[1423]</t>
  </si>
  <si>
    <t>GAIL Vijaipur project</t>
  </si>
  <si>
    <t>https://economictimes.indiatimes.com/industry/renewables/gail-to-set-up-green-hydrogen-plant-at-guna-in-mp/articleshow/91517347.cms</t>
  </si>
  <si>
    <t>Shandong Weifang Economic Development Zone</t>
  </si>
  <si>
    <t>2 GW</t>
  </si>
  <si>
    <t>Anil urea plant</t>
  </si>
  <si>
    <t>https://www.theedgemarkets.com/article/petronas-unit-collaborate-itochu-inter-pipeline-construct-blue-ammonia-methanol-plants</t>
  </si>
  <si>
    <t>HH2E - Met Northeast Germany, phase 1</t>
  </si>
  <si>
    <t>HH2E - Met Northeast Germany, phase 2</t>
  </si>
  <si>
    <t>https://hh2e.de/en/news/hh2e-and-met-group-establish-a-joint-project-company-to-develop-one-of-europes-largest-green-hydrogen-production-plants-in-lubmin-germany/</t>
  </si>
  <si>
    <t>[1426]</t>
  </si>
  <si>
    <t xml:space="preserve">Ferrosilva fossil-free DRI </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</si>
  <si>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</si>
  <si>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</si>
  <si>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[1429]</t>
  </si>
  <si>
    <t>[1430]</t>
  </si>
  <si>
    <t>China Coal Ordos Energy and Chemical</t>
  </si>
  <si>
    <t>https://www.seetao.com/details/111344.html</t>
  </si>
  <si>
    <t>Zhongyuan Oil Field MW-Scale Renewable P2G, phase 1</t>
  </si>
  <si>
    <t>Zhongyuan Oil Field MW-Scale Renewable P2G, phase 2</t>
  </si>
  <si>
    <t>http://mecc.sinosteel.com/En/news_content.aspx?id=3778</t>
  </si>
  <si>
    <t>Hyper Hydrogen Energy Zhangjiakou Wind Power Hebei - first phase</t>
  </si>
  <si>
    <t>Hyper Hydrogen Energy Zhangjiakou Wind Power Hebei - second phase</t>
  </si>
  <si>
    <t>Da'an Jilin Power Wind-Solar-
Hydrogen-Ammonia Integration Project</t>
  </si>
  <si>
    <t>2000 Nm3/h</t>
  </si>
  <si>
    <t>Unknown Technology</t>
  </si>
  <si>
    <t>Engie - Masdar - Fertiglobe Abu Dhabi</t>
  </si>
  <si>
    <t>LOWE_CF</t>
  </si>
  <si>
    <t>https://www.atomeplc.com/operations/paraguay/</t>
  </si>
  <si>
    <t>[1433]</t>
  </si>
  <si>
    <t>https://www.ammoniaenergy.org/articles/maire-tecnimont-plans-million-tonne-per-year-blue-ammonia-plant-in-the-us/</t>
  </si>
  <si>
    <t>https://www.shell.nl/media/nieuwsberichten/2022/holland-hydrogen-1.html</t>
  </si>
  <si>
    <t>200000-300000 t CO2/y</t>
  </si>
  <si>
    <t>Barents Blue ammonia plant, phase 2</t>
  </si>
  <si>
    <t>Barents Blue ammonia plant, phase 3</t>
  </si>
  <si>
    <t>2Mt NH3/y - 4 Mt CO2/y</t>
  </si>
  <si>
    <t>Barents Blue ammonia plant, phase 1</t>
  </si>
  <si>
    <t>1Mt NH3/y - 2 Mt CO2/y</t>
  </si>
  <si>
    <t xml:space="preserve"> Liquid Wind, FlagshipTWO</t>
  </si>
  <si>
    <t>https://www.salzgitter-ag.com/en/newsroom/press-releases/details/green-light-for-green-steel-19904.html</t>
  </si>
  <si>
    <t>HySkies</t>
  </si>
  <si>
    <t>Nordsee Two Offshore Wind Farm</t>
  </si>
  <si>
    <t>https://ec.europa.eu/clima/document/75e0ade9-12f3-435a-8875-f5afd9b92ed8_en</t>
  </si>
  <si>
    <t>[1437]</t>
  </si>
  <si>
    <t>[1162] [1437]</t>
  </si>
  <si>
    <t>Holland Hydrogen - phase 1</t>
  </si>
  <si>
    <t>Holland Hydrogen - phase 2</t>
  </si>
  <si>
    <t>[505][920][968][1219][1435][1437]</t>
  </si>
  <si>
    <t>H2era</t>
  </si>
  <si>
    <t>https://www.hycc.com/en/projects/h2era</t>
  </si>
  <si>
    <t>[1438]</t>
  </si>
  <si>
    <t>https://twitter.com/H2GreenSteel/status/1548942476026822656?s=20&amp;t=gLuxq_kzs2E6wDNArSo1YQ</t>
  </si>
  <si>
    <t>https://hydrogen-pro.com/2022/06/30/504-million-loan-guarantee-granted-worlds-largest-renewable-hydrogen-energy-project/</t>
  </si>
  <si>
    <t>Unigel, phase I</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</si>
  <si>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</si>
  <si>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</si>
  <si>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[1441][1442]</t>
  </si>
  <si>
    <t>Unigel, phase II</t>
  </si>
  <si>
    <t>Mmex Resources Corporation</t>
  </si>
  <si>
    <t>[1443]</t>
  </si>
  <si>
    <t>https://h2lac.org/h2lac-review/peru-tendra-su-primer-proyecto-de-hidrogeno-verde-con-energia-solar-y-eolica/</t>
  </si>
  <si>
    <t>Tees Green Hydrogen, phase 1</t>
  </si>
  <si>
    <t>Tees Green Hydrogen, phase 2</t>
  </si>
  <si>
    <t>[1444]</t>
  </si>
  <si>
    <t>GravitHy</t>
  </si>
  <si>
    <t>[1445]</t>
  </si>
  <si>
    <t>https://gravithy.eu/#press-release</t>
  </si>
  <si>
    <t>https://www.edfenergy.com/media-centre/news-releases/new-green-hydrogen-project-edf-renewables-uk-and-hynamics-teeside</t>
  </si>
  <si>
    <t>https://www.volth2.com/persbericht-delfzijl-2-juni-2022/</t>
  </si>
  <si>
    <t>VoltH2 - Delfzijl</t>
  </si>
  <si>
    <t>https://skynrg.com/producing-saf/saf-production-plant-in-the-port-of-amsterdam/</t>
  </si>
  <si>
    <t>[791][1448]</t>
  </si>
  <si>
    <t>https://www.norsk-e-fuel.com/articles/coming-soon-green-jet-fuel-from-mosjoen</t>
  </si>
  <si>
    <t>https://www.green-fuels-hamburg.de/</t>
  </si>
  <si>
    <t>Navigator - P2X-Europe JV</t>
  </si>
  <si>
    <t>SkyFuelH2</t>
  </si>
  <si>
    <t>https://www.yara.com/news-and-media/news/archive/news-2022/yara-acme-and-scatec-sign-term-sheet-for-sale-of-green-ammonia-from-oman/</t>
  </si>
  <si>
    <t>350 t H2/y</t>
  </si>
  <si>
    <t>https://www.orlenpoludnie.pl/EN/Media/News/Pages/Hydrogen-fuel-from-ORLEN-Group-to-power-public-transport-in-Krak%c3%b3w.aspx</t>
  </si>
  <si>
    <t>https://www.orlenpoludnie.pl/EN/Media/News/Pages/ORLEN-Po%c5%82udnie-launches-production-of-eco-friendly,-green-glycol.aspx</t>
  </si>
  <si>
    <t>[1446][1452]</t>
  </si>
  <si>
    <t>400 kg H2/d</t>
  </si>
  <si>
    <t>https://www.czero.energy/post/c-zero-closes-34-million-financing-round-led-by-sk-gas-to-build-natural-gas-decarbonization-pilot</t>
  </si>
  <si>
    <t>Viva Energy HRS</t>
  </si>
  <si>
    <t>https://news.cision.com/nel-asa/r/nel-asa--receives-purchase-order-for-a-containerized-pem-water-electrolyser-in-australia,c3600097</t>
  </si>
  <si>
    <t>https://news.cision.com/nel-asa/r/nel-asa--receives-purchase-order-for-an-alkaline-electrolyser-system-from-skovgaard-energy,c3599098</t>
  </si>
  <si>
    <t>ReNew Power - Egypt MoU, Hydrogen, phase 1</t>
  </si>
  <si>
    <t>ReNew Power - Egypt MoU, Hydrogen, phase 2</t>
  </si>
  <si>
    <t>ReNew Power - Egypt MoU, Ammonia phase 1</t>
  </si>
  <si>
    <t>ReNew Power - Egypt MoU, Ammonia phase 2</t>
  </si>
  <si>
    <t>100 kt NH3/y</t>
  </si>
  <si>
    <t>https://www.reuters.com/business/sustainable-business/egypt-india-sign-mou-build-green-hydrogen-factory-worth-8-bln-2022-07-27/</t>
  </si>
  <si>
    <t>https://www.scottishpower.com/news/pages/scottishpower_vision_for_green_hydrogen_fuels_hub_at_port_of_felixstowe.aspx</t>
  </si>
  <si>
    <t>[1457]</t>
  </si>
  <si>
    <t>https://renews.biz/79315/verbund-unveils-austrian-green-hydrogen-project/</t>
  </si>
  <si>
    <t>Marubeni methanation project</t>
  </si>
  <si>
    <t>https://www.ir.plugpower.com/press-releases/news-details/2022/Plug-Selected-by-New-Fortress-Energy-for-120-MW-Green-Hydrogen-Plant-on-Gulf-Coast/default.aspx</t>
  </si>
  <si>
    <t>Saint John, New Brunswick refinery</t>
  </si>
  <si>
    <t>https://www.ir.plugpower.com/press-releases/news-details/2022/Plug-Secures-5-MW-Electrolyzer-Sale-to-Leading-Canadian-Energy-Company-Irving-Oil/default.aspx</t>
  </si>
  <si>
    <t>[1460]</t>
  </si>
  <si>
    <t>Plug Power Port of Antwerp-Bruges</t>
  </si>
  <si>
    <t>Ineratec PtX plant in Frankfurt</t>
  </si>
  <si>
    <t>https://ineratec.de/en/e-fuel-pioneer-plant-in-germany/</t>
  </si>
  <si>
    <t>10MW - 4.6 million litres synthetic kerosene per year</t>
  </si>
  <si>
    <t>https://ineratec.de/en/become-a-pioneer/</t>
  </si>
  <si>
    <t>https://www.ir.plugpower.com/press-releases/news-details/2022/Plug-to-Build-Large-Scale-Green-Hydrogen-Generation-Plant-in-Europe-at-Port-of-Antwerp-Bruges/default.aspx</t>
  </si>
  <si>
    <t>[1463]</t>
  </si>
  <si>
    <t>Hydrogen City, phase 1</t>
  </si>
  <si>
    <t>[1464]</t>
  </si>
  <si>
    <t>https://www.ghi-corp.com/projects/hydrogen-city</t>
  </si>
  <si>
    <t>Hydrogen City, phase 2</t>
  </si>
  <si>
    <t>3 Mt H2/y</t>
  </si>
  <si>
    <t>Spirit of Scotia Green Hydrogen Production Hub</t>
  </si>
  <si>
    <t>https://www.ghi-corp.com/projects/nova-scotia</t>
  </si>
  <si>
    <t>[1465]</t>
  </si>
  <si>
    <t>Fleur-de-lys Green Hydrogen Production Hub</t>
  </si>
  <si>
    <t>[1466]</t>
  </si>
  <si>
    <t>https://www.ghi-corp.com/projects/fleur-de-lys</t>
  </si>
  <si>
    <t>[1467]</t>
  </si>
  <si>
    <t>https://hydrogen-central.com/storengy-chooses-man-energy-solutions-methanation-reactor-produce-syngas-french-wastewater-treatment-plant/</t>
  </si>
  <si>
    <t>https://wcsecure.weblink.com.au/pdf/PV1/02553645.pdf</t>
  </si>
  <si>
    <t>[889][890][1202][1468]</t>
  </si>
  <si>
    <t>MoU Sri Lanka-Greenstat</t>
  </si>
  <si>
    <t>[1469]</t>
  </si>
  <si>
    <t>https://fuelcellsworks.com/news/greenstat-hydrogen-india-to-start-a-green-hydrogen-generating-project-in-sri-lanka/?mc_cid=fdcdedc4cd&amp;mc_eid=da4624d261</t>
  </si>
  <si>
    <t>RENEWSTABLE SARDIDROGENO</t>
  </si>
  <si>
    <t>https://www.sardidrogeno.com/en</t>
  </si>
  <si>
    <t>CAGOU – New Caledonia</t>
  </si>
  <si>
    <t>https://www.cagou-energies.com/</t>
  </si>
  <si>
    <t>RENEWSTABLE SUMBA</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</si>
  <si>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</si>
  <si>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</si>
  <si>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</si>
  <si>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</si>
  <si>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Dylan, phase 1</t>
  </si>
  <si>
    <t>Dylan, phase 2</t>
  </si>
  <si>
    <t>https://www.erm.com/news/source-energie-developing-green-hydrogen-from-gw-scale-floating-offshore-wind-projects-in-celtic-sea/</t>
  </si>
  <si>
    <t>https://sourceenergie.com/erm-dolphyn-and-source-energie/</t>
  </si>
  <si>
    <t>[1476][1477]</t>
  </si>
  <si>
    <t>WAviatER</t>
  </si>
  <si>
    <t>[1488]</t>
  </si>
  <si>
    <t>https://fuelcellsworks.com/news/electrolyzer-at-dutch-eelde-airport-will-produce-green-hydrogen-for-large-scale-use/?mc_cid=633e3dfbca&amp;mc_eid=da4624d261</t>
  </si>
  <si>
    <t>MoU GGGI, Samsung and Hyundai</t>
  </si>
  <si>
    <t>https://fuelcellsworks.com/news/gggi-samsung-hyundai-to-join-1-2-bn-green-hydrogen-project-in-indonesia/?mc_cid=633e3dfbca&amp;mc_eid=da4624d261</t>
  </si>
  <si>
    <t>[1479]</t>
  </si>
  <si>
    <t>MoU EEC-Niger</t>
  </si>
  <si>
    <t>[1480]</t>
  </si>
  <si>
    <t>http://renewafrica.biz/green-hydrogen/germanys-emerging-energy-to-develop-green-hydrogen-projects-in-niger/</t>
  </si>
  <si>
    <t>1.3GW</t>
  </si>
  <si>
    <t>150-2000MW</t>
  </si>
  <si>
    <t>https://www.h2-view.com/story/study-to-explore-up-to-2gw-of-green-hydrogen-production-in-nsw-australia-launched/</t>
  </si>
  <si>
    <t>[1185][1481]</t>
  </si>
  <si>
    <t>AGL Energy Torrens Island</t>
  </si>
  <si>
    <t>[1483]</t>
  </si>
  <si>
    <t>https://www.energymagazine.com.au/study-to-turn-torrens-island-into-a-green-hydrogen-energy-hub/</t>
  </si>
  <si>
    <t>https://www.rechargenews.com/energy-transition/indian-energy-giants-plan-1-3gw-green-hydrogen-project-powered-by-24-7-renewables-in-6bn-deal/2-1-1268621</t>
  </si>
  <si>
    <t>20GW</t>
  </si>
  <si>
    <t>https://energynews.biz/svevind-to-build-20gw-green-hydrogen-plant/</t>
  </si>
  <si>
    <t>https://enertrag.com/en/news-german/etail/enertrag-plans-green-hydrogen-project-in-the-tacuarembo-region-of-uruguay</t>
  </si>
  <si>
    <t>[1485]</t>
  </si>
  <si>
    <t>MoU Ieasa and Fraunhofer Institute</t>
  </si>
  <si>
    <t>[1486]</t>
  </si>
  <si>
    <t>https://www.h2bulletin.com/ieasa-and-fraunhofer-institute-to-develop-hydrogen-project-in-buenos-aires/</t>
  </si>
  <si>
    <t>https://www.h2-mobile.fr/actus/piiec-hydrogene-15-projets-francais-presentes-europe/</t>
  </si>
  <si>
    <t>MoU Shell - Acu Port, phase 1</t>
  </si>
  <si>
    <t>https://www.upstreamonline.com/energy-transition/shell-signs-agreement-for-green-hydrogen-project-with-brazil-s-acu-port/2-1-1222807</t>
  </si>
  <si>
    <t>[1487]</t>
  </si>
  <si>
    <t>TAQA &amp; Abu Dhabi Ports</t>
  </si>
  <si>
    <t>https://www.qamarenergy.com/sites/default/files/The%20UAE%27s%20Role%20in%20the%20Global%20Hydrogen%20Economy.pdf</t>
  </si>
  <si>
    <t>[720] [903][1488]</t>
  </si>
  <si>
    <t>Carlton Power hydrogen hub</t>
  </si>
  <si>
    <t>https://www.edie.net/plans-unveiled-for-cumbrias-first-low-carbon-hydrogen-hub/</t>
  </si>
  <si>
    <t>Sun-to-Liquid</t>
  </si>
  <si>
    <t>Synhelion</t>
  </si>
  <si>
    <t>Concentrated solar synfuels production</t>
  </si>
  <si>
    <t>https://www.chemistryworld.com/news/solar-jet-fuel-production-from-co2-and-water-scaled-up-in-field-demo/4016002.article?utm_campaign=cw_shared&amp;utm_medium=social&amp;utm_source=twitter</t>
  </si>
  <si>
    <t>[1490]</t>
  </si>
  <si>
    <t>MoU TOYO-Pupuk Indonesia Holding Company</t>
  </si>
  <si>
    <t>https://www.toyo-eng.com/jp/en/company/news/?n=626</t>
  </si>
  <si>
    <t>[1491]</t>
  </si>
  <si>
    <t>https://www.pv-magazine-india.com/2022/07/05/acme-announces-1-5-gw-green-hydrogen-project-in-tamil-nadu/#:~:text=Indian%20developer%20Acme%20will%20set,a%205%20GW%20solar%20plant.</t>
  </si>
  <si>
    <t>EDP Pecem pilot</t>
  </si>
  <si>
    <t>[1493]</t>
  </si>
  <si>
    <t>https://www.portofrotterdam.com/en/news-and-press-releases/edp-will-construct-a-green-hydrogen-pilot-plant-in-pecem-industrial-and</t>
  </si>
  <si>
    <t>First Ammonia plant in Brunsbüttel</t>
  </si>
  <si>
    <t>[1494]</t>
  </si>
  <si>
    <t>https://www.euractiv.com/section/energy/opinion/why-green-ammonia-will-be-the-workhorse-of-eus-future-hydrogen-economy/</t>
  </si>
  <si>
    <t>https://www.bbc.com/news/uk-scotland-scotland-business-61758782</t>
  </si>
  <si>
    <t>Non clean 1</t>
  </si>
  <si>
    <t>https://www.afr.com/companies/energy/apa-woodside-drop-wa-hydrogen-project-20210510-p57qdm</t>
  </si>
  <si>
    <t>Aeropuerto de Santiago</t>
  </si>
  <si>
    <t>[1497]</t>
  </si>
  <si>
    <t>https://www.revistaei.cl/2022/06/07/aeropuerto-de-santiago-lanza-plan-para-operar-con-hidrogeno-verde/?utm_source=Newsletter+Grupo+Editorial+EDITEC&amp;utm_campaign=2dfbde4f4b-EMAIL_CAMPAIGN_2022_06_07_08_37&amp;utm_medium=email&amp;utm_term=0_24864427d2-2dfbde4f4b-69501833#</t>
  </si>
  <si>
    <t>CenterPoint Minneapolis grren hydrogen</t>
  </si>
  <si>
    <t>https://fuelcellsworks.com/news/centerpoint-energy-launches-green-hydrogen-project-in-minnesota/?mc_cid=790c1a9648&amp;mc_eid=da4624d261</t>
  </si>
  <si>
    <t>[1243][1499]</t>
  </si>
  <si>
    <t>https://fuelcellsworks.com/news/technip-energies-selected-by-iverson-efuels-for-a-green-ammonia-production-project/?mc_cid=790c1a9648&amp;mc_eid=da4624d261</t>
  </si>
  <si>
    <t>https://gen2energy.com/projects/production-sites/</t>
  </si>
  <si>
    <t>[1500]</t>
  </si>
  <si>
    <t xml:space="preserve">Gen2 Energy, Meråker    </t>
  </si>
  <si>
    <t>HTEC Burnaby plant</t>
  </si>
  <si>
    <t>[1501]</t>
  </si>
  <si>
    <t>Lion Energy HRS</t>
  </si>
  <si>
    <t>https://fuelcellsworks.com/news/lion-appoints-wasco-to-undertake-feed-for-its-first-green-hydrogen-production-refueling-station/?mc_cid=790c1a9648&amp;mc_eid=da4624d261</t>
  </si>
  <si>
    <t>Norwegian Hydrogen, Hellesylt Hydrogen Hub 1st project</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</si>
  <si>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</si>
  <si>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</si>
  <si>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</si>
  <si>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Ansasol - Castilla y León</t>
  </si>
  <si>
    <t>[1506]</t>
  </si>
  <si>
    <t>https://www.energias-renovables.com/hidrogeno/ansasol-elige-castilla-y-leon-para-desarrollar-20220408</t>
  </si>
  <si>
    <t>Barrancabermeja refinery</t>
  </si>
  <si>
    <t>https://www.pv-magazine-latam.com/2022/05/24/la-petrolera-colombiana-ecopetrol-sella-alianza-con-seis-empresas-internacionales-para-desarrollo-de-hidrogeno/</t>
  </si>
  <si>
    <t>https://hydrogenisland.dk/en#vision</t>
  </si>
  <si>
    <t>[1508]</t>
  </si>
  <si>
    <t>University of New South Wales biomass demo</t>
  </si>
  <si>
    <t>https://arena.gov.au/projects/waste-biomass-to-renewable-hydrogen/</t>
  </si>
  <si>
    <t>[1509]</t>
  </si>
  <si>
    <t>https://www.ir.plugpower.com/press-releases/news-details/2022/Plug-Lands-1-GW-Electrolyzer-Order-with-H2-Energy-Europe/default.aspx</t>
  </si>
  <si>
    <t>[1249][1510]</t>
  </si>
  <si>
    <t>Fortescue Future Industries -  Industrial Park at TransAlta coal mine conversion</t>
  </si>
  <si>
    <t>https://ffi.com.au/news/centralia/</t>
  </si>
  <si>
    <t>[1511]</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</si>
  <si>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</si>
  <si>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</si>
  <si>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</si>
  <si>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[581] [854][1514]</t>
  </si>
  <si>
    <t>River Wind Ukraine, phase1</t>
  </si>
  <si>
    <t>River Wind Ukraine, phase 2</t>
  </si>
  <si>
    <t>River Wind Ukraine, phase 3</t>
  </si>
  <si>
    <t>https://river-wind.com/presentation.pdf</t>
  </si>
  <si>
    <t>[1515]</t>
  </si>
  <si>
    <t>Jangada</t>
  </si>
  <si>
    <t>[1516]</t>
  </si>
  <si>
    <t>Iverson e-fuels</t>
  </si>
  <si>
    <t>https://hy2gen.com/</t>
  </si>
  <si>
    <t>Sunrhyse</t>
  </si>
  <si>
    <t>https://www.h2-view.com/story/sse-siemens-partner-to-convert-100mw-of-scottish-wind-energy-into-green-hydrogen/</t>
  </si>
  <si>
    <t>https://www.hifglobal.com/</t>
  </si>
  <si>
    <t>[589][645] [870] [871] [1078][1518]</t>
  </si>
  <si>
    <t>HIF USA</t>
  </si>
  <si>
    <t>[1518]</t>
  </si>
  <si>
    <t>HIF Asia Pacific</t>
  </si>
  <si>
    <t>BrintØ - Hydrogen Island</t>
  </si>
  <si>
    <t xml:space="preserve">Great Southern Project </t>
  </si>
  <si>
    <t>https://fuelcellsworks.com/news/line-hydrogen-announces-first-commercial-scale-green-hydrogen-plant-in-tasmania/</t>
  </si>
  <si>
    <t>[1519]</t>
  </si>
  <si>
    <t>MoU Lhyfe-wpd</t>
  </si>
  <si>
    <t>[1520]</t>
  </si>
  <si>
    <t>https://www.lhyfe.com/press/lhyfe-and-wpd-for-production-of-green-hydrogen-in-connection-with-offshore-wind-farm-in-sweden/</t>
  </si>
  <si>
    <t xml:space="preserve">Kogas plant in Haengwon </t>
  </si>
  <si>
    <t>https://www.argusmedia.com/en/news/2337598-sk-es-plug-power-aim-to-grow-h2-business-supply-asia</t>
  </si>
  <si>
    <t>[1521]</t>
  </si>
  <si>
    <t>MoU Fortescue Future Industries-Djibouti</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</si>
  <si>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</si>
  <si>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[1522]</t>
  </si>
  <si>
    <t>Niagara Hydrogen Centre (NHC)</t>
  </si>
  <si>
    <t>https://aturapower.com/about-hydrogen/#:~:text=Niagara%20Hydrogen%20Centre%20(NHC),funding%20decisions%20expected%20Spring%202022.</t>
  </si>
  <si>
    <t>https://www.argusmedia.com/en/news/2319726-multinational-group-plan-singapore-green-methanol-plant</t>
  </si>
  <si>
    <t>[1524]</t>
  </si>
  <si>
    <t>https://hyphenafrica.com/news/hyphen-hydrogen-energy-progresses-its-planned-us10-bn-namibian-green-hydrogen-project/</t>
  </si>
  <si>
    <t>[1104][1206][1525]</t>
  </si>
  <si>
    <t>Eyre Peninsula Gateway Hydrogen Project, phase 1</t>
  </si>
  <si>
    <t>Eyre Peninsula Gateway Hydrogen Project, phase 2</t>
  </si>
  <si>
    <t>100 MW - 15 kt H2/y, 40 kt NH3/y</t>
  </si>
  <si>
    <t>1.5 GW - 300 kt H2/y, 800 kt NH3/y</t>
  </si>
  <si>
    <t>H2U Offshore ANCAP</t>
  </si>
  <si>
    <t>[1526]</t>
  </si>
  <si>
    <t>Hyport@Duqm, phase 1</t>
  </si>
  <si>
    <t>Hyport@Duqm, phase 2</t>
  </si>
  <si>
    <t>https://www.zawya.com/en/business/hyport-duqm-project-eyes-1mln-mtpa-of-green-ammonia-at-full-capacity-rkpnzt5c</t>
  </si>
  <si>
    <t>[1527]</t>
  </si>
  <si>
    <t>[359], [1527]</t>
  </si>
  <si>
    <t>0.375 Mt NH3 - 450 kt CO2</t>
  </si>
  <si>
    <t>https://cen.acs.org/business/Chemical-makers-plan-blue-ammonia/100/i16</t>
  </si>
  <si>
    <t>[1528]</t>
  </si>
  <si>
    <t>https://www.worldfertilizer.com/project-news/20052022/nutrien-announces-intention-to-build-worlds-largest-clean-ammonia-production-facility/</t>
  </si>
  <si>
    <t>https://www.maersk.com/news/articles/2022/03/28/maersk-explores-new-ways-to-accelerate-green-fuel-production</t>
  </si>
  <si>
    <t>P2X Europe - Nordic Electrofuel Porsgrunn project, phase 1</t>
  </si>
  <si>
    <t>https://www.mabanaft.com/en/news-info/current-news-and-press-releases/news-detail/products-for-the-future-p2x-europe-and-nordic-electrofuel-cooperate-on-ptl-products/</t>
  </si>
  <si>
    <t>[1531]</t>
  </si>
  <si>
    <t>https://www.offshore-energy.biz/adnoc-eneos-mitsui-to-look-into-clean-hydrogen-supply-chain-between-uae-and-japan/</t>
  </si>
  <si>
    <t>[1532]</t>
  </si>
  <si>
    <t>https://www.energymining.sa.gov.au/industry/modern-energy/hydrogen-in-south-australia/the-hydrogen-utility-h2u-eyre-peninsula-gateway</t>
  </si>
  <si>
    <t>[628][658][1533]</t>
  </si>
  <si>
    <t>[1533]</t>
  </si>
  <si>
    <t>MoU Shell - Mitsubishi, phase1</t>
  </si>
  <si>
    <t>MoU Shell - Mitsubishi, phase2</t>
  </si>
  <si>
    <t>https://www.japantimes.co.jp/news/2022/04/07/business/corporate-business/mitsubishi-shell-green-hydrogen/</t>
  </si>
  <si>
    <t>[1534]</t>
  </si>
  <si>
    <t>Liberty Biomass to ammonia (western Australia)</t>
  </si>
  <si>
    <t>https://libertyhydrogen.com.au/liberty-hydrogen-launches-today/</t>
  </si>
  <si>
    <t>[1535]</t>
  </si>
  <si>
    <t>https://www.watoday.com.au/politics/western-australia/wesfarmers-and-mitsui-look-at-1-billion-plus-wa-low-carbon-ammonia-export-20211003-p58wsn.html</t>
  </si>
  <si>
    <t>[1536]</t>
  </si>
  <si>
    <t>H2 Industries waste to hydrogen plant</t>
  </si>
  <si>
    <t>67 kt H2/y</t>
  </si>
  <si>
    <t>https://renewablesnow.com/news/h2-industries-plans-usd-14bn-waste-to-hydrogen-facility-in-oman-781651/</t>
  </si>
  <si>
    <t>[1537]</t>
  </si>
  <si>
    <t>https://www.ammoniaenergy.org/articles/cwp-global-taps-bechtel-to-help-develop-african-ammonia-projects/</t>
  </si>
  <si>
    <t>[1538] [1539]</t>
  </si>
  <si>
    <t>https://energycapitalpower.com/cwp-massive-renewables-projects-in-africa/</t>
  </si>
  <si>
    <t>First Hydrogen - Liverpool</t>
  </si>
  <si>
    <t>First Hydrogen - Manchester</t>
  </si>
  <si>
    <t>First Hydrogen - London</t>
  </si>
  <si>
    <t>First Hydrogen - Thames Estuary</t>
  </si>
  <si>
    <t>https://resourceworld.com/first-hydrogen-identifies-four-u-k-sites-for-hydrogen-projects/</t>
  </si>
  <si>
    <t>[1540]</t>
  </si>
  <si>
    <t>https://renewablesnow.com/news/first-hydrogen-seeks-uk-govt-grants-for-80-mw-of-hydrogen-projects-790594/</t>
  </si>
  <si>
    <t>[1540] [1541]</t>
  </si>
  <si>
    <t>H2 hub Darwin</t>
  </si>
  <si>
    <t>https://www.rechargenews.com/energy-transition/another-aussie-green-hydrogen-hub-in-the-works-as-total-eren-eyes-1gw-darwin-project/2-1-1278144</t>
  </si>
  <si>
    <t>[1542]</t>
  </si>
  <si>
    <t>https://news.bjx.com.cn/html/20220526/1228289.shtml?utm_campaign=China%20Clean%20Energy%20Syndicate%20&amp;utm_medium=email&amp;utm_source=Revue%20newsletter</t>
  </si>
  <si>
    <t>[1543]</t>
  </si>
  <si>
    <t>Hydrogen Energy Metallurgical Chemical Demonstration Zone, 1</t>
  </si>
  <si>
    <t>Hydrogen Energy Metallurgical Chemical Demonstration Zone, 2</t>
  </si>
  <si>
    <t>[1544]</t>
  </si>
  <si>
    <t>Prieska ammonia project, phase 1</t>
  </si>
  <si>
    <t>Prieska ammonia project, phase 2</t>
  </si>
  <si>
    <t>https://www.news24.com/fin24/economy/prieska-green-hydrogen-project-gets-funding-boost-20220614</t>
  </si>
  <si>
    <t>Ammonia Iowa project</t>
  </si>
  <si>
    <t>https://www.mairetecnimont.com/en/media/press-releases/maire-tecnimont-group-reaches-agreement-greenfield-nitrogen-llc-development-green-ammonia-plant</t>
  </si>
  <si>
    <t>[1545]</t>
  </si>
  <si>
    <t>[1546]</t>
  </si>
  <si>
    <t>https://www.storegga.earth/news/2022/press-releases/scottishpower-and-storegga-form-green-hydrogen-partnership-to-transform-industry-in-the-highlands/</t>
  </si>
  <si>
    <t>https://www.omanobserver.om/article/1117255/business/energy/agreement-for-first-green-hydrogen-plant-at-sohar</t>
  </si>
  <si>
    <t>[1548]</t>
  </si>
  <si>
    <t>https://www.acme.in/media-release/160/acme-group-and-govt-of-karnataka-sign-mou-to-invest-rs-52000-crore-for-green-hydrogen-project</t>
  </si>
  <si>
    <t>Energy Hub at MIRA Technology Park.</t>
  </si>
  <si>
    <t>[1550]</t>
  </si>
  <si>
    <t>https://www.h2-view.com/story/octopus-hydrogen-granted-environmental-permit-for-green-hydrogen-production/</t>
  </si>
  <si>
    <t>1.4Mt NH3/y - 2 MT CO2</t>
  </si>
  <si>
    <t>1-1.4 Mt NH3/y</t>
  </si>
  <si>
    <t>https://www.sunfire.de/en/news/detail/rwe-realizes-electrolysis-project-with-sunfire</t>
  </si>
  <si>
    <t>https://news.cision.com/aker-clean-hydrogen/r/berlevag-project-to-decarbonize-arctic-shipping-forges-ahead,c3382425</t>
  </si>
  <si>
    <t>[1553]</t>
  </si>
  <si>
    <t>https://energynews.biz/aker-clean-hydrogen-to-build-hydrogen-factory-in-rjukan/</t>
  </si>
  <si>
    <t>[1554]</t>
  </si>
  <si>
    <t>https://www.power-technology.com/comment/dhofar-green-hydrogen-scheme/</t>
  </si>
  <si>
    <t>[1555]</t>
  </si>
  <si>
    <t>https://www.agnespower.com/en/progetto-adriatico/</t>
  </si>
  <si>
    <t>[1556]</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</si>
  <si>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</si>
  <si>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</si>
  <si>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</si>
  <si>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</si>
  <si>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</si>
  <si>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</si>
  <si>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</si>
  <si>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https://www.acciona.cl/actualidad/noticias/acciona-energia-desarrollara-proyecto-hidrogeno-verde-bahia-quintero/?_adin=02021864894</t>
  </si>
  <si>
    <t>[1563]</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</si>
  <si>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</si>
  <si>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</si>
  <si>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</si>
  <si>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</si>
  <si>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[1564]</t>
  </si>
  <si>
    <t>https://eng.heroya-industripark.no/latest-news/another-green-hydrogen-investment-for-heroeya-this-could-be-big</t>
  </si>
  <si>
    <t>https://www.pv-magazine.com/2022/09/13/the-hydrogen-stream-worlds-largest-electrolyzer-to-be-deployed-in-norway/</t>
  </si>
  <si>
    <t>[1568][1569]</t>
  </si>
  <si>
    <t>https://prax.com/prax-lindsey-oil-refinery-joins-v-net-zero-humber-cluster/</t>
  </si>
  <si>
    <t>[1570]</t>
  </si>
  <si>
    <t>[1571]</t>
  </si>
  <si>
    <t>[1572]</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</si>
  <si>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</si>
  <si>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</si>
  <si>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</si>
  <si>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[1573]</t>
  </si>
  <si>
    <t>https://www.powerengineeringint.com/hydrogen/e-on-enel-and-iberdrola-partner-to-meet-growing-hydrogen-demand-in-germany/</t>
  </si>
  <si>
    <t>[1574]</t>
  </si>
  <si>
    <t>https://www.wiltonengineering.co.uk/protium-to-build-40mw-flagship-green-hydrogen-project-at-wilton-universal-group-facility/</t>
  </si>
  <si>
    <t>https://fuelcellsworks.com/news/adx-signs-moa-with-leading-renewable-wind-power-provider-for-vienna-basin-green-hydrogen-h2-project/</t>
  </si>
  <si>
    <t>[1575]</t>
  </si>
  <si>
    <t>https://www.projectcavendish.com/</t>
  </si>
  <si>
    <t>[1577]</t>
  </si>
  <si>
    <t xml:space="preserve">https://www.spglobal.com/marketintelligence/en/news-insights/latest-news-headlines/exxon-affiliate-to-explore-hydrogen-carbon-capture-to-curb-emissions-in-uk-68024118 </t>
  </si>
  <si>
    <t>[1578]</t>
  </si>
  <si>
    <t xml:space="preserve">https://energynews.biz/elcogen-provides-electrolysis-tech-for-nuclear-hydrogen-in-korea/ </t>
  </si>
  <si>
    <t>[1579]</t>
  </si>
  <si>
    <t xml:space="preserve">https://www.equinor.com/news/archive/20211215-launch-h2be-project-hydrogen-belgium </t>
  </si>
  <si>
    <t xml:space="preserve">https://www.lhyfe.com/press/lhyfe-and-enerparc-join-forces-to-produce-renewable-hydrogen-from-solar-energy/ </t>
  </si>
  <si>
    <t>[1581]</t>
  </si>
  <si>
    <t xml:space="preserve">https://renewablesnow.com/news/rwe-to-study-gigawatt-scale-green-hydrogen-production-in-wales-766409/ </t>
  </si>
  <si>
    <t>[1582]</t>
  </si>
  <si>
    <t>https://hidrogeno-verde.es/primera-planta-de-hidrogeno-en-un-almacen-logistico-en-espana/</t>
  </si>
  <si>
    <t>[747] [1328][1583]</t>
  </si>
  <si>
    <t>https://www.h2-mobile.fr/actus/sealhyfe-premier-electrolyseur-offshore-monde-entre-services/</t>
  </si>
  <si>
    <t>[974],[1584]</t>
  </si>
  <si>
    <t>https://assets.siemens-energy.com/siemens/assets/api/uuid:34bec577-f25a-48cd-8618-6dd848b38515/FactsheetWerlteEN.pdf</t>
  </si>
  <si>
    <t>]1085][1086][1585]</t>
  </si>
  <si>
    <t>HySTRA- HESC</t>
  </si>
  <si>
    <t>Synthetic methane</t>
  </si>
  <si>
    <t>Asahi Kasei pilot</t>
  </si>
  <si>
    <t>https://fuelcellsworks.com/news/asahi-kasei-starts-construction-of-alkaline-water-electrolysis-pilot-test-plant-for-hydrogen-production-in-kawasaki-japan/?mc_cid=47fbff2b40&amp;mc_eid=da4624d261</t>
  </si>
  <si>
    <t>[1586]</t>
  </si>
  <si>
    <t>https://fuelcellsworks.com/news/fusion-fuel-and-ballard-power-commission-h2evora-green-hydrogen-plant/?mc_cid=47fbff2b40&amp;mc_eid=da4624d261</t>
  </si>
  <si>
    <t>[1064][1587]</t>
  </si>
  <si>
    <t>https://fuelcellsworks.com/news/cummins-technology-to-help-power-ontarios-first-green-hydrogen-facility/?mc_cid=47fbff2b40&amp;mc_eid=da4624d261</t>
  </si>
  <si>
    <t>Linde Hellas - Mandra</t>
  </si>
  <si>
    <t>https://renewablesnow.com/news/linde-switches-on-1-mw-green-hydrogen-production-plant-in-greece-805750/</t>
  </si>
  <si>
    <t>[1589]</t>
  </si>
  <si>
    <t>White Martins Pernambuco</t>
  </si>
  <si>
    <t>60MWel</t>
  </si>
  <si>
    <t>chrome-extension://efaidnbmnnnibpcajpcglclefindmkaj/https://www.h2nodes.eu/images/M2_Parnu_FIN_V3.pdf</t>
  </si>
  <si>
    <t>https://www.powertogas.ch/anlage/einweihung/</t>
  </si>
  <si>
    <t>[425][1591]</t>
  </si>
  <si>
    <t>https://news.cision.com/everfuel-a-s/r/first-hydrogen-produced-at-europe-s-largest-electrolyser--hysynergy,c3684967</t>
  </si>
  <si>
    <t>https://hydrogen-central.com/developers-behind-controversial-hydrogen-plant-set-clydebank-waterfront-explained-the-reason-for-withdrawing-their-controversial-plans/</t>
  </si>
  <si>
    <t>https://energynews.biz/wunsiedler-energiepark-starts-operation/</t>
  </si>
  <si>
    <t>[582][1022][1593]</t>
  </si>
  <si>
    <t>http://www.energyglobalnews.com/taiwan-air-liquide-far-eastern-opens-new-hydrogen-plant-in-tainan/</t>
  </si>
  <si>
    <t>[819][1594]</t>
  </si>
  <si>
    <t>https://www.liquidwind.se/news/liquid-wind-announces-full-ownership-transition-to-orsted-of-flagshipone</t>
  </si>
  <si>
    <t xml:space="preserve">http://www.fuelcellchina.com/Industry_information_details/130.html </t>
  </si>
  <si>
    <t>[1430] [1596]</t>
  </si>
  <si>
    <t>1.6 MW - 185 Nm3/h</t>
  </si>
  <si>
    <t>[589][645] [870] [871] [1076] [1078][1518] [1597]</t>
  </si>
  <si>
    <t>https://tass.com/economy/1556129</t>
  </si>
  <si>
    <t>https://thebarentsobserver.com/en/industry-and-energy/2021/07/kola-npp-builds-test-facility-hydrogen</t>
  </si>
  <si>
    <t>[1598-1599]</t>
  </si>
  <si>
    <t>156 t/y</t>
  </si>
  <si>
    <t>https://www.h2bulletin.com/white-martins-produces-the-first-certified-green-hydrogen-in-brazil/</t>
  </si>
  <si>
    <t>[1600]</t>
  </si>
  <si>
    <t>Denham Hydrogen Demonstration Plant</t>
  </si>
  <si>
    <t>https://www.pv-magazine-australia.com/2022/11/15/australian-first-green-hydrogen-microgrid-powers-up-in-wa/</t>
  </si>
  <si>
    <t>[1601]</t>
  </si>
  <si>
    <t>https://multiplhy-project.eu/Pages/Latest-News.aspx</t>
  </si>
  <si>
    <t>https://energynews.biz/douglas-county-pud-proceeding-with-construction-of-hydrogen-plant/</t>
  </si>
  <si>
    <t>[502], [596], [667] [1324] [1603]</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</si>
  <si>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</si>
  <si>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</si>
  <si>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</si>
  <si>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[378] [397] [422] [457] [853] [1606]</t>
  </si>
  <si>
    <t>https://www.wiva.at/project/uphy-i-ii/?lang=en</t>
  </si>
  <si>
    <t>https://www.linde.com/news-media/press-releases/2022/linde-inaugurates-world-s-first-hydrogen-refueling-system-for-passenger-trains</t>
  </si>
  <si>
    <t>[821] [1608]</t>
  </si>
  <si>
    <t>https://www.bdi.fr/en/hygo-the-renewable-hydrogen-production-project-on-the-michelin-site-in-vannes-has-been-launched/</t>
  </si>
  <si>
    <t>[857] [858] [1609] [1610]</t>
  </si>
  <si>
    <t>https://vighy.france-hydrogene.org/projets/effi-h2-vannes/</t>
  </si>
  <si>
    <t>https://www.regionalgateway.net/airbus-and-hyport-to-advance-green-hydrogen-availability-at-airports/</t>
  </si>
  <si>
    <t>[528] [754][1200][1611]</t>
  </si>
  <si>
    <t>https://research.csiro.au/hyresource/renewable-hydrogen-production-and-refuelling-project/</t>
  </si>
  <si>
    <t>[535] [1612]</t>
  </si>
  <si>
    <t>[591][597] [1613]</t>
  </si>
  <si>
    <t>6 MW, 1000 Nm3/h ALK + 200 Nm3/h PEM</t>
  </si>
  <si>
    <t>https://p2x.fi/en/the-foundation-stone-of-p2x-solutions-green-hydrogen-production-plant-was-laid-in-harjavalta/</t>
  </si>
  <si>
    <t>[881][1228][1475] [1614]</t>
  </si>
  <si>
    <t>https://oge.net/en/sustainable/projects/our-hydrogen-projects/get-h2-nukleus#:~:text=The%20GET%20H2%20Nukleus%20project,discriminatory%20access%20and%20transparent%20prices.</t>
  </si>
  <si>
    <t>[1615]</t>
  </si>
  <si>
    <t>https://www.brusselstimes.com/149604/charleroi-hydrogen-bus-project-postponed-due-to-lack-of-funding-waste-to-wheels-jumet-philippe-henry</t>
  </si>
  <si>
    <t>[530][656][1616]</t>
  </si>
  <si>
    <t>https://blog.topsoe.com/topsoe-puts-a-demonstration-plant-into-operation-for-production-of-sustainable-methanol-from-biogas-significant-global-carbon-emission-reduction-potential</t>
  </si>
  <si>
    <t>[490] [1617]</t>
  </si>
  <si>
    <t>[613] [614] [1618]</t>
  </si>
  <si>
    <t>https://www.nrel.gov/aries/annual-report-2021/index.html</t>
  </si>
  <si>
    <t>https://www.edp.com/en/innovation/flexnconfu-power-to-increase-the-flexibility-of-thermal-plants</t>
  </si>
  <si>
    <t>[533][1125] [1619]</t>
  </si>
  <si>
    <t>[538] [539][1038][1336][1620]</t>
  </si>
  <si>
    <t>https://www.hyflexpower.eu/</t>
  </si>
  <si>
    <t>[518] [519] [557][1621]</t>
  </si>
  <si>
    <t>https://www.dhnet.be/regions/liege/2022/02/19/production-dhydrogene-a-liege-airport-en-2023-QJZNVKUWPNFMHP7N6W2QIPRM7E/</t>
  </si>
  <si>
    <t>[652] [897] [1622]</t>
  </si>
  <si>
    <t>https://energynews.biz/race-to-lead-in-hydrogen-technology-has-intensified/</t>
  </si>
  <si>
    <t>Estación Andes</t>
  </si>
  <si>
    <t>4 kg H2/d</t>
  </si>
  <si>
    <t>https://www.h2stations.org/station/?id=2531</t>
  </si>
  <si>
    <t>https://forbes.co/2022/05/31/editors-picks/asi-es-el-primer-carro-de-hidrogeno-que-circula-por-las-calles-de-colombia</t>
  </si>
  <si>
    <t>[1624] [1625]</t>
  </si>
  <si>
    <t>https://www.reuters.com/business/cf-industries-sees-roughly-2-bln-price-tag-us-blue-ammonia-facility-2022-05-05/</t>
  </si>
  <si>
    <t>[1552]</t>
  </si>
  <si>
    <t>https://www.linde.com/news-media/press-releases/2022/linde-to-increase-green-hydrogen-production-in-the-united-states</t>
  </si>
  <si>
    <t>[1158] [1159]</t>
  </si>
  <si>
    <t>https://www.fusion-fuel.eu/projects/europe-middle-east-africa/portugal/hevo-sul/</t>
  </si>
  <si>
    <t>https://www.h2bulletin.com/eu-approves-e122-million-for-decarbonisation-projects-including-hydrogen/</t>
  </si>
  <si>
    <t>[1626]</t>
  </si>
  <si>
    <t>https://climate.ec.europa.eu/system/files/2022-07/if_pf_2021_h2valcamonica_en.pdf</t>
  </si>
  <si>
    <t>[1627]</t>
  </si>
  <si>
    <t xml:space="preserve">https://www.offshore-energy.biz/worlds-first-offshore-green-hydrogen-production-platform-inaugurated-france/ </t>
  </si>
  <si>
    <t>[857] [858] [1628]</t>
  </si>
  <si>
    <t>https://hydrogensolutions.no/en/starter-gronn-hydrogenproduksjon-vestlandet/</t>
  </si>
  <si>
    <t>[1055] [1629]</t>
  </si>
  <si>
    <t>https://www.marubeni.com/en/news/2022/info/00025.html</t>
  </si>
  <si>
    <t>[1075] [1630]</t>
  </si>
  <si>
    <t xml:space="preserve">https://tanknewsinternational.com/sinopecs-first-pem-hydrogen-production-demonstration-station-begins-operations/  </t>
  </si>
  <si>
    <t>[1273] [1631]</t>
  </si>
  <si>
    <t>https://www.gprectifier.com/news/2000nm3-h-green-power-intelligent-rectifier-h-63514189.html</t>
  </si>
  <si>
    <t>[1632]</t>
  </si>
  <si>
    <t>https://www.centerpointenergy.com/en-us/business/services/clean-energy-innovation/renewable-hydrogen?sa=tx#:~:text=Minnesota%20Demonstration%20Project,our%20local%20natural%20gas%20supply.</t>
  </si>
  <si>
    <t>[1498] [1633]</t>
  </si>
  <si>
    <t>http://www.chinapower.hk/en/media/news-p210412a.php</t>
  </si>
  <si>
    <t>https://www.zepak.com.pl/en/about-us/press-office/news/12534-green-hydrogen-in-zepak.html</t>
  </si>
  <si>
    <t>[846], Platts European Gas Daily 23-07-2021, [1635]</t>
  </si>
  <si>
    <t>https://www.pertamina.com/en/news-room/news-release/pertamina-nre-krakatau-steel-and-raja-collaborate-to-develop-hydrogen-pipelines</t>
  </si>
  <si>
    <t>[878] [879] [1332] [1636]</t>
  </si>
  <si>
    <t>https://research.csiro.au/hyresource/manilla-solar-phase-2-hydrogen-energy-storage-system/</t>
  </si>
  <si>
    <t>[1030] [1637]</t>
  </si>
  <si>
    <t>https://www.businesswire.com/news/home/20220811005309/en/INNIO-to-Power-Raven-SR%E2%80%99s-First-Waste-to-Hydrogen-Plant-With-100-Renewable-Energy</t>
  </si>
  <si>
    <t>[1056] [1638]</t>
  </si>
  <si>
    <t>[1064] [1640]</t>
  </si>
  <si>
    <t>https://energynews.biz/hydrogen-utopia-in-waste-plastic-to-hydrogen-project-in-poland/</t>
  </si>
  <si>
    <t>https://www.wirtschaft.nrw/pressemitteilung/europas-wasserstoffwirtschaft-nimmt-fahrt-auf-nordrhein-westfalen-beteiligt-sich</t>
  </si>
  <si>
    <t>[1352] [1642]</t>
  </si>
  <si>
    <t>https://fuelcellsworks.com/news/lhyfe-highlights-and-business-update-of-the-2nd-half-of-2022-commercial-pipeline-at-the-end-of-2022-9-8-gw-of-total-installed-production-capacity/?mc_cid=6e3fa770f1&amp;mc_eid=da4624d261</t>
  </si>
  <si>
    <t>[1643]</t>
  </si>
  <si>
    <t>https://fuelcellsworks.com/news/green-hydrogen-systems-signs-new-order-with-spanish-customer/?mc_cid=6e3fa770f1&amp;mc_eid=da4624d261</t>
  </si>
  <si>
    <t>https://www.world-energy.org/article/29081.html</t>
  </si>
  <si>
    <t>https://www.fronius.com/en/solar-energy/about-us/news/solhub-san-venture-reference-11062021</t>
  </si>
  <si>
    <t>https://www.latribune.fr/entreprises-finance/transitions-ecologiques/hydrogene-les-dix-travaux-d-h2-loire-vallee-881643.html</t>
  </si>
  <si>
    <t>[1646]</t>
  </si>
  <si>
    <t>PetroChina Yumen Oilfield - Phase 1</t>
  </si>
  <si>
    <t>[1647]</t>
  </si>
  <si>
    <t>PetroChina Yumen Oilfield - Phase 2</t>
  </si>
  <si>
    <t>Azolla Hydrogen - Cal State demonstration</t>
  </si>
  <si>
    <t>Biomethanol steam reforming</t>
  </si>
  <si>
    <t>225 kg H2/d</t>
  </si>
  <si>
    <t>https://www.azollahydrogen.com/news/az225-unit-commission</t>
  </si>
  <si>
    <t>[1648]</t>
  </si>
  <si>
    <t>https://energetica21.com/noticia/sevilla-tendra-su-primera-planta-comercial-de-hidrogeno-verde</t>
  </si>
  <si>
    <t>[1649]</t>
  </si>
  <si>
    <t>H2 Green City, phase 1</t>
  </si>
  <si>
    <t>H2 Green City, phase 2</t>
  </si>
  <si>
    <t>Jeju demostration project</t>
  </si>
  <si>
    <t>[1650]</t>
  </si>
  <si>
    <t>https://www.enapter.com/newsroom/enapter-ag-wins-major-order-from-south-korea</t>
  </si>
  <si>
    <t>https://fuelcellsworks.com/news/engie-and-equinor-provide-update-on-h2be-hydrogen-project-in-belgium/?mc_cid=49fd008c93&amp;mc_eid=da4624d261</t>
  </si>
  <si>
    <t>[1580][1651]</t>
  </si>
  <si>
    <t>BayoTech - St Louis Hub</t>
  </si>
  <si>
    <t>350t H2/y</t>
  </si>
  <si>
    <t>https://bayotech.us/bayotech-partners-with-ranken-technical-college/</t>
  </si>
  <si>
    <t>Biomass plasma-enhanced gasification</t>
  </si>
  <si>
    <t>12000kg H2/d</t>
  </si>
  <si>
    <t>https://www.chinadaily.com.cn/a/202302/17/WS63ef4bcea31057c47ebaf741.html</t>
  </si>
  <si>
    <t>https://www.publicpower.org/periodical/article/douglas-county-pud-moves-phase-two-green-hydrogen-project?s=03</t>
  </si>
  <si>
    <t>[1654]</t>
  </si>
  <si>
    <t>Kashiwazaki Clean Hydrogen/Ammonia Project Niigata demonstration</t>
  </si>
  <si>
    <t>ATR</t>
  </si>
  <si>
    <t>700 t H2/y</t>
  </si>
  <si>
    <t>https://www.airliquide.com/group/press-releases-news/2023-01-10/air-liquide-autothermal-reforming-technology-selected-first-low-carbon-hydrogen-and-ammonia</t>
  </si>
  <si>
    <t>[1655]</t>
  </si>
  <si>
    <t>Grandpuits biorefinery</t>
  </si>
  <si>
    <t>Mix of natural gas and biogas</t>
  </si>
  <si>
    <t>20 kt H2/y - 0.11Mt CO2/y</t>
  </si>
  <si>
    <t>https://www.airliquide.com/group/press-releases-news/2022-11-22/circular-economy-air-liquide-and-totalenergies-innovate-produce-renewable-and-low-carbon-hydrogen</t>
  </si>
  <si>
    <t>[1656]</t>
  </si>
  <si>
    <t>Sur hydrogen cluster</t>
  </si>
  <si>
    <t>https://www.meed.com/oman-plans-sur-hydrogen-cluster</t>
  </si>
  <si>
    <t>[1657]</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</si>
  <si>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</si>
  <si>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</si>
  <si>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</si>
  <si>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[1660]</t>
  </si>
  <si>
    <t>Octopus Hydrogen - MIRA Technology Park</t>
  </si>
  <si>
    <t>https://www.reflau.com/projekt</t>
  </si>
  <si>
    <t>Green Hydrogen Oman (GEO), phase 2 (former Oman-Al Wusta green H2 project)</t>
  </si>
  <si>
    <t>BP Alternative Energy Investments projects, Dhofar</t>
  </si>
  <si>
    <t>BP Alternative Energy Investments project, Duqm</t>
  </si>
  <si>
    <t>Green Hydrogen and Chemicals SPC, phase I (former ACME-Scatec Oman)</t>
  </si>
  <si>
    <t>Green Hydrogen and Chemicals SPC, phase II (former ACME-Scatec Oman)</t>
  </si>
  <si>
    <t>[503][630] [630][1662]</t>
  </si>
  <si>
    <t>Plug Power Olin green hydrogen Louisiana</t>
  </si>
  <si>
    <t>https://s29.q4cdn.com/600973483/files/doc_financials/2022/q4/PLUG-4Q22-Investor-Letter-FINAL.pdf</t>
  </si>
  <si>
    <t>Plug Power Charleston, Tenesse (former United Hydrogen)</t>
  </si>
  <si>
    <t>Plug Power Charleston, Tenesse (former United Hydrogen), expansion 1</t>
  </si>
  <si>
    <t>Plug Power Charleston, Tenesse (former United Hydrogen), expansion 2</t>
  </si>
  <si>
    <t>6.5 t H2/d</t>
  </si>
  <si>
    <t>https://www.linkedin.com/posts/plug-power_charleston-hydrogen-plant-activity-6963178206698897408-oZa-/?trk=public_profile_like_view</t>
  </si>
  <si>
    <t>https://www.globenewswire.com/en/news-release/2019/09/18/1917255/9619/en/Plug-Power-Expands-Hydrogen-Supply-Chain-Partner-Network-with-United-Hydrogen.html</t>
  </si>
  <si>
    <t>[1664]</t>
  </si>
  <si>
    <t>[1665]</t>
  </si>
  <si>
    <t>Lhyfe Bretagne - Buléon</t>
  </si>
  <si>
    <t>https://www.energyintel.com/00000186-b241-dc3c-a9b6-fb5361720000</t>
  </si>
  <si>
    <t>[562][1186] [1297] [1666]</t>
  </si>
  <si>
    <t>36000 t H2/y</t>
  </si>
  <si>
    <t>21600 t H2/y</t>
  </si>
  <si>
    <t>18600 t H2/y</t>
  </si>
  <si>
    <t>5445 t H2/y</t>
  </si>
  <si>
    <t>20827 t H2/y</t>
  </si>
  <si>
    <t>15460 t H2/y</t>
  </si>
  <si>
    <t>28000 t H2/y</t>
  </si>
  <si>
    <t>25700 t H2/y</t>
  </si>
  <si>
    <t>Trafford Low Carbon Energy Park - phase 1</t>
  </si>
  <si>
    <t>Trafford Low Carbon Energy Park  - phase 2</t>
  </si>
  <si>
    <t>https://research.csiro.au/hyresource/desert-bloom-hydrogen/</t>
  </si>
  <si>
    <t>https://www.traffordgreenhydrogen.co.uk/news/carlton-power-secures-government-backing-to-develop-trafford-green-hydrogen-project</t>
  </si>
  <si>
    <t>https://renewablesnow.com/news/eew-unveils-massive-green-hydrogen-solar-project-in-australia-734022/</t>
  </si>
  <si>
    <t>https://energynews.biz/energypark-emden-enters-the-second-stage/</t>
  </si>
  <si>
    <t>Port of Aabenraa Methanol</t>
  </si>
  <si>
    <t>Port of Aabenraa</t>
  </si>
  <si>
    <t>https://www.airliquide.com/stories/hydrogen/building-future-renewable-hydrogen-normandhy</t>
  </si>
  <si>
    <t>[1668]</t>
  </si>
  <si>
    <t>https://www.offshore-energy.biz/multiplhy-project-sunfire-installs-worlds-largest-soec-electrolyser/</t>
  </si>
  <si>
    <t>[1669]</t>
  </si>
  <si>
    <t>0.8MW</t>
  </si>
  <si>
    <t>NTPC Green Hydrogen Blending Project (Kawas, Surat)</t>
  </si>
  <si>
    <t>NTPC Green Hydrogen Mobility Project - Delhi</t>
  </si>
  <si>
    <t>6.5 kW</t>
  </si>
  <si>
    <t>1.6 MW</t>
  </si>
  <si>
    <t>Hyoffwind Zeebrugge</t>
  </si>
  <si>
    <t>Wyhlen hydroelectric power plant, expansion</t>
  </si>
  <si>
    <t>https://www.enbw.com/company/press/enbw-starts-marketing-green-hydrogen.html</t>
  </si>
  <si>
    <t>[1670]</t>
  </si>
  <si>
    <t>720 t H2/y</t>
  </si>
  <si>
    <t>https://www.spglobal.com/commodityinsights/en/market-insights/latest-news/electric-power/030623-volth2-targets-mid-sized-green-hydrogen-projects-to-optimize-offshore-wind</t>
  </si>
  <si>
    <t>[1083] [1115] [1671]</t>
  </si>
  <si>
    <t>[1447] [1671]</t>
  </si>
  <si>
    <t>Wilhelmshaven - VoltH2</t>
  </si>
  <si>
    <t>[1671]</t>
  </si>
  <si>
    <t>Camden County (GA), green power plant</t>
  </si>
  <si>
    <t>https://www.axios.com/2022/03/10/plug-power-taps-abb-for-300m-hydrogen-plants</t>
  </si>
  <si>
    <t>Air Products Arizona</t>
  </si>
  <si>
    <t>https://hydrogen-central.com/cf-industries-signs-mou-jera-supply-500000-metric-tonnes-per-year-clean-ammonia/</t>
  </si>
  <si>
    <t>https://carboncopy.eco/initiatives/herne-bay-green-hydrogen-production-plant</t>
  </si>
  <si>
    <t>[1141] [1673]</t>
  </si>
  <si>
    <t>https://www.octohydrogen.com/press-releases/octopus-hydrogen-wins-net-zero-hydrogen-funding-for-15-mw-scotland-electrolysis-project</t>
  </si>
  <si>
    <t xml:space="preserve">[1265] [1660] [1674] </t>
  </si>
  <si>
    <t>https://www.eni.com/en-IT/media/press-release/2022/10/green-hydrogen-projects-gela-taranto.html</t>
  </si>
  <si>
    <t>[662] [1675]</t>
  </si>
  <si>
    <t>https://www.enelgreenpower.com/media/press/2022/09/egp-saras-green-hydrogen-ipcei-hy2use</t>
  </si>
  <si>
    <t>[727] [1676]</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</si>
  <si>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</si>
  <si>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</si>
  <si>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</si>
  <si>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[266] [309] [310] [664] [882] [910] [1679]</t>
  </si>
  <si>
    <t>750MW</t>
  </si>
  <si>
    <t>350 MW</t>
  </si>
  <si>
    <t>https://infrastructurepipeline.org/project/h2tas-bell-bay-hydrogen-plant</t>
  </si>
  <si>
    <t>[1106] [1680]</t>
  </si>
  <si>
    <t>https://research.csiro.au/hyresource/clean-energy-innovation-park/</t>
  </si>
  <si>
    <t>https://time.news/asturias-receives-39-million-eu-funds-to-promote-3-hydrogen-projects/</t>
  </si>
  <si>
    <t>[1303] [1682]</t>
  </si>
  <si>
    <t>https://maritime-executive.com/editorials/e-methanol-and-the-future-of-marine</t>
  </si>
  <si>
    <t>https://europeanenergy.com/2023/03/27/european-energy-orders-electrolyzer-from-stiesdal/</t>
  </si>
  <si>
    <t>[1249] [1684]</t>
  </si>
  <si>
    <t>[503][630][920][1662]</t>
  </si>
  <si>
    <t>[499][1154] [1604] [1662]</t>
  </si>
  <si>
    <t>[920] [1662]</t>
  </si>
  <si>
    <t>https://mfgt.hu/en/Akvamarin</t>
  </si>
  <si>
    <t>[807] [1685]</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</si>
  <si>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</si>
  <si>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</si>
  <si>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</si>
  <si>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https://hydrogen-central.com/fusion-fuel-signs-green-hydrogen-offtake-agreement-portuguese-gas-utility-dourogas/</t>
  </si>
  <si>
    <t>https://assets.ctfassets.net/ztehsn2qe34u/3m5XSgBaBPkbfBQVoJWmd5/fee525778dc177352b9b1831bfa3db0a/Communique-de-presse-terega-solutions-hydrogene.pdf</t>
  </si>
  <si>
    <t>[633] [1689]</t>
  </si>
  <si>
    <t>https://mcphy.com/en/achievements/hydrogen-mobility-en/zero-emission-valley-zev/</t>
  </si>
  <si>
    <t>[716] [866] [1690]</t>
  </si>
  <si>
    <t>Prince George HRS</t>
  </si>
  <si>
    <t>2 x 5MW</t>
  </si>
  <si>
    <t>https://www.princegeorgecitizen.com/local-news/prince-george-breaks-ground-on-worlds-largest-hydrogen-refuelling-station-5848061</t>
  </si>
  <si>
    <t>https://www.castanet.net/news/BC/416117/Hydra-Energys-62M-hydrogen-production-plant-approved-in-Prince-George</t>
  </si>
  <si>
    <t>[1691] [1692]</t>
  </si>
  <si>
    <t>https://www.norsk-e-fuel.com/articles/partnership_with_norwegian</t>
  </si>
  <si>
    <t>[414] [521][1288][1449] [1693]</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</si>
  <si>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</si>
  <si>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</si>
  <si>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</si>
  <si>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[775] [1696]</t>
  </si>
  <si>
    <t>Eco Energy World Quensland project</t>
  </si>
  <si>
    <t>1000 t/y</t>
  </si>
  <si>
    <t>Flins Plant - HYVIA</t>
  </si>
  <si>
    <t>https://fuelcellsworks.com/news/hyvia-installs-first-electrolyzer-in-flins-plant-accelerating-hydrogen-mobility-ecosystem/?mc_cid=12e0faa137&amp;mc_eid=da4624d261</t>
  </si>
  <si>
    <t>[1697]</t>
  </si>
  <si>
    <t>Zeeland Refinery - H2ero</t>
  </si>
  <si>
    <t>Port of Rotterdam BP refinery - H2-Fifty</t>
  </si>
  <si>
    <t>Hydrogen Plant for Westereems Wind Farm (RWE Eemshydrogen)</t>
  </si>
  <si>
    <t>Hemweg hub Amsterdam - Hy4Am</t>
  </si>
  <si>
    <t>Producing Hydrogen by Gasification of Biomass in 'het Groene Hart' - GH2</t>
  </si>
  <si>
    <t>1.2MW</t>
  </si>
  <si>
    <t>http://www.rmlt.com.cn/2022/0424/645540.shtml</t>
  </si>
  <si>
    <t>[874] [875] [876] [1634] [1698]</t>
  </si>
  <si>
    <t>[1662]</t>
  </si>
  <si>
    <t>[503][630] [1662]</t>
  </si>
  <si>
    <t>[286] [503][630][920] [1662]</t>
  </si>
  <si>
    <t>[503][630] [504] [920] [1662]</t>
  </si>
  <si>
    <t>[653][1083] [1671] [1662]</t>
  </si>
  <si>
    <t>[820] [1662]</t>
  </si>
  <si>
    <t>[920] [1437] [1662]</t>
  </si>
  <si>
    <t>[1083] [1662]</t>
  </si>
  <si>
    <t>Hynoca Alkmaar</t>
  </si>
  <si>
    <t>240 - 2300 t H2/year</t>
  </si>
  <si>
    <t>H2UB Laren</t>
  </si>
  <si>
    <t>15 kg H2/hour</t>
  </si>
  <si>
    <t>https://www.canarygreen.org/seafuels-refuelling-station/</t>
  </si>
  <si>
    <t>Cleanup Gas</t>
  </si>
  <si>
    <t>18.6 MW</t>
  </si>
  <si>
    <t>Supercritical water gasification (SCW) plant</t>
  </si>
  <si>
    <t>https://www.gasunie.nl/en/projects/supercritical-water-gasification</t>
  </si>
  <si>
    <t>[1662] [1700]</t>
  </si>
  <si>
    <t>https://www.seafuel.eu/h2-station/</t>
  </si>
  <si>
    <t>12kg H2/d</t>
  </si>
  <si>
    <t>[511] [1699] [1701]</t>
  </si>
  <si>
    <t>GROHW</t>
  </si>
  <si>
    <t>NASA’s Ames Research Center</t>
  </si>
  <si>
    <t>https://newsroom.bloomenergy.com/news/bloom-energy-demonstrates-hydrogen-production-with-the-worlds-largest-and-most-efficient-solid-oxide-electrolyzer</t>
  </si>
  <si>
    <t>[1702]</t>
  </si>
  <si>
    <t>H2Stroom</t>
  </si>
  <si>
    <t>H2Agro</t>
  </si>
  <si>
    <t>H2ARVESTER</t>
  </si>
  <si>
    <t>Solar Global group headquarters</t>
  </si>
  <si>
    <t>[1232] [1703]</t>
  </si>
  <si>
    <t>https://catalinaptx.com/</t>
  </si>
  <si>
    <t>https://phynix-energy.eu/phynix-selecciona-a-duro-felguera-green-tech-para-el-contrato-epcde-su-planta-de-produccion-de-hidrogeno-renovable-vitale-de-10mw/</t>
  </si>
  <si>
    <t>https://h2-international.com/2023/02/14/cummins-engine-harnessing-the-power-of-niagara-falls-for-hydrogen/</t>
  </si>
  <si>
    <t>[1523][1588] [1704]</t>
  </si>
  <si>
    <t>https://news.cision.com/aker-horizons/r/aker-horizons-and-vng-sign-letter-of-intent-to-supply-green-ammonia-from-norway-to-germany,c3765868</t>
  </si>
  <si>
    <t>[1018] [1705]</t>
  </si>
  <si>
    <t>[1706]</t>
  </si>
  <si>
    <t>Constellation - Nine Mile Point Nuclear Plant</t>
  </si>
  <si>
    <t>Giga Stack - Green Hydrogen for Humberside</t>
  </si>
  <si>
    <t xml:space="preserve">1475 t/yr H2 </t>
  </si>
  <si>
    <t>https://www.gg-fc.com/art-43029.html</t>
  </si>
  <si>
    <t>https://news.bjx.com.cn/html/20220120/1200663.shtml</t>
  </si>
  <si>
    <t>[771] [1707] [1708]</t>
  </si>
  <si>
    <t>https://ntepa.nt.gov.au/__data/assets/pdf_file/0018/1122741/provaris-tiwi-h2-project-referral.pdf</t>
  </si>
  <si>
    <t>[1133] [1709]</t>
  </si>
  <si>
    <t>About a quarter of full capacity</t>
  </si>
  <si>
    <t>Green Marlin</t>
  </si>
  <si>
    <t>https://www.rechargenews.com/energy-transition/enterprize-plans-4gw-offshore-wind-farm-off-ireland-to-power-3-2gw-green-hydrogen-project/2-1-1104575</t>
  </si>
  <si>
    <t>https://www.hydrogenfuelnews.com/green-hydrogen-production-ireland/8550229/</t>
  </si>
  <si>
    <t>[1710] [1711]</t>
  </si>
  <si>
    <t>3.2 GW</t>
  </si>
  <si>
    <t>2.4 GW</t>
  </si>
  <si>
    <t>https://www.ammoniaenergy.org/articles/ammonia-exports-from-brazil-taking-shape/</t>
  </si>
  <si>
    <t>Amun, phase 1</t>
  </si>
  <si>
    <t>Amun, phase 2</t>
  </si>
  <si>
    <t>[1713]</t>
  </si>
  <si>
    <t>0.7 Mt NH3/y - 120 kt H2/y - 1 GW</t>
  </si>
  <si>
    <t>2 Mt NH3/y - 350 kt H2/y - 3GW</t>
  </si>
  <si>
    <t>https://www.argusmedia.com/en/news/2426650-osaka-gas-santos-eye-emethane-production-in-australia</t>
  </si>
  <si>
    <t>https://www.offshore-energy.biz/japanese-looking-to-produce-e-methane-utilising-cameron-lng/</t>
  </si>
  <si>
    <t>[1715]</t>
  </si>
  <si>
    <t>Synthetic methane Cameron terminal to Japan</t>
  </si>
  <si>
    <t>Production of 130 kt e-CH4/y</t>
  </si>
  <si>
    <t>https://renewablesnow.com/news/statkraft-awarded-funds-to-study-green-h2-ammonia-production-at-chilean-solar-farm-756144/</t>
  </si>
  <si>
    <t>[1716]</t>
  </si>
  <si>
    <t>https://www.cepsa.com/en/press/first-green-hydrogen-corridor</t>
  </si>
  <si>
    <t>https://www.offshore-energy.biz/cepsa-and-getec-sign-green-hydrogen-agreement/#:~:text=Energy%20companies%20Cepsa%20and%20GETEC,part%20of%20their%20decarbonisation%20goals.</t>
  </si>
  <si>
    <t>[1718]</t>
  </si>
  <si>
    <t>60 MW electrolyser - 40 kt MeOH/y</t>
  </si>
  <si>
    <t>https://www.globalconstructionreview.com/norways-scatec-to-build-450m-green-fuel-plant-in-egypt/</t>
  </si>
  <si>
    <t>[1719]</t>
  </si>
  <si>
    <t>SALCOS - first expansion - phase 1</t>
  </si>
  <si>
    <t>https://ec.europa.eu/commission/presscorner/detail/en/ip_22_5968</t>
  </si>
  <si>
    <t>[1436] [1720]</t>
  </si>
  <si>
    <t>Danish nuclear in Indonesia</t>
  </si>
  <si>
    <t>https://www.nucnet.org/news/danish-companies-sign-agreement-for-usd4-billion-thorium-smr-in-borneo-5-1-2023</t>
  </si>
  <si>
    <t>[1721]</t>
  </si>
  <si>
    <t>https://energyindustryreview.com/renewables/omv-petrom-gets-financing-to-produce-green-h2-at-the-petrobrazi-refinery/</t>
  </si>
  <si>
    <t>Petrobrazi Refinery - Green H2</t>
  </si>
  <si>
    <t>ACWA Power - Green H2 - Phase 1</t>
  </si>
  <si>
    <t>ACWA Power - Green H2 - Phase 2</t>
  </si>
  <si>
    <t>https://www.acwapower.com/news/acwa-power-to-develop-uzbekistans-first-green-hydrogen-and-green-ammonia-projects/</t>
  </si>
  <si>
    <t>Hellenic Hydrogen in  Western Macedonia</t>
  </si>
  <si>
    <t>https://balkangreenenergynews.com/hellenic-hydrogen-to-install-electrolyzer-of-up-to-100-mw-in-greeces-coal-region/</t>
  </si>
  <si>
    <t>[1724]</t>
  </si>
  <si>
    <t>Hycamite CSF Plant</t>
  </si>
  <si>
    <t>https://hycamite.com/</t>
  </si>
  <si>
    <t>https://hydronews.it/a2a-installera-a-brescia-6mw-di-elettrolisi-per-alimentare-i-treni-a-idrogeno-della-valcamonica/</t>
  </si>
  <si>
    <t>https://www.unido.org/news/demonstration-project-production-green-hydrogen-and-ammonia-underway-baotou-china</t>
  </si>
  <si>
    <t>[1543][1727]</t>
  </si>
  <si>
    <t>MEG HP1</t>
  </si>
  <si>
    <t>https://igeh2.com/</t>
  </si>
  <si>
    <t>[1728]</t>
  </si>
  <si>
    <t>Arrowsmith Hydrogen Project, phase 3</t>
  </si>
  <si>
    <t>Arrowsmith Hydrogen Project, phase 4</t>
  </si>
  <si>
    <t>[497][1035][1169][1170][1728]</t>
  </si>
  <si>
    <t>Valle Peligna Green Hydrogen Project</t>
  </si>
  <si>
    <t>Port Taranaki - Infinite Green Energy</t>
  </si>
  <si>
    <t>23t H2/d - 55MW</t>
  </si>
  <si>
    <t>42t H2/d - 45 MW</t>
  </si>
  <si>
    <t>https://www.petrofac.com/media/news/petrofac-to-explore-feasibility-of-green-hydrogen-to-ammonia-facility-in-egypt/</t>
  </si>
  <si>
    <t>[1729]</t>
  </si>
  <si>
    <t>Petrofac Ain Sokhna Ammonia project</t>
  </si>
  <si>
    <t>900000 t CO2/y</t>
  </si>
  <si>
    <t>0.68 Mt CO2/y</t>
  </si>
  <si>
    <t>1100000t CO2/y - 300 kt H2/y</t>
  </si>
  <si>
    <t>1000kt CO2/y</t>
  </si>
  <si>
    <t>Underground Partial Oxidation</t>
  </si>
  <si>
    <t>500t H2/d</t>
  </si>
  <si>
    <t>https://proton.energy/</t>
  </si>
  <si>
    <t>[1730]</t>
  </si>
  <si>
    <t>Proton Energy DEMO in Saskatchewan</t>
  </si>
  <si>
    <t>Proton Energy Commercial stage in Saskatchewan</t>
  </si>
  <si>
    <t>https://www.linkedin.com/feed/update/urn:li:activity:7069579117104418816/</t>
  </si>
  <si>
    <t>[1134][1731]</t>
  </si>
  <si>
    <t>2x745 MW electrolyser, 2.8 GW PV</t>
  </si>
  <si>
    <t>Plug Power Kokkola plant</t>
  </si>
  <si>
    <t>https://www.ir.plugpower.com/press-releases/news-details/2023/Plug-Power-Makes-Major-Strategic-Move-into-Finlands-Green-Hydrogen-Economy-with-its-Proven-PEM-Electrolyzer-and-Liquefaction-Technology/default.aspx</t>
  </si>
  <si>
    <t>[1732]</t>
  </si>
  <si>
    <t>Plug Power Kristinestad plant</t>
  </si>
  <si>
    <t>Plug Power Porvoo plant</t>
  </si>
  <si>
    <t>GH2SOTO, phase 1</t>
  </si>
  <si>
    <t>GH2SOTO, phase 2</t>
  </si>
  <si>
    <t>AIRA H2</t>
  </si>
  <si>
    <t>H2BCNHUB</t>
  </si>
  <si>
    <t>https://www.linkedin.com/feed/update/urn:li:activity:7046839934464274432/</t>
  </si>
  <si>
    <t>[1733]</t>
  </si>
  <si>
    <t>Industrias Quimicas Del Oxido De Etileno</t>
  </si>
  <si>
    <t>https://synerhy.com/project/green-hychemical-huelva/</t>
  </si>
  <si>
    <t>[1734]</t>
  </si>
  <si>
    <t>Green HyChemical Huelva</t>
  </si>
  <si>
    <t>https://www.boa.aragon.es/cgi-bin/EBOA/BRSCGI?CMD=VEROBJ&amp;MLKOB=1275215020404</t>
  </si>
  <si>
    <t>[1735]</t>
  </si>
  <si>
    <t>https://energiaestrategica.es/19-empresas-recibiran-ayudas-para-proyectos-de-hidrogeno-edp-la-gran-ganadora/</t>
  </si>
  <si>
    <t>[1736]</t>
  </si>
  <si>
    <t>Green hydrogen Projecte Alperujo/Jaen</t>
  </si>
  <si>
    <t>https://energynews.biz/totalenergies-and-tes-forge-alliance-for-large-scale-renewable-hydrogen-gas-project/</t>
  </si>
  <si>
    <t>[1737]</t>
  </si>
  <si>
    <t>80t H2/y</t>
  </si>
  <si>
    <t>https://elperiodicodelaenergia.com/pinto-acogera-primera-planta-espana-hidrogeno-verde-partir-agua/</t>
  </si>
  <si>
    <t>[688] [748][1738]</t>
  </si>
  <si>
    <t>https://renewablesnow.com/news/austrias-first-green-hydrogen-production-plant-goes-live-822650/</t>
  </si>
  <si>
    <t>[1739]</t>
  </si>
  <si>
    <t>Energie Steiermark plant in Styrua, expansion</t>
  </si>
  <si>
    <t>Tierra del Fuego green hydrogen project</t>
  </si>
  <si>
    <t>https://www.h2bulletin.com/mmex-resources-corp-to-produce-green-hydrogen-in-rio-grande-argentina/</t>
  </si>
  <si>
    <t>[1740]</t>
  </si>
  <si>
    <t>https://nelhydrogen.com/press-release/nel-asa-everwind-fuels-has-elected-nel-to-participate-in-the-feed-study-for-the-point-tupper-project/</t>
  </si>
  <si>
    <t>ArcelorMittal Bremen - HyBit</t>
  </si>
  <si>
    <t>https://hydrogen-central.com/rostock-based-apex-group-project-partners-lay-foundation-stone-10-mw-hybit-electrolysis-plant-for-the-arcelormittal-steelworks-in-bremen/</t>
  </si>
  <si>
    <t>[822][1742]</t>
  </si>
  <si>
    <t>Greenb2e - Valencia</t>
  </si>
  <si>
    <t>13-15 kt H2/y</t>
  </si>
  <si>
    <t>https://www.energynews.es/lliria-planta-hidrogeno-verde-greenb2e/#:~:text=Se%20estima%20una%20producci%C3%B3n%20de,trabajo%20directos%20y%20400%20indirectos</t>
  </si>
  <si>
    <t>[1743]</t>
  </si>
  <si>
    <t>Besaya H2</t>
  </si>
  <si>
    <t>[1744]</t>
  </si>
  <si>
    <t>https://www.energynews.es/torrelavega-besaya-2-copsesa-y-ric-energy/</t>
  </si>
  <si>
    <t>Castellon Port</t>
  </si>
  <si>
    <t>[1745]</t>
  </si>
  <si>
    <t>SoutH2Port</t>
  </si>
  <si>
    <t>https://hidrogeno-verde.es/el-nuevo-proyecto-de-hidrogeno-verde-en-aguas-de-suecia/</t>
  </si>
  <si>
    <t>[1746]</t>
  </si>
  <si>
    <t>Green Hysland Mallorca - Phase 1</t>
  </si>
  <si>
    <t>https://flexens.com/finlands-largest-hydrogen-plant-planned-in-kokkola/</t>
  </si>
  <si>
    <t>[1747]</t>
  </si>
  <si>
    <t>Ord Hydrogen Project</t>
  </si>
  <si>
    <t>15-25 MW</t>
  </si>
  <si>
    <t>https://research.csiro.au/hyresource/ord-hydrogen/</t>
  </si>
  <si>
    <t>[1748]</t>
  </si>
  <si>
    <t>Portland Renewable Hydrogen Project</t>
  </si>
  <si>
    <t>https://hxgenergymaterials.com.au/wp-content/uploads/2022/03/Hexagons-West-Australian-Blue-Ammonia-Project.pdf</t>
  </si>
  <si>
    <t>[1749]</t>
  </si>
  <si>
    <t>250 kt NH3/y</t>
  </si>
  <si>
    <t>Asian Renewable Energy Hub, completion</t>
  </si>
  <si>
    <t>Asian Renewable Energy Hub, first phase</t>
  </si>
  <si>
    <t>MoU China General Nuclear Power Group - Quinto Energy</t>
  </si>
  <si>
    <t>https://www.h2-view.com/story/chinas-cgn-and-quinto-energy-plan-14gw-brazilian-renewables-project-for-green-hydrogen/?utm_source=dlvr.it&amp;utm_medium=linkedin&amp;utm_campaign=rss</t>
  </si>
  <si>
    <t>[1750]</t>
  </si>
  <si>
    <t>WAH2 Blue  Ammonia Project - phase 1</t>
  </si>
  <si>
    <t>Ineratec Port of Amsterdam</t>
  </si>
  <si>
    <t>https://www.ineratec.de/en/news/ineratec-and-zenith-work-commercial-scale-e-fuel-plant-port-amsterdam</t>
  </si>
  <si>
    <t>35 kt e-fuels (part of hydrogen supply, impoted)</t>
  </si>
  <si>
    <t>[1751]</t>
  </si>
  <si>
    <t>https://everwindfuels.com/projects/point_tupper</t>
  </si>
  <si>
    <t>Point Tupper green hydrogen project, phase 1</t>
  </si>
  <si>
    <t>Point Tupper green hydrogen project, phase 2</t>
  </si>
  <si>
    <t>0.2 Mt NH3/y production</t>
  </si>
  <si>
    <t>1 Mt NH3/y production</t>
  </si>
  <si>
    <t>https://www.offshore-energy.biz/everwind-fuels-receives-environmental-approval-for-point-tupper-project/</t>
  </si>
  <si>
    <t>https://energynews.biz/ssab-and-fortum-explore-hydrogen-reduced-sponge-iron-production/</t>
  </si>
  <si>
    <t>ABEL Energy Bell Bay Powerfuels Project - phase 1</t>
  </si>
  <si>
    <t>ACWA Power - Large scale H2 project</t>
  </si>
  <si>
    <t>https://fuelcellsworks.com/news/acwa-power-signs-mou-with-pupuk-indonesia-for-large-scale-green-hydrogen-project/</t>
  </si>
  <si>
    <t>[1755]</t>
  </si>
  <si>
    <t>Adelaida project</t>
  </si>
  <si>
    <t>https://www.aesandes.com/en/aes-andes-launches-first-green-hydrogen-open-season-chile-its-adelaida-project</t>
  </si>
  <si>
    <t>[1756]</t>
  </si>
  <si>
    <t>H2 plant Wilbarger County</t>
  </si>
  <si>
    <t>https://www.prnewswire.com/news-releases/air-products-and-aes-announce-plans-to-invest-approximately-4-billion-to-build-first-mega-scale-green-hydrogen-production-facility-in-texas-301697873.html</t>
  </si>
  <si>
    <t>Hydrogen Power South Australia</t>
  </si>
  <si>
    <t>https://www.ohpsa.sa.gov.au/about-the-project</t>
  </si>
  <si>
    <t>Bristol Springs Solar Hydrogen Project</t>
  </si>
  <si>
    <t>https://research.csiro.au/hyresource/bristol-springs-solar-hydrogen-project/</t>
  </si>
  <si>
    <t>[1759]</t>
  </si>
  <si>
    <t>Mid West Clean Energy Project (MWCEP)</t>
  </si>
  <si>
    <t>1.2 Mt NH3/y or 220 kt H2/y</t>
  </si>
  <si>
    <t>WAH2 Blue  Ammonia Project - phase 2</t>
  </si>
  <si>
    <t>https://research.csiro.au/hyresource/mid-west-clean-energy-project/</t>
  </si>
  <si>
    <t>[1175] [1760]</t>
  </si>
  <si>
    <t>https://www.bloomenergy.com/news/xcel-energy-and-bloom-energy-to-produce-zero-carbon-hydrogen-at-nuclear-facility/</t>
  </si>
  <si>
    <t>Xcel Energy's Minnesota nuclear plant</t>
  </si>
  <si>
    <t>240 kW</t>
  </si>
  <si>
    <t>[1761]</t>
  </si>
  <si>
    <t>Porto Central</t>
  </si>
  <si>
    <t>300 t H2/y + 1700 t NH3/y</t>
  </si>
  <si>
    <t>https://portocentral.com.br/en/cei-energetica-e-porto-central-assinam-para-o-desenvolvimento-de-projeto-de-hidrogenio-verde/</t>
  </si>
  <si>
    <t>[1762]</t>
  </si>
  <si>
    <t>Unigel, phase III</t>
  </si>
  <si>
    <t>https://www.hydrogeninsight.com/production/ten-fold-expansion-brazilian-chemicals-giant-unveils-1-5bn-growth-plans-for-green-hydrogen-plant/2-1-1390060</t>
  </si>
  <si>
    <t>[1763]</t>
  </si>
  <si>
    <t>https://www.edpr.com/en/news/2023/01/30/edp-and-cepsa-sign-alliance-promote-andalusian-green-hydrogen-valley</t>
  </si>
  <si>
    <t>https://www.hydrogeninsight.com/production/iberdrola-bags-disused-oil-fired-power-station-for-1-2bn-green-hydrogen-and-methanol-facility-in-australia/2-1-1461841</t>
  </si>
  <si>
    <t>Pembina low carbon complex</t>
  </si>
  <si>
    <t>https://www.businesswire.com/news/home/20230529005164/en/Pembina-Pipeline-Announces-Agreement-with-Marubeni-Corporation-to-Develop-a-Low-Carbon-Ammonia-Project-and-Outlines-Vision-for-Pembina-Low-Carbon-Complex</t>
  </si>
  <si>
    <t>https://topsectorenergie.nl/documents/99/TKI_Nieuw_Gas-Overview_Hydrogen_projects_in_the_Netherlands_-_version_-_220627.pdf</t>
  </si>
  <si>
    <t>[1717] [1764]</t>
  </si>
  <si>
    <t>Evergreen Project</t>
  </si>
  <si>
    <t>7GW</t>
  </si>
  <si>
    <t>https://energynews.biz/danish-renewables-giant-unveils-bold-green-hydrogen-project-in-eyre-peninsula/</t>
  </si>
  <si>
    <t>[1767]</t>
  </si>
  <si>
    <t>https://www.offshore-mag.com/renewable-energy/article/14286224/tes-ewe-sign-green-hydrogen-accord-for-wilhelmshaven-hub</t>
  </si>
  <si>
    <t>[1768]</t>
  </si>
  <si>
    <t>https://www.sasol.com/media-centre/media-releases/sasol-explore-potential-cleaner-aviation-fuels-world-class-partners</t>
  </si>
  <si>
    <t>[1207] [1769]</t>
  </si>
  <si>
    <t>https://energynews.biz/morocco-fourth-in-worlds-hydrogen-race-total-eren-launches-10-69bln-hydrogen-megaproject/</t>
  </si>
  <si>
    <t>[1770]</t>
  </si>
  <si>
    <t>https://madoquaventures.com/projects/</t>
  </si>
  <si>
    <t>https://research.csiro.au/hyresource/pacific-solar-hydrogen-project/</t>
  </si>
  <si>
    <t>https://www.hydeal.com/copie-de-hydeal-ambition</t>
  </si>
  <si>
    <t>https://www.technipenergies.com/en/media/news/hy2gen-ag-commissions-technip-energies-complete-pre-feed-study-its-renewable-hydrogen</t>
  </si>
  <si>
    <t>Paysandu green hydrogen project</t>
  </si>
  <si>
    <t>https://www.gub.uy/presidencia/comunicacion/noticias/gobierno-anuncio-inversion-4000-millones-dolares-para-planta-hidrogeno-verde</t>
  </si>
  <si>
    <t>https://www.elpais.com.uy/negocios/noticias/lacalle-pou-anuncia-planta-de-hidrogeno-verde-en-paysandu-con-inversion-de-mas-de-us-2-000-millones</t>
  </si>
  <si>
    <t>1774][1775]</t>
  </si>
  <si>
    <t xml:space="preserve">Iberdrola - Trammo green hydrogen </t>
  </si>
  <si>
    <t>https://www.iberdrola.com/press-room/news/detail/iberdrola-trammo-sign-EU-s-largest-agreement-for-the-export-green-ammonia</t>
  </si>
  <si>
    <t>[1776]</t>
  </si>
  <si>
    <t>H2HubNS</t>
  </si>
  <si>
    <t>https://fuelcellsworks.com/news/hystar-to-supply-its-world-leading-electrolyser-for-polands-largest-private-energy-group/</t>
  </si>
  <si>
    <t>[1777]</t>
  </si>
  <si>
    <t>Hygenco Demonstration Plant</t>
  </si>
  <si>
    <t>100kW</t>
  </si>
  <si>
    <t>https://www.constructionweekonline.in/projects-tenders/hygenco-installs-indias-first-green-hydrogen-demo-plant-in-ujjain</t>
  </si>
  <si>
    <t>[1778]</t>
  </si>
  <si>
    <t>Hygenco JSL Plant</t>
  </si>
  <si>
    <t>https://www.argusmedia.com/en/news/2371492-indias-jindal-stainless-hygenco-plan-green-h2-plant</t>
  </si>
  <si>
    <t>600kt CO2/y</t>
  </si>
  <si>
    <t>20Mt NH3/y production</t>
  </si>
  <si>
    <t>10 Mt NH3 production</t>
  </si>
  <si>
    <t>2.5 Mt synfuels/y production</t>
  </si>
  <si>
    <t>1000 kt H2/y production</t>
  </si>
  <si>
    <t>1Mt H2/y production</t>
  </si>
  <si>
    <t>400 kt H2/y production</t>
  </si>
  <si>
    <t>800kt synfuels/y production</t>
  </si>
  <si>
    <t>310 kt H2/y production</t>
  </si>
  <si>
    <t>4kt NH3/d production</t>
  </si>
  <si>
    <t>12.5 million litres of synthetic kerosene per year production</t>
  </si>
  <si>
    <t>25 million litres of synthetic kerosene per year production</t>
  </si>
  <si>
    <t>1 Mt H2/y production</t>
  </si>
  <si>
    <t>60t H2/d production</t>
  </si>
  <si>
    <t>10000t synthetic kerosene/y production</t>
  </si>
  <si>
    <t>2kt H2/y production</t>
  </si>
  <si>
    <t>250kt H2/y production</t>
  </si>
  <si>
    <t>50kt H2/y production</t>
  </si>
  <si>
    <t>10t H2/d production</t>
  </si>
  <si>
    <t>1.8 GWh H2/d production</t>
  </si>
  <si>
    <t>650t H2/d production</t>
  </si>
  <si>
    <t>75 million liter synfuel/y production</t>
  </si>
  <si>
    <t>45 t H2/d production</t>
  </si>
  <si>
    <t>35kt NH3/y production</t>
  </si>
  <si>
    <t>200kt NH3/y production</t>
  </si>
  <si>
    <t>15 t H2/d production</t>
  </si>
  <si>
    <t>4t NH3/day production</t>
  </si>
  <si>
    <t>30 t H2/d production</t>
  </si>
  <si>
    <t>50t H2/d production</t>
  </si>
  <si>
    <t>100kt H2/y production</t>
  </si>
  <si>
    <t>8-9t H2/d production</t>
  </si>
  <si>
    <t>50kt synthetic kerosene/y production</t>
  </si>
  <si>
    <t>156kt NH3/y production</t>
  </si>
  <si>
    <t>780kt NH3/y production</t>
  </si>
  <si>
    <t>https://www.nrf.ac.za/sasols-energy-transition-collaboration-on-the-hydrogen-economy/</t>
  </si>
  <si>
    <t>[1207] [1780]</t>
  </si>
  <si>
    <t>15000 t synfuels/y production</t>
  </si>
  <si>
    <t>630 kt NH3/y production</t>
  </si>
  <si>
    <t>7 kt H2/y production</t>
  </si>
  <si>
    <t>460 kt MeOH/y production</t>
  </si>
  <si>
    <t>170t H2/d production</t>
  </si>
  <si>
    <t>100 kt MeOH/y production</t>
  </si>
  <si>
    <t>50 kt H2/y production</t>
  </si>
  <si>
    <t>800 kt NH3/y production</t>
  </si>
  <si>
    <t>100 million litres of synthetic kerosene per year production</t>
  </si>
  <si>
    <t>1.2Mt NH3/y production</t>
  </si>
  <si>
    <t>140kt NH3/y using 25kt H2/y production</t>
  </si>
  <si>
    <t>350kt NH3/y production</t>
  </si>
  <si>
    <t>24 kt H2/y, 150 kt NH3/y, 195 kt O2/y production</t>
  </si>
  <si>
    <t>60 kt H2/y, 375 kt NH3/y, 490 kt O2/y production</t>
  </si>
  <si>
    <t>20 t H2/y production</t>
  </si>
  <si>
    <t>200 kt H2/y production</t>
  </si>
  <si>
    <t>100 kt NH3/y production</t>
  </si>
  <si>
    <t>1.1 Mt NH3/y production</t>
  </si>
  <si>
    <t>440 MW</t>
  </si>
  <si>
    <t>50kt MeOH/y production</t>
  </si>
  <si>
    <t>8kt synfuels/y production</t>
  </si>
  <si>
    <t>72 kt NH3/y - 12.9 kt H2/y production</t>
  </si>
  <si>
    <t>450 t NH3/d production</t>
  </si>
  <si>
    <t>500 kt NH3/y production</t>
  </si>
  <si>
    <t>500kt NH3/y production</t>
  </si>
  <si>
    <t>125 kt NH3/y production</t>
  </si>
  <si>
    <t>850kt NH3/y production</t>
  </si>
  <si>
    <t>3000 t H2/y production</t>
  </si>
  <si>
    <t>55 t H2/d production</t>
  </si>
  <si>
    <t>200t H2/day production</t>
  </si>
  <si>
    <t>7.5kt H2/y capacity</t>
  </si>
  <si>
    <t>170kt H2/y capacity</t>
  </si>
  <si>
    <t>50 Kt H2/y capacity</t>
  </si>
  <si>
    <t>55t H2/d capacity</t>
  </si>
  <si>
    <t>43 Mt H2/y capacity</t>
  </si>
  <si>
    <t>15 t H2/d capacity</t>
  </si>
  <si>
    <t>100kt H2/y capacity</t>
  </si>
  <si>
    <t>150 kt H2/y production</t>
  </si>
  <si>
    <t>https://www.htec.ca/htec-hosts-ground-breaking-ceremony-for-its-low-carbon-hydrogen-production-facility-in-burnaby/</t>
  </si>
  <si>
    <t>Santos Port Botany, New South Wales</t>
  </si>
  <si>
    <t>2 PJ H2/y - 0.15Mt CO2y</t>
  </si>
  <si>
    <t>[1370][1789]</t>
  </si>
  <si>
    <t>Ascension Clean Energy (ACE) complex (LA)</t>
  </si>
  <si>
    <t>12Mt CO2/y - 7.2 Mt NH3/y</t>
  </si>
  <si>
    <t>[1797]</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</si>
  <si>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</si>
  <si>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</si>
  <si>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</si>
  <si>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</si>
  <si>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</si>
  <si>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</si>
  <si>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</si>
  <si>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</si>
  <si>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</si>
  <si>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</si>
  <si>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</si>
  <si>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</si>
  <si>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</si>
  <si>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</si>
  <si>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</si>
  <si>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</si>
  <si>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</si>
  <si>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</si>
  <si>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</si>
  <si>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</si>
  <si>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</si>
  <si>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Abu Dhabi CCS Phase 1: Emirates Steel Industries - Al Reyadah CCUS</t>
  </si>
  <si>
    <t>MEPAU Mid West CCUS hub</t>
  </si>
  <si>
    <t>WCS Redwater CO2 Recovery Unit (formerly nutrien) (ACTL) (ALB) phase 1</t>
  </si>
  <si>
    <t>Horizon H2 capture tailings CCS (ALB)</t>
  </si>
  <si>
    <t>Edmonton Blue Hydrogen plant (ALB) (Shell Polaris)</t>
  </si>
  <si>
    <t>H21 Leeds City Gate - Teesside hydrogen</t>
  </si>
  <si>
    <t>1GW H2 - 1.5Mt CO2/y</t>
  </si>
  <si>
    <t>Acorn H2</t>
  </si>
  <si>
    <t>30 TWh H2/y - 8.1Mt CO2/y</t>
  </si>
  <si>
    <t>Prax Lindsey Oil Refinery Phase 1</t>
  </si>
  <si>
    <t>0.55Mt CO2/y</t>
  </si>
  <si>
    <t>Project Cavendish, phase1</t>
  </si>
  <si>
    <t>Teesside Hydrogen CO2 Capture/H2NorthEast Phase 1</t>
  </si>
  <si>
    <t>Teesside Hydrogen CO2 Capture/H2NorthEast Phase 2</t>
  </si>
  <si>
    <t>720MW - 1.6 Mt CO2/y</t>
  </si>
  <si>
    <t>PT Panca Amara Utama (PAU) Banggai ammonia plant, Luwuk Central Sulawesi</t>
  </si>
  <si>
    <t>250 kt H2/y - 0.15 Mt CO2/</t>
  </si>
  <si>
    <t>1300000t CO2/y - 100 kt H2/y</t>
  </si>
  <si>
    <t>Hydrogen 2 Magnum (H2M)</t>
  </si>
  <si>
    <t>Preem CCS at Lysekil refinery</t>
  </si>
  <si>
    <t>600000t CO2/y</t>
  </si>
  <si>
    <t>PCS Nitrogen-Geismar plant (LA)</t>
  </si>
  <si>
    <t>1650000t CO2/y - 336 tH2/d</t>
  </si>
  <si>
    <t>Pecos County Ultra Clean Fuels Refining (TX)</t>
  </si>
  <si>
    <t xml:space="preserve">Eastern Louisiana Clean Hydrogen Complex (LA) </t>
  </si>
  <si>
    <t>Mote biomass-to-hydrogen plant (CA)</t>
  </si>
  <si>
    <t>7 ktH2/y - 140 kt CO2/y</t>
  </si>
  <si>
    <t>1 BCF H2/d - 7 Mt CO2/y</t>
  </si>
  <si>
    <t xml:space="preserve">Svante capture Linde SMR plant (TX) </t>
  </si>
  <si>
    <t>CF Industries and Mitsui Blue ammonia complex (LA)</t>
  </si>
  <si>
    <t>Exxonmobil Antwerp Refinery CCS</t>
  </si>
  <si>
    <t>H2GE Rostock</t>
  </si>
  <si>
    <t>Prax Lindsey Oil Refinery Phase 2</t>
  </si>
  <si>
    <t>Project Cavendish, phase2</t>
  </si>
  <si>
    <t>Centrica Equinor hydrogen hub Easington collaboration</t>
  </si>
  <si>
    <t>Balikpapan Refinery</t>
  </si>
  <si>
    <t>Dalstur Energy Coal India coal hydrogen</t>
  </si>
  <si>
    <t>Indian Oil Corporation Koyali refinery</t>
  </si>
  <si>
    <t>ENI Venice bio-refinery Porto Marghera (Ravenna phase 2)</t>
  </si>
  <si>
    <t>Yara Sluiskil fertiliser</t>
  </si>
  <si>
    <t>Omifco ammonia capture</t>
  </si>
  <si>
    <t>Enbridge Ingleside Energy Center Low carbon ammonia (TX)</t>
  </si>
  <si>
    <t>Northern Plains Nitrogen Blue ammonia (ND)</t>
  </si>
  <si>
    <t>CF Industries blue ammonia Yazoo (LA)</t>
  </si>
  <si>
    <t>OCI Fertilizer plant phase 1 (IA)</t>
  </si>
  <si>
    <t>OCI Fertilizer plant phase 2 (IA)</t>
  </si>
  <si>
    <t>Lone Cypress Hydrogen project (CA)</t>
  </si>
  <si>
    <t>Integratred clean ammonia production, Port of Corpus Christi (TX) phase 1</t>
  </si>
  <si>
    <t>Integratred clean ammonia production, Port of Corpus Christi (TX) phase 2</t>
  </si>
  <si>
    <t>Advanced CO2 Capture from Hydrogen Production Unit at Phillips 66 Rodeo Refinery (CA)</t>
  </si>
  <si>
    <t>Linde-BASF capture SMR plant Covent (LA)</t>
  </si>
  <si>
    <t>Blue Biston ATR advanced CCUS system (WY)</t>
  </si>
  <si>
    <t>Carbon Capture on Air Liquide US Gulf Coast Steam Methane Reformer Using the CryocapTM FG Process (TX)</t>
  </si>
  <si>
    <t>Combined Carbon Capture Solution on Air Liquide Northern California Steam Methane Reformer (CA)</t>
  </si>
  <si>
    <t>1.05MW-1.8 Mt CO2/y</t>
  </si>
  <si>
    <t>0.7Mt CO2/y (part for CCU)</t>
  </si>
  <si>
    <t>0.8Mt CO2/y</t>
  </si>
  <si>
    <t>3500t NH3/d</t>
  </si>
  <si>
    <t>0.5Mt CO2/y</t>
  </si>
  <si>
    <t>0.45Mt CO2/y - 0.6Mt NH3/y</t>
  </si>
  <si>
    <t>0.25Mt CO2/y - 0.4 Mt NH3/y</t>
  </si>
  <si>
    <t>10Mt CO2/y</t>
  </si>
  <si>
    <t>1.4Mt CO2/y</t>
  </si>
  <si>
    <t>1.66Mt CO2/y</t>
  </si>
  <si>
    <t>[1781]</t>
  </si>
  <si>
    <t>[1782]</t>
  </si>
  <si>
    <t>[1786]</t>
  </si>
  <si>
    <t>[1787]</t>
  </si>
  <si>
    <t>[1788]</t>
  </si>
  <si>
    <t>[1790]</t>
  </si>
  <si>
    <t>[1791]</t>
  </si>
  <si>
    <t>[1792]</t>
  </si>
  <si>
    <t>[1793]</t>
  </si>
  <si>
    <t>[1794]</t>
  </si>
  <si>
    <t>[1796]</t>
  </si>
  <si>
    <t>[1798]</t>
  </si>
  <si>
    <t>[1800]</t>
  </si>
  <si>
    <t>[1801]</t>
  </si>
  <si>
    <t>[1802]</t>
  </si>
  <si>
    <t>[1803]</t>
  </si>
  <si>
    <t>https://www.h2-view.com/story/construction-of-50bn-green-hydrogen-project-in-kazakhstan-begins/</t>
  </si>
  <si>
    <t>Jindal - Suez Canal Economic Zone authority  green steel project</t>
  </si>
  <si>
    <t>Atome - La Villeta</t>
  </si>
  <si>
    <t>https://polaris.brighterir.com/public/atome/news/rns/story/w03dp6w</t>
  </si>
  <si>
    <t>[1805]</t>
  </si>
  <si>
    <t>Langage Energy Park - Carlton Power</t>
  </si>
  <si>
    <t>https://www.carltonpower.co.uk/news/carlton-power-plans-to-build-devon-amp-cornwalls-first-low-carbon-hydrogen-hub</t>
  </si>
  <si>
    <t>Pamesa - eCombustible</t>
  </si>
  <si>
    <t>https://www.pamesagrupoempresarial.com/pamesa-ecombustible/</t>
  </si>
  <si>
    <t>https://elperiodicodelaenergia.com/pamesa-pone-en-marcha-la-primera-planta-de-atomizacion-que-abandona-el-gas-para-trabajar-solo-con-agua-y-energia-solar/#google_vignette</t>
  </si>
  <si>
    <t>[1807][1808]</t>
  </si>
  <si>
    <t>Pamesa - eCombustible, full replacement of natural gas</t>
  </si>
  <si>
    <t>54 kt H2/y</t>
  </si>
  <si>
    <t>https://www.jera.co.jp/en/news/information/20220905_969</t>
  </si>
  <si>
    <t>https://nelhydrogen.com/press-release/nel-asa-receives-purchase-order-for-a-containerized-electrolyser-for-sustainable-aviation-fuel-production/</t>
  </si>
  <si>
    <t>Freedom Pines Fuels</t>
  </si>
  <si>
    <t>[1810]</t>
  </si>
  <si>
    <t>Fortescue Future Industries - Egypt</t>
  </si>
  <si>
    <t>https://www.pv-magazine.com/2022/09/12/fortescue-proposes-9-2-gw-green-hydrogen-project-in-egypt/</t>
  </si>
  <si>
    <t>[1811]</t>
  </si>
  <si>
    <t>First Ammonia Port of Victoria</t>
  </si>
  <si>
    <t>400-1000MW</t>
  </si>
  <si>
    <t>https://www.portofvictoria.com/news-and-media/p/item/47654/port-of-victoria-welcomes-potential-partnership-with-green-technology-company-first-ammonia</t>
  </si>
  <si>
    <t>Hy2B plant in Pfeffenhausen</t>
  </si>
  <si>
    <t>https://hydrogen-central.com/hy2b-hydrogen-plant-technology-procurement-electrolyser-hyperformer-region-hybayern/</t>
  </si>
  <si>
    <t>280MW</t>
  </si>
  <si>
    <t>POSCO green ammonia plant</t>
  </si>
  <si>
    <t>220kt H2/y (production)</t>
  </si>
  <si>
    <t>https://www.kedglobal.com/hydrogen-economy/newsView/ked202306220020</t>
  </si>
  <si>
    <t>[1814]</t>
  </si>
  <si>
    <t>BLUE SKY 300</t>
  </si>
  <si>
    <t>https://www.hiveenergy.co.uk/renewable-energy-project-pipeline/</t>
  </si>
  <si>
    <t>[1815]</t>
  </si>
  <si>
    <t>Kenya Electricity Generating Company pilot shceme</t>
  </si>
  <si>
    <t xml:space="preserve">MoU CWP - Ministry of Energy and Natural Resources </t>
  </si>
  <si>
    <t>https://www.ammoniaenergy.org/articles/cwp-global-plans-new-supergiant-in-djibouti/</t>
  </si>
  <si>
    <t>[1816]</t>
  </si>
  <si>
    <t>Mexican Green Hydrogen Hub, phase 1</t>
  </si>
  <si>
    <t>Mexican Green Hydrogen Hub, phase 2</t>
  </si>
  <si>
    <t>69MW</t>
  </si>
  <si>
    <t>343MW</t>
  </si>
  <si>
    <t>https://www.ammoniaenergy.org/articles/ohmium-to-provide-electrolysers-for-low-carbon-fertiliser-plant-in-mexico/</t>
  </si>
  <si>
    <t>[987][1817]</t>
  </si>
  <si>
    <t>[1817]</t>
  </si>
  <si>
    <t>HyMed</t>
  </si>
  <si>
    <t>https://www.h2-view.com/story/aquaterra-energy-and-seawind-announce-3-2gw-hymed-project/</t>
  </si>
  <si>
    <t>[1818]</t>
  </si>
  <si>
    <t>NWTN - CMEC Middle East green hydrogen plant</t>
  </si>
  <si>
    <t>https://www.ijglobal.com/articles/172558/uae-green-hydrogen-plant-in-the-works</t>
  </si>
  <si>
    <t>[1819]</t>
  </si>
  <si>
    <t>Plant Zero.1</t>
  </si>
  <si>
    <t>https://www.zero.co/news-media/plant-zero</t>
  </si>
  <si>
    <t>https://twitter.com/ZeroPetroleum/status/1670729286829916160</t>
  </si>
  <si>
    <t>[1820][1821]</t>
  </si>
  <si>
    <t xml:space="preserve">Trecwn Green Energy Hub </t>
  </si>
  <si>
    <t>https://www.statkraft.co.uk/newsroom/2022/statkraft-announces-first-uk-green-hydrogen-project-pembrokeshire/</t>
  </si>
  <si>
    <t>5 Mt steel/y (production)</t>
  </si>
  <si>
    <t>Icarus</t>
  </si>
  <si>
    <t>54MW</t>
  </si>
  <si>
    <t>Julio Verne project</t>
  </si>
  <si>
    <t>https://univergysolar.com/julio-verne-proyecto-puerto-de-vigo/</t>
  </si>
  <si>
    <t>[1823]</t>
  </si>
  <si>
    <t>Lhyfe Delfzijl</t>
  </si>
  <si>
    <t>https://fr.lhyfe.com/presse/lhyfe-va-developper-une-usine-de-200-mw-a-delfzijl-pays-bas/</t>
  </si>
  <si>
    <t>[1824]</t>
  </si>
  <si>
    <t>SGP BioEnergy biorefiney</t>
  </si>
  <si>
    <t>405 kt H2/y (production)</t>
  </si>
  <si>
    <t>https://www.prnewswire.com/news-releases/sgp-bioenergy-adds-green-hydrogen-to-planned-worlds-largest-advanced-biofuel-production-facility-301646216.html#:~:text=COLON%2C%20Panama%2C%20Oct.,operate%20with%20net%2Dzero%20emissions.</t>
  </si>
  <si>
    <t>Smartenergy Porto Torres, phase 1</t>
  </si>
  <si>
    <t>https://www.smartenergy.net/smartenergy-develops-a-200-mwe-green-hydrogen-plant-in-sardinia-italy/</t>
  </si>
  <si>
    <t>[1826]</t>
  </si>
  <si>
    <t>Smartenergy Porto Torres, phase 3</t>
  </si>
  <si>
    <t>https://www.foresightgroup.eu/news/statkraft-foresight-and-progressive-energy-launch-grenian-to-deliver-green-hydrogen</t>
  </si>
  <si>
    <t>[1827]</t>
  </si>
  <si>
    <t>Statkraft-Foresight Cheshire</t>
  </si>
  <si>
    <t>Cobra Castellón</t>
  </si>
  <si>
    <t>Cobra Cartagena</t>
  </si>
  <si>
    <t>90MW</t>
  </si>
  <si>
    <t>115MW</t>
  </si>
  <si>
    <t>[1828]</t>
  </si>
  <si>
    <t>https://www.europapress.es/economia/energia-00341/noticia-bruselas-autoriza-ayuda-espanola-220-millones-cobra-produccion-hidrogeno-renovable-20221013123418.html</t>
  </si>
  <si>
    <t>1.3-1.5 Mt NH3/y (production)</t>
  </si>
  <si>
    <t>https://tegchile.cl/blog/proyecto-gente-grande/</t>
  </si>
  <si>
    <t>Kenya Private Sector Alliance - FFI MoU, phase 1</t>
  </si>
  <si>
    <t>7.6MW</t>
  </si>
  <si>
    <t>https://www.linkedin.com/feed/update/urn:li:activity:7078990234830471168/</t>
  </si>
  <si>
    <t>[1830]</t>
  </si>
  <si>
    <t>Jingneng Coal-to-Chemical Renewable Green Hydrogen Alternative Demostration Project</t>
  </si>
  <si>
    <t>26816 t H2/y</t>
  </si>
  <si>
    <t>https://www.borealisgroup.com/news/borealis-and-verbund-joint-hydrogen-project-on-an-industrial-scale</t>
  </si>
  <si>
    <t>Saras Sardinia refinery - IPCEI</t>
  </si>
  <si>
    <t>AES Brazil - Port of Pecem</t>
  </si>
  <si>
    <t>800 kt NH3/y (production)</t>
  </si>
  <si>
    <t>https://renewablesnow.com/news/aes-brasil-advances-study-for-up-to-2-gw-green-hydrogen-plant-799077/</t>
  </si>
  <si>
    <t xml:space="preserve">Gen2 Energy, Åfjord </t>
  </si>
  <si>
    <t>Sany Heavy Energy Wind, Solar, Hydrogen, storage and Ammonia Integrated Demostration Project</t>
  </si>
  <si>
    <t>Jingneng Chagannur Wind Poer Hydrogen Production Project</t>
  </si>
  <si>
    <t>384 t H2/y</t>
  </si>
  <si>
    <t>China Energy Construction Green Power Hydrogen Production and Ammonia Demostration Project</t>
  </si>
  <si>
    <t>10000 t H2/y</t>
  </si>
  <si>
    <t>China Nuclear Wind Storage Hydrogen and Ammonia Demostration Project</t>
  </si>
  <si>
    <t>China Datang wind-solar hydrogen production demostration project</t>
  </si>
  <si>
    <t xml:space="preserve">China Power Construction Chifeng Hydrogen Demonstration Project </t>
  </si>
  <si>
    <t>Shengyuan Energy wind-solar hydrogen production and station project</t>
  </si>
  <si>
    <t>Ordos Kubuqi Wind and Solar Hydrogen Production Demostration Project</t>
  </si>
  <si>
    <t>Tengger Wind-solar Hydrogen Production Demostration Project</t>
  </si>
  <si>
    <t>Ulanqab Wind Solar Hydrogen and Ammonia Integrated Demostration project</t>
  </si>
  <si>
    <t>New energy hydrogen production and co-production carbon-free fuel demostration project</t>
  </si>
  <si>
    <t>CHN Energy Wind-solar hydrogen ammonia  + Low-carbon parkdemostration Project</t>
  </si>
  <si>
    <t>Yeosu Blue Hydrogen Project</t>
  </si>
  <si>
    <t>8000 t H2/y, capacity</t>
  </si>
  <si>
    <t>[1833]</t>
  </si>
  <si>
    <t>https://energynews.biz/hanyang-and-linde-to-create-blue-hydrogen-production-cluster-in-jeonnam/</t>
  </si>
  <si>
    <t>Linde hydrogen plant for OCI fertilizer blue ammonia Beaumont (Texas)</t>
  </si>
  <si>
    <t>https://www.hydrogeninsight.com/production/linde-to-invest-1-8bn-in-new-blue-hydrogen-plant-in-texas-with-start-up-in-2025/2-1-1399822</t>
  </si>
  <si>
    <t>[1795] [1834]</t>
  </si>
  <si>
    <t>H2 - Jurong Island</t>
  </si>
  <si>
    <t>https://www.linde.com/news-media/press-releases/2023/linde-to-supply-green-hydrogen-to-evonik-in-singapore</t>
  </si>
  <si>
    <t>[1835]</t>
  </si>
  <si>
    <t>https://www.linde.com/news-media/press-releases/2023/linde-to-increase-green-hydrogen-production-in-california</t>
  </si>
  <si>
    <t>[623] [1836]</t>
  </si>
  <si>
    <t>Konin Power Plant, phase 1 - ZE PAK</t>
  </si>
  <si>
    <t>Konin Power Plant, phase 2 - ZE PAK</t>
  </si>
  <si>
    <t>Carbon Governance  green hydrogen project, phase 1</t>
  </si>
  <si>
    <t>30 t H2/d (production)</t>
  </si>
  <si>
    <t>https://hydrogen-central.com/carbon-governance-advances-new-green-hydrogen-production-project-development-in-bintan/</t>
  </si>
  <si>
    <t>[1837]</t>
  </si>
  <si>
    <t>60 t H2/d (production)</t>
  </si>
  <si>
    <t>115 t H2/d (production)</t>
  </si>
  <si>
    <t>MoU IHI-Enoc</t>
  </si>
  <si>
    <t>200kt NH3/d (production)</t>
  </si>
  <si>
    <t>[1838]</t>
  </si>
  <si>
    <t>https://www.argusmedia.com/en/news/2390103-japans-ihi-dubais-enoc-eye-uae-green-ammonia-output</t>
  </si>
  <si>
    <t>Fortescue Future Industries - Windlab - Queensland hub, phase 1</t>
  </si>
  <si>
    <t>https://www.cnbc.com/2022/11/16/firms-plan-australian-super-hub-to-produce-green-hydrogen.html</t>
  </si>
  <si>
    <t>[1839]</t>
  </si>
  <si>
    <t>https://www.middlesabi-renewstable.com/</t>
  </si>
  <si>
    <t>KEPCO, Korea Southern Power, KNOC, Samsun, Posco</t>
  </si>
  <si>
    <t>1.2Mt NH3/d (production)</t>
  </si>
  <si>
    <t>https://www.argusmedia.com/ja/news/2392463-s-korean-firms-eye-h2-ammonia-output-in-saudi-arabia</t>
  </si>
  <si>
    <t>[1841]</t>
  </si>
  <si>
    <t>ReNu - Countrywide Hydrogen - Anantara Energy Holdings MoU</t>
  </si>
  <si>
    <t>https://www.ijglobal.com/articles/168679/project-in-works-for-indonesia-green-hydrogen-plant</t>
  </si>
  <si>
    <t>[1842]</t>
  </si>
  <si>
    <t>PTT - Egat - ACWA MoU</t>
  </si>
  <si>
    <t>1.2 Mt NH3/y (production)</t>
  </si>
  <si>
    <t>https://gaspathways.com/saudi-thai-cos-plan-7bn-investment-in-green-hydrogen-projects-1464</t>
  </si>
  <si>
    <t>[1843]</t>
  </si>
  <si>
    <t>Clean Energy Holdings - Clear Fork, phase 1</t>
  </si>
  <si>
    <t>https://direct.argusmedia.com/newsandanalysis/Article/2397690</t>
  </si>
  <si>
    <t>[1844]</t>
  </si>
  <si>
    <t>Electus Energy - Bakersfield</t>
  </si>
  <si>
    <t>[1845]</t>
  </si>
  <si>
    <t>https://direct.argusmedia.com/newsandanalysis/Article/2395369</t>
  </si>
  <si>
    <t>MercurHy, phase 1</t>
  </si>
  <si>
    <t>[1846]</t>
  </si>
  <si>
    <t>MercurHy, phase 2</t>
  </si>
  <si>
    <t>MercurHy, phase 3</t>
  </si>
  <si>
    <t>Orsted - Skovgaard Energy project in western Denmark</t>
  </si>
  <si>
    <t>https://direct.argusmedia.com/newsandanalysis/Article/2397919</t>
  </si>
  <si>
    <t>[1848]</t>
  </si>
  <si>
    <t>https://direct.argusmedia.com/newsandanalysis/Article/2399271</t>
  </si>
  <si>
    <t>First Hydrogen - Shawinigan</t>
  </si>
  <si>
    <t>https://direct.argusmedia.com/newsandanalysis/Article/2395750</t>
  </si>
  <si>
    <t>Blastr Green Steel - Inkoo</t>
  </si>
  <si>
    <t>https://direct.argusmedia.com/newsandanalysis/Article/2405819</t>
  </si>
  <si>
    <t>[1849]</t>
  </si>
  <si>
    <t xml:space="preserve"> Liquid Wind, Flagship 3rd plant</t>
  </si>
  <si>
    <t>100kt MeOH/y production</t>
  </si>
  <si>
    <t>https://direct.argusmedia.com/newsandanalysis/Article/2412080</t>
  </si>
  <si>
    <t>[1850]</t>
  </si>
  <si>
    <t>https://direct.argusmedia.com/newsandanalysis/Article/2417173</t>
  </si>
  <si>
    <t xml:space="preserve">Greenko ZeroC - Kakinada city </t>
  </si>
  <si>
    <t>Enap - Cabo Negro</t>
  </si>
  <si>
    <t>https://direct.argusmedia.com/newsandanalysis/Article/2435493</t>
  </si>
  <si>
    <t>Hydrogen Offshore Production Europe (HOPE)</t>
  </si>
  <si>
    <t>https://www.ir.plugpower.com/press-releases/news-details/2023/Plug-Power-to-Design-and-Deliver-10MW-PEM-Electrolyzer-to-HOPE-Project/default.aspx?&amp;utm_source=organic-social-pr&amp;utm_medium=twitter&amp;utm_campaign=Hope-Press-Release&amp;utm_term=APR</t>
  </si>
  <si>
    <t xml:space="preserve">Linde - Fort Saskatchewan </t>
  </si>
  <si>
    <t>https://direct.argusmedia.com/newsandanalysis/Article/2443658</t>
  </si>
  <si>
    <t>Yara-BASF Gulf Coast</t>
  </si>
  <si>
    <t>1.2-1.4 Mt NH3/y</t>
  </si>
  <si>
    <t>https://www.h2-view.com/story/yara-and-basf-announce-blue-ammonia-production-facility-plans/</t>
  </si>
  <si>
    <t>[1855]</t>
  </si>
  <si>
    <t>SSE Aldbrough storage site</t>
  </si>
  <si>
    <t>[1856]</t>
  </si>
  <si>
    <t>https://direct.argusmedia.com/newsandanalysis/Article/2402266</t>
  </si>
  <si>
    <t>20kt H2/y production</t>
  </si>
  <si>
    <t>https://direct.argusmedia.com/newsandanalysis/Article/2404840</t>
  </si>
  <si>
    <t>[1857]</t>
  </si>
  <si>
    <t>[922] [972] [1302][1653][1857]</t>
  </si>
  <si>
    <t>https://www.argusmedia.com/en/news/2422050-scottish-300mw-h2-plant-to-decarbonise-whisky-industry</t>
  </si>
  <si>
    <t>[1059][1547][1858]</t>
  </si>
  <si>
    <t>Kintore Scotland Hydrogen project - phase 1</t>
  </si>
  <si>
    <t>Kintore Scotland Hydrogen project - phase 2</t>
  </si>
  <si>
    <t>https://www.enerdata.net/publications/daily-energy-news/statera-plans-3-gw-hydrogen-plant-scotland-uk.html</t>
  </si>
  <si>
    <t>[1859]</t>
  </si>
  <si>
    <t>Rosedale Green Hydrogen project</t>
  </si>
  <si>
    <t>https://energynews.biz/mytilineos-invests-in-rosedale-green-hydrogen-project/</t>
  </si>
  <si>
    <t>[1860]</t>
  </si>
  <si>
    <t>560MW</t>
  </si>
  <si>
    <t>Mauritania - Green Ammonia project - phase 1</t>
  </si>
  <si>
    <t>400MW or 0,28-0,3 Mt NH3 production</t>
  </si>
  <si>
    <t>10GW or 8 Mt NH3 production</t>
  </si>
  <si>
    <t>[1861]</t>
  </si>
  <si>
    <t>https://hydrogen-central.com/infinity-power-conjuncta-develop-green-hydrogen-project-mauritania/</t>
  </si>
  <si>
    <t>Rio Grande do Sul</t>
  </si>
  <si>
    <t>https://www.argusmedia.com/pt//news/2457061-enit-eyes-300mw-renewable-hydrogen-plant-in-brazil?backToResults=true</t>
  </si>
  <si>
    <t>[1862]</t>
  </si>
  <si>
    <t>300MW or 240,000 t/yr NH3</t>
  </si>
  <si>
    <t>270MW</t>
  </si>
  <si>
    <t>https://hydrogen-central.com/provaris-pleased-collaborate-norwegian-hydrogen-developing-norway-largest-production-facility-for-green-hydrogen/</t>
  </si>
  <si>
    <t>[1863]</t>
  </si>
  <si>
    <t>https://www.energate-messenger.com/news/232487/ewe-becomes-hydrogen-supplier-for-salzgitter</t>
  </si>
  <si>
    <t>https://www.energate-messenger.com/news/210798/companies-pool-investments-of-1-3-billion-euros-for-green-hydrogen</t>
  </si>
  <si>
    <t>Valle H2 Navarra project</t>
  </si>
  <si>
    <t>https://www.acciona.com/updates/news/acciona-energia-plug-power-present-valle-h2v-navarra-project-government-navarra/?_adin=02021864894</t>
  </si>
  <si>
    <t>[1866]</t>
  </si>
  <si>
    <t>Saltend Chemicals Park - Hull</t>
  </si>
  <si>
    <t>https://renewablesnow.com/news/meld-energy-plans-100-mw-hydrogen-project-at-uk-chemicals-park-825189/</t>
  </si>
  <si>
    <t>[1867]</t>
  </si>
  <si>
    <t>Liquid Organic Hydrogen Carrier (LOHC) for Hydrogen Transport from Scotland (LHyTS)</t>
  </si>
  <si>
    <t>https://netzerotc-newsroom.prgloo.com/news/project-launched-to-create-hydrogen-highway-from-scotland-to-rotterdam</t>
  </si>
  <si>
    <t>[1868]</t>
  </si>
  <si>
    <t>Kunming Engineering Corporation - Fengzhen (Ulanbaq)</t>
  </si>
  <si>
    <t>https://direct.argusmedia.com/newsandanalysis/Article/2464312</t>
  </si>
  <si>
    <t>[1869]</t>
  </si>
  <si>
    <t>Borna Hydrogen Plant, phase 1</t>
  </si>
  <si>
    <t>Borna Hydrogen Plant, phase 2</t>
  </si>
  <si>
    <t>https://hh2e.de/en/news/hh2e-announces-its-second-major-green-hydrogen-production-project-in-germany/</t>
  </si>
  <si>
    <t>[1870]</t>
  </si>
  <si>
    <t>Hybla Project</t>
  </si>
  <si>
    <t>https://direct.argusmedia.com/newsandanalysis/Article/2414003</t>
  </si>
  <si>
    <t>[1871]</t>
  </si>
  <si>
    <t>https://direct.argusmedia.com/newsandanalysis/Article/2398817</t>
  </si>
  <si>
    <t>Nujio'qonik Green Hydrogen -phase 1</t>
  </si>
  <si>
    <t>https://fuelcellsworks.com/news/sk-eco-plant-partners-with-canadas-world-energy-gh2-in-a-4-5-billion-green-hydrogen-commercialization-project/</t>
  </si>
  <si>
    <t>https://renewablesnow.com/news/ric-energy-unveils-green-h2-project-it-is-developing-alone-in-spain-782794/</t>
  </si>
  <si>
    <t>[1505] [1874]</t>
  </si>
  <si>
    <t>RIC Energy Valladolidm -phase 2</t>
  </si>
  <si>
    <t>[1874]</t>
  </si>
  <si>
    <t>https://www.neste.com/releases-and-news/sustainability/neste-moves-forward-its-renewable-hydrogen-project-porvoo-finland</t>
  </si>
  <si>
    <t>https://www.reuters.com/business/energy/sinopecs-first-green-hydrogen-plant-xinjiang-starts-production-xinhua-2023-06-30/</t>
  </si>
  <si>
    <t>Ground Investment Corp (GIC) - green hydrogen project</t>
  </si>
  <si>
    <t>https://news.cision.com/metacon-ab/r/metacon-signs-master-supply-agreement-with-ground-investment-corp-srl-for-a-10-mw-turnkey-green-hydr,c3679476</t>
  </si>
  <si>
    <t>[1877]</t>
  </si>
  <si>
    <t>Nascar</t>
  </si>
  <si>
    <t>7.2 kt H2/y (production)</t>
  </si>
  <si>
    <t>https://www.energias-renovables.com/hidrogeno/un-municipio-almeriense-recibira-15-millones-de-20230602</t>
  </si>
  <si>
    <t>[1878]</t>
  </si>
  <si>
    <t>53 MW</t>
  </si>
  <si>
    <t>https://energynews.biz/european-commission-deemed-repsols-escombreras-valley-hydrogen-project-strategic/</t>
  </si>
  <si>
    <t>Vientos Magallanicos</t>
  </si>
  <si>
    <t>https://www.bnamericas.com/es/perfil-proyecto/vientos-magallanicos</t>
  </si>
  <si>
    <t>Dow Stade</t>
  </si>
  <si>
    <t>https://future.hamburg/en/artikel/dow-stade-making-chemicals-industry-carbon-neutral</t>
  </si>
  <si>
    <t>[1881]</t>
  </si>
  <si>
    <t>Swiss Liquid Future - Elkem, methanol plant</t>
  </si>
  <si>
    <t>100 million litres of mthanol/y (production)</t>
  </si>
  <si>
    <t>https://www.swiss-liquid-future.ch/wp-content/uploads/2020/07/2020-07-01_fast-track-CC-in-Norway_PM-Final_revised21-2.pdf</t>
  </si>
  <si>
    <t>[1882]</t>
  </si>
  <si>
    <t>E-methanol plant in Singapore</t>
  </si>
  <si>
    <t>Eastern Cape MeOH plant</t>
  </si>
  <si>
    <t>https://www.engineeringnews.co.za/print-version/consortium-unveils-plans-for-zero-emission-eastern-cape-e-methanol-plant-2021-07-14</t>
  </si>
  <si>
    <t>[1883]</t>
  </si>
  <si>
    <t>Maersk - Ørsted methanol Gulf plant</t>
  </si>
  <si>
    <t>675MW</t>
  </si>
  <si>
    <t>https://orsted.com/en/media/newsroom/news/2022/03/20220310491311</t>
  </si>
  <si>
    <t>[1884]</t>
  </si>
  <si>
    <t>Maersk - Carbon Sink methanol plant</t>
  </si>
  <si>
    <t>200kt MeOH/y</t>
  </si>
  <si>
    <t>100kt MeOH/y</t>
  </si>
  <si>
    <t>https://www.maritime-executive.com/article/maersk-invests-in-green-methanol-production-in-south-dakota</t>
  </si>
  <si>
    <t>[1885]</t>
  </si>
  <si>
    <t>H2 Emden Electrolyzer, phase 1</t>
  </si>
  <si>
    <t>https://direct.argusmedia.com/newsandanalysis/Article/2453161</t>
  </si>
  <si>
    <t>[1886]</t>
  </si>
  <si>
    <t>[1887]</t>
  </si>
  <si>
    <t>https://direct.argusmedia.com/newsandanalysis/Article/2412899</t>
  </si>
  <si>
    <t>Element Resources - Lancaster</t>
  </si>
  <si>
    <t>135MW</t>
  </si>
  <si>
    <t>https://direct.argusmedia.com/newsandanalysis/Article/2412656</t>
  </si>
  <si>
    <t>[1888]</t>
  </si>
  <si>
    <t>17.5MW</t>
  </si>
  <si>
    <t>https://direct.argusmedia.com/newsandanalysis/Article/2413877</t>
  </si>
  <si>
    <t>Solar methanol</t>
  </si>
  <si>
    <t>[1889]</t>
  </si>
  <si>
    <t>[1339][1889]</t>
  </si>
  <si>
    <t>ScaleH2</t>
  </si>
  <si>
    <t>Omnia - WKN Windcurrent  green ammonia plant</t>
  </si>
  <si>
    <t>[1890]</t>
  </si>
  <si>
    <t>https://direct.argusmedia.com/newsandanalysis/Article/2415273</t>
  </si>
  <si>
    <t xml:space="preserve">Brooge Renewable Energy's (BRE) renewable ammonia plant </t>
  </si>
  <si>
    <t>600 kt NH3/y production</t>
  </si>
  <si>
    <t>https://direct.argusmedia.com/newsandanalysis/Article/2420639</t>
  </si>
  <si>
    <t>[1891]</t>
  </si>
  <si>
    <t>Pronghorn H2</t>
  </si>
  <si>
    <t>[1892]</t>
  </si>
  <si>
    <t>https://direct.argusmedia.com/newsandanalysis/Article/2421394</t>
  </si>
  <si>
    <t>Gobi H2</t>
  </si>
  <si>
    <t>https://direct.argusmedia.com/newsandanalysis/Article/2421829</t>
  </si>
  <si>
    <t>[1893]</t>
  </si>
  <si>
    <t>[1894]</t>
  </si>
  <si>
    <t>https://www.offshore-energy.biz/cip-buys-into-blue-ammonia-project-in-the-gulf-coast/</t>
  </si>
  <si>
    <t xml:space="preserve">China State Shipbuilding (CSSC) green hydrogen project in Tong Liao </t>
  </si>
  <si>
    <t>https://direct.argusmedia.com/newsandanalysis/Article/2423789</t>
  </si>
  <si>
    <t>[1896]</t>
  </si>
  <si>
    <t>https://direct.argusmedia.com/newsandanalysis/Article/2425755</t>
  </si>
  <si>
    <t>JGC - Asahi Kasei demo ammonia plant</t>
  </si>
  <si>
    <t>1.46 kt NH3/y production</t>
  </si>
  <si>
    <t>https://direct.argusmedia.com/newsandanalysis/Article/2431768</t>
  </si>
  <si>
    <t>[1897]</t>
  </si>
  <si>
    <t>GuofuHee - CMEC - Longyuan Power grren H2 plant in Inner Mongolia</t>
  </si>
  <si>
    <t>3.3 kt H2/y (production)</t>
  </si>
  <si>
    <t>[1898]</t>
  </si>
  <si>
    <t>https://direct.argusmedia.com/newsandanalysis/Article/2431937</t>
  </si>
  <si>
    <t>30 MW - 50kt MeOH/y</t>
  </si>
  <si>
    <t>https://www.sunfire.de/en/news/detail/project-air-in-sweden-uniper-commissions-sunfire-to-build-a-30-mw-electrolyzer</t>
  </si>
  <si>
    <t>[847] [1363][1437][1899]</t>
  </si>
  <si>
    <t>Lhyfe Bade-Würtemberg</t>
  </si>
  <si>
    <t>https://www.lhyfe.com/press/lhyfe-receives-approval-from-schwaebisch-gmuend-municipal-council-germany-to-develop-local-hydrogen-ecosystem/</t>
  </si>
  <si>
    <t>[1900]</t>
  </si>
  <si>
    <t>Fiume Santo, demo plant</t>
  </si>
  <si>
    <t>Fiume Santo, comercial plant</t>
  </si>
  <si>
    <t>https://hydronews.it/ep-produzione-progetta-un-impianto-di-h2-green-nella-sua-centrale-elettrica-di-fiume-santo-in-sardegna/#:~:text=EP%20Produzione%2C%20controllata%20italiana%20del,una%20centrale%20termoelettrica%20a%20carbone.</t>
  </si>
  <si>
    <t>[1901]</t>
  </si>
  <si>
    <t>OX2 Neptunus Hub</t>
  </si>
  <si>
    <t>225 kt H2/y (production)</t>
  </si>
  <si>
    <t>https://www.offshorewind.biz/2023/03/24/ox2-unveils-plans-for-1-9-gw-offshore-energy-hub-in-southern-baltic-sea/</t>
  </si>
  <si>
    <t>[1902]</t>
  </si>
  <si>
    <t>66 kt MeOH/y (production)</t>
  </si>
  <si>
    <t>Urbaser methanol plant, phase 1</t>
  </si>
  <si>
    <t>Urbaser methanol plant, phase 2</t>
  </si>
  <si>
    <t>70 kt MeOH/y (production)</t>
  </si>
  <si>
    <t>https://direct.argusmedia.com/newsandanalysis/Article/2433885</t>
  </si>
  <si>
    <t>[1903]</t>
  </si>
  <si>
    <t>Los Barrios coal plant, Cadiz, phase 1</t>
  </si>
  <si>
    <t>Los Barrios coal plant, Cadiz, phase 2</t>
  </si>
  <si>
    <t>Los Barrios coal plant, Cadiz, phase 3</t>
  </si>
  <si>
    <t>https://direct.argusmedia.com/newsandanalysis/Article/2434164</t>
  </si>
  <si>
    <t>[1904]</t>
  </si>
  <si>
    <t>https://hydrogen-central.com/hydrogen-utopia-agrees-terms-waste-hydrogen-facility-longford-ireland/</t>
  </si>
  <si>
    <t>[1905]</t>
  </si>
  <si>
    <t>Come By Chance refinery</t>
  </si>
  <si>
    <t>https://www.cbc.ca/news/canada/newfoundland-labrador/ottawa-come-by-chance-refinery-investment-1.6860608</t>
  </si>
  <si>
    <t>[1907]</t>
  </si>
  <si>
    <t>Onyx plant - Port of Rotterdam</t>
  </si>
  <si>
    <t>300kt H2/y</t>
  </si>
  <si>
    <t>https://www.onyx-power.com/en/news-and-press/preparation-of-hydrogen-production-project-in-rotterdam/</t>
  </si>
  <si>
    <t>[1908]</t>
  </si>
  <si>
    <t>Ecopetrol green methanol and biofuel project</t>
  </si>
  <si>
    <t>18 kt H2/y (production)</t>
  </si>
  <si>
    <t>[1909]</t>
  </si>
  <si>
    <t>https://direct.argusmedia.com/newsandanalysis/Article/2442482</t>
  </si>
  <si>
    <t>2.5-10 kt H2/y</t>
  </si>
  <si>
    <t>Chubu Electric Power - Chiyoda - Hazer, phase 1</t>
  </si>
  <si>
    <t>Chubu Electric Power - Chiyoda - Hazer, phase 2</t>
  </si>
  <si>
    <t>50-100 kt H2/y</t>
  </si>
  <si>
    <t>https://www.chiyodacorp.com/media/230411_e_1.pdf</t>
  </si>
  <si>
    <t>[1910]</t>
  </si>
  <si>
    <t>https://adamsforkenergy.com/</t>
  </si>
  <si>
    <t>[1911]</t>
  </si>
  <si>
    <t>Pampas</t>
  </si>
  <si>
    <t>35 kt H2/y (production)</t>
  </si>
  <si>
    <t>https://ffi.com.au/project/pampas_es/</t>
  </si>
  <si>
    <t>[1913]</t>
  </si>
  <si>
    <t>Desarrollo de la industria H2V en Latinoamérica - H2Chile</t>
  </si>
  <si>
    <t>Bear Head Energy - Nova Scotia project</t>
  </si>
  <si>
    <t>2 Mt NH3/y (Production)</t>
  </si>
  <si>
    <t>https://novascotia.ca/nse/ea/bear-head-energy/</t>
  </si>
  <si>
    <t>[1914]</t>
  </si>
  <si>
    <t>Hive H2 Albamed, phase 1</t>
  </si>
  <si>
    <t>https://direct.argusmedia.com/newsandanalysis/Article/2442315</t>
  </si>
  <si>
    <t>[1915]</t>
  </si>
  <si>
    <t>Hive H2 Albamed, phase 2</t>
  </si>
  <si>
    <t>Achema - green hydrogen plant</t>
  </si>
  <si>
    <t>https://www.argusmedia.com/en/news/2441235-lithuanias-achema-plans-213mw-hydrogen-facility</t>
  </si>
  <si>
    <t>[1917]</t>
  </si>
  <si>
    <t>https://direct.argusmedia.com/newsandanalysis/Article/2442717</t>
  </si>
  <si>
    <t>CF's Verdigris Complex (OK)</t>
  </si>
  <si>
    <t>Adams Fork Energy (WV)</t>
  </si>
  <si>
    <t>Dominica Geothermal Development Company - Kenesjay green hydrogen plant</t>
  </si>
  <si>
    <t>27-30 Kt H2/y (production)</t>
  </si>
  <si>
    <t>[1918]</t>
  </si>
  <si>
    <t>https://direct.argusmedia.com/newsandanalysis/Article/2444570</t>
  </si>
  <si>
    <t>5.4GW</t>
  </si>
  <si>
    <t>600MW -240t H2/d production</t>
  </si>
  <si>
    <t>https://energynews.biz/power2x-and-soto-solar-to-build-1-2-gw-pv-and-green-hydrogen-plant-in-spain/</t>
  </si>
  <si>
    <t>ErasmoPower2X</t>
  </si>
  <si>
    <t>Electrolysis Corridor East Germany (H2 Corridor)</t>
  </si>
  <si>
    <t>210MW</t>
  </si>
  <si>
    <t>https://www.doinghydrogen.com/partner/enertrag-ag/</t>
  </si>
  <si>
    <t>[1920]</t>
  </si>
  <si>
    <t>Green Pegasus</t>
  </si>
  <si>
    <t>https://fuelcellsworks.com/news/glenfarne-energy-transition-to-collaborate-with-samsung-engineering-on-green-hydrogen-and-ammonia-initiatives-in-chile/</t>
  </si>
  <si>
    <t>[1921]</t>
  </si>
  <si>
    <t>https://hydrogen-central.com/hazer-advances-collaboration-engie-hazer-facility-france-hydrogen-production/</t>
  </si>
  <si>
    <t>[1922]</t>
  </si>
  <si>
    <t>H2Montoir</t>
  </si>
  <si>
    <t>2500 t H2/yr production</t>
  </si>
  <si>
    <t xml:space="preserve">JSW Steel </t>
  </si>
  <si>
    <t>https://direct.argusmedia.com/newsandanalysis/Article/2453115</t>
  </si>
  <si>
    <t>[1924]</t>
  </si>
  <si>
    <t>Idemitsu Refinery - H2 from municipal waste</t>
  </si>
  <si>
    <t>https://direct.argusmedia.com/newsandanalysis/Article/2439283</t>
  </si>
  <si>
    <t>Port of Argentia</t>
  </si>
  <si>
    <t>https://direct.argusmedia.com/newsandanalysis/Article/2456404</t>
  </si>
  <si>
    <t>[1925]</t>
  </si>
  <si>
    <t>https://direct.argusmedia.com/newsandanalysis/Article/2451404</t>
  </si>
  <si>
    <t>Koping - Waste-to-Hydrogen</t>
  </si>
  <si>
    <t>12 kt H2/y production</t>
  </si>
  <si>
    <t>[1927]</t>
  </si>
  <si>
    <t>https://direct.argusmedia.com/newsandanalysis/Article/2453086</t>
  </si>
  <si>
    <t>Hydrogen for self-sufficiency</t>
  </si>
  <si>
    <t xml:space="preserve">H2 production for a H2 Fuell station </t>
  </si>
  <si>
    <t>Hydrogen for fuel cell testing and heat recovery</t>
  </si>
  <si>
    <t>https://www.enapter.com/newsroom/enapter-receives-canadian-order-for-two-1-megawatt-electrolysers</t>
  </si>
  <si>
    <t>[1928]</t>
  </si>
  <si>
    <t>https://www.enapter.com/newsroom/dutch-energy-company-orders-megawatt-class-electrolyser</t>
  </si>
  <si>
    <t>[1929]</t>
  </si>
  <si>
    <t>https://www.enapter.com/newsroom/first-order-placed-for-enapters-aem-multicore-megawatt-class-electrolyser-system</t>
  </si>
  <si>
    <t>[1930]</t>
  </si>
  <si>
    <t>https://direct.argusmedia.com/newsandanalysis/Article/2399721</t>
  </si>
  <si>
    <t>Argus Hydrogen and Future Fuels, 16 May 2023</t>
  </si>
  <si>
    <t>[1932]</t>
  </si>
  <si>
    <t>https://timesofoman.com/article/131167-vale-signs-agreement-to-establish-integrated-industrial-complex-in-duqm</t>
  </si>
  <si>
    <t>Breogan project</t>
  </si>
  <si>
    <t>10 kt H2/y (production)</t>
  </si>
  <si>
    <t>https://greenalia.es/en/articles/greenalia-and-p2x-europe-join-forces-to-develop-an-efuel-production-project-in-galicia/</t>
  </si>
  <si>
    <t>[1934]</t>
  </si>
  <si>
    <t>https://totalenergies.com/media/news/press-releases/united-states-totalenergies-and-tes-join-forces-develop-large-scale-e-ng</t>
  </si>
  <si>
    <t>BalticSeaH2</t>
  </si>
  <si>
    <t>100 kt H2/y (production)</t>
  </si>
  <si>
    <t>Argus Hydrogen and Future Fuels, 6 June 2023</t>
  </si>
  <si>
    <t>[1936]</t>
  </si>
  <si>
    <t>Bahia H2 Offshore</t>
  </si>
  <si>
    <t>1.8GW</t>
  </si>
  <si>
    <t>RIC Energy Valladolid -phase 1</t>
  </si>
  <si>
    <t>https://elperiodicodelaenergia.com/dos-proyectos-repsol-impulsar-hidrogeno-renovable-espana-reciben-25-millones-ayudas-idae/</t>
  </si>
  <si>
    <t>[1937]</t>
  </si>
  <si>
    <t>Calix green steel plant</t>
  </si>
  <si>
    <t>30 kt DRI</t>
  </si>
  <si>
    <t>https://fuelcellsworks.com/news/calix-plans-to-build-a-hydrogen-based-iron-plant-in-australia/?mc_cid=47fbff2b40&amp;mc_eid=da4624d261</t>
  </si>
  <si>
    <t>[1938]</t>
  </si>
  <si>
    <t>[1939]</t>
  </si>
  <si>
    <t>https://fuelcellsworks.com/news/octopus-energy-and-res-to-swap-gas-for-green-hydrogen-at-andrex-kleenex-factories-in-the-uk/?mc_cid=0c0b824e23&amp;mc_eid=da4624d261</t>
  </si>
  <si>
    <t>IAM Caecius</t>
  </si>
  <si>
    <t>[1940]</t>
  </si>
  <si>
    <t>https://hidrogeno-verde.es/tres-proyectos-de-edp-hidrogeno-verde/</t>
  </si>
  <si>
    <t>Green Port Langosteira</t>
  </si>
  <si>
    <t>150 kt NH3/y (Production)</t>
  </si>
  <si>
    <t>https://hidrogeno-verde.es/planta-amoniaco-verde-en-langosteira/</t>
  </si>
  <si>
    <t>[1941]</t>
  </si>
  <si>
    <t>Raven Iberia Zaragoza waste-to-hydrogen plant</t>
  </si>
  <si>
    <t>1.6 kt H2/y</t>
  </si>
  <si>
    <t>[1942]</t>
  </si>
  <si>
    <t>https://hydrogen-central.com/raven-sr-receives-e1-7-million-grant-from-european-commission-support-waste-hydrogen-production-facility-in-spain/</t>
  </si>
  <si>
    <t>Invenergy Port of Grays Harbor</t>
  </si>
  <si>
    <t>45t H2/d</t>
  </si>
  <si>
    <t>[1943]</t>
  </si>
  <si>
    <t>https://fuelcellsworks.com/news/port-of-grays-harbor-commission-approves-leasing-option-to-invenergy-for-potential-green-hydrogen-project/?mc_cid=850deae301&amp;mc_eid=da4624d261</t>
  </si>
  <si>
    <t>Lhyfe - Schaeffler Group plant in Herzogenaurach</t>
  </si>
  <si>
    <t>[1944]</t>
  </si>
  <si>
    <t>https://www.lhyfe.com/press/lhyfe-and-schaeffler-enter-cooperation-agreement-to-build-industrial-hydrogen-plant-in-germany/</t>
  </si>
  <si>
    <t>Sungas first green methanol facility</t>
  </si>
  <si>
    <t>https://www.constructionweekonline.in/business/a-p-moller-maersk-sungas-renewables-sign-strategic-green-methanol-partnership</t>
  </si>
  <si>
    <t>[1945]</t>
  </si>
  <si>
    <t>390kt MeOH/y</t>
  </si>
  <si>
    <t>https://mp.weixin.qq.com/s/p1Pvn5fE_3jCuxldncD49A</t>
  </si>
  <si>
    <t>HBIS DRI in Zhangxuan Technology of Hesteel Group</t>
  </si>
  <si>
    <t>1.2Mt steel</t>
  </si>
  <si>
    <t>Barataria - pHYnix</t>
  </si>
  <si>
    <t>https://phynix-energy.eu/phynix-anuncia-su-segundo-proyecto-de-produccion-de-hidrogeno-renovable-barataria-de-70mw/</t>
  </si>
  <si>
    <t>[1946]</t>
  </si>
  <si>
    <t>RDSF - Metacon MoU</t>
  </si>
  <si>
    <t>https://fuelcellsworks.com/news/metacon-signs-mou-to-supply-electrolyser-system-for-green-hydrogen-project-in-poland/?mc_cid=6e3fa770f1&amp;mc_eid=da4624d261</t>
  </si>
  <si>
    <t>[1947]</t>
  </si>
  <si>
    <t>Bradford Low Carbon Hydrogen</t>
  </si>
  <si>
    <t>H2 Production Plant at High Marnham</t>
  </si>
  <si>
    <t>HyBont</t>
  </si>
  <si>
    <t>Quill 2</t>
  </si>
  <si>
    <t>https://www.gov.uk/government/publications/hydrogen-production-business-model-net-zero-hydrogen-fund-shortlisted-projects/hydrogen-business-model-net-zero-hydrogen-fund-shortlisted-projects-allocation-round-2022</t>
  </si>
  <si>
    <t>[1948]</t>
  </si>
  <si>
    <t>150 MW</t>
  </si>
  <si>
    <t>https://www.gov.uk/government/publications/net-zero-hydrogen-fund-strands-1-and-2-successful-applicants/net-zero-hydrogen-fund-strands-1-and-2-summaries-of-successful-applicants-round-1-april-2022-competition</t>
  </si>
  <si>
    <t>[1822][1949]</t>
  </si>
  <si>
    <t>Northern Irish hydrogen project - Ballymena Hydrogen</t>
  </si>
  <si>
    <t>Suntory Hakushu Distillery and Suntory Minami Alps Hakushu Water Plant</t>
  </si>
  <si>
    <t>https://www.suntory.com/news/article/14225E.html</t>
  </si>
  <si>
    <t>[1950]</t>
  </si>
  <si>
    <t>Alesund green hydrogen project - phase 1 - FjordH2</t>
  </si>
  <si>
    <t>Alesund green hydrogen project - phase 2 - FjordH2</t>
  </si>
  <si>
    <t>Biomass-to-Hydrogen project</t>
  </si>
  <si>
    <t>BrightLoop technology</t>
  </si>
  <si>
    <t>[1951]</t>
  </si>
  <si>
    <t>https://www.businesswire.com/news/home/20221121005294/en/Babcock-Wilcox-Announces-Agreement-to-Study-Development-of-Biomass-to-Hydrogen-Project-in-South-Korea-Using-BrightLoop%E2%84%A2-Technology</t>
  </si>
  <si>
    <t>OCP Group Ammonia project</t>
  </si>
  <si>
    <t>https://www.ammoniaenergy.org/articles/fertiliser-giant-ocp-group-to-go-fully-renewable-eliminate-ammonia-imports-to-morocco/</t>
  </si>
  <si>
    <t>[1952]</t>
  </si>
  <si>
    <t>Methanol Plant - Puglia</t>
  </si>
  <si>
    <t>https://hydronews.it/a-nextchem-lo-studio-di-fattibilita-di-un-impianto-di-produzione-di-metanolo-green-da-h2-co2-in-puglia/</t>
  </si>
  <si>
    <t>[1953]</t>
  </si>
  <si>
    <t>https://fuelcellsworks.com/news/hydrogen-utopia-explores-opportunities-for-converting-plastic-waste-into-hydrogen-in-estonia/?mc_cid=44d2eee315&amp;mc_eid=da4624d261</t>
  </si>
  <si>
    <t>[1954]</t>
  </si>
  <si>
    <t>https://fuelcellsworks.com/news/carbonloop-and-haffner-energy-announce-order-for-hynoca-equipment-for-first-two-hydrogen-and-biochar-production-sites-from-biomass/?mc_cid=0c0b824e23&amp;mc_eid=da4624d261</t>
  </si>
  <si>
    <t>[1955]</t>
  </si>
  <si>
    <t>Hydrogen from Biomass</t>
  </si>
  <si>
    <t>225 t H2/y production</t>
  </si>
  <si>
    <t>Hydrogen Micro Hub</t>
  </si>
  <si>
    <t>[1956]</t>
  </si>
  <si>
    <t>https://www.hydrogeninsight.com/innovation/korean-conglomerates-plan-to-produce-clean-hydrogen-from-an-ultra-safe-micro-nuclear-reactor-in-the-heart-of-seoul/2-1-1439877</t>
  </si>
  <si>
    <t>Navarra hydrogen project</t>
  </si>
  <si>
    <t>400kW</t>
  </si>
  <si>
    <t>[1957]</t>
  </si>
  <si>
    <t>https://www.lainformacion.com/empresas/siemens-gamesa-hiperbaric-ariema-hidrogeno-navarra/2885011/</t>
  </si>
  <si>
    <t>Indaver</t>
  </si>
  <si>
    <t>[1958]</t>
  </si>
  <si>
    <t>https://www.eolasmagazine.ie/indaver-is-ready-to-contribute-to-a-new-hydrogen-economy/</t>
  </si>
  <si>
    <t>https://thecurrency.news/articles/80215/bord-na-mona-enrols-boc-for-green-hydrogen-business/</t>
  </si>
  <si>
    <t>[1959]</t>
  </si>
  <si>
    <t>Bord Na Mona &amp; BOC hydrogen project</t>
  </si>
  <si>
    <t>Mercury Renewables H2 Project</t>
  </si>
  <si>
    <t>[1960]</t>
  </si>
  <si>
    <t>https://www.climatecouncil.ie/media/climatechangeadvisorycouncil/contentassets/publications/Hydrogen%20in%20Ireland%20web%20version.pdf</t>
  </si>
  <si>
    <t>https://hydrogen-central.com/esb-green-energy-hub-hydrogen-moneypoint-ireland/</t>
  </si>
  <si>
    <t>[1961]</t>
  </si>
  <si>
    <t>Green Atlantic at Moneypoint project</t>
  </si>
  <si>
    <t>https://eih2.ie/e120m-green-energy-facility-planned-for-cork-creating-85-jobs/</t>
  </si>
  <si>
    <t>[1962]</t>
  </si>
  <si>
    <t>EI-H2 project</t>
  </si>
  <si>
    <t>Duisburg Harbor</t>
  </si>
  <si>
    <t>[1963]</t>
  </si>
  <si>
    <t>https://fuelcellsworks.com/news/lhyfe-and-duisport-plan-first-green-hydrogen-production-plant-in-duisburg-harbor-the-largest-inland-port-in-the-world/?mc_cid=cb7d9f94fc&amp;mc_eid=da4624d261</t>
  </si>
  <si>
    <t>https://renewablesnow.com/news/hynfra-plans-200000-tonnes-green-ammonia-plant-in-jordan-827164/</t>
  </si>
  <si>
    <t>Ammonia project Jordan</t>
  </si>
  <si>
    <t>https://www.hydrogeninsight.com/industrial/pioneer-heineken-and-siemens-launch-joint-venture-to-decarbonise-eu-fertiliser-production-with-green-hydrogen/2-1-1479482</t>
  </si>
  <si>
    <t>Daystar Energy - Columboola Renewable Energy Hub (CREH)</t>
  </si>
  <si>
    <t>http://daystarenergy.com.au/</t>
  </si>
  <si>
    <t>[1966]</t>
  </si>
  <si>
    <t>https://k-rep.com.au/</t>
  </si>
  <si>
    <t>[1967]</t>
  </si>
  <si>
    <t>Kumbarilla Renewable Energy Park (K-REP) - phase 1</t>
  </si>
  <si>
    <t>Kumbarilla Renewable Energy Park (K-REP)- phase 2</t>
  </si>
  <si>
    <t>250kW</t>
  </si>
  <si>
    <t>https://www.hydrogeninsight.com/production/worlds-largest-construction-begins-at-chinas-biggest-green-ammonia-plant/2-1-1484607</t>
  </si>
  <si>
    <t>[1968]</t>
  </si>
  <si>
    <t>10 million cubic feet H2/d</t>
  </si>
  <si>
    <t xml:space="preserve"> 459000 t NH3/y production</t>
  </si>
  <si>
    <t xml:space="preserve">Three Gorges Corp.'s Inner Mongolia project </t>
  </si>
  <si>
    <t>https://www.chinadaily.com.cn/a/202306/30/WS649e36c8a310bf8a75d6c825.html</t>
  </si>
  <si>
    <t>Twelve Moses Lake SAF project</t>
  </si>
  <si>
    <t>40000 gallons/y (production)</t>
  </si>
  <si>
    <t>https://www.fastcompany.com/90921721/twelve-factory-captured-co2-1-million-gallons-of-jet-fuel-sustainable-aviation-fuel</t>
  </si>
  <si>
    <t>[1970]</t>
  </si>
  <si>
    <t>https://www.ijglobal.com/articles/174169/atco-shelves-oz-hydrogen</t>
  </si>
  <si>
    <t>https://direct.argusmedia.com/newsandanalysis/article/2471712</t>
  </si>
  <si>
    <t>https://www.hydrogeninsight.com/industrial/indian-steel-giant-to-start-using-green-hydrogen-within-two-years/2-1-1492967</t>
  </si>
  <si>
    <t>[1924][1973]</t>
  </si>
  <si>
    <t>NG w CCUS+Electrolysis</t>
  </si>
  <si>
    <t>https://direct.argusmedia.com/newsandanalysis/Article/2476003</t>
  </si>
  <si>
    <t>Grid+Renewables</t>
  </si>
  <si>
    <t>FID/Construction</t>
  </si>
  <si>
    <t>Nujio'qonik Green Hydrogen -phase 2</t>
  </si>
  <si>
    <t>https://worldenergygh2.com/about/</t>
  </si>
  <si>
    <t>[1873][1975]</t>
  </si>
  <si>
    <t>https://fuelcellsworks.com/news/walmart-chile-initiates-plan-to-operate-100-of-its-green-hydrogen-logistics-network/?mc_cid=be1ca95ecf&amp;mc_eid=da4624d261</t>
  </si>
  <si>
    <t>[958] [1322] [1976]</t>
  </si>
  <si>
    <t>Shanghai Chemical Industry Park</t>
  </si>
  <si>
    <t>ATR+CCUS</t>
  </si>
  <si>
    <t>SMR+CCUS</t>
  </si>
  <si>
    <t>Coke gasification with CCUS</t>
  </si>
  <si>
    <t>Bitumen gasification+CCUS</t>
  </si>
  <si>
    <t>Coal gasification with CCUS</t>
  </si>
  <si>
    <t>Petroleum coke+CCUS</t>
  </si>
  <si>
    <t>Petcoke+biomass gasification with CCUS</t>
  </si>
  <si>
    <t>Heavy oil residue gasification+CCUS</t>
  </si>
  <si>
    <t>Combination of electrolysis and NG w CCUS</t>
  </si>
  <si>
    <t>Waste gasification CCUS</t>
  </si>
  <si>
    <t>70,000 Nm3/h</t>
  </si>
  <si>
    <t>https://www.airliquide.com/group/press-releases-news/2022-07-19/air-liquide-build-two-new-hydrogen-production-units-carbon-capture-technology-shanghai-chemical</t>
  </si>
  <si>
    <t>North CCU HUB, phase 1. North C Hydrogen</t>
  </si>
  <si>
    <t>65MW-45kt MeOH</t>
  </si>
  <si>
    <t>Terranova Hydrogen</t>
  </si>
  <si>
    <t>Belgium Hydrogen Council</t>
  </si>
  <si>
    <t>https://www.bp.com/en_au/australia/home/who-we-are/reimagining-energy/low-carbon-technology/geraldton-export-scale-renewable-investment.html</t>
  </si>
  <si>
    <t>[272][638]</t>
  </si>
  <si>
    <t>600MW - 1 million t CO2/y</t>
  </si>
  <si>
    <t>1.2GW - 2 million t CO2/y</t>
  </si>
  <si>
    <t>Lingen Green Hydrogen (LGH2) Phase 2</t>
  </si>
  <si>
    <t>Lingen Green Hydrogen (LGH2) Phase 1</t>
  </si>
  <si>
    <t>https://www.bp.com/en/global/corporate/news-and-insights/press-releases/bp-to-explore-potential-for-green-hydrogen-production-in-egypt.html</t>
  </si>
  <si>
    <t>Green fertilizer project Porsgrunn-Heroya, phase 1 - SKREI</t>
  </si>
  <si>
    <t>Denain - Phase I</t>
  </si>
  <si>
    <t>Denain - Phase II</t>
  </si>
  <si>
    <t>CarlHYng</t>
  </si>
  <si>
    <t>Alp’Hyne</t>
  </si>
  <si>
    <t>H2BYCOL</t>
  </si>
  <si>
    <t>Angeles Link</t>
  </si>
  <si>
    <t>10-20GW</t>
  </si>
  <si>
    <t>https://www.socalgas.com/sites/default/files/2022-03/STF-Angeles-Link-ESP-Fact-Sheet-1.pdf</t>
  </si>
  <si>
    <t>[1979]</t>
  </si>
  <si>
    <t>ACME SCZONE Green Ammonia Plant</t>
  </si>
  <si>
    <t>2.2 Mt H2/y (production)</t>
  </si>
  <si>
    <t>https://hydrogen-central.com/egypts-suez-canal-zone-indias-acme-sign-framework-agreement-green-hydrogen-project-in-sokhna/</t>
  </si>
  <si>
    <t>[1980]</t>
  </si>
  <si>
    <t>Globeleq green hydrogen project, phase 1</t>
  </si>
  <si>
    <t>3.6GW</t>
  </si>
  <si>
    <t>https://www.globeleq.com/blog/globeleq-partners-with-government-of-egypt-to-develop-a-large-scale-green-hydrogen-project/</t>
  </si>
  <si>
    <t>[1981]</t>
  </si>
  <si>
    <t>Daures Green Hydrogen Village, phase 1</t>
  </si>
  <si>
    <t>Daures Green Hydrogen Village, phase 2</t>
  </si>
  <si>
    <t>Daures Green Hydrogen Village, phase 3</t>
  </si>
  <si>
    <t>Daures Green Hydrogen Village, phase 4</t>
  </si>
  <si>
    <t>https://daures.green/</t>
  </si>
  <si>
    <t>https://www.woodside.com/docs/default-source/media-releases/meridian's-southern-green-hydrogen-project-selects-woodside-energy-as-preferred-partner.pdf?sfvrsn=ae69d7a1_3</t>
  </si>
  <si>
    <t>&gt;465MW - 66.9 kt H2/y (production)</t>
  </si>
  <si>
    <t>Hynamics Dunkirk</t>
  </si>
  <si>
    <t>Data from EDF</t>
  </si>
  <si>
    <t>Hynamics Martres-Tolosane</t>
  </si>
  <si>
    <t>Vitry H2</t>
  </si>
  <si>
    <t>Hynamics LH2</t>
  </si>
  <si>
    <t>Hynamics VSGP</t>
  </si>
  <si>
    <t>Hynamics Cannes</t>
  </si>
  <si>
    <t>Hynamics Hydom</t>
  </si>
  <si>
    <t>Take Kair</t>
  </si>
  <si>
    <t>https://www.edf.fr/groupe-edf/espaces-dedies/journalistes/tous-les-communiques-de-presse/edf-holcim-ifpen-et-axens-sassocient-pour-participer-ensemble-a-la-creation-de-la-filiere-francaise-de-e-carburant-pour-le-transport-aerien-avec-le-projet-take-kair-soutenu-par-air</t>
  </si>
  <si>
    <t>Holyhead Hub</t>
  </si>
  <si>
    <t>https://www.dailypost.co.uk/news/north-wales-news/holyhead-hydrogen-hub-accelerated-deal-26940438</t>
  </si>
  <si>
    <t>[1984]</t>
  </si>
  <si>
    <t>Stanwell Power Station - Hysata DEMO</t>
  </si>
  <si>
    <t>Hysata capillary design</t>
  </si>
  <si>
    <t>Hysata tech</t>
  </si>
  <si>
    <t>https://www.pv-magazine.com/2023/08/14/hysata-testing-hydrogen-electrolyzer-tech-in-real-world-setting/</t>
  </si>
  <si>
    <t>[1985]</t>
  </si>
  <si>
    <t>Eni Sannazzaro Waste to Methanol/H2</t>
  </si>
  <si>
    <t>Data from ENI</t>
  </si>
  <si>
    <t>1 GW H2 - 1.8 Gt CO2</t>
  </si>
  <si>
    <t>1200MW</t>
  </si>
  <si>
    <t>H2H Saltend, phase 2</t>
  </si>
  <si>
    <t>H2H Saltend, phase 1</t>
  </si>
  <si>
    <t>https://doggerbank.com/doggerbankd/</t>
  </si>
  <si>
    <t>Clean Hydrogen to Europe Phase 1</t>
  </si>
  <si>
    <t>2000MW H2 - 3.6 Gt CO2/y</t>
  </si>
  <si>
    <t>Data from Equinor</t>
  </si>
  <si>
    <t>https://www.equinor.com/news/20230105-equinor-rwe-cooperation</t>
  </si>
  <si>
    <t>[1987], Data from Equinor</t>
  </si>
  <si>
    <t>Repsol Cartagena, phase 1</t>
  </si>
  <si>
    <t>https://bahiah2.com/</t>
  </si>
  <si>
    <t>Repsol Bilbao port synfuels project</t>
  </si>
  <si>
    <t>Meirama, phase 2</t>
  </si>
  <si>
    <t>Repsol Tarragona, phase 1</t>
  </si>
  <si>
    <t>Sines Repsol, phase 1</t>
  </si>
  <si>
    <t>Data from Repsol</t>
  </si>
  <si>
    <t>Electrolyzers with "network related function" in Apulia - Phase 1</t>
  </si>
  <si>
    <t>[853], Data from Snam</t>
  </si>
  <si>
    <t>Electrolyzers with "network related function" in Apulia - Phase 2</t>
  </si>
  <si>
    <t>Electrolyzers with "network related function" in Sicily - Phase 1</t>
  </si>
  <si>
    <t>Electrolyzers with "network related function" in Sicily - Phase 2</t>
  </si>
  <si>
    <t>Data from Snam</t>
  </si>
  <si>
    <t>IdrogeMO</t>
  </si>
  <si>
    <t>H2 Pilotanlage Lingen, phase 2</t>
  </si>
  <si>
    <t>Wasserstoffpark Lingen</t>
  </si>
  <si>
    <t>AquaSector</t>
  </si>
  <si>
    <t>AquaVentus (completion)</t>
  </si>
  <si>
    <t>110MW</t>
  </si>
  <si>
    <t>https://energyport-rostock.de/en/</t>
  </si>
  <si>
    <t>[889][945][1988]</t>
  </si>
  <si>
    <t>[889][945][1998]</t>
  </si>
  <si>
    <t>H2@Hydro</t>
  </si>
  <si>
    <t>Data from RWE</t>
  </si>
  <si>
    <t>10 kt H2/y production - 15x1000 Nm3/h units</t>
  </si>
  <si>
    <t>https://www.spglobal.com/commodityinsights/en/market-insights/latest-news/energy-transition/063023-two-green-hydrogen-projects-totaling-30000-mtyear-of-capacity-start-up-in-china</t>
  </si>
  <si>
    <t>[1969] [1989]</t>
  </si>
  <si>
    <t>https://hydrogen.johncockerill.com/en/markets/power-to-gas/</t>
  </si>
  <si>
    <t>[922][972][1148][1876][1990]</t>
  </si>
  <si>
    <t xml:space="preserve">3MW or 1,000kg H2 /d </t>
  </si>
  <si>
    <t>1 MW - 750000 l MeOH/y</t>
  </si>
  <si>
    <t>Antofagasta Mining Energy Renewable -AMER H2</t>
  </si>
  <si>
    <t>H2GN - Power-to-gas Coquimbo</t>
  </si>
  <si>
    <t>Hydrogen Generation Unit  - H2V Las Tortolas</t>
  </si>
  <si>
    <t>Wally - Walmart Quilicura forklifts</t>
  </si>
  <si>
    <t>HValleSur</t>
  </si>
  <si>
    <t>Faraday - ACH-MRP</t>
  </si>
  <si>
    <t>AES Andes Power to Ammonia project</t>
  </si>
  <si>
    <t>Kalisaya - stage 1</t>
  </si>
  <si>
    <t>2100MW or 102 kt H2/y production</t>
  </si>
  <si>
    <t>2000MW or 110kt H2/y production</t>
  </si>
  <si>
    <t>2000MW or 180kt H2/y production</t>
  </si>
  <si>
    <t>[1991]</t>
  </si>
  <si>
    <t>https://indho.cl/en/projects/pv-h2-kalisaya/</t>
  </si>
  <si>
    <t>Kalisaya - stage 2</t>
  </si>
  <si>
    <t>Kalisaya - stage 3</t>
  </si>
  <si>
    <t>Zorzal Project</t>
  </si>
  <si>
    <t>https://www.s-ge.com/en/system/files?file=event/downloads/20220525%20Green%20Hydrogen%20projects%20Chile.pdf&amp;ct</t>
  </si>
  <si>
    <t>[1992]</t>
  </si>
  <si>
    <t>Renewastable Kosten Aike</t>
  </si>
  <si>
    <t>300 Kg H2/d production</t>
  </si>
  <si>
    <t>900 t H2/y production</t>
  </si>
  <si>
    <t>H2 Genesis Project</t>
  </si>
  <si>
    <t>San Pedro Mining Project</t>
  </si>
  <si>
    <t>Pionero Project</t>
  </si>
  <si>
    <t>HydrGEN I</t>
  </si>
  <si>
    <t>Blue but better (ALB) (Canada Net-zero Hydrogen Energy Complex), phase 1</t>
  </si>
  <si>
    <t>140kt H2/y - 0.77 Mt CO2/y</t>
  </si>
  <si>
    <t>https://www.airproducts.com/company/news-center/2022/11/1108-air-products-receive-475-million-cad-net-zero-hydrogen-complex-funding</t>
  </si>
  <si>
    <t>[947][1993]</t>
  </si>
  <si>
    <t>Biomethane and hydrogen production from biomass</t>
  </si>
  <si>
    <t>Green Urea production in Colombia</t>
  </si>
  <si>
    <t>Prothium</t>
  </si>
  <si>
    <t>Deuterium</t>
  </si>
  <si>
    <t>Sumitomo Corporation Mobility</t>
  </si>
  <si>
    <t>TW Solar Sucre</t>
  </si>
  <si>
    <t>TGI LOHC</t>
  </si>
  <si>
    <t>AES Colombia</t>
  </si>
  <si>
    <t>HRS hydrogen refueling station</t>
  </si>
  <si>
    <t>HUB hidrogeno Atlántico II</t>
  </si>
  <si>
    <t>HUB hidrogeno verde Cartagena</t>
  </si>
  <si>
    <t>HUB Barranquilla</t>
  </si>
  <si>
    <t xml:space="preserve">Optimization of a multifluid system for parallel generation and sale of electricity and green hydrogen and associated services for industrial customers </t>
  </si>
  <si>
    <t>BEAUTY AMMONIA</t>
  </si>
  <si>
    <t>SITP Hydrogen Bus</t>
  </si>
  <si>
    <t>2,3 MW</t>
  </si>
  <si>
    <t>3 GW</t>
  </si>
  <si>
    <t>1,2 MW</t>
  </si>
  <si>
    <t>165 kW</t>
  </si>
  <si>
    <t>30MW - 100 ton urea/ day</t>
  </si>
  <si>
    <t>Colombian Hydrogen Association</t>
  </si>
  <si>
    <t>700 kt NH3/y production</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</si>
  <si>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</si>
  <si>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</si>
  <si>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</si>
  <si>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</si>
  <si>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</si>
  <si>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</si>
  <si>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</si>
  <si>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</si>
  <si>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</si>
  <si>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</si>
  <si>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</si>
  <si>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https://tci-gecomp.com/en/project/arichile-h2-en/</t>
  </si>
  <si>
    <t>ARICHILE project</t>
  </si>
  <si>
    <t>[1994]</t>
  </si>
  <si>
    <t>https://www.biobiochile.cl/especial/aqui-tierra/noticias/2022/11/23/podria-operar-en-2024-chile-estrenara-su-primer-tren-cero-emisiones-con-100-hidrogeno-verde.shtml</t>
  </si>
  <si>
    <t>Hydrogen train</t>
  </si>
  <si>
    <t>[1995]</t>
  </si>
  <si>
    <t>https://www.fishfarmingexpert.com/green-hydrogen-generation-hydroelectric-power-mowi-chile/mowi-seeks-to-run-farms-on-home-made-hydrogen/1283091</t>
  </si>
  <si>
    <t>MowiUACH</t>
  </si>
  <si>
    <t>[1996]</t>
  </si>
  <si>
    <t>https://h2lac.org/noticias/planta-piloto-movil-de-h2v-permitira-cuantificar-el-potencial-de-generacion-de-la-region-de-antofagasta/</t>
  </si>
  <si>
    <t>Planta Piloto Móvil de H2V</t>
  </si>
  <si>
    <t>[1997]</t>
  </si>
  <si>
    <t>https://chile.hyvolution.com/en/2023/06/20/mae-exhibits-at-hyvolution-and-brings-its-experience-in-the-development-of-a-pioneering-green-hydrogen-project-in-chile/</t>
  </si>
  <si>
    <t>Volta project</t>
  </si>
  <si>
    <t>290 kt NH3/y production</t>
  </si>
  <si>
    <t>[1998]</t>
  </si>
  <si>
    <t>Llaquedona green hydrogen</t>
  </si>
  <si>
    <t>[1829] [1992]</t>
  </si>
  <si>
    <t>Gente Grande project - TEG Chile Magallanes</t>
  </si>
  <si>
    <t>3.1MW</t>
  </si>
  <si>
    <t>H2Pioneer - H2 Carinthia</t>
  </si>
  <si>
    <t xml:space="preserve">0.7 MW or 100 kg H2/d </t>
  </si>
  <si>
    <t>REDDAP - REnewable Distributed &amp; Dynamic Ammonia Plant</t>
  </si>
  <si>
    <t>Woikoski Kokkola H2 plant</t>
  </si>
  <si>
    <t>Tecoil</t>
  </si>
  <si>
    <t>1MW or 300 kg H2/d</t>
  </si>
  <si>
    <t>Trailblazer - Siemens-Air Liquide Oberhausen, Phase 1</t>
  </si>
  <si>
    <t>Trailblazer - Siemens-Air Liquide Oberhausen, Phase 2</t>
  </si>
  <si>
    <t>8.8MW</t>
  </si>
  <si>
    <t>6.3 MW</t>
  </si>
  <si>
    <t>5MWor 1.2t H2/d (production)</t>
  </si>
  <si>
    <t>SALCOS - WindH2 Windwasserstoff Salzgitter</t>
  </si>
  <si>
    <t>Wind to Gas Südermarsch</t>
  </si>
  <si>
    <t>WindGas Falkenhagen</t>
  </si>
  <si>
    <t>Fairfuel Atmosfair</t>
  </si>
  <si>
    <t>1.3MW</t>
  </si>
  <si>
    <t>Green Hydrogen Esslingen (P2G2P)</t>
  </si>
  <si>
    <t>0.8 MW</t>
  </si>
  <si>
    <t>BÜKKABRÁNY PtG</t>
  </si>
  <si>
    <t>Hellisheidi ON Power ely</t>
  </si>
  <si>
    <t>H2GO Energy Park Oude-Tonge - 1st phase</t>
  </si>
  <si>
    <t>H2GO Energy Park Oude-Tonge - 2nd phase</t>
  </si>
  <si>
    <t>0.7Mw or 150m3 H2/h</t>
  </si>
  <si>
    <t>HRS TMB Zona Franca de Barcelona</t>
  </si>
  <si>
    <t>0.7MW or 12 kg H2/h</t>
  </si>
  <si>
    <t>[1999]</t>
  </si>
  <si>
    <t>Wasserstoffproduktion Ostschweiz AG</t>
  </si>
  <si>
    <t>https://hydrogen-central.com/opening-hydrogen-production-plant-kubel-power-plant/</t>
  </si>
  <si>
    <t>[2001]</t>
  </si>
  <si>
    <t>Hitachi Zosen Inova HZI PtH Buchs</t>
  </si>
  <si>
    <t>2.3 MW</t>
  </si>
  <si>
    <t>https://bioenergyinternational.com/hzi-to-develop-first-small-scale-waste-to-hydrogen/</t>
  </si>
  <si>
    <t>[2002]</t>
  </si>
  <si>
    <t>0.7 MW</t>
  </si>
  <si>
    <t>Aberdeen Kittybrewster, Hydrogen bus project</t>
  </si>
  <si>
    <t>Tyseley Energy Park refuelling hub Birmingham</t>
  </si>
  <si>
    <t>Arbikie Distillery</t>
  </si>
  <si>
    <t>https://www.hvnplus.co.uk/news/arbikie-distillery-begins-work-on-hydrogen-heating-installation-02-02-2023/</t>
  </si>
  <si>
    <t>[2003]</t>
  </si>
  <si>
    <t>Vhya Lorraine</t>
  </si>
  <si>
    <t>Blue Hydrogen</t>
  </si>
  <si>
    <t>Green Ammonia</t>
  </si>
  <si>
    <t>Hydrogen for heavy duty transport</t>
  </si>
  <si>
    <t>Green Hydrogen</t>
  </si>
  <si>
    <t>Green hydrogen for national industry and derivatives for export</t>
  </si>
  <si>
    <t>Not defined</t>
  </si>
  <si>
    <t>3500 MW</t>
  </si>
  <si>
    <t>2300 MW</t>
  </si>
  <si>
    <t>245293 Nm3/h</t>
  </si>
  <si>
    <t>7607 Nm3/h</t>
  </si>
  <si>
    <t>700MW - 2 Mt DRI</t>
  </si>
  <si>
    <t>Gonfreville Raffinerie</t>
  </si>
  <si>
    <t>H2V 59, 1st phase</t>
  </si>
  <si>
    <t>H2V 59, 2nd phase</t>
  </si>
  <si>
    <t>GH2 Ambès (Phase 1)</t>
  </si>
  <si>
    <t>GH2 Ambès (Phase 2, final)</t>
  </si>
  <si>
    <t xml:space="preserve">Normand’Hy - Air Liquide </t>
  </si>
  <si>
    <t>Hynovi - Vicat Montalieu-Vercieu cement plant</t>
  </si>
  <si>
    <t>H2V Marseille - Fos (Phase 1)</t>
  </si>
  <si>
    <t>H2V Marseille - Fos (Phase 6, final)</t>
  </si>
  <si>
    <t>H2V Marseille - Fos (Phase 2)</t>
  </si>
  <si>
    <t>H2V Marseille - Fos (Phase 3)</t>
  </si>
  <si>
    <t>H2V Marseille - Fos (Phase 4)</t>
  </si>
  <si>
    <t>H2V Marseille - Fos (Phase 5)</t>
  </si>
  <si>
    <t>CorrHyd'Occ (Occitanie H2 Corridor)</t>
  </si>
  <si>
    <t>H2 Pierre-Bénite (Phase 1)</t>
  </si>
  <si>
    <t>H2 Pierre-Bénite (Phase 2, final)</t>
  </si>
  <si>
    <t>HYNOVERA (Phase 1)</t>
  </si>
  <si>
    <t>https://vighy.france-hydrogene.org/projets/hynovera/</t>
  </si>
  <si>
    <t>H2 Loire Vallée (H2LV)</t>
  </si>
  <si>
    <t>5MW, 2t H2/d</t>
  </si>
  <si>
    <t>Zero Emission Valley (ZEV) - Clermont Ferrand</t>
  </si>
  <si>
    <t>Centrale Electrique de l’Ouest Guyanais (CEOG)</t>
  </si>
  <si>
    <t>Armor Hydrogène</t>
  </si>
  <si>
    <t>Dijon Métropole Smart EnergHy (DMSE) - Station 1</t>
  </si>
  <si>
    <t>Dijon Métropole Smart EnergHy (DMSE) - Station 2</t>
  </si>
  <si>
    <t>https://vighy.france-hydrogene.org/projets/dijon-metropole-smart-energy-dmse/</t>
  </si>
  <si>
    <t>[2005]</t>
  </si>
  <si>
    <t>Pau-Lescar Biofactory</t>
  </si>
  <si>
    <t>1MW electrolyzer, 13000MWh CH4/y</t>
  </si>
  <si>
    <t>Porte de St Cloud HRS station</t>
  </si>
  <si>
    <t>AuxHYGen (Phase 1)</t>
  </si>
  <si>
    <t>AuxHYGen (Phase 2)</t>
  </si>
  <si>
    <t>Sealhyfe</t>
  </si>
  <si>
    <t>1MW, 400 kg H2/d</t>
  </si>
  <si>
    <t>Vallée Hydrogène Grand Ouest (VHyGO) - H2 Ouest (Phase 1)</t>
  </si>
  <si>
    <t>Vallée Hydrogène Grand Ouest (VHyGO) - EffiH2</t>
  </si>
  <si>
    <t>Vallée Hydrogène Grand Ouest (VHyGO) - Saint-Nazaire</t>
  </si>
  <si>
    <t>Vallée Hydrogène Grand Ouest (VHyGO) - Dieppe</t>
  </si>
  <si>
    <t>Vallée Hydrogène Grand Ouest (VHyGO) - H2 Ouest (Phase 2)</t>
  </si>
  <si>
    <t>750kW - 300kg H2/d</t>
  </si>
  <si>
    <t>NFC Belfort (Phase 1)</t>
  </si>
  <si>
    <t>NFC Belfort (Phase 2)</t>
  </si>
  <si>
    <t>1 MW, 400 kg H2/d</t>
  </si>
  <si>
    <t>Houdain bus station HRS (TADAO/Bulle 6 SMTAG)</t>
  </si>
  <si>
    <t>Fébus Pau bus station HRS</t>
  </si>
  <si>
    <t>0.75 MW</t>
  </si>
  <si>
    <t xml:space="preserve">GNVert H2 </t>
  </si>
  <si>
    <t>https://www.france-hydrogene.org/magazine/hydom-un-projet-a-85-mw-dans-la-vallee-de-la-chimie/?cn-reloaded=1</t>
  </si>
  <si>
    <t>[2006] + Data from EDF</t>
  </si>
  <si>
    <t>https://vighy.france-hydrogene.org/projets/h2v-saint-clair-du-rhone/</t>
  </si>
  <si>
    <t>EcoH2 Breizh1</t>
  </si>
  <si>
    <t>EcoH2 Breizh2</t>
  </si>
  <si>
    <t>https://vighy.france-hydrogene.org/projets/ecoh2-breizh1/</t>
  </si>
  <si>
    <t>https://vighy.france-hydrogene.org/projets/ecoh2-breizh2/</t>
  </si>
  <si>
    <t>[2008]</t>
  </si>
  <si>
    <t>[2009]</t>
  </si>
  <si>
    <t>HyCOR</t>
  </si>
  <si>
    <t>https://vighy.france-hydrogene.org/projets/hycor/</t>
  </si>
  <si>
    <t>[2010]</t>
  </si>
  <si>
    <t>DépHy2A Ajaccio</t>
  </si>
  <si>
    <t>DépHy2B Bastia</t>
  </si>
  <si>
    <t>https://vighy.france-hydrogene.org/projets/dephy2a-ajaccio/</t>
  </si>
  <si>
    <t>https://vighy.france-hydrogene.org/projets/dephy2a-bastia/</t>
  </si>
  <si>
    <t>https://vighy.france-hydrogene.org/projets/vhya-lorraine/</t>
  </si>
  <si>
    <t>[2011]</t>
  </si>
  <si>
    <t>[2012]</t>
  </si>
  <si>
    <t>[2013]</t>
  </si>
  <si>
    <t>H2V Thionville P1</t>
  </si>
  <si>
    <t>H2V Thionville P2</t>
  </si>
  <si>
    <t>H2V Valenciennes P1</t>
  </si>
  <si>
    <t>H2V Valenciennes P2</t>
  </si>
  <si>
    <t>https://vighy.france-hydrogene.org/projets/h2v-thionville/</t>
  </si>
  <si>
    <t>https://vighy.france-hydrogene.org/projets/h2v-valenciennes/</t>
  </si>
  <si>
    <t>[2014]</t>
  </si>
  <si>
    <t>[2015]</t>
  </si>
  <si>
    <t>EcoH2</t>
  </si>
  <si>
    <t>HyLan</t>
  </si>
  <si>
    <t>HyVENCE</t>
  </si>
  <si>
    <t>Usine Trangé</t>
  </si>
  <si>
    <t>https://vighy.france-hydrogene.org/projets/ecoh2/</t>
  </si>
  <si>
    <t>https://vighy.france-hydrogene.org/projets/hylan/</t>
  </si>
  <si>
    <t>https://vighy.france-hydrogene.org/projets/hyvence/</t>
  </si>
  <si>
    <t>[2016]</t>
  </si>
  <si>
    <t>[2017]</t>
  </si>
  <si>
    <t>[2018]</t>
  </si>
  <si>
    <t>https://vighy.france-hydrogene.org/projets/usine-trange/</t>
  </si>
  <si>
    <t>5MW or 110 t H2/y production</t>
  </si>
  <si>
    <t>https://vighy.france-hydrogene.org/projets/zero-emission-valley-zev/</t>
  </si>
  <si>
    <t>https://www.caissedesdepots.fr/sites/default/files/2021-02/CP%20CEF%20-%20TBF%20-%20HYDROGEN%20FUEL%20FOR%20PARIS%20HYSETCO%2016022021.pdf</t>
  </si>
  <si>
    <t>H24FP Paris P1</t>
  </si>
  <si>
    <t>H24FP Paris P2</t>
  </si>
  <si>
    <t>[2021]</t>
  </si>
  <si>
    <t>https://vighy.france-hydrogene.org/projets/em-lacq/</t>
  </si>
  <si>
    <t>H2 Bordeaux</t>
  </si>
  <si>
    <t>https://vighy.france-hydrogene.org/projets/h2-bordeaux/</t>
  </si>
  <si>
    <t>[2023]</t>
  </si>
  <si>
    <t>https://elyse.energy/en/our-projects/biotjet</t>
  </si>
  <si>
    <t>[2024]</t>
  </si>
  <si>
    <t>MPREIS Hydrogen (within "Demo4Grid")</t>
  </si>
  <si>
    <t>https://www.wiva.at/wp-content/uploads/2022/10/05_UpHy_Uitz.pdf</t>
  </si>
  <si>
    <t>[424] [1607] [2025]</t>
  </si>
  <si>
    <t>0.5MW or 1.5t H2/y</t>
  </si>
  <si>
    <t>4.3 MW or 418 t H2/y</t>
  </si>
  <si>
    <t>https://ek.fi/tutkittua-tietoa/vihreat-investoinnit/</t>
  </si>
  <si>
    <t>[1090] [2026]</t>
  </si>
  <si>
    <t>https://nelhydrogen.com/press-release/nel-asa-receives-purchase-order-for-40-mw-electrolyser-equipment-from-bondalti/</t>
  </si>
  <si>
    <t>[1241] [2027]</t>
  </si>
  <si>
    <t>200kW</t>
  </si>
  <si>
    <t xml:space="preserve">Hydrogen Energy Storage System at Borrego Springs </t>
  </si>
  <si>
    <t>Waterfront Maritime Hydrogen Demonstration Project</t>
  </si>
  <si>
    <t>Solid Oxide Electrolysis System Demonstration</t>
  </si>
  <si>
    <t>Hydrogen Energy Storage System at Borrego Springs Towards an H2 Enabled 100 Renewable Microgrid</t>
  </si>
  <si>
    <t>Waterfront Maritime Hydrogen Demonstration Project (energy.gov)</t>
  </si>
  <si>
    <t>Solid Ozide Electrolysis System Demonstration (energy.gov)</t>
  </si>
  <si>
    <t>[2029]</t>
  </si>
  <si>
    <t>[2030]</t>
  </si>
  <si>
    <t>[1948], Data from the UK Government</t>
  </si>
  <si>
    <t>TIWAG Power2X (Phase 2) (within "Power2X Kufstein")</t>
  </si>
  <si>
    <t>Plansee Group - Breitenwang</t>
  </si>
  <si>
    <t>Wien Energie -  Simmering</t>
  </si>
  <si>
    <t>TIWAG Power2X (Phase 1) (within "Power2X Kufstein")</t>
  </si>
  <si>
    <t>Renewable Gasfield</t>
  </si>
  <si>
    <t>Mobility of the Future (within "Innovation Liquid Energy")</t>
  </si>
  <si>
    <t>HySnowGroomer (within HyWest)</t>
  </si>
  <si>
    <t>Hotflex</t>
  </si>
  <si>
    <t>3 MW</t>
  </si>
  <si>
    <t>https://www.mdpi.com/1996-1073/16/9/3619</t>
  </si>
  <si>
    <t>https://www.hybus.eu/wasserstoffregion-zillertal-start-der-h2-zillertalbahn-2020-verschiebt-sich-auf-2026/</t>
  </si>
  <si>
    <t>https://www.tt.com/artikel/17200562/hytrain-wasserstoff-geht-bei-zillertalbahn-in-echtbetrieb</t>
  </si>
  <si>
    <t>[2028]</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</si>
  <si>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</si>
  <si>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</si>
  <si>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</si>
  <si>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300 t H2/ y</t>
  </si>
  <si>
    <t>https://www.wiva.at/2022/04/13/spatenstich-im-projekt-renewable-gasfield/</t>
  </si>
  <si>
    <t>https://steiermark.orf.at/stories/3151165/</t>
  </si>
  <si>
    <t>[2038] [2039]</t>
  </si>
  <si>
    <t>https://www.wiva.at/project/ife/</t>
  </si>
  <si>
    <t>https://iopscience.iop.org/article/10.1149/MA2021-031204mtgabs/meta</t>
  </si>
  <si>
    <t>https://www.hysnowgroomer.com/projektinformationen-2/</t>
  </si>
  <si>
    <t>[2044]</t>
  </si>
  <si>
    <t>H2Value - Tartu</t>
  </si>
  <si>
    <t>Green Port Paldiski</t>
  </si>
  <si>
    <t>Utilitas ELY</t>
  </si>
  <si>
    <t>Narva power plant ELY</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</si>
  <si>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</si>
  <si>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</si>
  <si>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[2045] [2046]</t>
  </si>
  <si>
    <t>25 t H2/y capacity</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</si>
  <si>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</si>
  <si>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</si>
  <si>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[2047] [2048]</t>
  </si>
  <si>
    <t>36 t H2/y capacity</t>
  </si>
  <si>
    <t>https://www.utilitas.ee/en/the-utilitas-and-ug-investments-green-hydrogen-complete-chain-project-received-a-positive-financing-decision/</t>
  </si>
  <si>
    <t>[2049]</t>
  </si>
  <si>
    <t>Lappeenranta e-Methanol</t>
  </si>
  <si>
    <t>Ren-Gas  P2X Kotka</t>
  </si>
  <si>
    <t>Ren-Gas  P2X Lahti</t>
  </si>
  <si>
    <t>Ren-Gas  P2X Tampere</t>
  </si>
  <si>
    <t>P2X Solutions Joensuu</t>
  </si>
  <si>
    <t>Ren-Gas  P2X Mikkeli</t>
  </si>
  <si>
    <t>Ren-Gas  P2X Pori</t>
  </si>
  <si>
    <t>UPM Kymmene Biorefinery Green Hydrogen production​</t>
  </si>
  <si>
    <t>H-FLEX-E​</t>
  </si>
  <si>
    <t>Flexens Lempäälä</t>
  </si>
  <si>
    <t>3H2 - Helsinki Hydrogen Hub</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</si>
  <si>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</si>
  <si>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</si>
  <si>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</si>
  <si>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</si>
  <si>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</si>
  <si>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</si>
  <si>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[2053] [2055]</t>
  </si>
  <si>
    <t>[2054] [2055]</t>
  </si>
  <si>
    <t>[2055]</t>
  </si>
  <si>
    <t>17 MW or 25kt MeOH/y</t>
  </si>
  <si>
    <t>40 MW or 35 kt e-CH4/y</t>
  </si>
  <si>
    <t>https://p2x.fi/p2x-solutions-selvittaa-savon-voiman-kanssa-mahdollisuutta-vihrean-vedyn-ja-sahkopolttoaineiden-tuotantoon-joensuussa/</t>
  </si>
  <si>
    <t>[2056]</t>
  </si>
  <si>
    <t>https://ren-gas.com/en/news/mikkelis-power-to-gas-project-is-progressing-nordic-ren-gas-and-etela-savon-energia-signed-a-project-development-agreement/</t>
  </si>
  <si>
    <t>[2057] [2055]</t>
  </si>
  <si>
    <t>https://ren-gas.com/en/news/significant-investment-in-the-production-of-green-hydrogen-and-renewable-finnish-gas-planned-for-the-kaanaa-district-of-pori/</t>
  </si>
  <si>
    <t>[2058] [2055]</t>
  </si>
  <si>
    <t>https://flexens.com/flexens-and-hydre-collaborate-to-launch-hydrogen-transport-in-finland-letter-of-intent-signed-with-lempaalan-energia/</t>
  </si>
  <si>
    <t>[2059]</t>
  </si>
  <si>
    <t>https://www.entsog.eu/sites/default/files/2023-04/web_entsog_230311_CHA_Learnbook_230405.pdf</t>
  </si>
  <si>
    <t>[2060]</t>
  </si>
  <si>
    <t>Hidroelectrica - Sona</t>
  </si>
  <si>
    <t>Nervia</t>
  </si>
  <si>
    <t xml:space="preserve">https://balkangreenenergynews.com/hidroelectrica-makes-plans-to-enter-green-hydrogen-production/ </t>
  </si>
  <si>
    <t>[2061]</t>
  </si>
  <si>
    <t>https://www.energynomics.ro/en/e-infra-nova-hydrogen-production-starts-the-5mw-nervia-project/</t>
  </si>
  <si>
    <t>https://relians.ro/en/nova-hydrogen-production-e-infra/#:~:text=Project%20description%3A%20the%20general%20objective,town%20of%20TURDA%2C%20CLUJ%20county.</t>
  </si>
  <si>
    <t>[2062] [2063]</t>
  </si>
  <si>
    <t>https://libertysteelgroup.com/gfg-alliance-signs-mou-with-romanian-government-to-create-a-european-greensteel-flagship-at-liberty-galati/</t>
  </si>
  <si>
    <t>Sines GH2 Solar</t>
  </si>
  <si>
    <t>HEVO-Industria</t>
  </si>
  <si>
    <t>https://winpowersa.com/2022/05/winpower-wins-the-project-to-provide-consultancy-services-for-the-construction-and-licensing-of-a-green-hydrogen-production-unit-called-sinesgh2-solar-in-sines-portugal/</t>
  </si>
  <si>
    <t>6.6 MW</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</si>
  <si>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</si>
  <si>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</si>
  <si>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[2066]</t>
  </si>
  <si>
    <t>Iberdrola - Puertollano I</t>
  </si>
  <si>
    <t>Iberdrola - Puertollano II (extension from Ref10)</t>
  </si>
  <si>
    <t>Iberdrola - Palos de la Frontera I</t>
  </si>
  <si>
    <t>Iberdrola - Palos de la Frontera II</t>
  </si>
  <si>
    <t>Iberdrola-Foresa Green Methanol (phase 1)</t>
  </si>
  <si>
    <t>Iberdrola-Foresa Green Methanol (phase 2)</t>
  </si>
  <si>
    <t>NEOM Green Hydrogen Project</t>
  </si>
  <si>
    <t>ACME Odisha Plant</t>
  </si>
  <si>
    <t>1.5GW - 3300 t NH3/d</t>
  </si>
  <si>
    <t>Hydrogen Based Microgrid at NETRA</t>
  </si>
  <si>
    <t>Chusul Project</t>
  </si>
  <si>
    <t>0.34 MW</t>
  </si>
  <si>
    <t>Data from NTPC</t>
  </si>
  <si>
    <t>https://www.nzx.com/announcements/414254</t>
  </si>
  <si>
    <t>[1251][2068]</t>
  </si>
  <si>
    <t>Apex Lubmin</t>
  </si>
  <si>
    <t>https://hydrogen-central.com/apex-group-acquires-land-strategic-locations-lubmin-germany-order-build-600-mw-of-electrolyser-capacity-for-the-production-of-green-hydrogen/</t>
  </si>
  <si>
    <t>[2069]</t>
  </si>
  <si>
    <t>Mote biomass-to-hydrogen plant, 2nd facility (CA)</t>
  </si>
  <si>
    <t>21 ktH2/y - 450 kt CO2/y</t>
  </si>
  <si>
    <t>https://www.h2-view.com/story/mote-reveals-plans-second-for-biomass-to-hydrogen-plant-in-california/</t>
  </si>
  <si>
    <t>Collinsvile Energy hub - Han Ho</t>
  </si>
  <si>
    <t>1.8 Mtpa NH3 production</t>
  </si>
  <si>
    <t>https://www.world-energy.org/article/34543.html</t>
  </si>
  <si>
    <t>https://fuelcellsworks.com/news/hydrogenpro-partner-with-a-large-contract-in-finland/?mc_cid=0f15718604&amp;mc_eid=da4624d261</t>
  </si>
  <si>
    <t>[2050][2071]</t>
  </si>
  <si>
    <t>Babcock &amp; Wilcox’s - Louisiana</t>
  </si>
  <si>
    <t>https://www.babcock.com/home/about/corporate/news/babcock-and-wilcox-general-hydrogen-corp-agree-to-key-terms-for-sale-of-carbon-negative-hydrogen-and-co2-produced-from-biomass-at-louisiana-plant</t>
  </si>
  <si>
    <t>[2072]</t>
  </si>
  <si>
    <t>10 kt H2/y - production</t>
  </si>
  <si>
    <t>https://direct.argusmedia.com/newsandanalysis/Article/2470703</t>
  </si>
  <si>
    <t>[360] [771][2073]</t>
  </si>
  <si>
    <t>360MW (in addition to the 230MW included in Ref 776)</t>
  </si>
  <si>
    <t>140MW or 100 kt NH3/y</t>
  </si>
  <si>
    <t>Fronius Solhub - SAN Group Herzogenburg</t>
  </si>
  <si>
    <t>https://www.san-group.com/news/opening-of-first-green-hydrogen-production-in-lower-austria</t>
  </si>
  <si>
    <t>Green H2 Setúbal Project</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</si>
  <si>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</si>
  <si>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</si>
  <si>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[2075] [2076]</t>
  </si>
  <si>
    <t>PanHy, phase 1</t>
  </si>
  <si>
    <t>PanHy, phase 2</t>
  </si>
  <si>
    <t>[1458] [2077]</t>
  </si>
  <si>
    <t xml:space="preserve"> 60MW or 9kt H2/y</t>
  </si>
  <si>
    <t>300MW or 40kt H2/y</t>
  </si>
  <si>
    <t>https://madoquapower2x.com/</t>
  </si>
  <si>
    <t>Energie Steiermark plant in Styria</t>
  </si>
  <si>
    <t>https://www.fortum.com/media/2023/06/fortum-explores-prerequisites-fossil-free-hydrogen-production-ssabs-site-raahe</t>
  </si>
  <si>
    <t>Green Ammonia Linz – Decarbonizing Chemical Processes with Water Electrolysis (Gramli)</t>
  </si>
  <si>
    <t>2.52MW</t>
  </si>
  <si>
    <t>https://solarquarter.com/2023/04/24/omans-first-green-ammonia-plant-by-acme-to-launch-by-mid-2025-in-duqm-sez/</t>
  </si>
  <si>
    <t>http://www.fuelcellchina.com/Industry_information_details/1454.html</t>
  </si>
  <si>
    <t>[978][1118] [1677] [1999] [2081]</t>
  </si>
  <si>
    <t>[2070]</t>
  </si>
  <si>
    <t>Convion SOE R&amp;D ELY</t>
  </si>
  <si>
    <t>0.125MW</t>
  </si>
  <si>
    <t>https://salcos.salzgitter-ag.com/en/grinhy-20.html</t>
  </si>
  <si>
    <t>[298] [333] [586] [672] [2082]</t>
  </si>
  <si>
    <t>ABC Cleantech H2</t>
  </si>
  <si>
    <t>Adani H2</t>
  </si>
  <si>
    <t>Aranayak Mirzapur H2</t>
  </si>
  <si>
    <t>Badarpur New Delhi H2</t>
  </si>
  <si>
    <t>Bellary-Nellore H2</t>
  </si>
  <si>
    <t>Bina Refinery</t>
  </si>
  <si>
    <t>Chamba H2</t>
  </si>
  <si>
    <t>Chitrakoot H2</t>
  </si>
  <si>
    <t>Greenko green ammonia project</t>
  </si>
  <si>
    <t>Indore Waste to H2</t>
  </si>
  <si>
    <t>Jindal Hygenco India</t>
  </si>
  <si>
    <t>Jorhat H2</t>
  </si>
  <si>
    <t>JSW green hydrogen</t>
  </si>
  <si>
    <t>JSW Karnataka H2</t>
  </si>
  <si>
    <t>Karnataka Acme H2</t>
  </si>
  <si>
    <t>Kochi Green Hydrogen (KGH2) Hub</t>
  </si>
  <si>
    <t>Larsen &amp; Toubro/ReNew Power Project</t>
  </si>
  <si>
    <t>Leh H2</t>
  </si>
  <si>
    <t>L&amp;T Hazira Phase II</t>
  </si>
  <si>
    <t>Madhya Pradesh H2</t>
  </si>
  <si>
    <t>MAHAPREIT</t>
  </si>
  <si>
    <t>Maharashtra H2</t>
  </si>
  <si>
    <t>NMC Green Hydrogen</t>
  </si>
  <si>
    <t>NTPC Anakapalli H2</t>
  </si>
  <si>
    <t>NTPC NETRA Campus</t>
  </si>
  <si>
    <t>Numaligarh Refinery Green H2</t>
  </si>
  <si>
    <t>Ocior Energy Andhra Pradesh H2</t>
  </si>
  <si>
    <t>Ocior Energy Gujarat H2</t>
  </si>
  <si>
    <t>PMC Waste to H2 Phase I</t>
  </si>
  <si>
    <t>POSCO H2</t>
  </si>
  <si>
    <t>Pune-Mumbai</t>
  </si>
  <si>
    <t>Renew Efuels Odisha Green H2</t>
  </si>
  <si>
    <t>SOEC demonstrator Bangalore</t>
  </si>
  <si>
    <t>Swaraj Green Power H2</t>
  </si>
  <si>
    <t>Visakhapatnam H2</t>
  </si>
  <si>
    <t>Waaree Renewable Technologies H2</t>
  </si>
  <si>
    <t>WBPDCL Durgapur H2</t>
  </si>
  <si>
    <t>365 t H2/y production</t>
  </si>
  <si>
    <t>94.9 t H2/y production</t>
  </si>
  <si>
    <t>5 kt H2/y production</t>
  </si>
  <si>
    <t>3232.47 t H2/y production</t>
  </si>
  <si>
    <t>7.3 t H2/y production</t>
  </si>
  <si>
    <t>129.3 kt H2/y production</t>
  </si>
  <si>
    <t>19.4 t H2/y production</t>
  </si>
  <si>
    <t>300 kt H2/y production</t>
  </si>
  <si>
    <t>52.56 kt H2/y production</t>
  </si>
  <si>
    <t>75 t H2/y production</t>
  </si>
  <si>
    <t>3.65 t H2/y production</t>
  </si>
  <si>
    <t>3.8 kt H2/y production</t>
  </si>
  <si>
    <t>0.73 t H2/y production</t>
  </si>
  <si>
    <t>21.9 kt H2/y production</t>
  </si>
  <si>
    <t>16.43 t H2/y production</t>
  </si>
  <si>
    <t>64.02 t H2/y production</t>
  </si>
  <si>
    <t>808.12 t H2/y production</t>
  </si>
  <si>
    <t>547.5 kt H2/y production</t>
  </si>
  <si>
    <t>46.68 t H2/y production</t>
  </si>
  <si>
    <t>2628  t H2/y production</t>
  </si>
  <si>
    <t>2 kt H2/y production</t>
  </si>
  <si>
    <t>10 t H2/y production</t>
  </si>
  <si>
    <t>3650 t H2/y production</t>
  </si>
  <si>
    <t>0.85 t H2/y production</t>
  </si>
  <si>
    <t>36.5 t H2/y production</t>
  </si>
  <si>
    <t>1569 t H2/y production</t>
  </si>
  <si>
    <t>720 t H2/y production</t>
  </si>
  <si>
    <t>4 kt H2/y production</t>
  </si>
  <si>
    <t>Data from Indian Industry Association</t>
  </si>
  <si>
    <t>Ethanol reforming</t>
  </si>
  <si>
    <t>4.5kg/h</t>
  </si>
  <si>
    <t>https://agencia.fapesp.br/worlds-first-hydrogen-from-ethanol-plant-will-be-built-at-university-of-sao-paulo/42182</t>
  </si>
  <si>
    <t>[2083]</t>
  </si>
  <si>
    <t>Hidrogen from bioethanol , phase 1</t>
  </si>
  <si>
    <t>Hidrogen from bioethanol , phase 2</t>
  </si>
  <si>
    <t>45.5kg/h</t>
  </si>
  <si>
    <t>Morro Pintado project</t>
  </si>
  <si>
    <t>52kt H2/y</t>
  </si>
  <si>
    <t>https://renewablesnow.com/news/rio-grande-do-norte-inks-1-gw-solar-wind-pact-for-green-hydrogen-831478/</t>
  </si>
  <si>
    <t>[2084]</t>
  </si>
  <si>
    <t xml:space="preserve">Horizons Clean Hydrogen Hub </t>
  </si>
  <si>
    <t>https://www.horizonshydrogenhub.com/#:~:text=The%20Horizons%20Clean%20Hydrogen%20Hub,%2C%20and%20international%20end%2Dusers.</t>
  </si>
  <si>
    <t>https://www.energy.gov/eere/fuelcells/articles/electrolyzer-installations-united-states</t>
  </si>
  <si>
    <t>[2085][2086]</t>
  </si>
  <si>
    <t>[1137][2086]</t>
  </si>
  <si>
    <t>Tallgras-Kowepo MoU</t>
  </si>
  <si>
    <t>[2087]</t>
  </si>
  <si>
    <t>Argus Direct (argusmedia.com)</t>
  </si>
  <si>
    <t>Lhyfe, Perl</t>
  </si>
  <si>
    <t>https://direct.argusmedia.com/newsandanalysis/Article/2467911</t>
  </si>
  <si>
    <t>[2088]</t>
  </si>
  <si>
    <t xml:space="preserve">Enertrag - Prignitz-Falkenhagen industrial park </t>
  </si>
  <si>
    <t>https://direct.argusmedia.com/newsandanalysis/Article/2468774</t>
  </si>
  <si>
    <t>[2089]</t>
  </si>
  <si>
    <t>Huaneng Inner Mongolia East Energy - Xing'an League project</t>
  </si>
  <si>
    <t>https://direct.argusmedia.com/newsandanalysis/Article/2474746</t>
  </si>
  <si>
    <t>[2090]</t>
  </si>
  <si>
    <t>https://direct.argusmedia.com/newsandanalysis/Article/2474693</t>
  </si>
  <si>
    <t>[1133] [1709][2091]</t>
  </si>
  <si>
    <t>https://direct.argusmedia.com/newsandanalysis/Article/2472237</t>
  </si>
  <si>
    <t>[2092]</t>
  </si>
  <si>
    <t>Acme - Port of Victoria</t>
  </si>
  <si>
    <t>https://direct.argusmedia.com/newsandanalysis/Article/2476908</t>
  </si>
  <si>
    <t>[2093]</t>
  </si>
  <si>
    <t>https://direct.argusmedia.com/newsandanalysis/Article/2477061</t>
  </si>
  <si>
    <t>Heliogen Arizona green H2</t>
  </si>
  <si>
    <t>4 kt NH3/d (production)</t>
  </si>
  <si>
    <t>50 kt DRI/y</t>
  </si>
  <si>
    <t>https://www.ferrosilva.com/en/wp-content/uploads/2023/07/Gyllenram-et-al-2023-FerroSilva-Creating-a-new-industrial-eco-system-1.pdf</t>
  </si>
  <si>
    <t>[2095]</t>
  </si>
  <si>
    <t>Gaznat methanation project</t>
  </si>
  <si>
    <t>https://www.h2-view.com/story/gaznat-inaugurates-hydrogen-and-co2-to-syngas-project-in-switzerland/</t>
  </si>
  <si>
    <t>[2096]</t>
  </si>
  <si>
    <t>Platts Hydrogen Daily, 6 September 2023</t>
  </si>
  <si>
    <t>[1167][2097]</t>
  </si>
  <si>
    <t>https://direct.argusmedia.com/newsandanalysis/Article/2486874</t>
  </si>
  <si>
    <t>1.2 kg H2/d</t>
  </si>
  <si>
    <t>https://investor.fce.com/press-releases/press-release-details/2023/FuelCell-Energy-and-Toyota-Announce-Completion-of-Worlds-First-Tri-gen-Production-System/default.aspx</t>
  </si>
  <si>
    <t>Capacity factor</t>
  </si>
  <si>
    <t>3.3 GW</t>
  </si>
  <si>
    <t>[1274] [2098]</t>
  </si>
  <si>
    <t>[1274] [1772] [2098]</t>
  </si>
  <si>
    <t>HYBRIT expansion</t>
  </si>
  <si>
    <t>Other electrolysis</t>
  </si>
  <si>
    <t>500 MW - 1.3 Mt DRI</t>
  </si>
  <si>
    <t>2.7 Mt DRI</t>
  </si>
  <si>
    <t>https://www.ssab.com/en/news/2021/03/hybrit-ssab-lkab-and-vattenfall-to-begin-industrialization-of-future-fossilfree-steelmaking-by-estab</t>
  </si>
  <si>
    <t>800MW - 2.5 Mt steel</t>
  </si>
  <si>
    <t>5Mt Steel</t>
  </si>
  <si>
    <t>[2100]</t>
  </si>
  <si>
    <t>[2099]</t>
  </si>
  <si>
    <t>https://fuelcellsworks.com/news/hypster-demonstrator-paves-the-way-for-the-hydrogen-industry-in-europe/</t>
  </si>
  <si>
    <t>[1102] [2101]</t>
  </si>
  <si>
    <t>https://chariotenergygroup.com/operations/green-hydrogen/</t>
  </si>
  <si>
    <t>250 kt NH3 production</t>
  </si>
  <si>
    <t>https://direct.argusmedia.com/newsandanalysis/article/2470181</t>
  </si>
  <si>
    <t>[2103]</t>
  </si>
  <si>
    <t>Amp Energy project</t>
  </si>
  <si>
    <t>[2104]</t>
  </si>
  <si>
    <t>https://direct.argusmedia.com/newsandanalysis/article/2438394</t>
  </si>
  <si>
    <t>https://direct.argusmedia.com/newsandanalysis/article/2488018</t>
  </si>
  <si>
    <t>Hydrogen project - Oaxaca</t>
  </si>
  <si>
    <t>https://energynews.biz/copenhagen-infrastructure-partners-to-build-green-hydrogen-plant-in-mexico/</t>
  </si>
  <si>
    <t>[2106]</t>
  </si>
  <si>
    <t>Hydrogen project Duqm area</t>
  </si>
  <si>
    <t>[2107]</t>
  </si>
  <si>
    <t>https://direct.argusmedia.com/newsandanalysis/article/2455314</t>
  </si>
  <si>
    <t>https://direct.argusmedia.com/newsandanalysis/article/2391838</t>
  </si>
  <si>
    <t>Amea Power - Ammonia project</t>
  </si>
  <si>
    <t>1 GW or 700 kt NH3/y</t>
  </si>
  <si>
    <t>https://direct.argusmedia.com/newsandanalysis/Article/2488273</t>
  </si>
  <si>
    <t>[2109]</t>
  </si>
  <si>
    <t xml:space="preserve">H2 project - Port of Mombasa </t>
  </si>
  <si>
    <t>New Fortress Energy green hydrogen US gulf, phase 2</t>
  </si>
  <si>
    <t>https://direct.argusmedia.com/newsandanalysis/Article/2488999</t>
  </si>
  <si>
    <t>[1459] [2110]</t>
  </si>
  <si>
    <t>e-SAF France Kereauzen project</t>
  </si>
  <si>
    <t>https://direct.argusmedia.com/newsandanalysis/Article/2472537</t>
  </si>
  <si>
    <t>https://direct.argusmedia.com/newsandanalysis/Article/2470398</t>
  </si>
  <si>
    <t>[1741] [1752] [1753] [2112]</t>
  </si>
  <si>
    <t>E-fuels project in South Africa</t>
  </si>
  <si>
    <t xml:space="preserve">1GW or 500 kt synfuels/y </t>
  </si>
  <si>
    <t>[2113]</t>
  </si>
  <si>
    <t>https://direct.argusmedia.com/newsandanalysis/Article/2474138</t>
  </si>
  <si>
    <t>H2 project - Profen mine</t>
  </si>
  <si>
    <t>https://direct.argusmedia.com/newsandanalysis/Article/2488641</t>
  </si>
  <si>
    <t>[2114]</t>
  </si>
  <si>
    <t>Good Earth Green Hydrogen and Ammonia Project</t>
  </si>
  <si>
    <t>https://research.csiro.au/hyresource/good-earth-green-hydrogen-and-ammonia-project/</t>
  </si>
  <si>
    <t>https://www.gegha.com.au/</t>
  </si>
  <si>
    <t>[2115] [2116]</t>
  </si>
  <si>
    <t>https://direct.argusmedia.com/newsandanalysis/Article/2492610</t>
  </si>
  <si>
    <t>[952] [2117]</t>
  </si>
  <si>
    <t>e-SAF plant</t>
  </si>
  <si>
    <t xml:space="preserve">1GW or 200 kt synfuels/y </t>
  </si>
  <si>
    <t>https://direct.argusmedia.com/newsandanalysis/Article/2492648</t>
  </si>
  <si>
    <t>[2118]</t>
  </si>
  <si>
    <t>https://direct.argusmedia.com/newsandanalysis/Article/2472976</t>
  </si>
  <si>
    <t>[1492] [2119]</t>
  </si>
  <si>
    <t>ACME Tamil Nadu plant - Chidambaranar port</t>
  </si>
  <si>
    <t>https://direct.argusmedia.com/newsandanalysis/Article/2487032</t>
  </si>
  <si>
    <t>[2120]</t>
  </si>
  <si>
    <t>Ammonia project Avaada Odisha</t>
  </si>
  <si>
    <t>Hydreen HLC Green Energy Himachal Pradesh H2</t>
  </si>
  <si>
    <t>30 kt H2/y or 120 kt NH3/y capacity</t>
  </si>
  <si>
    <t>https://direct.argusmedia.com/newsandanalysis/Article/2487336</t>
  </si>
  <si>
    <t>[2121]</t>
  </si>
  <si>
    <t>H2 project Ascension Parish Louisiana</t>
  </si>
  <si>
    <t>44kt H2/y</t>
  </si>
  <si>
    <t>https://direct.argusmedia.com/newsandanalysis/Article/2482294</t>
  </si>
  <si>
    <t>[2122]</t>
  </si>
  <si>
    <t>https://direct.argusmedia.com/newsandanalysis/Article/2485013</t>
  </si>
  <si>
    <t>[1906] [2123]</t>
  </si>
  <si>
    <t>[1741] [1752] [1753] [2112] [2123]</t>
  </si>
  <si>
    <t>Hydrogen project in Cadiz</t>
  </si>
  <si>
    <t>352MW</t>
  </si>
  <si>
    <t>https://direct.argusmedia.com/newsandanalysis/Article/2477036</t>
  </si>
  <si>
    <t>[2124]</t>
  </si>
  <si>
    <t>https://direct.argusmedia.com/newsandanalysis/Article/2486635</t>
  </si>
  <si>
    <t>[1880] [2125]</t>
  </si>
  <si>
    <t>840MW</t>
  </si>
  <si>
    <t>https://direct.argusmedia.com/newsandanalysis/Article/2489603</t>
  </si>
  <si>
    <t>[1452] [2126]</t>
  </si>
  <si>
    <t>https://h2-international.com/2021/06/14/element-eins-and-hybridge-stopped/</t>
  </si>
  <si>
    <t>Solar-to-hydrogen Inhambane province</t>
  </si>
  <si>
    <t>4kt H2/d</t>
  </si>
  <si>
    <t>[2128]</t>
  </si>
  <si>
    <t>https://direct.argusmedia.com/newsandanalysis/Article/2472952</t>
  </si>
  <si>
    <t>Ratcliffe power station - H2 project - phase 1</t>
  </si>
  <si>
    <t>Ratcliffe power station - H2 project - phase 2</t>
  </si>
  <si>
    <t>https://direct.argusmedia.com/newsandanalysis/Article/2491133</t>
  </si>
  <si>
    <t>[2129]</t>
  </si>
  <si>
    <t>[2130]</t>
  </si>
  <si>
    <t>https://direct.argusmedia.com/newsandanalysis/Article/2493292</t>
  </si>
  <si>
    <t>H2 plant Data center</t>
  </si>
  <si>
    <t>https://direct.argusmedia.com/newsandanalysis/Article/2481001</t>
  </si>
  <si>
    <t>[2131]</t>
  </si>
  <si>
    <t>H2 project Narngulu industrial estate</t>
  </si>
  <si>
    <t>https://direct.argusmedia.com/newsandanalysis/Article/2474890</t>
  </si>
  <si>
    <t>[2132]</t>
  </si>
  <si>
    <t>https://direct.argusmedia.com/newsandanalysis/Article/2493360</t>
  </si>
  <si>
    <t>[1771] [2133]</t>
  </si>
  <si>
    <t>Madoqua E-methanol</t>
  </si>
  <si>
    <t>500 MW - 260 ktpa e-methanol</t>
  </si>
  <si>
    <t>https://private.cedigaz.org/newsreport_pdf/64c3726cd950b_CNR62-14.pdf</t>
  </si>
  <si>
    <t>https://h2ce.ru/en/news/industry-news/thyssenkrupp-uhde-joins-offset-consortium-on-floating-green-hydrogen-and-ammonia-project</t>
  </si>
  <si>
    <t>[2135]</t>
  </si>
  <si>
    <t>Floating Green Hydrogen &amp; Ammonia project</t>
  </si>
  <si>
    <t>https://private.cedigaz.org/newsreport_pdf/64e479cd7cb17_CNR62-16.pdf</t>
  </si>
  <si>
    <t>[2136]</t>
  </si>
  <si>
    <t>Los Amigos del Verano - phase 1</t>
  </si>
  <si>
    <t>2x2.5GW</t>
  </si>
  <si>
    <t>Los Amigos del Verano - phase 2</t>
  </si>
  <si>
    <t>Los Amigos del Verano - phase 3</t>
  </si>
  <si>
    <t>Los Amigos del Verano - phase 4</t>
  </si>
  <si>
    <t>4x2.5GW</t>
  </si>
  <si>
    <t>https://www.hydrogeninsight.com/production/chinas-largest-green-hydrogen-project-a-4bn-640mw-ammonia-methanol-facility-begins-construction/2-1-1525815</t>
  </si>
  <si>
    <t>1.2Mt NH3/y (production)</t>
  </si>
  <si>
    <t>https://direct.argusmedia.com/newsandanalysis/article/2481753</t>
  </si>
  <si>
    <t>[1459] [2138]</t>
  </si>
  <si>
    <t>https://direct.argusmedia.com/newsandanalysis/Article/2493887</t>
  </si>
  <si>
    <t>https://www.energy-storage.news/chevron-does-u-turn-and-invests-in-utah-green-hydrogen-project/</t>
  </si>
  <si>
    <t xml:space="preserve">Advanced Clean Energy Storage (ACES) </t>
  </si>
  <si>
    <t>[2111], Platts European Gas Daily 25-09-2023</t>
  </si>
  <si>
    <t>Skipavika Green Ammonia - SkiGA</t>
  </si>
  <si>
    <t>Platts European Gas Daily 29-08-2023</t>
  </si>
  <si>
    <t>https://renewablesnow.com/news/luxcara-joins-major-green-hydrogen-project-in-hamburg-834397/</t>
  </si>
  <si>
    <t>[699] [2141] Data from Platts S&amp;P Global Hydrogen Daily 21/09/2023</t>
  </si>
  <si>
    <t>Hamburg Green Hydrogen Hub (HGHH) project - old Moorburg plant</t>
  </si>
  <si>
    <t>Hyrasia one</t>
  </si>
  <si>
    <t>https://hyrasia.energy/</t>
  </si>
  <si>
    <t>Mauritania &amp; BP- Nassim project</t>
  </si>
  <si>
    <t>https://www.reuters.com/business/cop/mauritania-bp-explore-green-hydrogen-projects-2022-11-08/</t>
  </si>
  <si>
    <t>https://www.afrik21.africa/en/mauritania-british-oil-company-bp-is-eyeing-the-green-hydrogen-market/</t>
  </si>
  <si>
    <t>[2143] [2144]</t>
  </si>
  <si>
    <t>Hydrogen, ammonia project - Tecnicas Reunidas</t>
  </si>
  <si>
    <t>912,5 kt NH3/y</t>
  </si>
  <si>
    <t>https://www.tecnicasreunidas.es/tecnicas-reunidas-s-a-initiates-the-preliminary-scope-for-a-green-hydrogen-and-green-ammonia-production-facilities-in-australia/</t>
  </si>
  <si>
    <t>Hynet Northwest, phase 2 (Essar Stanlow refinery)</t>
  </si>
  <si>
    <t>H2 project Lubmin - Deutsche ReGas - phase 1</t>
  </si>
  <si>
    <t>H2 project Lubmin - Deutsche ReGas - phase 2</t>
  </si>
  <si>
    <t>MoU Shell - Acu Port, phase 2</t>
  </si>
  <si>
    <t xml:space="preserve"> GET H2 TransHyDE hydrogen project - Lingen</t>
  </si>
  <si>
    <t>Data from Platts S&amp;P Global Hydrogen Daily 27/09/2023</t>
  </si>
  <si>
    <t>[1919] Data from Platts S&amp;P Global Hydrogen Daily 27/09/2023</t>
  </si>
  <si>
    <t>NeoGreen Portugal - Sines projetc</t>
  </si>
  <si>
    <t>https://www.hydrogeninsight.com/production/partners-to-spend-more-than-1bn-on-500mw-plus-green-hydrogen-project-in-portugal/2-1-1353788</t>
  </si>
  <si>
    <t>https://mopng.gov.in/files/article/articlefiles/2023Q2.pdf</t>
  </si>
  <si>
    <t>[2147]</t>
  </si>
  <si>
    <t>Indian Oil Corporation IOCL refinery</t>
  </si>
  <si>
    <t>350 kt  H2/y production</t>
  </si>
  <si>
    <t>Chennai Petroleum Corporation (CPCL) - phase 1</t>
  </si>
  <si>
    <t>Chennai Petroleum Corporation (CPCL) - phase 2</t>
  </si>
  <si>
    <t>MRPL Mangalore Refinery - phase 1</t>
  </si>
  <si>
    <t>MRPL Mangalore Refinery - phase 2</t>
  </si>
  <si>
    <t>1 kt  H2/y production</t>
  </si>
  <si>
    <t>5 kt  H2/y production</t>
  </si>
  <si>
    <t>0.5 kt  H2/y production</t>
  </si>
  <si>
    <t>https://www.prnewswire.com/news-releases/air-products-to-invest-about-500-million-to-build-green-hydrogen-production-facility-in-new-york-301642745.html</t>
  </si>
  <si>
    <t>[2148]</t>
  </si>
  <si>
    <t>H2 plant - St Lawrence Hydro Production</t>
  </si>
  <si>
    <t>35t H2/day production</t>
  </si>
  <si>
    <t>https://www.reuters.com/sustainability/climate-energy/germanys-august-global-investment-plans-build-hydrogen-plant-indonesia-2023-08-28/</t>
  </si>
  <si>
    <t>Hydrogen plant - August Global Investment</t>
  </si>
  <si>
    <t>[2149]</t>
  </si>
  <si>
    <t>https://www.euro-petrole.com/totalenergies-et-air-liquide-sassocient-pour-decarboner-la-plateforme-de-normandie-grace-a-lhydrogene-vert-n-f-26045</t>
  </si>
  <si>
    <t>HyNQ – North Queensland Clean Energy Project</t>
  </si>
  <si>
    <t>https://www.pv-magazine-australia.com/2023/09/15/hynq-north-queensland-clean-energy-project-gains-a-new-development-partner/</t>
  </si>
  <si>
    <t>[2151]</t>
  </si>
  <si>
    <t>Knockshinnoch hydrogen production facility - Scotland</t>
  </si>
  <si>
    <t>https://scottishbusinessnews.net/uks-first-off-grid-green-hydrogen-site-invites-potential-buyers/#:~:text=The%20new%202.5%20megawatt%20site,Hydrogen%20Fund%20earlier%20this%20year.</t>
  </si>
  <si>
    <t>[2152]</t>
  </si>
  <si>
    <t>Aboriginal Ammonia project - East Kimberley Clean Energy project</t>
  </si>
  <si>
    <t>https://renewablesnow.com/news/ewe-plans-320-mw-green-hydrogen-plant-on-germanys-north-sea-coast-803869/</t>
  </si>
  <si>
    <t>https://hystar.com/yara-clean-ammonia-joins-hypilot-project-with-hystar-equinor-and-gassco/</t>
  </si>
  <si>
    <t>[2154]</t>
  </si>
  <si>
    <t xml:space="preserve">HyPilot project </t>
  </si>
  <si>
    <t>Aman - Green Hydrogen Project - phase 1</t>
  </si>
  <si>
    <t>Aman - Green Hydrogen Project - phase 2</t>
  </si>
  <si>
    <t>Ammonia project - Houston Ship Channel</t>
  </si>
  <si>
    <t>https://www.offshore-energy.biz/houston-ship-channel-could-host-large-scale-ammonia-production-and-export-project/</t>
  </si>
  <si>
    <t>[2155]</t>
  </si>
  <si>
    <t>https://direct.argusmedia.com/newsandanalysis/Article/2495021</t>
  </si>
  <si>
    <t>[1010][1011][2156]</t>
  </si>
  <si>
    <t>Shanghai Electric -Taonan Wind Power with Biomass for Green Methanol</t>
  </si>
  <si>
    <t>250 kt MeOH/y (production) or 50 kt H2/y (production)</t>
  </si>
  <si>
    <t>Nm³ H₂/h</t>
  </si>
  <si>
    <t>IEA zero-carbon estimated normalised capacity
[Nm³ H₂/hour]</t>
  </si>
  <si>
    <t>10 Nm³ H₂/h</t>
  </si>
  <si>
    <t>4080000 Nm3/y</t>
  </si>
  <si>
    <t>53000000 Nm3/y</t>
  </si>
  <si>
    <t>47 Nm3H2/h</t>
  </si>
  <si>
    <t>27814 Nm3H2/h</t>
  </si>
  <si>
    <t>212766 Nm2H2/h</t>
  </si>
  <si>
    <t>234043 Nm3H2/h</t>
  </si>
  <si>
    <t>30 Nm3/h</t>
  </si>
  <si>
    <t>0.7 MW - 200 Nm3 H2/h</t>
  </si>
  <si>
    <t>0.25 MW - 50 Nm3 H2/h</t>
  </si>
  <si>
    <t>1 Nm3/h</t>
  </si>
  <si>
    <t>140 Nm3 H2/h</t>
  </si>
  <si>
    <t>60 Nm3/h</t>
  </si>
  <si>
    <t>18 Nm3/h</t>
  </si>
  <si>
    <t>10 Nm3/h</t>
  </si>
  <si>
    <t>1 Nm3 H2/h</t>
  </si>
  <si>
    <t>1 MW - 180 Nm3 H2/h</t>
  </si>
  <si>
    <t>37 Nm3 H2/h</t>
  </si>
  <si>
    <t>25 Nm3 H2/h</t>
  </si>
  <si>
    <t>0.25 Nm3 H2/h</t>
  </si>
  <si>
    <t>9 Nm3/h</t>
  </si>
  <si>
    <t>0.5 MW - 100 Nm3H2/h</t>
  </si>
  <si>
    <t>0.3 MW - 60 Nm3 H2/h</t>
  </si>
  <si>
    <t>20 Nm3/h</t>
  </si>
  <si>
    <t>28 Nm3/h</t>
  </si>
  <si>
    <t>0.6MW - 120 Nm3 H2/h</t>
  </si>
  <si>
    <t>50 Nm3 H2/h</t>
  </si>
  <si>
    <t>0.2MW - 30 Nm3 H2/h</t>
  </si>
  <si>
    <t>0.12 MW - 30 Nm3 H2/h</t>
  </si>
  <si>
    <t>24 Nm3 H2/h</t>
  </si>
  <si>
    <t>2 Nm3/h</t>
  </si>
  <si>
    <t>0.5MW - 120 Nm3 H2/h</t>
  </si>
  <si>
    <t>0.3MW - 60 Nm3 H2/h</t>
  </si>
  <si>
    <t>0.005MW - 1 Nm3 H2/h</t>
  </si>
  <si>
    <t>12 Nm3 H2/h</t>
  </si>
  <si>
    <t>0.18MW - 50 Nm3 H2/h</t>
  </si>
  <si>
    <t>1.2MW - 2000 Nm3 H2/h</t>
  </si>
  <si>
    <t>1.4 Nm3 H2/h</t>
  </si>
  <si>
    <t>16 Nm3 H2/h</t>
  </si>
  <si>
    <t>0.7 Nm3 H2/h</t>
  </si>
  <si>
    <t>5.3 Nm3 H2/h</t>
  </si>
  <si>
    <t>6.3 Nm3 H2/h</t>
  </si>
  <si>
    <t>0.5 Nm3 H2/h</t>
  </si>
  <si>
    <t>10 Nm3 H2/h</t>
  </si>
  <si>
    <t>1500 Nm3 H2/h</t>
  </si>
  <si>
    <t>200 million Nm3 H2/y</t>
  </si>
  <si>
    <t>5.5 MW or 1100 Nm3 H2/hour</t>
  </si>
  <si>
    <t>Capacity_Nm³ H₂/h</t>
  </si>
  <si>
    <t>https://www.europapress.es/economia/noticia-repsol-impulsa-apuesta-liderar-carrera-hidrogeno-verde-espana-primer-electrolizador-20231009104256.html</t>
  </si>
  <si>
    <t>Nitrogen fertelizer plant Uberaba</t>
  </si>
  <si>
    <t>Atlas' Pacific Green Fertilizer project</t>
  </si>
  <si>
    <t>https://direct.argusmedia.com/newsandanalysis/Article/2475253</t>
  </si>
  <si>
    <t>[2157]</t>
  </si>
  <si>
    <t>500 kt nitrate fertilizers/y</t>
  </si>
  <si>
    <t>700 kt nitrate fertilizers/y</t>
  </si>
  <si>
    <t>Cleanergy Solutions Namibia HRS</t>
  </si>
  <si>
    <t>https://www.petrolplaza.com/news/33832</t>
  </si>
  <si>
    <t>https://energynews.biz/atlas-agros-green-hydrogen-fertilizer-plant-nears-final-investment-decision/</t>
  </si>
  <si>
    <t>[2157] [2159]</t>
  </si>
  <si>
    <t>https://fuelcellsworks.com/news/floridas-first-of-its-kind-clean-hydrogen-project-reaches-historic-milestone/</t>
  </si>
  <si>
    <t>Platss, S&amp;P Global, Hydrogen Daily, October 12, 2023</t>
  </si>
  <si>
    <t>100-200k t NH3/year production</t>
  </si>
  <si>
    <t>Arcadia eFuels</t>
  </si>
  <si>
    <t>https://energynews.biz/kgal-to-invest-in-arcadia-efuels-green-hydrogen-based-production-facility-in-denmark/</t>
  </si>
  <si>
    <t>[2161]</t>
  </si>
  <si>
    <t xml:space="preserve">68 kt synfuels/y </t>
  </si>
  <si>
    <t>https://sevilla.abc.es/economia/comienza-funcionar-primera-planta-hidrogeno-verde-andalucia-20231015201113-nts.html</t>
  </si>
  <si>
    <t>[1211] [2162]</t>
  </si>
  <si>
    <t>[1] [2] [4] [7] [8] [9] [34]</t>
  </si>
  <si>
    <t>[3] [4] [7]</t>
  </si>
  <si>
    <t>[2] [3] [121]</t>
  </si>
  <si>
    <t>[3] [192]</t>
  </si>
  <si>
    <t>[1] [3] [5] [7] [9] [737]</t>
  </si>
  <si>
    <t>[5] [179] [180]</t>
  </si>
  <si>
    <t>[2] [3] [7] [94]</t>
  </si>
  <si>
    <t>[1] [2] [5] [7] [41]</t>
  </si>
  <si>
    <t>[2]</t>
  </si>
  <si>
    <t>[1] [5] [87] [89] [90]</t>
  </si>
  <si>
    <t>[283]</t>
  </si>
  <si>
    <t>[2] [175] [209]</t>
  </si>
  <si>
    <t>Gibson Island Project</t>
  </si>
  <si>
    <t>https://www.ir.plugpower.com/press-releases/news-details/2023/Plug-Preferred-Supplier-Of-550-MW-PEM-Electrolyzers-To-Fortescue-For-Proposed-Gibson-Island-Project/default.aspx</t>
  </si>
  <si>
    <t>550MW or 385 kt NH3/y production</t>
  </si>
  <si>
    <t>Phoenix Hydrogen Hub (PHH) project</t>
  </si>
  <si>
    <t>https://fortescue.com/news-and-media/news/2023/07/20/fortescue-future-industries-makes-major-investment-in-american-green-energy-jobs-with-purchase-of-phoenix-hydrogen-hub</t>
  </si>
  <si>
    <t>https://direct.argusmedia.com/newsandanalysis/article/2498233</t>
  </si>
  <si>
    <t>https://direct.argusmedia.com/newsandanalysis/article/2486110</t>
  </si>
  <si>
    <t>Green Steel Plant Quebec</t>
  </si>
  <si>
    <t>https://direct.argusmedia.com/newsandanalysis/article/2497228</t>
  </si>
  <si>
    <t>[2168]</t>
  </si>
  <si>
    <t>[2163] [2169]</t>
  </si>
  <si>
    <t>https://direct.argusmedia.com/newsandanalysis/Article/2497352</t>
  </si>
  <si>
    <t>[1365][1875][2170]</t>
  </si>
  <si>
    <t>https://direct.argusmedia.com/newsandanalysis/article/2451947</t>
  </si>
  <si>
    <t>[735] [736][1400][1439] [2100]</t>
  </si>
  <si>
    <t>H2 Green Steel (H2GS) - phase 2</t>
  </si>
  <si>
    <t>H2 Green Steel (H2GS)  - phase 1</t>
  </si>
  <si>
    <t>https://hydronews.it/oltre-220-milioni-di-euro-di-investimenti-e-30-mw-di-elettrolisi-il-progetto-di-infinite-green-energy-italia-per-produrre-idrogeno-verde-in-abruzzo/</t>
  </si>
  <si>
    <t>[1728] [2172]</t>
  </si>
  <si>
    <t>Green Hydrogen Plant (GHP)</t>
  </si>
  <si>
    <t>51 t H2/y</t>
  </si>
  <si>
    <t>https://indonesiabusinesspost.com/risks-opportunities/pln-pioneers-green-hydrogen-production-in-indonesia-aiming-for-game-changing-energy-transition/</t>
  </si>
  <si>
    <t>[2173]</t>
  </si>
  <si>
    <t>West South Wales Hydrogen Project</t>
  </si>
  <si>
    <t>https://www.industryandenergy.eu/hydrogen/trafigura-takes-control-of-h2-energy-europe-to-boost-green-hydrogen/</t>
  </si>
  <si>
    <t>[1948] [2175]</t>
  </si>
  <si>
    <t>MadoquaPower2X - Sines - phase 1</t>
  </si>
  <si>
    <t>MadoquaPower2X - Sines - phase 2</t>
  </si>
  <si>
    <t>https://chemicalparks.eu/news/madoquapower2x-investment-green-hydrogen-production-sines-portugal</t>
  </si>
  <si>
    <t>[1512] [2078] Data from Platts S&amp;P Global Hydrogen Daily 27/09/2023 [2176] Data from Platts S&amp;P Global Hydrogen Daily 13/10/2023</t>
  </si>
  <si>
    <t>[2176] Data from Platts S&amp;P Global Hydrogen Daily 13/10/2023</t>
  </si>
  <si>
    <t>Renewable hydrogen project Western Australia</t>
  </si>
  <si>
    <t>1000 t H2/y</t>
  </si>
  <si>
    <t>https://www.prnewswire.com/apac/news-releases/posco-holdings-takes-first-step-in-developing-40-000-tons-of-green-hydrogen-production-in-western-australia-301959009.html</t>
  </si>
  <si>
    <t>[2177]</t>
  </si>
  <si>
    <t>Tambor Green Hydrogen Hub project</t>
  </si>
  <si>
    <t>15 kt H2/y production</t>
  </si>
  <si>
    <t>https://exploracionyproduccion.ancap.com.uy/innovaportal/file/14868/1/energy-opportunities-offshore-uruguay---s-ferro-image-2022-houston.pdf</t>
  </si>
  <si>
    <t>H24U project (former Proyecto Verne)</t>
  </si>
  <si>
    <t>https://www.energiaestrategica.com/el-primer-proyecto-piloto-de-hidrogeno-verde-de-uruguay-podria-estar-operativo-en-2025/</t>
  </si>
  <si>
    <t>https://www.lenergygroup.com/adjudican-licitacion-internacional-para-epc-de-electrolizadores-de-hidrogeno-verde-en-peru/</t>
  </si>
  <si>
    <t>25MW or 50t NH3/d</t>
  </si>
  <si>
    <t>ZEG H1 plant in CCB Energy Park - Northern Lights onshore CO₂ terminal</t>
  </si>
  <si>
    <t>https://zegpower.com/posts/opening-of-zeg-h1-at-ccb-energy-park/</t>
  </si>
  <si>
    <t>[2178]</t>
  </si>
  <si>
    <t>Ammonia project on the Gulf Coast</t>
  </si>
  <si>
    <t>https://www.uniper.energy/news/jera-americas-conocophillips-and-uniper-se-initiatives-to-source-low-carbon-hydrogenammonia-supply-from-us-gulf-coast-to-advance-the-global-energy-transition</t>
  </si>
  <si>
    <t>[2179]</t>
  </si>
  <si>
    <t>2 Mt NH3/y production</t>
  </si>
  <si>
    <t>Ammonia plant Deendayal Port - Site Kandla in Gujarat</t>
  </si>
  <si>
    <t>133 kt NH3/y production</t>
  </si>
  <si>
    <t>https://www.manufacturingtodayindia.com/sectors/jakson-greens-ambitious-rs-2400-cr-green-ammonia-plant-to-transform-deendayal-port-authority</t>
  </si>
  <si>
    <t>[2180] Data from Platts S&amp;P Global Hydrogen Daily 20/10/2023</t>
  </si>
  <si>
    <t>https://timesofindia.indiatimes.com/city/jaipur/rajasthan-jakson-group-to-set-up-mega-green-hydrogen-ammonia-plant-in-kota/articleshow/95110232.cms</t>
  </si>
  <si>
    <t>[2181] Data from Platts S&amp;P Global Hydrogen Daily 20/10/2023</t>
  </si>
  <si>
    <t>Ammonia plant Kota - Rajasthan state - phase 1</t>
  </si>
  <si>
    <t>15 kt NH3/y capacity</t>
  </si>
  <si>
    <t>Low-carbon hydrogen plant at Shaybah natural gas liquids facility</t>
  </si>
  <si>
    <t>eREACT technology</t>
  </si>
  <si>
    <t>6 t H2/d capacity</t>
  </si>
  <si>
    <t>[2182] Data from Platts S&amp;P Global Hydrogen Daily 11/10/2023</t>
  </si>
  <si>
    <t>https://www.h2-view.com/story/topsoe-and-aramco-collaborate-to-demonstrate-blue-hydrogen-technology-in-saudi-arabia/2100248.article/</t>
  </si>
  <si>
    <t>https://www.newswire.ca/news-releases/atco-selected-by-south-australia-as-partner-on-world-s-largest-hydrogen-production-facility-808265891.html</t>
  </si>
  <si>
    <t>Coega, Nelson Mandela Bay green ammonia plant, phase 1</t>
  </si>
  <si>
    <t>Coega, Nelson Mandela Bay green ammonia plant, phase 2</t>
  </si>
  <si>
    <t>[1758] [2183] Data from Platts S&amp;P Global Hydrogen Daily 23/10/2023</t>
  </si>
  <si>
    <t>Suez Green Ammonia site</t>
  </si>
  <si>
    <t>https://direct.argusmedia.com/newsandanalysis/article/2500004</t>
  </si>
  <si>
    <t>[2184]</t>
  </si>
  <si>
    <t xml:space="preserve">Hunfeld project </t>
  </si>
  <si>
    <t>https://www.abo-wind.com/en/media-center/press/2023/2023-10-17_hydrogen-project-huenfeld.html</t>
  </si>
  <si>
    <t>[2185]</t>
  </si>
  <si>
    <t>Western Sahara hydrogen project</t>
  </si>
  <si>
    <t>https://www.atalayar.com/en/articulo/economy-and-business/dakhla-will-host-an-8-gigawatt-green-hydrogen-plant-to-power-industry/20231004140908191877.html</t>
  </si>
  <si>
    <t>[2186]</t>
  </si>
  <si>
    <t>Offshore floating  wind-hydrogen project</t>
  </si>
  <si>
    <t>https://www.baltictimes.com/respect_energy_holding_plans_the_construction_of_offshore_floating_wind_farm_equipped__with_an_innovative_technology_to_hydrogen_and_ammonia_production/</t>
  </si>
  <si>
    <t>[2187]</t>
  </si>
  <si>
    <t>Indonesia-Singapore hydrogen project</t>
  </si>
  <si>
    <t>100 kt H2/y capacity</t>
  </si>
  <si>
    <t>https://direct.argusmedia.com/newsandanalysis/Article/2502042</t>
  </si>
  <si>
    <t>[2188]</t>
  </si>
  <si>
    <t>https://fortescue.com/what-we-do/our-projects/holmaneset</t>
  </si>
  <si>
    <t>https://fortescue.com/what-we-do/our-projects/gibson-island</t>
  </si>
  <si>
    <t>[2164] [2189]</t>
  </si>
  <si>
    <t>Coyote Hydrogen Project</t>
  </si>
  <si>
    <t>1000MW or 700 kt NH3/y production</t>
  </si>
  <si>
    <t>[2190] [2191]</t>
  </si>
  <si>
    <t>https://www.projects.eao.gov.bc.ca/p/650b5adc5d77c20022fb59fc/project-details</t>
  </si>
  <si>
    <t>https://cdn.fortescue.com/docs/default-source/prince-george/project-coyote-fact-sheet-v2.pdf?sfvrsn=70e4a14_3/</t>
  </si>
  <si>
    <t>https://arkenergy.com.au/news/2023/11/1/364-ark-energy-breaks-ground-for-sunhq/</t>
  </si>
  <si>
    <t>https://www.h2b2.es/h2b2s-sohycal-project-in-california-has-started-hydrogen-production/</t>
  </si>
  <si>
    <t>[939][940][2192]</t>
  </si>
  <si>
    <t>Removed</t>
  </si>
  <si>
    <t>https://hidrogeno-verde.es/planta-de-produccion-hidrogeno-garray-soria/</t>
  </si>
  <si>
    <t>[2193]</t>
  </si>
  <si>
    <t>Hydrogen plant - Environmental Business Park (PEMA)</t>
  </si>
  <si>
    <t>https://direct.argusmedia.com/newsandanalysis/Article/2505496</t>
  </si>
  <si>
    <t>[1705] [2194]</t>
  </si>
  <si>
    <t>https://direct.argusmedia.com/newsandanalysis/Article/2503017</t>
  </si>
  <si>
    <t>[1262] [2195]</t>
  </si>
  <si>
    <t>https://direct.argusmedia.com/newsandanalysis/Article/2504545</t>
  </si>
  <si>
    <t>[980][990] [1088][1484][1804] [2142] [2196]</t>
  </si>
  <si>
    <t>https://direct.argusmedia.com/newsandanalysis/Article/2504674</t>
  </si>
  <si>
    <t>[1812] [2197]</t>
  </si>
  <si>
    <t>https://direct.argusmedia.com/newsandanalysis/Article/2505476</t>
  </si>
  <si>
    <t>[2198]</t>
  </si>
  <si>
    <t>https://direct.argusmedia.com/newsandanalysis/Article/2503029</t>
  </si>
  <si>
    <t>[493][618][660][889][2199]</t>
  </si>
  <si>
    <t>H2 plant at Ironveld’s Rustenburg smelter</t>
  </si>
  <si>
    <t>5kg H2/h</t>
  </si>
  <si>
    <t>https://www.miningweekly.com/article/hydrogen-plant-buildout-plan-under-way-at-metals-smelter-in-rustenburg-2023-11-01</t>
  </si>
  <si>
    <t>[2200] Data from Platts S&amp;P Global Hydrogen Daily 1/11/2023</t>
  </si>
  <si>
    <t>https://energynews.biz/bayotech-unveil-bayogaas-hydrogen-hub-in-missouri/</t>
  </si>
  <si>
    <t>[908][1652] [2201]</t>
  </si>
  <si>
    <t>H2 project - AEM Flex electrolyser</t>
  </si>
  <si>
    <t>https://www.renewableenergymagazine.com/hydrogen/first-aem-flex-120-electrolyser-delivered-to-20231103</t>
  </si>
  <si>
    <t>[2202]</t>
  </si>
  <si>
    <t>120kW</t>
  </si>
  <si>
    <t>[2203]</t>
  </si>
  <si>
    <t>https://www.rwe.com/en/press/rwe-generation/2023-11-02-rwe-receives-funding-commitment-for-generation-plant-in-bedburg/</t>
  </si>
  <si>
    <t>Mühlenerft Industrial Park - Refuelling station</t>
  </si>
  <si>
    <t>H2CRETE Valley</t>
  </si>
  <si>
    <t>13.5kt H2/y</t>
  </si>
  <si>
    <t>https://h2v.eu/hydrogen-valleys/h2crete-valley-project</t>
  </si>
  <si>
    <t>[2204]</t>
  </si>
  <si>
    <t>https://www.rystadenergy.com/news/africa-and-europe-set-to-be-the-dynamos-for-the-global-green-hydrogen-economy</t>
  </si>
  <si>
    <t>https://hydrogentechworld.com/pid-reached-for-first-green-hydrogen-valley-in-portugal</t>
  </si>
  <si>
    <t>[1272][2205]</t>
  </si>
  <si>
    <t>Oosterhorn Hydrogen project - Chemie Park Delfzijl</t>
  </si>
  <si>
    <t>https://renewablesnow.com/news/eurus-gets-permits-for-20-mw-electrolyser-project-in-the-netherlands-836724/</t>
  </si>
  <si>
    <t>[2206]</t>
  </si>
  <si>
    <t>Deep Sky Alpha pilot facility</t>
  </si>
  <si>
    <t>https://sustainablebiz.ca/deep-sky-to-pilot-equatics-dac--seawater-tech-in-quebec-facility</t>
  </si>
  <si>
    <t>[2207]</t>
  </si>
  <si>
    <t>https://research.csiro.au/hyresource/kogan-creek-renewable-hydrogen-demonstration-plant/</t>
  </si>
  <si>
    <t>[719] [2208]</t>
  </si>
  <si>
    <t>Zero Emission Valley (ZEV) - Le Cheylas</t>
  </si>
  <si>
    <t>5MW or 2 t H2/d capacity</t>
  </si>
  <si>
    <t>https://www.lhyfe.com/press/lhyfe-to-supply-several-of-hympulsions-hydrogen-filling-stations-for-a-ten-year-period-from-a-new-green-and-renewable-hydrogen-production-site-in-auvergne-rhone-alpes/</t>
  </si>
  <si>
    <t>[2209]</t>
  </si>
  <si>
    <t>Oshivela DRI project, phase 1</t>
  </si>
  <si>
    <t>15 kt DRI/y (production)</t>
  </si>
  <si>
    <t>https://hyiron.com/oshivela/</t>
  </si>
  <si>
    <t>[2210]</t>
  </si>
  <si>
    <t>https://reneweconomy.com.au/investors-scrap-pioneering-green-hydrogen-plant-in-germany-because-of-costs/</t>
  </si>
  <si>
    <t>HySCALE 100 - IPCEI project Heide refinery</t>
  </si>
  <si>
    <t>https://www.heiderefinery.com/entwicklung-von-gruenem-wasserstoff-in-der-raffinerie-heide-rueckt-einen-schritt-naeher</t>
  </si>
  <si>
    <t>[2212]</t>
  </si>
  <si>
    <t>https://www.reuters.com/business/energy/australias-fortescue-approves-750-mln-investment-three-green-projects-2023-11-20/</t>
  </si>
  <si>
    <t>[2165] [2213]</t>
  </si>
  <si>
    <t>https://www.aumanufacturing.com.au/fortescue-presses-go-on-3-green-hydrogen-projects</t>
  </si>
  <si>
    <t>Green Iron Trial Commercial Plant - Christmas Creek</t>
  </si>
  <si>
    <t>1.5 kt H2/y</t>
  </si>
  <si>
    <t>https://energynews.biz/h-tec-systems-pem-electrolyser-powers-hydrogen-lab-bremerhaven/</t>
  </si>
  <si>
    <t>[948][949] [2215]</t>
  </si>
  <si>
    <t>ME450</t>
  </si>
  <si>
    <t>EBIC - Ammonia plant -phase 1</t>
  </si>
  <si>
    <t>EBIC - Ammonia plant - phase 2</t>
  </si>
  <si>
    <t>https://www.hydrogeninsight.com/industrial/clean-hydrogen-fertiglobe-ships-world-first-certified-green-ammonia-to-india-to-make-unilever-washing-powder/2-1-1556234</t>
  </si>
  <si>
    <t>[1117][1123] [2216]</t>
  </si>
  <si>
    <t>Shell heavy residue gasification CCU - Pernis refinery (in 2024, the CCU project will become CCUS - ref1323 - once Porthos project is available)</t>
  </si>
  <si>
    <t>1000000t CO2/y - 100 kt/y</t>
  </si>
  <si>
    <t>Oshivela DRI project, phase 2</t>
  </si>
  <si>
    <t>https://direct.argusmedia.com/newsandanalysis/Article/2506358</t>
  </si>
  <si>
    <t>https://group.vattenfall.com/press-and-media/pressreleases/2019/hybrit-orders-norwegain-electrolyzers-for-fossil-free-steel-production-in-lulea</t>
  </si>
  <si>
    <t>Green Energy Manufacturing Centre (GEM) -Gladstone -phase 1</t>
  </si>
  <si>
    <t>Green Energy Manufacturing Centre (GEM) -Gladstone -phase 2</t>
  </si>
  <si>
    <t>[2213] [2214] [2215] Data from Platts S&amp;P Global Hydrogen Daily 21/11/2023</t>
  </si>
  <si>
    <t>Eneco H2 project Rotterdam port area</t>
  </si>
  <si>
    <t>https://renewablesnow.com/news/eneco-plans-800-mw-green-h2-hub-at-rotterdam-port-area-840764/#:~:text=Dutch%20utility%20Eneco%20on%20Monday,over%20the%20next%20few%20years.</t>
  </si>
  <si>
    <t>White Dunes - Western Sahara hydrogen project -phase 1</t>
  </si>
  <si>
    <t>White Dunes - Western Sahara hydrogen project -phase 2</t>
  </si>
  <si>
    <t>https://direct.argusmedia.com/newsandanalysis/article/2510124</t>
  </si>
  <si>
    <t>[2219]</t>
  </si>
  <si>
    <t>Hydrogen Lab Leuna (phase 2)</t>
  </si>
  <si>
    <t>Leuna 100</t>
  </si>
  <si>
    <t>https://www.iwes.fraunhofer.de/en/research-projects/current-projects/leuna-100.html</t>
  </si>
  <si>
    <t>https://direct.argusmedia.com/newsandanalysis/Article/2511917</t>
  </si>
  <si>
    <t>[2220] [2221]</t>
  </si>
  <si>
    <t>Goldwind e-methanol project</t>
  </si>
  <si>
    <t>500kt MeOH/y</t>
  </si>
  <si>
    <t>https://www.maersk.com/news/articles/2023/11/22/maersk-signs-landmark-green-methanol-offtake-agreement</t>
  </si>
  <si>
    <t>Hy4Chem - BASF Ludwigshafen</t>
  </si>
  <si>
    <t>https://www.basf.com/global/en/who-we-are/organization/locations/europe/german-sites/ludwigshafen/the-site/news-and-media/news-releases/2023/11/p-23-367.html</t>
  </si>
  <si>
    <t>[945][2223]</t>
  </si>
  <si>
    <t>[299] [340] [434] [576] [2224]</t>
  </si>
  <si>
    <t>https://www.ptg-bw.de/presse/aktuelles/detailansicht.html?tx_news_pi1%5Bnews%5D=51&amp;tx_news_pi1%5Bcontroller%5D=News&amp;tx_news_pi1%5Baction%5D=detail&amp;cHash=0b280949f7a9152aefaeb47d386b99ef</t>
  </si>
  <si>
    <t>[435] [545] [2225]</t>
  </si>
  <si>
    <t>https://renewablesnow.com/news/austrian-retailer-mpreis-commissions-32-mw-green-hydrogen-plant-779013/#:~:text=The%203.2%2DMW%20electrolyser%20was,amount%20was%20secured%20through%20grants.</t>
  </si>
  <si>
    <t>[216][1242] [2226]</t>
  </si>
  <si>
    <t>https://www.greenhydrogensystems.com/projects/alliander#:~:text=Alliander%2C%20a%20Dutch%20energy%20company,with%20solar%2Dfarm%20developer%20GroenLeven.</t>
  </si>
  <si>
    <t>[503][630] [1325] [2227]</t>
  </si>
  <si>
    <t>Scatec e-Methanol - second project</t>
  </si>
  <si>
    <t>Scatec e-Methanol - first project</t>
  </si>
  <si>
    <t>190MW - 100 kt MeOH/y production</t>
  </si>
  <si>
    <t>https://direct.argusmedia.com/newsandanalysis/Article/2515556</t>
  </si>
  <si>
    <t>[2228]</t>
  </si>
  <si>
    <t>https://direct.argusmedia.com/newsandanalysis/article/2514678</t>
  </si>
  <si>
    <t>[1663] [2229]</t>
  </si>
  <si>
    <t>[1386] [2229]</t>
  </si>
  <si>
    <t>[914][1663] [2229]</t>
  </si>
  <si>
    <t>[738][1020][1136] [2229]</t>
  </si>
  <si>
    <t>https://tidewater-renewables.com/investors/news-events/tidewater-renewables-ltd-announces-third-quarter-2023-results-commencement-of-hdrd-commercial-operations/</t>
  </si>
  <si>
    <t>Hydrogen Park Takasago</t>
  </si>
  <si>
    <t>1100Nm3/h</t>
  </si>
  <si>
    <t>[2231]</t>
  </si>
  <si>
    <t>https://www.mhi.com/news/23092003.html</t>
  </si>
  <si>
    <t>ACWA Power - Garuda Hidrogen Hijau (GH2)</t>
  </si>
  <si>
    <t>2.5GW</t>
  </si>
  <si>
    <t>https://www.oecd-ilibrary.org/docserver/15b16fc3-en.pdf?expires=1701946258&amp;id=id&amp;accname=guest&amp;checksum=B000CC13A6C160802AADADD4055BE94C</t>
  </si>
  <si>
    <t>[929][980][1001][1120][1205][2232]</t>
  </si>
  <si>
    <t>2.2GW - 650t H2/d - 1.2Mt NH3/y</t>
  </si>
  <si>
    <t>Engie - Yara Pilbara test, phase I (project Yuri)</t>
  </si>
  <si>
    <t>Engie - Yara Pilbara test, phase II (project Yuri)</t>
  </si>
  <si>
    <t>https://www.h2-view.com/story/lhyfe-occitanie-facility-inaugurated-in-the-south-of-france/2103328.article/</t>
  </si>
  <si>
    <t>[1320][2233]</t>
  </si>
  <si>
    <t>Turquoise Hydrogen</t>
  </si>
  <si>
    <t>150 kg H2/d</t>
  </si>
  <si>
    <t>https://www.h2-view.com/story/pure-hydrogen-enters-construction-phase-of-methane-pyrolysis-site-in-australia/2103256.article/</t>
  </si>
  <si>
    <t>[906][907][2234]</t>
  </si>
  <si>
    <t>H2 Pilotanlage Lingen, phase 1</t>
  </si>
  <si>
    <t>Reichenau power plant</t>
  </si>
  <si>
    <t>INEOS / Petroineos Grangemouth chemicals complex</t>
  </si>
  <si>
    <t>Bay.H2 Project - Bayern Oil Refinery</t>
  </si>
  <si>
    <t>https://bbj.hu/economy/energy/green-energy/assembly-starts-of-hungarys-1st-industrial-green-hydrogen-plant</t>
  </si>
  <si>
    <t>[2235]</t>
  </si>
  <si>
    <t>0.5 Mt CO2/y</t>
  </si>
  <si>
    <t>https://www.carboncapturejournal.com/ViewNews.aspx?NewsID=5838</t>
  </si>
  <si>
    <t>[1183][1432][2236]</t>
  </si>
  <si>
    <t>https://www.sse.com/news-and-views/2023/12/sse-thermal-acquires-50-stake-in-h2northeast-hydrogen-project/</t>
  </si>
  <si>
    <t>[1340][2237]</t>
  </si>
  <si>
    <t>3 TWh H2/y - 0.65Mt CO2/y</t>
  </si>
  <si>
    <t>https://www.kbr.com/en/insights-news/press-release/kbr-wins-blue-hydrogen-technology-and-engineering-contract-eet-hydrogen</t>
  </si>
  <si>
    <t>https://www.hydrogeninsight.com/production/second-major-blue-hydrogen-project-reaches-final-investment-decision-in-rotterdam/2-1-1574743</t>
  </si>
  <si>
    <t>https://www.hydrogeninsight.com/production/largest-in-europe-air-products-announces-blue-hydrogen-plant-at-rotterdam-linked-to-dutch-offshore-ccs-network/2-1-1549667</t>
  </si>
  <si>
    <t>[2163] [2169][2238]</t>
  </si>
  <si>
    <t>https://www.businesswire.com/news/home/20230718825639/en/Air-Liquide-signs-new-green-financing-for-low-carbon-hydrogen-production-in-China-aligned-with-EU-Taxonomy</t>
  </si>
  <si>
    <t>[1977] [2239]</t>
  </si>
  <si>
    <t>H2eron</t>
  </si>
  <si>
    <t>https://direct.argusmedia.com/newsandanalysis/Article/2518629</t>
  </si>
  <si>
    <t>https://www.hycc.com/en/projects/h2eron</t>
  </si>
  <si>
    <t>[2240][2241]</t>
  </si>
  <si>
    <t>ACWA Power - Green Hydrogen Project</t>
  </si>
  <si>
    <t>600 kt NH3/y capacity</t>
  </si>
  <si>
    <t>https://www.acwapower.com/news/acwa-power-signs-agreement-to-develop-green-hydrogen-project-in-egypt-worth-more-than-4-billion/</t>
  </si>
  <si>
    <t>https://www.windpowermonthly.com/article/1856336/acwa-signs-agreement-massive-egypt-green-hydrogen-project</t>
  </si>
  <si>
    <t>[2242] [2243]</t>
  </si>
  <si>
    <t>[1723][2232] [2242]</t>
  </si>
  <si>
    <t>640 MW or 200 t H2/d production</t>
  </si>
  <si>
    <t>https://research.csiro.au/hyresource/central-queensland-hydrogen-project/</t>
  </si>
  <si>
    <t>[969][970][1146][1165] [2244]</t>
  </si>
  <si>
    <t>GHR-ATR</t>
  </si>
  <si>
    <t>https://calgaryherald.com/opinion/columnists/varcoe-dow-to-invest-8-8-billion-in-alberta-net-zero-petrochemical-project</t>
  </si>
  <si>
    <t>[1854][2245]</t>
  </si>
  <si>
    <t>https://energynews.biz/adnoc-to-invest-17bn-in-major-carbon-capture-and-hydrogen-project/</t>
  </si>
  <si>
    <t>Cormorant Clean Energy Project</t>
  </si>
  <si>
    <t>880 kt NH3/y capacity - 1.4 Mt CO2/y</t>
  </si>
  <si>
    <t>https://8rivers.com/8-rivers-8rh2-ultra-low-carbon-hydrogen-technology-announcement/</t>
  </si>
  <si>
    <t>[2247]</t>
  </si>
  <si>
    <t>https://energynews.biz/saudi-arabias-aramco-sets-sights-on-hydrogen/</t>
  </si>
  <si>
    <t>https://direct.argusmedia.com/newsandanalysis/Article/2502785</t>
  </si>
  <si>
    <t>[2213] [2214]</t>
  </si>
  <si>
    <t>Project Mauricie</t>
  </si>
  <si>
    <t>https://direct.argusmedia.com/newsandanalysis/Article/2508805</t>
  </si>
  <si>
    <t>[2250]</t>
  </si>
  <si>
    <t>https://direct.argusmedia.com/newsandanalysis/Article/2503507</t>
  </si>
  <si>
    <t>https://www.cepsa.com/en/press/cepsa-and-c2x-will-develop-the-largest-green-methanol-plant</t>
  </si>
  <si>
    <t>[2251] [2252]</t>
  </si>
  <si>
    <t>Megaton Moon</t>
  </si>
  <si>
    <t>35 GWel capacity</t>
  </si>
  <si>
    <t>https://direct.argusmedia.com/newsandanalysis/Article/2513338</t>
  </si>
  <si>
    <t>[2253]</t>
  </si>
  <si>
    <t>300 kt MeOH/y capacity</t>
  </si>
  <si>
    <t>C2X Green Methanol Plant</t>
  </si>
  <si>
    <t>300 kt MeOH/y production</t>
  </si>
  <si>
    <t>https://www.hydrogeninsight.com/production/hydrogen-to-marine-fuel-maersk-backed-producer-inks-deal-to-develop-3bn-green-methanol-plant-in-egypt/2-1-1529593</t>
  </si>
  <si>
    <t>[2251] [2254]</t>
  </si>
  <si>
    <t>Hydrogen Project - La Romana</t>
  </si>
  <si>
    <t>350 MWel - 46 kt H2/y production</t>
  </si>
  <si>
    <t>https://direct.argusmedia.com/newsandanalysis/article/2509646?keywords=en.it</t>
  </si>
  <si>
    <t>[2255]</t>
  </si>
  <si>
    <t>4 Nm3 H2/h</t>
  </si>
  <si>
    <t>1MW - 200 Nm3 H2/h</t>
  </si>
  <si>
    <t>1.5MW - 180 Nm3 H2/h</t>
  </si>
  <si>
    <t>27 Nm3 H2/h</t>
  </si>
  <si>
    <t>19 Nm3 H2/h</t>
  </si>
  <si>
    <t>120+60 Nm3 H2/h</t>
  </si>
  <si>
    <t>0.16MW - 30 Nm3 H2/h</t>
  </si>
  <si>
    <t>444 Nm3 H2/h</t>
  </si>
  <si>
    <t>0.048MW - 10 Nm3 H2/h</t>
  </si>
  <si>
    <t>1MW - 180 Nm3 H2/h</t>
  </si>
  <si>
    <t xml:space="preserve">20MW - 20 kt NH3/y </t>
  </si>
  <si>
    <t>2 Nm3 H2/h</t>
  </si>
  <si>
    <t>60 Nm3 H2/h</t>
  </si>
  <si>
    <t>1000 Nm3 H2/h - 1440t MeOH</t>
  </si>
  <si>
    <t xml:space="preserve"> 300MW - 125t H2/d </t>
  </si>
  <si>
    <t xml:space="preserve">600MW - 250t H2/d </t>
  </si>
  <si>
    <r>
      <t>1 MW - 200 Nm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</si>
  <si>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0.6 Nm3 H2/h</t>
  </si>
  <si>
    <t>1.7 Nm3 H2/h</t>
  </si>
  <si>
    <t>7 Nm3 H2/h</t>
  </si>
  <si>
    <t>0.09 Nm3 H2/h</t>
  </si>
  <si>
    <t>0.3 Nm3 H2/h</t>
  </si>
  <si>
    <t>35 Nm3 H2/h</t>
  </si>
  <si>
    <t>13 Nm3 H2/h</t>
  </si>
  <si>
    <t xml:space="preserve">600kW - 56t H2/y </t>
  </si>
  <si>
    <t>11 Nm3 H2/h</t>
  </si>
  <si>
    <t>0.1 Nm3 H2/h</t>
  </si>
  <si>
    <t>0.348MW</t>
  </si>
  <si>
    <t>Pauna Greener Future - NH3 (phase 2)</t>
  </si>
  <si>
    <t>Pauna Greener Future - H2 (phase 1)</t>
  </si>
  <si>
    <t>https://ignis.es/en/green-ammonia-project-ignis/</t>
  </si>
  <si>
    <t>Carbon Governance  green hydrogen project, phase 2</t>
  </si>
  <si>
    <t>Carbon Governance  green hydrogen project, phase 3</t>
  </si>
  <si>
    <t>H2 Emden Electrolyzer, phase 2</t>
  </si>
  <si>
    <t>Globeleq green hydrogen project, phase 2</t>
  </si>
  <si>
    <t>Keravan Energia (Kerava)</t>
  </si>
  <si>
    <t>https://ren-gas.com/en/projekti/kerava-2/</t>
  </si>
  <si>
    <t>[2256]</t>
  </si>
  <si>
    <t>Tarastenjärvi power (Tampere)</t>
  </si>
  <si>
    <t xml:space="preserve">18 kt H2/y production </t>
  </si>
  <si>
    <t>https://ren-gas.com/en/projekti/tampere-2/</t>
  </si>
  <si>
    <t>[2257]</t>
  </si>
  <si>
    <t>Kymijärvi power (Lahti)</t>
  </si>
  <si>
    <t>https://ren-gas.com/en/projekti/lahti-2/</t>
  </si>
  <si>
    <t>[2258]</t>
  </si>
  <si>
    <t>Kotka power (Kotka)</t>
  </si>
  <si>
    <t>https://ren-gas.com/en/projekti/kotka-2/</t>
  </si>
  <si>
    <t>[2259]</t>
  </si>
  <si>
    <t>Mikkeli plant</t>
  </si>
  <si>
    <t>https://ren-gas.com/en/projekti/mikkeli-2/</t>
  </si>
  <si>
    <t>[2260]</t>
  </si>
  <si>
    <t>Aittaluoto power (Pori)</t>
  </si>
  <si>
    <t>https://ren-gas.com/en/projekti/pori-2/</t>
  </si>
  <si>
    <t>https://www.power-technology.com/news/mitsui-danish-solar-e-methanol-plant/?cf-view</t>
  </si>
  <si>
    <t>[1249][1683][2262]</t>
  </si>
  <si>
    <t>[1276][2263]</t>
  </si>
  <si>
    <t>https://cmb.tech/news/cleanergy-solutions-namibia-kicks-off-construction-works-for-africas-first-public-refuelling-station-with-onsite-green-hydrogen-production</t>
  </si>
  <si>
    <t>[1454][2264]</t>
  </si>
  <si>
    <t>https://research.csiro.au/hyresource/geelong-new-energies-service-station-project/</t>
  </si>
  <si>
    <t>[2019][2265]</t>
  </si>
  <si>
    <t>[324] [325] [574] [946][1037] [1605] [2266]</t>
  </si>
  <si>
    <t>https://research.csiro.au/hyresource/hydrogen-fuels-australia-truganina-hrs/</t>
  </si>
  <si>
    <t>[872][2267]</t>
  </si>
  <si>
    <t>432kW or 60-90kg H2/d production</t>
  </si>
  <si>
    <t>Hydrogen Fuels Australia Truganina refuelling station - H2FA</t>
  </si>
  <si>
    <t>https://www.viessmann.family/en/what-we-offer/climate-solutions/hydrogen/smartquart-a-complete-hydrogen-infrastructure-is-being-built-in-kaisersesch.html</t>
  </si>
  <si>
    <t>[896] [1343] [1688][2268]</t>
  </si>
  <si>
    <t>https://gcenode.no/news/a-hydrogen-producer-for-decades/</t>
  </si>
  <si>
    <t>https://gaspathways.com/c-zero-the-low-power-solution-for-producing-hydrogen-from-natural-gas-2341</t>
  </si>
  <si>
    <t>[1453] [1695][2270]</t>
  </si>
  <si>
    <t>[1461][1462][2271]</t>
  </si>
  <si>
    <t>https://chemicalparks.eu/news/ineratec-e-fuel-production-plant-frankfurt-hochst-industrial-park-germany</t>
  </si>
  <si>
    <t>https://www.forbes.com/sites/davidblekhman/2023/10/12/hydrogen-hub-prototype-in-norwegian-fjords-nordic-notes/?sh=6a9e313d6a85</t>
  </si>
  <si>
    <t>[1503][2272]</t>
  </si>
  <si>
    <t>https://www.kraftanlagen.com/en/green-hydrogen-from-bavaria/</t>
  </si>
  <si>
    <t>[1043] [1639] [2274]</t>
  </si>
  <si>
    <t>QAFCO ammonia project</t>
  </si>
  <si>
    <t>https://www.arabianbusiness.com/industries/energy/qatarenergy-qafco-to-build-the-worlds-largest-blue-ammonia-facility</t>
  </si>
  <si>
    <t>https://www.thenationalnews.com/business/energy/2022/08/31/qatarenergy-renewable-solutions-and-qafco-team-up-to-build-ammonia-7-project/</t>
  </si>
  <si>
    <t>[2275][2276]</t>
  </si>
  <si>
    <t>https://hycamite.com/news/hycamite-breaks-ground-at-kokkola-industrial-park-for-customer-sample-facility</t>
  </si>
  <si>
    <t>[1725][2277]</t>
  </si>
  <si>
    <t>Gyeongnam Changwon Green Energy Center</t>
  </si>
  <si>
    <t>125 KW</t>
  </si>
  <si>
    <t>[1458] [2077] [2278]</t>
  </si>
  <si>
    <t>[1366] [2074] [2278]</t>
  </si>
  <si>
    <t>[2031] [2034] [2278]</t>
  </si>
  <si>
    <t>[2035] [2278]</t>
  </si>
  <si>
    <t>[2036] [2037] [2278]</t>
  </si>
  <si>
    <t>[2040] [2041] [2042] [2278]</t>
  </si>
  <si>
    <t>[2043] [2278]</t>
  </si>
  <si>
    <t>https://www.gramli.at/#:~:text=site%20in%20Linz.-,Project%20background,an%20increasingly%20strained%20electricity%20grid.</t>
  </si>
  <si>
    <t>[1831] [2076] [2278] [2279]</t>
  </si>
  <si>
    <t>Underground Sun Storage 2030</t>
  </si>
  <si>
    <t>2 Mwel</t>
  </si>
  <si>
    <t>https://www.uss-2030.at/en/</t>
  </si>
  <si>
    <t>[2278] [2280]</t>
  </si>
  <si>
    <t>15 tH2/d production</t>
  </si>
  <si>
    <t>https://wyoenergy.org/energy-matching-funds/</t>
  </si>
  <si>
    <t>[2281] [2282]</t>
  </si>
  <si>
    <t xml:space="preserve">
https://www.babcock.com/assets/Uploads/E101-3260-BrightLoop-for-H2-Steam-or-Syngas-Production.pdf
https://energynews.biz/black-hills-energy-partners-with-babcock-wilcox-to-produce-hydrogen-from-coal/</t>
  </si>
  <si>
    <t>Brightloop TM - CCS Demostration Plant: Converting Wyoming PRB Coal to Hydrogen</t>
  </si>
  <si>
    <t>Integration of Produced Water Thermal Desalination and Steam Methane Reforming for Efficient Hydrogen Production</t>
  </si>
  <si>
    <t>1 tH2/d production</t>
  </si>
  <si>
    <t xml:space="preserve">[2281] [2283] </t>
  </si>
  <si>
    <t>https://wyoenergy.org/wp-content/uploads/2023/11/SER_EMF-Summary.pdf</t>
  </si>
  <si>
    <t>Green Hydrogen Production Facility</t>
  </si>
  <si>
    <t>0.6 tH2/d production</t>
  </si>
  <si>
    <t>https://fuelcellsworks.com/news/samsung-ct-to-build-green-hydrogen-production-facility/</t>
  </si>
  <si>
    <t>[2284]</t>
  </si>
  <si>
    <t>CO2 convective reformer (CCR)</t>
  </si>
  <si>
    <t>~1 MW - 450 Kg H2/d</t>
  </si>
  <si>
    <t>AEM Nexus 1000 - Saerbeck</t>
  </si>
  <si>
    <t>https://www.h2coresystems.com/en/nexus-1000-20240101/</t>
  </si>
  <si>
    <t>[2285]</t>
  </si>
  <si>
    <t>30 kNm3 H2/h capacity</t>
  </si>
  <si>
    <t>270 kNm3 H2/h capacity</t>
  </si>
  <si>
    <t>Shell China - Zhangjiakou Transportation Investment, phase 1</t>
  </si>
  <si>
    <t>60 MW -12 000 Nm3 H2/h capacity</t>
  </si>
  <si>
    <t>250 Nm3 H2/h - 1.25 MW</t>
  </si>
  <si>
    <t>CEEC Songyuan Hydrogen Energy Industrial Park (Green H2-NH3 Integration) Phase 1</t>
  </si>
  <si>
    <t>CEEC Songyuan Hydrogen Energy Industrial Park (Green H2-NH3 Integration) Phase 2</t>
  </si>
  <si>
    <t>[2139]</t>
  </si>
  <si>
    <t>110 kt H2,y + 600 kt NH3/y + 20 kt MeOH/y</t>
  </si>
  <si>
    <t>Sinopec Star Corp Ordos Green Power-to-Gas Demonstration (or: Uxin Banner Wind-Solar Integrated Green Hydrogen Petrochemical Refinery Demo) Phase 2</t>
  </si>
  <si>
    <t>30kt H2/y capacity</t>
  </si>
  <si>
    <t>Sinopec Star Corp Ordos Green Power-to-Gas Demonstration (or: Uxin Banner Wind-Solar Integrated Green Hydrogen Petrochemical Refinery Demo) Phase 1</t>
  </si>
  <si>
    <t>10kt H2/y capacity</t>
  </si>
  <si>
    <t>46000 Nm3/h capacity</t>
  </si>
  <si>
    <t>40 Mwel -15 t H2/d production</t>
  </si>
  <si>
    <t>https://www.ir.plugpower.com/press-releases/news-details/2021/Plug-Power-Announces-Green-Hydrogen-Plant-in-Camden-County-Georgia-2021-6-10/</t>
  </si>
  <si>
    <t>[971] [2229] [2286]</t>
  </si>
  <si>
    <t xml:space="preserve">GrandBlue Environment Renewable (Biogas) Hydrogen Production and Refuelling Primary Station </t>
  </si>
  <si>
    <t>3000 Nm3/h capacity</t>
  </si>
  <si>
    <t>Qitai Smart Energy Equipment Industrial Park - 50,000 Ton Green Hydrogen and Green Methanol Project (Phase 1)</t>
  </si>
  <si>
    <t>Zheneng-DSIC 10K Ton-Scale Green Methanol Project</t>
  </si>
  <si>
    <t>Chicheng Wind-Hydrogen-Storage Energy Integration Demonstration stage 1</t>
  </si>
  <si>
    <t>Qitai Smart Energy Equipment Industrial Park - 50,000 Ton Green Hydrogen and Green Methanol Project (Phase 2)</t>
  </si>
  <si>
    <t>Qitai Smart Energy Equipment Industrial Park - 50,000 Ton Green Hydrogen and Green Methanol Project (Phase 3)</t>
  </si>
  <si>
    <t>46 200 Nm3/h - 100 kt MeOH/y production</t>
  </si>
  <si>
    <t>Proyecto Fenix</t>
  </si>
  <si>
    <t xml:space="preserve">8 000 Nm3/y </t>
  </si>
  <si>
    <t>https://proactivo.com.pe/fenix-primera-planta-de-hidrogeno-verde-instalada-en-central-electrica-en-el-peru-inicia-su-operacion/</t>
  </si>
  <si>
    <t>[2287]</t>
  </si>
  <si>
    <t>2 500 t synfuel/y production</t>
  </si>
  <si>
    <t>Solarbelt Fairfuel kerosene DEMO plant</t>
  </si>
  <si>
    <t>360 t kerosene/y capacity</t>
  </si>
  <si>
    <t>https://www.transportenvironment.org/wp-content/uploads/2024/01/2024_01_E-kerosene_Tracker_TE.pdf</t>
  </si>
  <si>
    <t>[2288] [2289]</t>
  </si>
  <si>
    <t>https://ptxlablausitz.de/fileadmin/ptx/Dateien/Demonstrationsanlage/PtL_Anlagen_in_Deutschland_Stand_Juli_2023.pdf</t>
  </si>
  <si>
    <t>https://biofuels-news.com/news/shells-rhineland-refinery-to-produce-saf/</t>
  </si>
  <si>
    <t>[1355] [2288]</t>
  </si>
  <si>
    <t>[1516] [2288]</t>
  </si>
  <si>
    <t xml:space="preserve">[1092] </t>
  </si>
  <si>
    <t>The Hydrogen Plant at Tse'khene Energy Transition Hub (TETH)</t>
  </si>
  <si>
    <t>https://direct.argusmedia.com/newsandanalysis/Article/2503788</t>
  </si>
  <si>
    <t>https://www.mlib.ca/wp-content/uploads/December-2023-Report.pdf</t>
  </si>
  <si>
    <t>[2292] [2293]</t>
  </si>
  <si>
    <t>https://www.ir.plugpower.com/press-releases/news-details/2023/Plug-Secures-100-MW-Electrolyzer-Deal-for-Green-Hydrogen-Project-in-Europe/default.aspx</t>
  </si>
  <si>
    <t>[1847] [2295]</t>
  </si>
  <si>
    <t xml:space="preserve">[1847] </t>
  </si>
  <si>
    <t>https://direct.argusmedia.com/newsandanalysis/Article/2504883</t>
  </si>
  <si>
    <t>[1290] [2294]</t>
  </si>
  <si>
    <t>https://7fidelity.com/jga/</t>
  </si>
  <si>
    <t>[1964] [2296]</t>
  </si>
  <si>
    <t>Masdar green hydrogen project</t>
  </si>
  <si>
    <t>https://jordantimes.com/news/local/energy-ministry-inks-5-mous-green-energy-projects-set-boost-climate-finance-reduce-fossil</t>
  </si>
  <si>
    <t>[2297]</t>
  </si>
  <si>
    <t>Aqua Saudi Arabia green ammonia project</t>
  </si>
  <si>
    <t>KEPCO -Xenel green ammonia project</t>
  </si>
  <si>
    <t>Catalyst green ammonia project</t>
  </si>
  <si>
    <t>Kawar Energy green ammonia project</t>
  </si>
  <si>
    <t>https://direct.argusmedia.com/newsandanalysis/Article/2509201</t>
  </si>
  <si>
    <t>[2298]</t>
  </si>
  <si>
    <t>Philadelphia solar green ammonia project</t>
  </si>
  <si>
    <t>Enertag green ammonia project</t>
  </si>
  <si>
    <t>Amarenco green ammonia project</t>
  </si>
  <si>
    <t>Mass Group Holdings green ammonia project</t>
  </si>
  <si>
    <t>150 kt NH3/y capacity</t>
  </si>
  <si>
    <t>100 - 150 kt NH3/y capacity</t>
  </si>
  <si>
    <t>up to 1 ooo kt NH3/y capacity</t>
  </si>
  <si>
    <t>100 kt NH3/y capacity</t>
  </si>
  <si>
    <t>1 000 kt NH3/y capacity</t>
  </si>
  <si>
    <t>100 - 200 kt NH3/y capacity</t>
  </si>
  <si>
    <t>200 kt NH3/y capacity</t>
  </si>
  <si>
    <t>180 kt NH3/y capacity</t>
  </si>
  <si>
    <t>https://direct.argusmedia.com/newsandanalysis/Article/2513994</t>
  </si>
  <si>
    <t>[2299]</t>
  </si>
  <si>
    <t>https://direct.argusmedia.com/newsandanalysis/Article/2508889</t>
  </si>
  <si>
    <t>Zijing Mining Renewable energy project</t>
  </si>
  <si>
    <t>30 kt H2/y production</t>
  </si>
  <si>
    <t>https://www.power-technology.com/news/serbia-2-18bn-renewables-investment-china/?cf-view</t>
  </si>
  <si>
    <t>[2300] [2301]</t>
  </si>
  <si>
    <t>Dummy_1</t>
  </si>
  <si>
    <t>IEA zero-carbon estimated normalized capacity [Nm³ H₂/hour]</t>
  </si>
  <si>
    <t>Picea systems installed at multiple residential households (500 2.4 kW)</t>
  </si>
  <si>
    <t>https://www.pv-magazine.com/2021/06/11/hydrogen-based-storage-system-for-residential-applications/</t>
  </si>
  <si>
    <t>[2302]</t>
  </si>
  <si>
    <t>AEM Nexus for Metal Hardening Process</t>
  </si>
  <si>
    <t>1 Mwel</t>
  </si>
  <si>
    <t>[2303]</t>
  </si>
  <si>
    <t>https://www.omcd.it/green-hydrogen-films-spa-will-build-one-of-three-plants-in-the-piemonte-region/</t>
  </si>
  <si>
    <t>https://www.enapter.com/press-releases/enapter-ag-sells-1mw-electrolyser-to-uk-firm-after-aem-multicore-demo</t>
  </si>
  <si>
    <t>AEM Nexus for Fuel Cell factory FAT process</t>
  </si>
  <si>
    <t>.5 Mwel</t>
  </si>
  <si>
    <t>[2304]</t>
  </si>
  <si>
    <t>https://www.enapter.com/press-releases/enapter-ag-secures-new-customers-for-electrolysers-from-europe-to-asia</t>
  </si>
  <si>
    <t>AEM Nexus for Unigranit</t>
  </si>
  <si>
    <t>[2305]</t>
  </si>
  <si>
    <t>Multiple AEM Nexus in China</t>
  </si>
  <si>
    <t>https://www.enapter.com/press-releases/enapter-and-wolong-work-together-to-bring-aem-electrolysers-to-china</t>
  </si>
  <si>
    <t>[2306]</t>
  </si>
  <si>
    <t>eM-Rhone</t>
  </si>
  <si>
    <t>https://elyse.energy/en/our-projects/em-france#pll_switcher</t>
  </si>
  <si>
    <t>[2022] [2307]</t>
  </si>
  <si>
    <t>[2307]</t>
  </si>
  <si>
    <t>150 kt MeOH/y production</t>
  </si>
  <si>
    <t>https://www.hy2gen.com/hynovera</t>
  </si>
  <si>
    <t>[1516] [2004] [2308]</t>
  </si>
  <si>
    <t>330 MWel - 200 kt MeOH/y production</t>
  </si>
  <si>
    <t>Nautilus</t>
  </si>
  <si>
    <t>85 Mwel - 60 kt MeOH/y production</t>
  </si>
  <si>
    <t>https://www.hy2gen.com/nautilus</t>
  </si>
  <si>
    <t>[2309]</t>
  </si>
  <si>
    <t>https://www.energate-messenger.com/news/219668/steag-builds-methanol-synthesis-plant-in-thuringia</t>
  </si>
  <si>
    <t>[2310]</t>
  </si>
  <si>
    <t>Zella-Mehlis waste incineration site methanol production</t>
  </si>
  <si>
    <t>HS Orka-H2V green methanol plant</t>
  </si>
  <si>
    <t>https://www.offshore-energy.biz/hs-orka-h2v-team-up-on-green-hydrogen-and-methanol-project/</t>
  </si>
  <si>
    <t>[2311]</t>
  </si>
  <si>
    <t>Cromarty Clean Fuels Project</t>
  </si>
  <si>
    <t>[2312]</t>
  </si>
  <si>
    <t>https://www.proman.org/news/global-energy-group-and-proman-to-develop-a-renewable-power-to-methanol-plant-at-the-nigg-oil-terminal/</t>
  </si>
  <si>
    <t>SolWinHy Cádiz</t>
  </si>
  <si>
    <t>31.5 kt MeOH/y production</t>
  </si>
  <si>
    <t>https://www.investinspain.org/content/icex-invest/en/noticias-main/2022/viridi.html</t>
  </si>
  <si>
    <t>https://www.juntadeandalucia.es/presidencia/portavoz/detalleAsuntoConsejo?asunto=247021</t>
  </si>
  <si>
    <t>[2313] [2314]</t>
  </si>
  <si>
    <t>eM-Iberica</t>
  </si>
  <si>
    <t>1 000 kt MeOH/y production</t>
  </si>
  <si>
    <t>20 kt MeOH/y production</t>
  </si>
  <si>
    <t>https://www.cbc.ca/news/canada/edmonton/calgary-energy-firm-backs-away-from-proposed-4b-northern-alberta-methanol-plant-1.6739176</t>
  </si>
  <si>
    <t>1300 MW</t>
  </si>
  <si>
    <t>https://projecten.topsectorenergie.nl/projecten/duwaal-hub-satellite-wieringerwerf-37301</t>
  </si>
  <si>
    <t>[920] [1662] [2316]</t>
  </si>
  <si>
    <t>Hydrogen Hub Agder Phase 1</t>
  </si>
  <si>
    <t>Hydrogen Hub Agder Phase 2</t>
  </si>
  <si>
    <t>https://www.chemengonline.com/everfuel-and-greenstat-make-progress-on-20-mw-green-h2-project-in-norway/?printmode=1</t>
  </si>
  <si>
    <t>[2317]</t>
  </si>
  <si>
    <t>20 MW - 8 t H2/d production</t>
  </si>
  <si>
    <t>Lhyfe - Brake green hydrogen plant</t>
  </si>
  <si>
    <t>10 MW - 4 t H2/d capacity</t>
  </si>
  <si>
    <t>https://www.ajot.com/news/lhyfe-is-building-a-green-hydrogen-plant-in-the-seaport-city-of-brake-in-lower-saxony-germany</t>
  </si>
  <si>
    <t>[2318]</t>
  </si>
  <si>
    <t>GreenGo Tarm plant (Megaton)</t>
  </si>
  <si>
    <t>42 kt MeOH/y - 60MW</t>
  </si>
  <si>
    <t>https://www.carbonrecycling.is/</t>
  </si>
  <si>
    <t>https://www.hydrogeninsight.com/production/government-backed-green-hydrogen-to-methanol-pilot-in-belgium-scrapped-due-to-escalating-costs/2-1-1592857</t>
  </si>
  <si>
    <t>GACL-NTPC REL ammonia methanol plant</t>
  </si>
  <si>
    <t>27 kt MeOH/y + 35 t NH3/d production</t>
  </si>
  <si>
    <t>https://www.icis.com/explore/resources/news/2022/07/08/10782971/india-s-gacl-ntpc-rel-to-produce-green-methanol-ammonia/</t>
  </si>
  <si>
    <t>[2321]</t>
  </si>
  <si>
    <t xml:space="preserve">Umwelt e-fuels plant </t>
  </si>
  <si>
    <t>[2322]</t>
  </si>
  <si>
    <t>https://www.thehindubusinessline.com/news/danish-company-umwelt-energy-to-invest-850-m-in-tn-for-green-hydrogen-methanol-plant/article66567616.ece</t>
  </si>
  <si>
    <t>https://energy.economictimes.indiatimes.com/news/renewable/odisha-approves-12-projects-with-investment-of-inr-84918-crore/105523997</t>
  </si>
  <si>
    <t>ReNew E-Fuels Private Limited green methanol plant - Malkangiri</t>
  </si>
  <si>
    <t>ReNew E-Fuels Private Limited green methanol plant - Rayagada</t>
  </si>
  <si>
    <t>500 kt MeOH/y production</t>
  </si>
  <si>
    <t>[2323]</t>
  </si>
  <si>
    <t xml:space="preserve">Padborg PtX </t>
  </si>
  <si>
    <t xml:space="preserve">150 MW - 90 kt MeOH/y </t>
  </si>
  <si>
    <t>https://dk.europeanenergy.com/2023/10/27/european-energy-vinder-power-to-x-udbud-og-paabegynder-naeste-generation-af-e-fuel-produktion/</t>
  </si>
  <si>
    <t>[2324]</t>
  </si>
  <si>
    <t>https://direct.argusmedia.com/newsandanalysis/Article/2534401</t>
  </si>
  <si>
    <t>[2325]</t>
  </si>
  <si>
    <t>IBCLNG hydrogen plant</t>
  </si>
  <si>
    <t>23 kt kerosene/y capacity</t>
  </si>
  <si>
    <t>SAF+Consortium SAF plant</t>
  </si>
  <si>
    <t>SPIC SAF facility - Qiqihaer - Phase 1</t>
  </si>
  <si>
    <t>SPIC SAF facility - Qiqihaer - Phase 2</t>
  </si>
  <si>
    <t>https://www.reuters.com/sustainability/climate-energy/chinas-spic-plans-59-bln-investment-turning-green-hydrogen-into-fuel-2023-12-11/</t>
  </si>
  <si>
    <t>[2326]</t>
  </si>
  <si>
    <t>10 kt SAF/y capacity</t>
  </si>
  <si>
    <t>164 kt H2/y capacity</t>
  </si>
  <si>
    <t>https://skynrg.com/state-of-baden-wu%CC%88rttemberg-supports-study-on-the-production-and-use-of-synthetic-kerosene-based-on-renewable-energies/</t>
  </si>
  <si>
    <t>Baden-Württemberg SAF Demo plant</t>
  </si>
  <si>
    <t>50 kt synfuels/y capacity</t>
  </si>
  <si>
    <t>[2327]</t>
  </si>
  <si>
    <t>12 t H2/d production</t>
  </si>
  <si>
    <t>The Next Gate - P2X -Europe</t>
  </si>
  <si>
    <t xml:space="preserve">200 t synfuels/year capacity </t>
  </si>
  <si>
    <t>https://www.hur.com/en/sustainability/news</t>
  </si>
  <si>
    <t>[2328]</t>
  </si>
  <si>
    <t>IdunnH2 SAF plant</t>
  </si>
  <si>
    <t>https://idunnh2.com/saf/</t>
  </si>
  <si>
    <t>[2329]</t>
  </si>
  <si>
    <t>65 kt synfuel/y capacity</t>
  </si>
  <si>
    <t>280 t synfuels/y capacity</t>
  </si>
  <si>
    <t>40 kt Synthetic kerosene/y production</t>
  </si>
  <si>
    <t>[2330]</t>
  </si>
  <si>
    <t>https://www.cowi.com/about/news-and-press/cowi-and-swedish-biofuels-to-build-factories-for-sustainable-aviation-fuel-production</t>
  </si>
  <si>
    <t>Swedish Biofuels/COWI SAF plant</t>
  </si>
  <si>
    <t>20 kt synfuels/y capacity</t>
  </si>
  <si>
    <t>Carbonshift PtL SAF refinery</t>
  </si>
  <si>
    <t>14 kt synfules/y capacity</t>
  </si>
  <si>
    <t>https://www.globenewswire.com/news-release/2023/11/17/2782326/9504/en/Willis-Sustainable-Fuels-UK-Limited-Awarded-4-721M-Grant-in-UK-s-Advanced-Fuels-Fund-AFF-Competition.html</t>
  </si>
  <si>
    <t>[2331]</t>
  </si>
  <si>
    <t>NABOO</t>
  </si>
  <si>
    <t>80 kt synfules/y capacity</t>
  </si>
  <si>
    <t>[2332]</t>
  </si>
  <si>
    <t>https://www.efuel-alliance.eu/efuels/efuels-production-map</t>
  </si>
  <si>
    <t>Oxefuel Biogenic</t>
  </si>
  <si>
    <t>7.4 kt synfules/y capacity</t>
  </si>
  <si>
    <t>https://www.oxccu.com/technology</t>
  </si>
  <si>
    <t>[2333]</t>
  </si>
  <si>
    <t>https://www.argusmedia.com/en/news/2510449-uk-grants-138m-to-efuel-carbon-capture-aero-project</t>
  </si>
  <si>
    <t>[2334]</t>
  </si>
  <si>
    <t>Advancing Sustainable Aviation via PtL and Direct Air Capture (ASAP-DAC)  project</t>
  </si>
  <si>
    <t>600 t synfuel/y production</t>
  </si>
  <si>
    <t>14 kt synfuels/y capacity</t>
  </si>
  <si>
    <t>https://www.infiniumco.com/roadrunner</t>
  </si>
  <si>
    <t>[2335]</t>
  </si>
  <si>
    <t>Roadrunner</t>
  </si>
  <si>
    <t>Nujio'qonik Green Hydrogen -phase 3</t>
  </si>
  <si>
    <t>2.8 kt H2/y production</t>
  </si>
  <si>
    <t>https://www.hdf-energy.com/en/worldwide-projects/</t>
  </si>
  <si>
    <t>[1471] [2336]</t>
  </si>
  <si>
    <t xml:space="preserve">300 t H2/y production </t>
  </si>
  <si>
    <t>[1472] [2336]</t>
  </si>
  <si>
    <t>1.15 kt H2/y production</t>
  </si>
  <si>
    <t>[1840] [2336]</t>
  </si>
  <si>
    <t>[1470] [2337]</t>
  </si>
  <si>
    <t>Sardidrogeno: the French HDF Energy project to produce green hydrogen in Sardinia - HydroNews</t>
  </si>
  <si>
    <t>Semarak Renewable Energy hydrogen project in Perak</t>
  </si>
  <si>
    <t>https://direct.argusmedia.com/newsandanalysis/Article/2540689</t>
  </si>
  <si>
    <t>[2338]</t>
  </si>
  <si>
    <t>https://bioenergyinternational.com/tidewater-selects-haldor-topsoe-technologies-for-renewable-diesel-production/</t>
  </si>
  <si>
    <t>[818][2230] [2339]</t>
  </si>
  <si>
    <t>Renewstable Mpumalanga</t>
  </si>
  <si>
    <t>[2336]</t>
  </si>
  <si>
    <t>https://grande-region-hydrogen.eu/en/projects/hypower-moselle-saar/</t>
  </si>
  <si>
    <t>Renewstable Olutanga</t>
  </si>
  <si>
    <t>1.4 - 2 kt H2/y production</t>
  </si>
  <si>
    <t>Renewstable Vitilevu</t>
  </si>
  <si>
    <t>400 t H2/y production</t>
  </si>
  <si>
    <t>360 MW el</t>
  </si>
  <si>
    <t>https://direct.argusmedia.com/newsandanalysis/Article/2541309</t>
  </si>
  <si>
    <t>[2341]</t>
  </si>
  <si>
    <t>LH2 Europe Project</t>
  </si>
  <si>
    <t>Uganda H2-based fertiliser project</t>
  </si>
  <si>
    <t xml:space="preserve">11.4 kt H2/y production </t>
  </si>
  <si>
    <t>[2342]</t>
  </si>
  <si>
    <t>https://direct.argusmedia.com/newsandanalysis/Article/2539004</t>
  </si>
  <si>
    <t>Argus Hydrogen and Future Fuels, 20 Feburary 2024</t>
  </si>
  <si>
    <t xml:space="preserve">[2343] </t>
  </si>
  <si>
    <t>e-methanol plant in Port of Victoria</t>
  </si>
  <si>
    <t>100 MW el</t>
  </si>
  <si>
    <t>Oulu Energy Hydrogen Plant</t>
  </si>
  <si>
    <t>https://direct.argusmedia.com/newsandanalysis/Article/2538373</t>
  </si>
  <si>
    <t>[2344]</t>
  </si>
  <si>
    <t>https://direct.argusmedia.com/newsandanalysis/Article/2537758</t>
  </si>
  <si>
    <t>[1806] [2345]</t>
  </si>
  <si>
    <t>[1489] [2345]</t>
  </si>
  <si>
    <t>[1561][1562] [2345]</t>
  </si>
  <si>
    <t xml:space="preserve">Stirling Green Hydrogen </t>
  </si>
  <si>
    <t>10 MW - 3 kt/y H2 capacity</t>
  </si>
  <si>
    <t>https://www.stirlinggreenhydrogen.co.uk/theproject</t>
  </si>
  <si>
    <t>[2345] [2346]</t>
  </si>
  <si>
    <t>Wigan Green Hydrogen</t>
  </si>
  <si>
    <t>[2345] [2347]</t>
  </si>
  <si>
    <t>https://www.edie.net/kraft-heinz-starts-exploring-onsite-green-hydrogen-production-at-wigan-factory/</t>
  </si>
  <si>
    <t>H2Nord Gmbh&amp;Co.</t>
  </si>
  <si>
    <t>https://www.wasserstoff-niedersachsen.de/en/h2nord/</t>
  </si>
  <si>
    <t>[2348]</t>
  </si>
  <si>
    <t>https://www.h2rivers.de/h2rivers/projektpartner/detailseite/hywaiblingen</t>
  </si>
  <si>
    <t>[2349]</t>
  </si>
  <si>
    <t>HY.City.Bremerhaven</t>
  </si>
  <si>
    <t>https://energynews.biz/green-hydrogen-production-in-bremerhaven-to-start-in-2023/</t>
  </si>
  <si>
    <t>[2350]</t>
  </si>
  <si>
    <t>H2Rivers</t>
  </si>
  <si>
    <t>HY.Waiblingen</t>
  </si>
  <si>
    <t>700 t H2/y prodcution</t>
  </si>
  <si>
    <t>https://h2v.eu/hydrogen-valleys/h2rivers-0</t>
  </si>
  <si>
    <t>[2351]</t>
  </si>
  <si>
    <t>https://direct.argusmedia.com/newsandanalysis/Article/2508837</t>
  </si>
  <si>
    <t>[797][798][799][944][1100], Platts European Gas Daily 17-08-2021 [2352]</t>
  </si>
  <si>
    <t>Santos-Tokyo Gas e-methane plant</t>
  </si>
  <si>
    <t>https://direct.argusmedia.com/newsandanalysis/Article/2511437</t>
  </si>
  <si>
    <t>200 - 250 MW el</t>
  </si>
  <si>
    <t>https://direct.argusmedia.com/newsandanalysis/Article/2511316</t>
  </si>
  <si>
    <t>[2218] [2354]</t>
  </si>
  <si>
    <t>Fulcrum Centerpoint</t>
  </si>
  <si>
    <t>89 kt synfuel/y capacity</t>
  </si>
  <si>
    <t>https://centerpoint.fulcrum-bioenergy.com/</t>
  </si>
  <si>
    <t>[2355]</t>
  </si>
  <si>
    <t>Bayou Fuels</t>
  </si>
  <si>
    <t>https://www.bayoufuels.com/technology/</t>
  </si>
  <si>
    <t>[2356]</t>
  </si>
  <si>
    <t>25 million gallons synfuel/y capacity</t>
  </si>
  <si>
    <t>Net-Zero 1</t>
  </si>
  <si>
    <t>https://gevo.com/location/net-zero-1/</t>
  </si>
  <si>
    <t>[2357]</t>
  </si>
  <si>
    <t>65 million gallons synfuel /y capacity</t>
  </si>
  <si>
    <t>Aemetis SAF plant</t>
  </si>
  <si>
    <t>https://pib.gov.in/PressReleaseIframePage.aspx?PRID=2011214</t>
  </si>
  <si>
    <t>90 million gallons synfuel/y capacity</t>
  </si>
  <si>
    <t>https://biofuels-news.com/news/aemetis-receives-green-light-for-new-saf-and-renewable-diesel-plant/</t>
  </si>
  <si>
    <t>[2359]</t>
  </si>
  <si>
    <t>Electrolysis</t>
  </si>
  <si>
    <t>Fossil fuels with CCUS</t>
  </si>
  <si>
    <t>Technology_aggregate</t>
  </si>
  <si>
    <t>Conversion factor</t>
  </si>
  <si>
    <t>34 million gallons synfuel/y capacity</t>
  </si>
  <si>
    <t>https://usabioenergy.com/usa-bioenergy-announces-first-advanced-biorefinery-in-bon-wier-texas-after-receiving-150m-in-state-and-local-incentives/</t>
  </si>
  <si>
    <t>[2360]</t>
  </si>
  <si>
    <t>USA BioEnergy biorefinery Bon Wier</t>
  </si>
  <si>
    <t>https://direct.argusmedia.com/newsandanalysis/Article/2543872</t>
  </si>
  <si>
    <t>https://www.larsentoubro.com/pressreleases/2024-03-01-lt-commissions-first-indigenously-manufactured-hydrogen-electrolyser-at-hazira/</t>
  </si>
  <si>
    <t>https://direct.argusmedia.com/newsandanalysis/Article/2544738</t>
  </si>
  <si>
    <t>[1779] [2358] [2363]</t>
  </si>
  <si>
    <t xml:space="preserve">120-200 MWel - 100 kt NH3/y </t>
  </si>
  <si>
    <t>Hynfra-MGA Ammonia plant</t>
  </si>
  <si>
    <t>https://direct.argusmedia.com/newsandanalysis/Article/2545716</t>
  </si>
  <si>
    <t>[2364]</t>
  </si>
  <si>
    <t>https://direct.argusmedia.com/newsandanalysis/Article/2547706</t>
  </si>
  <si>
    <t>[2365]</t>
  </si>
  <si>
    <t>https://direct.argusmedia.com/newsandanalysis/Article/2548393</t>
  </si>
  <si>
    <t>[850] [2366]</t>
  </si>
  <si>
    <t>1.9 Mt/year CO2 - 230 kt H2/y capacity</t>
  </si>
  <si>
    <t>https://direct.argusmedia.com/newsandanalysis/Article/2548422</t>
  </si>
  <si>
    <t>[2174] [2367]</t>
  </si>
  <si>
    <t>Grenzland Energie Kompakt</t>
  </si>
  <si>
    <t>4 Mwel - 1.8 t H2/d capacity</t>
  </si>
  <si>
    <t>[2367]</t>
  </si>
  <si>
    <t>H2 for Ovako steel mill in Smedjebacken</t>
  </si>
  <si>
    <t>https://www.theengineer.co.uk/content/in-depth/inside-ovakos-hydrogen-fuelled-steel-plant-3/</t>
  </si>
  <si>
    <t>https://direct.argusmedia.com/newsandanalysis/Article/2549739</t>
  </si>
  <si>
    <t>[1464] [2368]</t>
  </si>
  <si>
    <t>https://direct.argusmedia.com/newsandanalysis/Article/2549657</t>
  </si>
  <si>
    <t>[1757] [2369]</t>
  </si>
  <si>
    <t>Pathfinder</t>
  </si>
  <si>
    <t>https://direct.argusmedia.com/newsandanalysis/Article/2550347</t>
  </si>
  <si>
    <t>[2370]</t>
  </si>
  <si>
    <t>Green H2 Hub Neumünster</t>
  </si>
  <si>
    <t>50 Mwel - 5 kt H2/y production</t>
  </si>
  <si>
    <t>https://direct.argusmedia.com/newsandanalysis/Article/2550302</t>
  </si>
  <si>
    <t>Hapora Project</t>
  </si>
  <si>
    <t>350 Mwel - 50 kt H2/y production</t>
  </si>
  <si>
    <t>https://direct.argusmedia.com/newsandanalysis/Article/2512743</t>
  </si>
  <si>
    <t>[2372]</t>
  </si>
  <si>
    <t>Lhyfe- Nantes Saint-Nazaire hydrogen plant</t>
  </si>
  <si>
    <t>https://direct.argusmedia.com/newsandanalysis/Article/2513226</t>
  </si>
  <si>
    <t>[2373]</t>
  </si>
  <si>
    <t>[1982] [2374]</t>
  </si>
  <si>
    <t>5 MW - .62 kt H2/y - 35 kt NH3/y capacity</t>
  </si>
  <si>
    <t>420 MW- 121 kt H2/y - 352 kt NH3/y capacity</t>
  </si>
  <si>
    <t>0.25 MW - 18 t h2/y - 100 t NH3/y capacity</t>
  </si>
  <si>
    <t>840MW - 240 kt H2/y - 700 kt NH3/y capacity</t>
  </si>
  <si>
    <t>HEVO- Aveiro</t>
  </si>
  <si>
    <t>25 MW - 2.1 kt H2/y production</t>
  </si>
  <si>
    <t>https://direct.argusmedia.com/newsandanalysis/Article/2550748</t>
  </si>
  <si>
    <t>[2375]</t>
  </si>
  <si>
    <t>https://s1.q4cdn.com/264428898/files/doc_earnings/2023/q3/presentation/3Q23-Earnings-Deck.pdf</t>
  </si>
  <si>
    <t>[621] [622] [884] [885] [1672] [2376]</t>
  </si>
  <si>
    <t>https://elcuboverde.com/wp-content/uploads/2022/03/PIPELINE-Hydrogen-Project-report-FINAL-13.12.xlsx</t>
  </si>
  <si>
    <t>260 MW</t>
  </si>
  <si>
    <t>https://renewablesnow.com/news/rwe-secures-land-for-260-mw-electrolyser-in-england-852602/?__ca__chat=hbanyqgzlx6r</t>
  </si>
  <si>
    <t>[2378]</t>
  </si>
  <si>
    <t>https://eco.sapo.pt/2022/07/14/trustenergy-tem-projeto-de-hidrogenio-verde-de-100-milhoes-de-euros-para-tapada-do-outeiro/</t>
  </si>
  <si>
    <t>[534] [2379]</t>
  </si>
  <si>
    <t>https://www.reganosa.com/en/reganosa-reorganizes-consolidate-its-growth-and-boost-green-transition-projects</t>
  </si>
  <si>
    <t>[598][1398][2380]</t>
  </si>
  <si>
    <t>https://pw.lacounty.gov/epd/tf/Attachments/Minutes_Attachments/2023_Attachments/SGH2_PPT_June_15_Presentation.pdf</t>
  </si>
  <si>
    <t>[513] [1694] [2381]</t>
  </si>
  <si>
    <t>https://hy-gro.nl/project/project-duwaal</t>
  </si>
  <si>
    <t>[242] [353] [503][630] [508][1662] [2382]</t>
  </si>
  <si>
    <t>http://biocombustivelavancado.com.br/en/2023/02/17/bsbios-contrato-zona-franca-biorrefinaria-omega-green-paraguai/</t>
  </si>
  <si>
    <t>[259] [474] [880] [2383]</t>
  </si>
  <si>
    <t>https://direct.argusmedia.com/newsandanalysis/Article/2552732</t>
  </si>
  <si>
    <t>[793] [1330] [2384]</t>
  </si>
  <si>
    <t>https://direct.argusmedia.com/newsandanalysis/Article/2553960</t>
  </si>
  <si>
    <t>[723][2385]</t>
  </si>
  <si>
    <t>[723] [1662][2385]</t>
  </si>
  <si>
    <t>https://www.diariodelaltoaragon.es/noticias/comarcas/alto-gallego/2023/03/14/ercros-de-fabrica-decana-a-lider-en-europa-1637786-daa.html</t>
  </si>
  <si>
    <t>[882][1644][2386]</t>
  </si>
  <si>
    <t>https://www.h2-view.com/story/update-finnish-energy-firm-takes-fid-on-3mw-green-hydrogen-plant/2108350.article/</t>
  </si>
  <si>
    <t>[2060] [2387]</t>
  </si>
  <si>
    <t>https://www.hydrogeninsight.com/production/exclusive-this-shell-backed-project-to-ship-vast-volumes-of-liquid-green-hydrogen-from-portugal-to-the-netherlands-has-been-scrapped/2-1-1621919</t>
  </si>
  <si>
    <t>Green Energy Oman (GEO), phase 1 (former Oman-Al Wusta green H2 project)</t>
  </si>
  <si>
    <t>https://www.enap.cl/sala-de-prensa/enap-adjudica-construccion-de-su-primera-planta-de-hidrogeno-verde</t>
  </si>
  <si>
    <t>[1852][2389]</t>
  </si>
  <si>
    <t>Underground Sun Conversion</t>
  </si>
  <si>
    <t>Undergorund Sun Storage 2030</t>
  </si>
  <si>
    <t>https://www.hypa.at/#heading-3774-136</t>
  </si>
  <si>
    <t>[2278]</t>
  </si>
  <si>
    <t>https://poshydon.com/en/dutch-state-joins-offshore-green-hydrogen-pilot-poshydon-via-ebn/</t>
  </si>
  <si>
    <t>[500] [501][2390]</t>
  </si>
  <si>
    <t>CEIC  Cangzhou Green Ammonia project</t>
  </si>
  <si>
    <t>150MW - 100 kt NH3/y (production)</t>
  </si>
  <si>
    <t>S&amp;P Global Hydrogen Daily, 9 April 2024</t>
  </si>
  <si>
    <t>[2391]</t>
  </si>
  <si>
    <t>https://www.globenewswire.com/news-release/2024/03/13/2845749/0/en/McPhy-Energy-McPhy-awarded-a-new-firm-contract-in-the-industrial-field-for-the-supply-of-a-McLyzer-800-to-AAK-in-Sweden.html</t>
  </si>
  <si>
    <t>https://direct.argusmedia.com/newsandanalysis/Article/2556275</t>
  </si>
  <si>
    <t>[1507][2393]</t>
  </si>
  <si>
    <t>140MW</t>
  </si>
  <si>
    <t>16 MW</t>
  </si>
  <si>
    <t xml:space="preserve">Cyprus Renewstable 1 </t>
  </si>
  <si>
    <t xml:space="preserve">Renewstable WM1 </t>
  </si>
  <si>
    <t>Renewstable Kwale Kenya (RKK)</t>
  </si>
  <si>
    <t>64MW</t>
  </si>
  <si>
    <t>Information provided by HDF</t>
  </si>
  <si>
    <t>[2394]</t>
  </si>
  <si>
    <t>Axpo-ENEGO green hydrogen</t>
  </si>
  <si>
    <t>https://www.axpo.com/hr/en/about-us/media-and-politics/media-releases.detail.html/media-releases/2024/axpo-and-enego-consider-100-mw-green-hydrogen-production-plant-i.html</t>
  </si>
  <si>
    <t>[2395]</t>
  </si>
  <si>
    <t>Chevron Hydrogen Project</t>
  </si>
  <si>
    <t xml:space="preserve">[2396] </t>
  </si>
  <si>
    <t>https://www.chevron.com/newsroom/2024/q1/chevron-announces-its-first-solar-to-hydrogen-production-project-in-californias-central-valley</t>
  </si>
  <si>
    <t>Numantia SAF</t>
  </si>
  <si>
    <t>https://direct.argusmedia.com/newsandanalysis/Article/2554387</t>
  </si>
  <si>
    <t>[2397]</t>
  </si>
  <si>
    <t xml:space="preserve">18 kt H2/y - 60 kt SAF/yr production </t>
  </si>
  <si>
    <t>https://hynetherlands.nl/</t>
  </si>
  <si>
    <t>[275] [630] [920] [1662][2398]</t>
  </si>
  <si>
    <t>https://themes-eon-brand-2og1ct-eoncom-dispatcher.aem-aks.eon.com/en/hydrogen/hydrogen-projects.html</t>
  </si>
  <si>
    <t>[844] [2399]</t>
  </si>
  <si>
    <t>https://www.gp-joule.fr/press/artikel/gp-joule-bestellt-2-megawatt-elektrolyseur-bei-h-tec-systems</t>
  </si>
  <si>
    <t>Argus newsletter 01/06/2022 [2400]</t>
  </si>
  <si>
    <t>https://danup2gas.eu/assets/pdf/roadmaps/Slovakia_Strategic-Roadmap_SK.pdf</t>
  </si>
  <si>
    <t>[2401]</t>
  </si>
  <si>
    <t>https://www.power-technology.com/data-insights/power-plant-profile-donghae-1-offshore-wind-farm-south-korea/?cf-view</t>
  </si>
  <si>
    <t>[904] [2402]</t>
  </si>
  <si>
    <t>Port of Antwerp-Bruges AEM electrolyser</t>
  </si>
  <si>
    <t>https://www.h2-view.com/story/port-of-antwerp-bruges-to-host-largest-aem-electrolyser-installation/2108613.article/</t>
  </si>
  <si>
    <t>[2403]</t>
  </si>
  <si>
    <t>H2tALENT DEMO project</t>
  </si>
  <si>
    <t>11 MW - 500 t H2/y production</t>
  </si>
  <si>
    <t>[2404]</t>
  </si>
  <si>
    <t>https://www.theportugalnews.com/news/2024-04-11/alentejo-green-hydrogen-project-moves-forward/87812</t>
  </si>
  <si>
    <t>https://fuelcellsworks.com/news/johnson-matthey-and-bp-technology-chosen-for-the-worlds-largest-fischer-tropsch-saf-production-plant/?mc_cid=e8ed58e26d&amp;mc_eid=da4624d261</t>
  </si>
  <si>
    <t>[824][2405]</t>
  </si>
  <si>
    <t>White Martins Jacareí, São Paulo</t>
  </si>
  <si>
    <t>https://www.linde.com/news-and-media/2024/linde-to-increase-green-hydrogen-production-in-brazil#:~:text=Woking%2C%20UK%2C%20April%2018%2C,the%20southeast%20region%20of%20Brazil.</t>
  </si>
  <si>
    <t>1 - 2 MW</t>
  </si>
  <si>
    <t>https://hydrogentoday.info/concertation-projet-emilhy/</t>
  </si>
  <si>
    <t>[2407]</t>
  </si>
  <si>
    <t>EnrHy4</t>
  </si>
  <si>
    <t>TES-Vig'Hy</t>
  </si>
  <si>
    <t>https://hydrogentoday.info/hytouraine-ecosysteme/</t>
  </si>
  <si>
    <t>[2408]</t>
  </si>
  <si>
    <t>Hytouraine</t>
  </si>
  <si>
    <t>5 MW - 2 t H2/d production</t>
  </si>
  <si>
    <t>Hynet Northwest, phase 3</t>
  </si>
  <si>
    <t>https://direct.argusmedia.com/newsandanalysis/Article/2561610</t>
  </si>
  <si>
    <t>https://direct.argusmedia.com/newsandanalysis/Article/2562627</t>
  </si>
  <si>
    <t>[1155][1156][2410]</t>
  </si>
  <si>
    <t>https://chinahydrogen.substack.com/p/goldwind-broke-ground-for-its-500000</t>
  </si>
  <si>
    <t>[2222][2411]</t>
  </si>
  <si>
    <t>https://chinahydrogen.substack.com/p/4-green-methanol-production-projects</t>
  </si>
  <si>
    <t>[2412]</t>
  </si>
  <si>
    <t>China Tianying Inc. Solar &amp; Wind Power to Green Methanol Project</t>
  </si>
  <si>
    <t>https://hydronews.it/entra-in-funzione-limpianto-di-produzione-di-idrogeno-green-di-axpo-e-rhiienergie-a-domat-ems-il-piu-grande-di-tutta-la-svizzera/</t>
  </si>
  <si>
    <t>[1645][2413]</t>
  </si>
  <si>
    <t>L&amp;T Hazira Phase I</t>
  </si>
  <si>
    <t>JMK QUARTERLY GREEN HYDROGEN INDIA MARKET UPDATE Q1 2024 (Jan-Mar 2024)</t>
  </si>
  <si>
    <t>[2414]</t>
  </si>
  <si>
    <t>Planta de Combustibles Carbono Neutral Cabo Negro - Parque Eólico Faro del Sur</t>
  </si>
  <si>
    <t>Atome - Itaipu</t>
  </si>
  <si>
    <t>145MW</t>
  </si>
  <si>
    <t>Atome - Costa Rica project</t>
  </si>
  <si>
    <t>Data from Atome</t>
  </si>
  <si>
    <t>https://www.youtube.com/watch?v=Gnk8IlfuKo0</t>
  </si>
  <si>
    <t>[2158][2415]</t>
  </si>
  <si>
    <t>Enertrag Magdeburg</t>
  </si>
  <si>
    <t>https://elogenh2.com/en/2023/01/04/new-contract-elogen-is-selected-by-enertrag-for-the-supply-of-a-10-mw-pem-electrolyser/</t>
  </si>
  <si>
    <t>[2416]</t>
  </si>
  <si>
    <t>Kapuni Green Hydrogen Project - Taranaki</t>
  </si>
  <si>
    <t>https://www.newswire.com/news/yosemite-clean-energy-receives-5m-grant-to-advance-ultra-low-carbon-22078747?_gl=1*cwymur*_ga*MTI0NDk0NzAwNi4xNjg2MDA3OTk2*_ga_MX6T5V36WQ*MTY4OTE3NDIwMS4xNy4xLjE2ODkxNzQyMjEuNDAuMC4w</t>
  </si>
  <si>
    <t>[1130][2417]</t>
  </si>
  <si>
    <t>Sasolburg green hydrogen project (existing electrolysers to be powered with renewable electricity)</t>
  </si>
  <si>
    <t>https://www.qair.energy/renewable-hydrogen-launch-of-construction-of-hydocc-the-50-mw-green-hydrogen-production-unit/</t>
  </si>
  <si>
    <t>Hydrogen Wind Turbine in Wieringerwerf</t>
  </si>
  <si>
    <t xml:space="preserve">Rijeka oil refinery </t>
  </si>
  <si>
    <t>https://www.afp.com/en/news/1312/ohmium-selected-provide-10mw-pem-electrolyzers-first-green-hydrogen-project-croatia-202405208206571</t>
  </si>
  <si>
    <t>[2418]</t>
  </si>
  <si>
    <t>400MW or 280 kt Nh3/y capacity</t>
  </si>
  <si>
    <t>https://www.hydrogenfuelnews.com/hydrogen-production-angola/8559118/?utm_content=cmp-true</t>
  </si>
  <si>
    <t>[1294] [1427] [2419]</t>
  </si>
  <si>
    <t>https://www.moh.gr/en/news/the-innovation-fund-grant-agreement-for-motor-oils-flagship-project-iris-has-been-officially-signed/</t>
  </si>
  <si>
    <t>[1376] [2420]</t>
  </si>
  <si>
    <t>https://ecubes.si/hse-and-clean-hydrogen-partnership-joint-undertaking-signed-contract-on-the-co-funding-of-the-nahv-project-involving-eur-25-million-in-eu-grants-press-release/</t>
  </si>
  <si>
    <t>[1377] [2421]</t>
  </si>
  <si>
    <t>https://www.offshore-energy.biz/tecnicas-reunidas-completes-feed-work-for-pembina-and-marubenis-hydrogen-ammonia-plant/</t>
  </si>
  <si>
    <t>[1766] [2422]</t>
  </si>
  <si>
    <t>https://www.fusion-fuel.eu/co-financed-projects/</t>
  </si>
  <si>
    <t>[2065] [2423]</t>
  </si>
  <si>
    <t>https://www.offshore-energy.biz/fid-reached-for-hydrogen-hub-agder-as-everfuel-transfers-ownership-to-greenstat/</t>
  </si>
  <si>
    <t>[2317] [2424]</t>
  </si>
  <si>
    <t>19000 t H2/y</t>
  </si>
  <si>
    <t>Shandong Green Methanol Plant</t>
  </si>
  <si>
    <t>11 kt H2/y capacity</t>
  </si>
  <si>
    <t>Decarbonization and green energy initiatives (rompetrol.com)</t>
  </si>
  <si>
    <t>Rompetrol Refinery</t>
  </si>
  <si>
    <t>[2425]</t>
  </si>
  <si>
    <t>2100 t H2/y capacity</t>
  </si>
  <si>
    <t>7000 t H2/y capacity</t>
  </si>
  <si>
    <t>Chifeng Energy Internet of Things Zero Carbon Hydrogen Ammonia Demostration Project- Phase 1</t>
  </si>
  <si>
    <t>Chifeng Energy Internet of Things Zero Carbon Hydrogen Ammonia Demostration Project- Phase 2</t>
  </si>
  <si>
    <t>https://www.smalanningen.se/2024-02-27/samarbetet-om-banbrytande-projektet-sprack-sa-satsar-strandmollen-vidare#:~:text=Kort%20f%C3%B6rklarat%20skulle%20Strandm%C3%B6llen%20producera,projektet%2C%20kunde%20Beatrice%20Schmidt%20ber%C3%A4tta.</t>
  </si>
  <si>
    <t>[1360] [1686] [2426]</t>
  </si>
  <si>
    <t>https://www.energate-messenger.com/news/243372/electrolyser-in-pfeffenhausen-goes-into-operation</t>
  </si>
  <si>
    <t>[1813][2273] [2427]</t>
  </si>
  <si>
    <t>Data from Hydrogen Europe
[2428]</t>
  </si>
  <si>
    <t>HyGreen Provence</t>
  </si>
  <si>
    <t>255MW or 70 kt synfuels/y capacity</t>
  </si>
  <si>
    <t>GAIL inaugurates 10 MW green hydrogen production plant in Madhya Pradesh (hydrogentechworld.com)</t>
  </si>
  <si>
    <t>[1424] [2429]</t>
  </si>
  <si>
    <t>Goondiwindi Hydrogen- Phase I</t>
  </si>
  <si>
    <t>Goondiwindi Hydrogen- Phase II</t>
  </si>
  <si>
    <t>2 MW - 300 t H2/y capacity</t>
  </si>
  <si>
    <t>50 MW - 8 ktH2/y capacity</t>
  </si>
  <si>
    <t>https://research.csiro.au/hyresource/goondiwindi-hydrogen/</t>
  </si>
  <si>
    <t>[2430]</t>
  </si>
  <si>
    <t>https://ec.europa.eu/assets/cinea/project_fiches/innovation_fund/101085995.pdf</t>
  </si>
  <si>
    <t>[1437] [2431]</t>
  </si>
  <si>
    <t>https://www.h2-view.com/story/lone-cypress-energy-finalises-feed-study-for-its-blue-hydrogen-project-in-california/</t>
  </si>
  <si>
    <t>[1799] [2432]</t>
  </si>
  <si>
    <t>https://hydrogen-central.com/northam-green-hydrogen-hub-set-supply-renewable-energy-heavy-vehicles/</t>
  </si>
  <si>
    <t>https://www.abc.net.au/news/2024-03-26/infinite-green-energy-decision-planning-rejection/103634930</t>
  </si>
  <si>
    <t>EnergHys</t>
  </si>
  <si>
    <t>300 MW - 22 kt/H2/y production</t>
  </si>
  <si>
    <t>https://waterstofkaart.missieh2.nl/en/detail/50570-energhys?valuechain=production</t>
  </si>
  <si>
    <t>[2435]</t>
  </si>
  <si>
    <t>Rilland Oost hydrogen plant</t>
  </si>
  <si>
    <t>50-70 MW</t>
  </si>
  <si>
    <t>Hydrogen Windfarm Van Pallandt</t>
  </si>
  <si>
    <t>InnovaHub</t>
  </si>
  <si>
    <t>30 Enapter AEM Electrolysers EL 2.1 w/ production rate 500 NL/hr</t>
  </si>
  <si>
    <t>https://www.galp.com/corp/en/media/press-releases/press-release/id/1490/final-investment-decision-on-green-hydrogen-and-hvosaf-projects</t>
  </si>
  <si>
    <t>[630] [1662] [2435]</t>
  </si>
  <si>
    <t>HyDeer</t>
  </si>
  <si>
    <t>1.25 kt H2/y production</t>
  </si>
  <si>
    <t>https://circul8.energy/project/hydeer</t>
  </si>
  <si>
    <t>[2435] [2437]</t>
  </si>
  <si>
    <t>H2 Park Zeewolde</t>
  </si>
  <si>
    <t>[503][630] [1662] [2435]</t>
  </si>
  <si>
    <t>2- 6 MW reactors</t>
  </si>
  <si>
    <t>Holthausen Energy Point Amsterdam</t>
  </si>
  <si>
    <t xml:space="preserve">.25 MW </t>
  </si>
  <si>
    <t>Hydrogen production De Liede</t>
  </si>
  <si>
    <t>Hydrogen factory NLR Marknesse</t>
  </si>
  <si>
    <t>https://www.nlr.nl/nieuws/nlr-en-roger-ontwikkelen-een-productie-en-testfaciliteit-voor-groene-waterstof/</t>
  </si>
  <si>
    <t>[2435] [2438]</t>
  </si>
  <si>
    <t>H2Hollandia</t>
  </si>
  <si>
    <t>5 MW (2x2.5MW)</t>
  </si>
  <si>
    <t>[920] [1662] [2435]</t>
  </si>
  <si>
    <t>Bay Hydrogen Hub</t>
  </si>
  <si>
    <t>https://www.hydrogeninsight.com/production/edf-on-course-to-produce-uks-first-nuclear-hydrogen-to-decarbonise-asphalt-after-winning-government-grant/2-1-1517781</t>
  </si>
  <si>
    <t>[2439]</t>
  </si>
  <si>
    <t>https://fuelcellsworks.com/news/alfa-laval-joins-a-groundbreaking-hydrogen-project/?mc_cid=182562cc72&amp;mc_eid=da4624d261</t>
  </si>
  <si>
    <t>[1853] [2440]</t>
  </si>
  <si>
    <t>OX2 Aurora</t>
  </si>
  <si>
    <t>https://www.hydrogeninsight.com/production/swedish-developer-aims-to-use-power-from-two-of-worlds-largest-offshore-wind-projects-to-produce-green-hydrogen-for-e-fuels/2-1-1545236</t>
  </si>
  <si>
    <t>[2441]</t>
  </si>
  <si>
    <t>200kt H2/y - 0.46 Mt CO2</t>
  </si>
  <si>
    <t>Great Plains Synfuel Plant to sequestration (ND)</t>
  </si>
  <si>
    <t>https://dakotagas.com/News-Center/news-briefs/Storage-facility-permit-application-submitted-for-carbon-dioxide-sequestration-project</t>
  </si>
  <si>
    <t>https://dakotagas.com/News-Center/basin-today-stories/Cracking-the-code-Carbon-sequestration-project-will-benefit-environment,-co-op</t>
  </si>
  <si>
    <t>[2442][2443]</t>
  </si>
  <si>
    <t>Yanchang Integrated Carbon Capture and Storage Demonstration, phase 2</t>
  </si>
  <si>
    <t>Yanchang Integrated Carbon Capture and Storage Demonstration, phase 3</t>
  </si>
  <si>
    <t>2.4 Mt CO2</t>
  </si>
  <si>
    <t>2.3 Mt CO2</t>
  </si>
  <si>
    <t>http://www.pmweb.com.cn/xiangmu/6670.html</t>
  </si>
  <si>
    <t>https://finance.sina.com.cn/esg/2023-08-27/doc-imzirrzz3229002.shtml</t>
  </si>
  <si>
    <t>[2444][2445]</t>
  </si>
  <si>
    <t>K+S Potash CCS</t>
  </si>
  <si>
    <t>https://natural-resources.canada.ca/science-and-data/funding-partnerships/opportunities/current-investments/heat-integrated-carbon-capture-and-storage-potash-mine/25243</t>
  </si>
  <si>
    <t>https://www.ks-potashcanada.com/wp-content/uploads/2023/11/22-KSPC-CommunityReport-REV.pdf</t>
  </si>
  <si>
    <t>https://training.saskatchewan.ca/EnergyAndResources/Files/Notices/2023/MRO%20120-23.pdf</t>
  </si>
  <si>
    <t>[2446][2447][2448]</t>
  </si>
  <si>
    <t>Kutina Petrokemija ammonia</t>
  </si>
  <si>
    <t>0.19 Mt CO2</t>
  </si>
  <si>
    <t>https://innovationorigins.com/en/croatia-plans-to-store-co2-in-depleted-oil-fields-smart-or-a-drop-in-the-ocean/</t>
  </si>
  <si>
    <t>https://molgroup.info/storage/documents/case_studies/climate_change/co2_eor_project_croatia_origin.pdf</t>
  </si>
  <si>
    <t>[2449][2450]</t>
  </si>
  <si>
    <t>Sustainable Fuels Group - CIP Carbon reduced Ammonia plant St Rose (LA)</t>
  </si>
  <si>
    <t>Cerilon gas-to-liquids complex (ND)</t>
  </si>
  <si>
    <t>2 Mt CO2</t>
  </si>
  <si>
    <t>https://www.bicmagazine.com/projects-expansions/downstream/cerilon-gtl-facility-to-be-be-built-in-north-dakota/</t>
  </si>
  <si>
    <t>https://www.williamsnd.com/williams-county-issues-loan-to-cerilon-gtl-nd-as-development-plans-advance/</t>
  </si>
  <si>
    <t>[2451][2452]</t>
  </si>
  <si>
    <t>6kt NH3/d - 3.6 Mt CO2/y</t>
  </si>
  <si>
    <t>130 000 Nm3 H2/h - 0.5Mt CO2/y</t>
  </si>
  <si>
    <t>355 MW - 0.9 Mt CO2/y</t>
  </si>
  <si>
    <t>Lake Charles low carbon ammonia (LA)</t>
  </si>
  <si>
    <t>https://www.proman.org/news/proman-mitsubishi-sign-mou-to-develop-world-scale-ultra-low-carbon-ammonia-plant-in-lake-charles-usa/</t>
  </si>
  <si>
    <t>[2453]</t>
  </si>
  <si>
    <t>0.89Mt CO2/y - 600 MW H2</t>
  </si>
  <si>
    <t>Project Blue (AR)</t>
  </si>
  <si>
    <t>Yara Pilbara ammonia</t>
  </si>
  <si>
    <t>https://www.yara.com/corporate-releases/yara-and-jera-plan-to-collaborate-on-clean-ammonia-to-decarbonize-power-production-in-japan/</t>
  </si>
  <si>
    <t>1.5 Mt CO2</t>
  </si>
  <si>
    <t>0.1Mt CO2/y - 65 t H2/d production</t>
  </si>
  <si>
    <t>Gulf Coast Hydrogen Hub HyVelocity (TX)</t>
  </si>
  <si>
    <t>https://www.hyvelocityhub.com/</t>
  </si>
  <si>
    <t>https://www.chevron.com/newsroom/2023/q1/hydrogen-hub-proposed-for-us-gulf-coast</t>
  </si>
  <si>
    <t>[2455][2456]</t>
  </si>
  <si>
    <t>Gwangyang LNG terminal blue hydrogen</t>
  </si>
  <si>
    <t>https://hydrogen-central.com/posco-teams-up-with-uae-adnoc-for-blue-hydrogen/</t>
  </si>
  <si>
    <t>[2457]</t>
  </si>
  <si>
    <t>1GW - 1.6 Mt CO2/y</t>
  </si>
  <si>
    <t>1200MW - 1 Mt CO2/y</t>
  </si>
  <si>
    <t>Suncor Edmonton Refinery - Heartland hydrogen hub (ALB)</t>
  </si>
  <si>
    <t>H2Notos- Phase 1</t>
  </si>
  <si>
    <t>H2Notos- Phase 2</t>
  </si>
  <si>
    <t>2 GW - 200 kt H2/y production</t>
  </si>
  <si>
    <t>10 GW</t>
  </si>
  <si>
    <t>Argus Hydrogen Newsletter 20240529</t>
  </si>
  <si>
    <t>[1784] [2458]</t>
  </si>
  <si>
    <t>[2458]</t>
  </si>
  <si>
    <t>Rijeka Refinery Hydrogen Project</t>
  </si>
  <si>
    <t>https://www.h2-view.com/story/croatian-refinery-to-adopt-green-hydrogen-with-10mw-electrolyser-installation/2110255.article/</t>
  </si>
  <si>
    <t>[2459]</t>
  </si>
  <si>
    <t>J-Power Sumitomo joint feasibility clean hydrogen Latrobe Valley (VI)</t>
  </si>
  <si>
    <t>https://www.jpower.co.jp/english/news_release/pdf/news230308e.pdf</t>
  </si>
  <si>
    <t>[2460]</t>
  </si>
  <si>
    <t>Mountaineer Gigasystem (WV) Phase 1</t>
  </si>
  <si>
    <t>Mountaineer Gigasystem (WV) Phase 2</t>
  </si>
  <si>
    <t>Mountaineer Gigasystem (WV) Phase 3</t>
  </si>
  <si>
    <t>Mountaineer Gigasystem (WV) Phase 4</t>
  </si>
  <si>
    <t>https://www.prnewswire.com/news-releases/fidelis-new-energy-selects-battelle-carbon-services-as-its-subsurface-contractor-for-carbon-capture-and-sequestration-in-support-of-the-mountaineer-gigasystem-hydrogen-project-in-west-virginia-301916588.html</t>
  </si>
  <si>
    <t>https://governor.wv.gov/News/press-releases/2023/Pages/Gov.-Justice-announces-Fidelis-New-Energy-to-build-hydrogen-project-and-data-center-campus-in-Mason-County.aspx</t>
  </si>
  <si>
    <t>500 t H2/d - 1.7 Mt CO2/y</t>
  </si>
  <si>
    <t>[2461][2462]</t>
  </si>
  <si>
    <t>1.2 Mt NH3/y (capacity) - 1.5 Mt CO2/y</t>
  </si>
  <si>
    <t>200k cubic m H2/h - 1.3 Mt CO2/y</t>
  </si>
  <si>
    <t>1.4 Mt CO2/y</t>
  </si>
  <si>
    <t>1Mt CO2 captured</t>
  </si>
  <si>
    <t>Equinor Mongstad refinery</t>
  </si>
  <si>
    <t>https://www.linkedin.com/pulse/alberta-selects-shell-suncor-atco-atlas-carbon-hub-proposal-/</t>
  </si>
  <si>
    <t>https://www.beaver.ab.ca/public/download/files/231170</t>
  </si>
  <si>
    <t>https://www.keyera.com/investors/news/keyera-and-shell-sign-agreement-to-advance-clean-energy/</t>
  </si>
  <si>
    <t>https://www.akersolutions.com/news/news-archive/2024/aker-solutions-to-support-the-industrial-transformation-of-mongstad/</t>
  </si>
  <si>
    <t>[2466]</t>
  </si>
  <si>
    <t>1.7Mt CO2/y - 1.1 Mt NH3/y</t>
  </si>
  <si>
    <t>https://www.hydrogeninsight.com/production/south-korea-s-first-blue-hydrogen-project-completed-alongside-nation-s-largest-h2-refuelling-station/2-1-1442936</t>
  </si>
  <si>
    <t>[1160][2468]</t>
  </si>
  <si>
    <t>Gila Hydrogen Facility</t>
  </si>
  <si>
    <t>120 t H2/d</t>
  </si>
  <si>
    <t>https://www.bizjournals.com/phoenix/news/2023/11/02/linde-nextera-hydrogen-facility-phoenix-tonopah.html?utm_source=sy&amp;utm_medum=ptr&amp;utm_campaign=knxv</t>
  </si>
  <si>
    <t>[2469]</t>
  </si>
  <si>
    <t>100 MW - 9 kt H2/y production</t>
  </si>
  <si>
    <t>SALCOS - Andritz green steel at Salzgitter Flachstahl plant</t>
  </si>
  <si>
    <t>https://www.andritz.com/newsroom-en/metals/2023-09-20-salzgitter-group</t>
  </si>
  <si>
    <t>[2470]</t>
  </si>
  <si>
    <t>300 t H2/d - 1 Mt CO2/y</t>
  </si>
  <si>
    <t>Hyundai Hydrogen Project at Buan Renewable Energy Theme Park</t>
  </si>
  <si>
    <t xml:space="preserve">2.5 MW - 1 t H2/d </t>
  </si>
  <si>
    <t>https://fuelcellsworks.com/news/engineering-firm-enhances-design-expertise-for-koreas-largest-water-electrolysis-hydrogen-production-facility-1-ton-of-hydrogen-per-day/?mc_cid=433fe54022&amp;mc_eid=da4624d261</t>
  </si>
  <si>
    <t>[2471]</t>
  </si>
  <si>
    <t>50M W</t>
  </si>
  <si>
    <t>Brindisi Green Hydrogen</t>
  </si>
  <si>
    <t>https://research.csiro.au/hyresource/allied-green-ammonia/</t>
  </si>
  <si>
    <t>[2145] [2472]</t>
  </si>
  <si>
    <t>La Zaida Green Hydrogen Project</t>
  </si>
  <si>
    <t>https://www.hydrogeninsight.com/production/spain-awards-150m-of-grants-to-build-309mw-of-green-hydrogen-production-for-use-in-hard-to-abate-sectors/2-1-1563916</t>
  </si>
  <si>
    <t>[2473]</t>
  </si>
  <si>
    <t>Musel GreenMet</t>
  </si>
  <si>
    <t>Unamed Walia-Green Capital project</t>
  </si>
  <si>
    <t>GP H2 As Pontes</t>
  </si>
  <si>
    <t>https://dinamotecnica.es/2023/11/proyecto-gp-h2-as-pontes.html</t>
  </si>
  <si>
    <t>[2473] [2474]</t>
  </si>
  <si>
    <t>H2-Vallmoll</t>
  </si>
  <si>
    <t>15 MW - 5 t H2/d production</t>
  </si>
  <si>
    <t>https://www.lhyfe.com/press/lhyfe-has-been-awarded-a-grant-of-up-to-e14-million-for-its-first-green-hydrogen-project-in-spain-in-tarragona/</t>
  </si>
  <si>
    <t>[2473] [2475]</t>
  </si>
  <si>
    <t>HyBizkaia EFuels and Mobility at Basque Hydrogen Corridor</t>
  </si>
  <si>
    <t>Hystone</t>
  </si>
  <si>
    <t>H2OSSA</t>
  </si>
  <si>
    <t>https://www.encastillalamancha.es/castilla-la-mancha-cat/nuevo-proyecto-de-hidrogeno-verde-alcarria-h2-en-torija/</t>
  </si>
  <si>
    <t>[2473] [2476]</t>
  </si>
  <si>
    <t>H2 Alcarria</t>
  </si>
  <si>
    <t>BLUE MED plan- EPHYRA Project</t>
  </si>
  <si>
    <t>https://fuelcellsworks.com/news/samsung-engineering-commences-sarawak-h2biscus-green-hydrogen-ammonia-feed-project-in-malaysia/?mc_cid=497ac2b657&amp;mc_eid=da4624d261</t>
  </si>
  <si>
    <t>[1217] [1428] [2477]</t>
  </si>
  <si>
    <t>https://www.hydrogeninsight.com/production/exclusive-plug-power-dropped-as-electrolyser-supplier-at-heavily-hyped-100mw-green-hydrogen-project-in-egypt/2-1-1350853</t>
  </si>
  <si>
    <t>[1117][1123] [2216] [2478]</t>
  </si>
  <si>
    <t>Hy Stor</t>
  </si>
  <si>
    <t>J Westling</t>
  </si>
  <si>
    <t>ALK + PEM</t>
  </si>
  <si>
    <t>2.2 GW</t>
  </si>
  <si>
    <t>https://www.latitudemedia.com/news/automation-and-off-grid-assets-will-power-hy-stors-mississippi-hydrogen-hub</t>
  </si>
  <si>
    <t>[2479]</t>
  </si>
  <si>
    <t>Essar-Gujarat MoU</t>
  </si>
  <si>
    <t>https://www.essar.com/inthenews/essar-signs-three-mous-with-gujarat-govt-totalling-rs-55000-crore-in-energy-transition-power-and-ports-sectors/#:~:text=Investment%20in%20Energy%20Transition%3A%20Essar,investment%20of%20Rs%2030%2C000%20crore.</t>
  </si>
  <si>
    <t>[2480]</t>
  </si>
  <si>
    <t>Calama Mining District, phase 1</t>
  </si>
  <si>
    <t>Calama Mining District, phase 2</t>
  </si>
  <si>
    <t>Calama Mining District, phase 3</t>
  </si>
  <si>
    <t>https://renewablesnow.com/news/chiles-susterra-plans-usd-423m-green-h2-project-for-mining-industry-844219/</t>
  </si>
  <si>
    <t>Infinuim Mo Industrial Park</t>
  </si>
  <si>
    <t>https://www.infiniumco.com/news/nbspmo-industrial-park-and-infinium-announce-collaboration-to-develop-commercial-efuels-project-in-northern-norway</t>
  </si>
  <si>
    <t>[2482]</t>
  </si>
  <si>
    <t>Industrial Promotion Services-Uganda MoU</t>
  </si>
  <si>
    <t>https://www.esi-africa.com/east-africa/uganda-green-hydrogen-based-fertiliser-plant-to-boost-agriculture/</t>
  </si>
  <si>
    <t>https://www.h2-view.com/story/200000-tonne-hydrogen-based-fertiliser-project-to-be-developed-in-uganda/2106358.article/</t>
  </si>
  <si>
    <t>[2483][2484]</t>
  </si>
  <si>
    <t xml:space="preserve">Lhyfe Wallsend </t>
  </si>
  <si>
    <t>[2485]</t>
  </si>
  <si>
    <t>https://www.ohmium.com/news/h2-green-mining-and-ohmium-sign-agreement-to-boost-green-hydrogen-in-chile</t>
  </si>
  <si>
    <t>Kolya-PNE Albacete</t>
  </si>
  <si>
    <t>https://www.hydrogeninsight.com/production/german-developer-announces-plan-to-build-1gw-green-hydrogen-project-in-spain-at-a-cost-of-3bn/2-1-1639096</t>
  </si>
  <si>
    <t>[2486]</t>
  </si>
  <si>
    <t>105 MW</t>
  </si>
  <si>
    <t>https://arena.gov.au/news/six-shortlisted-for-2-billion-hydrogen-headstart-funding/</t>
  </si>
  <si>
    <t>[1337] [2199] [2487]</t>
  </si>
  <si>
    <t>https://www.portofnewcastle.com.au/wp-content/uploads/2021/11/PON-Hydrogen-FAQ.pdf</t>
  </si>
  <si>
    <t>[1129] [2487] [2488]</t>
  </si>
  <si>
    <t>Steag-Thyssenkrupp Duisburg steel plant (HydrOxy Hub Walsum)- Phase 1</t>
  </si>
  <si>
    <t>157 MW</t>
  </si>
  <si>
    <t>HydrOxy Hub Walsum- Phase 2-3</t>
  </si>
  <si>
    <t>520 MW</t>
  </si>
  <si>
    <t>https://www.iqony.energy/en/press/hydrogen-project-in-duisburg-walsum-wins-eu-funding</t>
  </si>
  <si>
    <t>[661] [779] [2489]</t>
  </si>
  <si>
    <t>[2489]</t>
  </si>
  <si>
    <t>40 kt MeOH/y production</t>
  </si>
  <si>
    <t>Forestal del Atlántico - Triskelion</t>
  </si>
  <si>
    <t>https://www.tklmethanol.es/index.html#tim</t>
  </si>
  <si>
    <t>[938] [2490]</t>
  </si>
  <si>
    <t>SYNFUEL</t>
  </si>
  <si>
    <t>https://www.heraldodiariodesoria.es/soria/provincia/240113/157593/green-capital-impulsa-planta-hidrogeno-verde-almazan.html</t>
  </si>
  <si>
    <t>[2491]</t>
  </si>
  <si>
    <t>300 MW- 139 kt MeOH/y - 37.5 kt H2/y production</t>
  </si>
  <si>
    <t>Green Hydrogen Almazan</t>
  </si>
  <si>
    <t xml:space="preserve">Tees Valley Hydrogen Vehicle Ecosystem- Riverside terminal </t>
  </si>
  <si>
    <t>https://fuelcellsworks.com/news/exolum-to-construct-a-green-hydrogen-production-plant-and-refuelling-station-in-the-tees-valley/?mc_cid=572aa1e5cb&amp;mc_eid=da4624d261</t>
  </si>
  <si>
    <t>[2492]</t>
  </si>
  <si>
    <t>1.5 tH2/d capacity</t>
  </si>
  <si>
    <t>ACWA-Tunisia MoU green hydrogen project, phase 1</t>
  </si>
  <si>
    <t>ACWA-Tunisia MoU green hydrogen project, phases 2-3</t>
  </si>
  <si>
    <t>4 GW - 400 kt H2/y production</t>
  </si>
  <si>
    <t>https://english.aawsat.com/business/5026795-saudi-acwa-power-signs-mou-develop-green-hydrogen-project-tunisia</t>
  </si>
  <si>
    <t>https://www.h2-view.com/story/acwa-power-to-export-hydrogen-to-europe-via-multi-gw-tunisian-project/2110739.article/</t>
  </si>
  <si>
    <t>[2493][2494]</t>
  </si>
  <si>
    <t>5t NH3/day - 2.1MW</t>
  </si>
  <si>
    <t>HPCL Vizag Refinery H2</t>
  </si>
  <si>
    <t>2.4MW</t>
  </si>
  <si>
    <t>https://nghm.mnre.gov.in/project.php</t>
  </si>
  <si>
    <t>Data from Indian Industry Association, [2495]</t>
  </si>
  <si>
    <t>3440MW</t>
  </si>
  <si>
    <t>Data from Indian Industry Association [2495]</t>
  </si>
  <si>
    <t>1275MW</t>
  </si>
  <si>
    <t>https://www.utilitydive.com/press-release/20240521-nw-natural-and-modern-hydrogen-unveil-unique-clean-hydrogen-production-car/</t>
  </si>
  <si>
    <t>NW Natural - Modern Hydrogen pyrolysis pilot</t>
  </si>
  <si>
    <t>[2497]</t>
  </si>
  <si>
    <t>PetroChina Qinghai</t>
  </si>
  <si>
    <t>https://www.hydrogeninsight.com/production/chinese-oil-giant-increases-green-hydrogen-project-pipeline-to-5-5gw/2-1-1646880</t>
  </si>
  <si>
    <t>[2498]</t>
  </si>
  <si>
    <t>[2496]</t>
  </si>
  <si>
    <t>EDF - J-POWER - Yamna Dhofar</t>
  </si>
  <si>
    <t>https://mem.gov.om/en-us/Media-Center/News/ArtMID/608/ArticleID/1391/HYDROM-MEETS-TARGET-TO-DELIVER-OVER-1-MILLION-TPA-OF-RENEWABLE-HYDROGEN-WITH-ROUND-2-AUCTION-AWARD-</t>
  </si>
  <si>
    <t>Actis - Fortescue</t>
  </si>
  <si>
    <t>https://natural-resources.canada.ca/climate-change/canadas-green-future/the-hydrogen-strategy/hydrogen-strategy-for-canada-progress-report/25678#a7a</t>
  </si>
  <si>
    <t>FertigHy first plant</t>
  </si>
  <si>
    <t>FertigHy second plant</t>
  </si>
  <si>
    <t>https://www.innoenergy.com/uploads/2024/05/240513_-FertigHy-France-selected-announcement-4.pdf</t>
  </si>
  <si>
    <t>[1965][2500]</t>
  </si>
  <si>
    <t>[2500]</t>
  </si>
  <si>
    <t>Shanxi International Energy Group SAF project, phasse 1</t>
  </si>
  <si>
    <t>100 kt kerosene/y capacity</t>
  </si>
  <si>
    <t>300 kt kerosene/y capacity</t>
  </si>
  <si>
    <t>https://www.hydrogeninsight.com/production/chinese-group-to-build-1-5bn-green-aviation-fuel-plant-in-northern-china-based-on-wind-powered-hydrogen/2-1-1641519</t>
  </si>
  <si>
    <t>[2501]</t>
  </si>
  <si>
    <t>Phelan Green Energy - Peru</t>
  </si>
  <si>
    <t>80kt H2/y (production)</t>
  </si>
  <si>
    <t>https://www.pv-magazine-latam.com/2024/05/08/anuncian-en-peru-la-construccion-de-la-primera-planta-de-hidrogeno-verde-del-pais/</t>
  </si>
  <si>
    <t>[2502]</t>
  </si>
  <si>
    <t>PV2Fuel</t>
  </si>
  <si>
    <t>250kt NH3/y production</t>
  </si>
  <si>
    <t>https://www.hydrogeninsight.com/production/belgian-developer-to-spend-3-5bn-on-green-hydrogen-in-namibia-including-massive-desert-ammonia-complex/2-1-1638166</t>
  </si>
  <si>
    <t>[2503]</t>
  </si>
  <si>
    <t>P2XFloater and Oksefjorden wind farm
+
P2XFloater and Rubbedalshøgda wind farm</t>
  </si>
  <si>
    <t>https://www.hydrogeninsight.com/production/giga-scale-green-hydrogen-project-announced-in-arctic-norway-using-worlds-first-floating-ammonia-production-vessel/2-1-1631555?utm_campaign=2024-04-23&amp;utm_content=hydrogen&amp;utm_medium=email&amp;utm_source=email_campaign&amp;utm_term=recharge</t>
  </si>
  <si>
    <t>https://www.h2carrier.com/projects</t>
  </si>
  <si>
    <t>https://www.offshore-energy.biz/h2carrier-plans-power-to-x-production-of-hydrogen-and-ammonia-in-norway/</t>
  </si>
  <si>
    <t>[2504][2505][2506]</t>
  </si>
  <si>
    <t>MetGreenPort</t>
  </si>
  <si>
    <t>https://www.eleconomista.es/energia/noticias/12748388/04/24/ansasol-lanza-un-gran-proyecto-de-metanol-en-huelva.html</t>
  </si>
  <si>
    <t>[2507]</t>
  </si>
  <si>
    <t>Go Energy Group - Gibraleon</t>
  </si>
  <si>
    <t>https://www.huelvainformacion.es/huelva/energia/Energy-Gibraleon-San-Juan-Puerto_0_1897910753.html</t>
  </si>
  <si>
    <t>[2508]</t>
  </si>
  <si>
    <t>Go Energy Group - San Juan del Puerto</t>
  </si>
  <si>
    <t>Alfanar Energía España</t>
  </si>
  <si>
    <t>https://www.ambito.com/energia/uruguay-empresa-saudi-impulsa-una-millonaria-inversion-hidrogeno-verde-n5949398</t>
  </si>
  <si>
    <t>[2509]</t>
  </si>
  <si>
    <t>Sonatrach - Oran</t>
  </si>
  <si>
    <t>https://www.energynews.es/alemania-importara-hidrogeno-verde-de-argelia/</t>
  </si>
  <si>
    <t>[2510]</t>
  </si>
  <si>
    <t>Chochin Airport Hydrogen project</t>
  </si>
  <si>
    <t>1000 kW</t>
  </si>
  <si>
    <t>https://economictimes.indiatimes.com/industry/renewables/cial-announces-agreement-with-bpcl-to-set-up-first-green-hydrogen-plant-at-cochin-airport/articleshow/107689487.cms?from=mdr</t>
  </si>
  <si>
    <t>[2511]</t>
  </si>
  <si>
    <t>1.2 kt H2/d production</t>
  </si>
  <si>
    <t>Pudimadaka Green Hydrogen hub</t>
  </si>
  <si>
    <t>https://www.hydrogeninsight.com/production/india-s-largest-power-giant-unveils-enormous-4gw-green-hydrogen-project/2-1-1601848</t>
  </si>
  <si>
    <t>[2512]</t>
  </si>
  <si>
    <t>Sumitomo Malaysia- H2ornbill</t>
  </si>
  <si>
    <t xml:space="preserve">90 kt H2/y production </t>
  </si>
  <si>
    <t>https://www.hydrogeninsight.com/production/green-hydrogen-projects-in-malaysia-worth-billions-of-dollars-to-be-signed-off-this-week-report/2-1-1603550</t>
  </si>
  <si>
    <t>[701] [2513]</t>
  </si>
  <si>
    <t>Shandong green methanol project- China Hydrogen</t>
  </si>
  <si>
    <t>https://www.linkedin.com/posts/egypt-hydrogen-renewable-energy_chinagreenhydrogennews-greenmethanol-greenammonia-activity-7168903197812637696-NCOX/?utm_source=share&amp;utm_medium=member_desktop</t>
  </si>
  <si>
    <t>[2514]</t>
  </si>
  <si>
    <t>CGN Xinggan League Methanol Production Project</t>
  </si>
  <si>
    <t>CGN Chifeng City Balinzuo Banner</t>
  </si>
  <si>
    <t>100 kt MeOH/y capacity</t>
  </si>
  <si>
    <t>400 kt MeOH/y capacity</t>
  </si>
  <si>
    <t>200 kt MeOH/y capacity</t>
  </si>
  <si>
    <t>H2-MeOH production and heavy truck integrated technology park in Zhenyuan</t>
  </si>
  <si>
    <t xml:space="preserve">Inner Mongolia Zhongsheng Tech. Group low-carbon methanol </t>
  </si>
  <si>
    <t>20 kt MeOH/y capacity</t>
  </si>
  <si>
    <t>https://www.hydrogeninsight.com/industrial/fertiglobe-to-take-final-investment-decision-on-long-delayed-100mw-egyptian-green-hydrogen-plant-by-july/2-1-1635986</t>
  </si>
  <si>
    <t>https://www.statedevelopment.qld.gov.au/coordinator-general/assessments-and-approvals/coordinated-projects/projects-discontinued-or-on-hold/gladstone-energy-and-ammonia-project</t>
  </si>
  <si>
    <t>[1184][1667][2518]</t>
  </si>
  <si>
    <t>[1184][2518]</t>
  </si>
  <si>
    <t>https://www.hydrogeninsight.com/industrial/australian-green-hydrogen-hub-with-built-in-chemicals-offtaker-receives-planning-permission/2-1-1654414</t>
  </si>
  <si>
    <t>[1275] [2134] [2519]</t>
  </si>
  <si>
    <t>Eneco Diamond Hydrogen</t>
  </si>
  <si>
    <t>80 kt H2/y production</t>
  </si>
  <si>
    <t>https://asia.nikkei.com/Business/Energy/Japan-s-Mitsubishi-eyes-massive-green-hydrogen-plant-in-Netherlands</t>
  </si>
  <si>
    <t>[2520]</t>
  </si>
  <si>
    <t>Chevron solar-to-Hydrogen California</t>
  </si>
  <si>
    <t>[2521]</t>
  </si>
  <si>
    <t>https://www.hydrogeninsight.com/production/indian-state-approves-more-than-2bn-investment-into-two-new-green-hydrogen-based-ammonia-plants/2-1-1610292</t>
  </si>
  <si>
    <t>[1549][2522]</t>
  </si>
  <si>
    <t>Waaree Odisha plant</t>
  </si>
  <si>
    <t>[2522]</t>
  </si>
  <si>
    <t>EG Solwin Hybrid - Enfinity Global ammonia plant in  Tata Steel Special Economic Zone</t>
  </si>
  <si>
    <t>300kt NH3/y production</t>
  </si>
  <si>
    <t>Sembcorp Gopalpur project</t>
  </si>
  <si>
    <t>720kt NH3/y production</t>
  </si>
  <si>
    <t>[2522][2523]</t>
  </si>
  <si>
    <t>https://renewablesnow.com/news/sembcorp-partners-to-pursue-green-h2-exports-from-india-to-japan-843544/</t>
  </si>
  <si>
    <t>Tango Solar Sinaloa plant</t>
  </si>
  <si>
    <t>42 kt H2/y production</t>
  </si>
  <si>
    <t>https://www.forbes.com.mx/invertiran-1172-mdd-en-la-construccion-de-una-planta-de-hidrogeno-verde-en-sinaloa/?fbclid=IwAR3xxjsxQ2LZUmJe4Gt0gJharUMVKkekjsNHAlXmmkdvhxsE0yK6eDu5WWk_aem_AQFSTt6Q74EZ7INxhOC1kNPCMRMCCx1Y7HfOaMLNBEvgmdfPLy8-oVM_eCU76tbJDHJn_wb2cLKecNlW9Wlh9ZY0</t>
  </si>
  <si>
    <t>[2524]</t>
  </si>
  <si>
    <t>Tra Vinh Green hydrogen project, phase 1</t>
  </si>
  <si>
    <t>Tra Vinh Green hydrogen project, phase 2</t>
  </si>
  <si>
    <t>Huadian Group - Minh Quang, Quang Tri province project</t>
  </si>
  <si>
    <t>60 kt H2/y production</t>
  </si>
  <si>
    <t>https://www.hydrogeninsight.com/production/chinese-state-owned-power-giant-plans-2-4bn-green-hydrogen-project-in-vietnam/2-1-1613225</t>
  </si>
  <si>
    <t>https://www.spglobal.com/commodityinsights/en/market-insights/latest-news/energy-transition/031524-vietnams-hydrogen-economy-takes-shape-with-national-strategy-projects</t>
  </si>
  <si>
    <t>[2525][2526]</t>
  </si>
  <si>
    <t>H2 Era Green Valley</t>
  </si>
  <si>
    <t>10-20MW</t>
  </si>
  <si>
    <t>https://hydronews.it/h2-era-green-valley-ge-group-punta-a-valorizzare-i-sottoprodotti-dellelettrolisi-per-abbattere-il-costo-finale-dellh2-green/</t>
  </si>
  <si>
    <t>[2527]</t>
  </si>
  <si>
    <t>ReNew-Jera plant in Odisha</t>
  </si>
  <si>
    <t>https://www.offshore-energy.biz/jera-and-renew-team-up-on-ammonia-production-in-india/</t>
  </si>
  <si>
    <t>https://www.renew.com/press-release/renew-partners-with-jera-to-evaluate-joint-development-of-green-ammonia-project-in-india</t>
  </si>
  <si>
    <t>100kt NH3/y production</t>
  </si>
  <si>
    <t>[2528][2529][2530]</t>
  </si>
  <si>
    <t>https://hydrogen-central.com/tata-steel-sez-hygenco-ink-mou-for-green-hydrogen-and-green-ammonia-projects/</t>
  </si>
  <si>
    <t>https://www.pv-magazine-india.com/2024/05/06/the-hydrogen-stream-hygenco-to-set-up-a-green-hydrogen-ammonia-project-at-tata-steel-sezs-gopalpur-industrial-park/</t>
  </si>
  <si>
    <t>[2531][2532]</t>
  </si>
  <si>
    <t>ReNew Power Kerala plant, phase 1</t>
  </si>
  <si>
    <t>https://www.hydrogeninsight.com/production/indian-renewables-giant-proposes-2gw-green-hydrogen-and-ammonia-plant-in-kerala-report/2-1-1590050</t>
  </si>
  <si>
    <t>[2533]</t>
  </si>
  <si>
    <t>ReNew Power Kerala plant, phase 2</t>
  </si>
  <si>
    <t>ReNew Power Kerala plant, phase 3</t>
  </si>
  <si>
    <t>660kt NH3</t>
  </si>
  <si>
    <t>100 kg H2/d - 0.5MW</t>
  </si>
  <si>
    <t>35 kt H2/y  - 300MW</t>
  </si>
  <si>
    <t>Mitsubishi - Pupuk Indonesia, Bluen NH3 Sumatra-Java</t>
  </si>
  <si>
    <t>730kt NH3/y production</t>
  </si>
  <si>
    <t>https://ebtke.esdm.go.id/flippdf/elibrary.html#pdfflip-PDFF-41</t>
  </si>
  <si>
    <t>[2534]</t>
  </si>
  <si>
    <t>Clean H2 Cluster Batam Bintan</t>
  </si>
  <si>
    <t>Sumatra Clean H2 Cluster - Geothermal</t>
  </si>
  <si>
    <t>North Sulawesi Green NH3 Cluster</t>
  </si>
  <si>
    <t>500kt NH3/y capacity</t>
  </si>
  <si>
    <t>Cilegon Clean H2 Cluster</t>
  </si>
  <si>
    <t>Sapio - Mantova green hydrogen</t>
  </si>
  <si>
    <t>9.18MW</t>
  </si>
  <si>
    <t>https://www.mdpi.com/1996-1073/17/11/2614#app1-energies-17-02614</t>
  </si>
  <si>
    <t>[2535]</t>
  </si>
  <si>
    <t>Sapio - Porto Marghera green hydrogen</t>
  </si>
  <si>
    <t>Sangraf Italy graphite plant</t>
  </si>
  <si>
    <t>SIRAM green hydrogen plant in Termoli</t>
  </si>
  <si>
    <t>TH2ICINO valley</t>
  </si>
  <si>
    <t>H2Iseo valley</t>
  </si>
  <si>
    <t>Puglia green hydro-gen valley - Brindisi plant</t>
  </si>
  <si>
    <t>Puglia green hydro-gen valley - Taranto plant</t>
  </si>
  <si>
    <t>https://www.hydrogeninsight.com/production/italian-green-hydrogen-hub-secures-370m-in-subsidies-to-decarbonise-industry-just-as-major-steel-offtaker-collapses/2-1-1604315</t>
  </si>
  <si>
    <t>INOX Air Products - Maharashtra government MoU</t>
  </si>
  <si>
    <t>https://www.reuters.com/world/india/indias-inox-air-products-signs-mou-with-maharashtra-government-2024-01-16/</t>
  </si>
  <si>
    <t>https://www.business-standard.com/companies/news/inox-air-products-signs-3-billion-mou-with-maha-for-green-ammonia-plant-124011601025_1.html</t>
  </si>
  <si>
    <t>[2537][2538]</t>
  </si>
  <si>
    <t>https://www.gasworld.com/story/north-ammonia-secures-grid-capacity-for-large-scale-green-ammonia-plant-in-norway/2139139.article/</t>
  </si>
  <si>
    <t>[2539]</t>
  </si>
  <si>
    <t>Slagen terminal</t>
  </si>
  <si>
    <t>[2540]</t>
  </si>
  <si>
    <t>https://direct.argusmedia.com/newsandanalysis/Article/2549652</t>
  </si>
  <si>
    <t>[1502][2540]</t>
  </si>
  <si>
    <t>https://direct.argusmedia.com/newsandanalysis/Article/2556167</t>
  </si>
  <si>
    <t>Vena Energy Queensland project, phase 1</t>
  </si>
  <si>
    <t>https://direct.argusmedia.com/newsandanalysis/Article/2558847</t>
  </si>
  <si>
    <t>[2542]</t>
  </si>
  <si>
    <t>Vena Energy Queensland project, phase 2</t>
  </si>
  <si>
    <t>China Energy Engineering - Jiangsu institute - Nova RE Suria MoU</t>
  </si>
  <si>
    <t>https://direct.argusmedia.com/newsandanalysis/Article/2549723</t>
  </si>
  <si>
    <t>[2543]</t>
  </si>
  <si>
    <t>DLZ Costa Ric ammonia plant</t>
  </si>
  <si>
    <t>https://direct.argusmedia.com/newsandanalysis/Article/2556279</t>
  </si>
  <si>
    <t>[2544]</t>
  </si>
  <si>
    <t>European Energy  Pernambuco MeOH plant</t>
  </si>
  <si>
    <t>https://direct.argusmedia.com/newsandanalysis/Article/2558637</t>
  </si>
  <si>
    <t>Power2X Parnu facility</t>
  </si>
  <si>
    <t>https://direct.argusmedia.com/newsandanalysis/Article/2552554</t>
  </si>
  <si>
    <t>[2546]</t>
  </si>
  <si>
    <t xml:space="preserve">Energia Verde Austral </t>
  </si>
  <si>
    <t xml:space="preserve">Punta Delgada </t>
  </si>
  <si>
    <t>https://direct.argusmedia.com/newsandanalysis/Article/2533935</t>
  </si>
  <si>
    <t>[2547]</t>
  </si>
  <si>
    <t>Desierto verde</t>
  </si>
  <si>
    <t>1.44GW</t>
  </si>
  <si>
    <t>[2548]</t>
  </si>
  <si>
    <t>https://direct.argusmedia.com/newsandanalysis/Article/2545587</t>
  </si>
  <si>
    <t>Green Ammonia Express Sines</t>
  </si>
  <si>
    <t>137MW</t>
  </si>
  <si>
    <t>https://direct.argusmedia.com/newsandanalysis/Article/2527176</t>
  </si>
  <si>
    <t>[2549]</t>
  </si>
  <si>
    <t>C-Zero San Antonio project</t>
  </si>
  <si>
    <t>https://www.h2-view.com/story/eletrobras-reveals-plans-to-produce-hydrogen-at-brazilian-port/2110895.article/</t>
  </si>
  <si>
    <t>https://www.omvpetrom.com/en/news/omv-petrom-invests-eur-750-million-at-petrobrazi-to-become-the-first-major-producer-of-sustainable-fuels-in-southeast-europe</t>
  </si>
  <si>
    <t>[1722][2551]</t>
  </si>
  <si>
    <t>Cement Australia - Mitsubishi Gas Chemical Company Green Methanol in Gladstone</t>
  </si>
  <si>
    <t>100 kt MeOH/y (production)</t>
  </si>
  <si>
    <t>https://hydrogen-central.com/cement-australia-partners-mitsubishi-gas-chemical-company-green-methanol-hydrogen-trial-gladstone-cement-plant/</t>
  </si>
  <si>
    <t>https://www.methanol.org/renewable/</t>
  </si>
  <si>
    <t>[2252][2253]</t>
  </si>
  <si>
    <t>[2553]</t>
  </si>
  <si>
    <t>[2514][2553]</t>
  </si>
  <si>
    <t>100 kt MeOH/y</t>
  </si>
  <si>
    <t>30 kt MeOH/y</t>
  </si>
  <si>
    <t>50 kt/ MeOH</t>
  </si>
  <si>
    <t>100 kt/ MeOH</t>
  </si>
  <si>
    <t>300 kt/ MeOH</t>
  </si>
  <si>
    <t>10 kt MeOH/y capacity</t>
  </si>
  <si>
    <t>Zheneng-DSIC 500K Ton-Scale Green Methanol Project</t>
  </si>
  <si>
    <t>500 kt MeOH/y capacity</t>
  </si>
  <si>
    <t>Teal Sept-Îles</t>
  </si>
  <si>
    <t>400kt NH3/y production</t>
  </si>
  <si>
    <t>https://www.tealce-septiles.com/</t>
  </si>
  <si>
    <t>https://ammoniaenergy.org/articles/trammo-commits-to-full-off-take-for-quebec-green-ammonia-project/</t>
  </si>
  <si>
    <t>[2291][2554]</t>
  </si>
  <si>
    <t>600 kt MeOH/y capacity</t>
  </si>
  <si>
    <t>https://www.hydrogeninsight.com/production/two-giant-renewable-hydrogen-based-methanol-plants-in-china-to-start-construction-within-months/2-1-1542926</t>
  </si>
  <si>
    <t>[2553][2555]</t>
  </si>
  <si>
    <t>Yuanbao Energy Inner Mongolia e-methanol project, phase 1</t>
  </si>
  <si>
    <t>700 kt MeOH/y capacity</t>
  </si>
  <si>
    <t>45 kt H2/y + 200 kt NH3/y + 20 kt MeOH/y - 640 MW</t>
  </si>
  <si>
    <t>[2137] [2139] [2553]</t>
  </si>
  <si>
    <t>Jidao Energy Ordos e-methanol project</t>
  </si>
  <si>
    <t>337.5 kt MeOH/y capacity</t>
  </si>
  <si>
    <t>(2553][2556]</t>
  </si>
  <si>
    <t>https://topic.echemi.com/a/the-renewable-energy-project-settled-in-ordos_314116.html</t>
  </si>
  <si>
    <t>[2553][2557]</t>
  </si>
  <si>
    <t>[2557]</t>
  </si>
  <si>
    <t>5 Mt MeOH/y capacity</t>
  </si>
  <si>
    <t>https://chinahydrogen.substack.com/p/china-announced-7-million-tons-renewable</t>
  </si>
  <si>
    <t>Mingyang Smart Energy Chifeng e-methanol project, phase 1</t>
  </si>
  <si>
    <t>Mingyang Smart Energy Chifeng e-methanol project, phase 2</t>
  </si>
  <si>
    <t>180 kt MeOH/y capacity</t>
  </si>
  <si>
    <t>[2052] [2055] [2217][2553]</t>
  </si>
  <si>
    <t>Liquid Wind Haapavesi project</t>
  </si>
  <si>
    <t>https://www.liquidwind.se/haapavesi</t>
  </si>
  <si>
    <t>Pacífico Mexinol - Transition Industries Sinaloa methanol project</t>
  </si>
  <si>
    <t>https://h2businessnews.com/transition-industries-llc-y-la-cfi-anuncian-acuerdo-para-desarrollar-proyecto-de-metanol-a-escala-mundial-libre-de-emisiones-netas-en-sinaloa-mexico/</t>
  </si>
  <si>
    <t>[2553][2559]</t>
  </si>
  <si>
    <t>ENOWA-Aramco MeOH demo plant</t>
  </si>
  <si>
    <t>https://www.aramco.com/en/news-media/news/2023/aramco-and-enowa-to-develop-first-of-its-kind-efuel-demonstration-plant</t>
  </si>
  <si>
    <t>12 t MeOH/d</t>
  </si>
  <si>
    <t>[2560]</t>
  </si>
  <si>
    <t>[2473][2553]</t>
  </si>
  <si>
    <t xml:space="preserve">NorthStarH2 </t>
  </si>
  <si>
    <t>https://bioenergyinternational.com/uniper-and-jamtkraft-to-develop-northstarh2/</t>
  </si>
  <si>
    <t>[2553][2561]</t>
  </si>
  <si>
    <t>500MW , 400 Kt NH3/y capacity</t>
  </si>
  <si>
    <t>https://ammoniaenergy.org/articles/sixth-renewable-ammonia-project-announced-for-ceara-state-brazil/</t>
  </si>
  <si>
    <t>FRV-X Pecem industrial complex plant, phase 1</t>
  </si>
  <si>
    <t>FRV-X Pecem industrial complex plant, phase 2</t>
  </si>
  <si>
    <t>2 GW -  1.6Mt NH3/y capacity</t>
  </si>
  <si>
    <t>[2562]</t>
  </si>
  <si>
    <t>Project Iracema - Ammonia project in Port of Pecem</t>
  </si>
  <si>
    <t>[1712] [2562]</t>
  </si>
  <si>
    <t>[1832] [2562]</t>
  </si>
  <si>
    <t>https://www.reuters.com/business/energy/eletrobras-signs-agreement-with-prumo-produce-green-hydrogen-brazilian-port-2024-06-05/</t>
  </si>
  <si>
    <t>[2563]</t>
  </si>
  <si>
    <t>Eletrobras - Port of Acu</t>
  </si>
  <si>
    <t>Ammonia project - Antofagasta -phase 1</t>
  </si>
  <si>
    <t>Ammonia project - Antofagasta -phase 2</t>
  </si>
  <si>
    <t>300 kt NH3/y, production</t>
  </si>
  <si>
    <t>600 kt NH3/y, production</t>
  </si>
  <si>
    <t>https://direct.argusmedia.com/newsandanalysis/Article/2542681</t>
  </si>
  <si>
    <t>[2564]</t>
  </si>
  <si>
    <t>Horizonte de Verano - Summer Horizon - phase 1</t>
  </si>
  <si>
    <t>Horizonte de Verano - Summer Horizon - phase 2</t>
  </si>
  <si>
    <t>0.42 Mt NH3/y , production</t>
  </si>
  <si>
    <t>1.65 Mt NH3/y , production</t>
  </si>
  <si>
    <t>https://www.portalminero.com/wp/verano-energy-ingresa-a-evaluacion-ambiental-proyecto-para-la-produccion-de-hidrogeno-y-amoniaco-verde-en-peru/</t>
  </si>
  <si>
    <t>[1912] [2565]</t>
  </si>
  <si>
    <t>[2565]</t>
  </si>
  <si>
    <t>Helax Istmo</t>
  </si>
  <si>
    <t>https://www.greencarcongress.com/2023/12/20231227-cip.html</t>
  </si>
  <si>
    <t>[2566]</t>
  </si>
  <si>
    <t>Port of Santos</t>
  </si>
  <si>
    <t>https://www.datamarnews.com/noticias/santos-port-authority-eyes-federal-fund-for-green-hydrogen-production/</t>
  </si>
  <si>
    <t>[2567]</t>
  </si>
  <si>
    <t>100 t H2/y</t>
  </si>
  <si>
    <t>EPM Hydrogen project - Espiritu Santo power plant</t>
  </si>
  <si>
    <t>EPM Hydrogen project</t>
  </si>
  <si>
    <t>400 t H2/y</t>
  </si>
  <si>
    <t>https://direct.argusmedia.com/newsandanalysis/article/2565197</t>
  </si>
  <si>
    <t>[2568]</t>
  </si>
  <si>
    <t>Eletrobras - Paul Wurth green hydrogen</t>
  </si>
  <si>
    <t>https://world-nuclear-news.org/Articles/Eletronuclear-plans-clean-hydrogen-production</t>
  </si>
  <si>
    <t>450MW -60 kt e- CH4/y</t>
  </si>
  <si>
    <t>https://gep-global.com/news/green-energy-park-raises-30-million-us-dollars-initial-equity-funding-accelerate-energy-transition-and-build-one-largest-renewable-hydrogen-production-and-export-terminal-facilities-world</t>
  </si>
  <si>
    <t>[2166] [2167] [2570]</t>
  </si>
  <si>
    <t xml:space="preserve">Ammonia project - Araucania </t>
  </si>
  <si>
    <t>https://direct.argusmedia.com/newsandanalysis/Article/2517245</t>
  </si>
  <si>
    <t>[2571]</t>
  </si>
  <si>
    <t>[2481][2485][2572]</t>
  </si>
  <si>
    <t>[2481] [2572]</t>
  </si>
  <si>
    <t>CIPP (Ceara’s Pecem Industrial Port Complex) Hydrogen project</t>
  </si>
  <si>
    <t>1.2 Mt H2/y, capacity</t>
  </si>
  <si>
    <t>https://www.enerdata.net/publications/daily-energy-news/ceara-brazil-signs-mou-12-mtyear-green-hydrogen-project.html</t>
  </si>
  <si>
    <t>[2573]</t>
  </si>
  <si>
    <t>Leuna refinery</t>
  </si>
  <si>
    <t>https://totalenergies.com/media/news/press-releases/germany-totalenergies-and-vng-join-forces-green-hydrogen-decarbonize-leuna</t>
  </si>
  <si>
    <t>[2574]</t>
  </si>
  <si>
    <t>[2575]</t>
  </si>
  <si>
    <t>Hy2gen Yucatan Marengo project,  1</t>
  </si>
  <si>
    <t>Hy2gen Yucatan Marengo project,  2</t>
  </si>
  <si>
    <t>Siziwang Banner project</t>
  </si>
  <si>
    <t>https://www.hydrogeninsight.com/production/construction-begins-on-2-6bn-gigawatt-scale-green-hydrogen-and-ammonia-project-in-northern-china/2-1-1672656</t>
  </si>
  <si>
    <t>H2V Frontera Project</t>
  </si>
  <si>
    <t>227MW</t>
  </si>
  <si>
    <t>https://elpinguino.com/noticia/2023/10/27/organizaciones-ambientalistas-advierten-por-impacto-de-futuro-proyecto-de-hidrogeno-verde-cercano-a-humedal-bahia-lomas</t>
  </si>
  <si>
    <t>[2576]</t>
  </si>
  <si>
    <t>Turn2X - Extremadura</t>
  </si>
  <si>
    <t>https://www.hydrogeninsight.com/innovation/we-built-europes-first-commercial-green-hydrogen-to-synthetic-methane-plant-in-less-than-six-months-without-subsidies/2-1-1631952</t>
  </si>
  <si>
    <t>https://turn2x.com/#mission</t>
  </si>
  <si>
    <t>[2577][2578]</t>
  </si>
  <si>
    <t>82kt synthetic kerosene/y production</t>
  </si>
  <si>
    <t>https://hydrogen-central.com/dijon-metropole-inaugurates-the-first-of-its-two-hydrogen-stations-at-100-million-euros/#:~:text=On%20the%20eve%20of%20welcoming,Monday%20June%2024%2C%202024.%20.</t>
  </si>
  <si>
    <t>[1418] [1419] [2005] [2579]</t>
  </si>
  <si>
    <t xml:space="preserve">25MW, 5x5MW modular </t>
  </si>
  <si>
    <t>Green Crane - La Robla</t>
  </si>
  <si>
    <t>20mw</t>
  </si>
  <si>
    <t>H2 PILLAR</t>
  </si>
  <si>
    <t>Iqoxe</t>
  </si>
  <si>
    <t>1.354 Mwel</t>
  </si>
  <si>
    <t>0.5 Mwel</t>
  </si>
  <si>
    <t>AEM Nexus for H2 Fuel station</t>
  </si>
  <si>
    <t>AEM Nexus for H2 Refueling Station</t>
  </si>
  <si>
    <t>AEM Nexus 500 for SAF and supply of internal hydrogen lines</t>
  </si>
  <si>
    <t>4 Mwel</t>
  </si>
  <si>
    <t>https://www.enapter.com/de/enapter-news/4-mw-scale-aem-electrolysers-sold-to-italy-new-aem-flex-120-video-out-and-much-more/</t>
  </si>
  <si>
    <t>[2580]</t>
  </si>
  <si>
    <t>3 Mwel</t>
  </si>
  <si>
    <t>https://h2bulletin.com/enapter-to-deliver-aem-nexus-500-electrolysers-with-500-kw-production-capacity-to-kit/</t>
  </si>
  <si>
    <t>[2581]</t>
  </si>
  <si>
    <t>1.8 Mwel -78 t H2/y production</t>
  </si>
  <si>
    <t>Hygenco Gopalpur GNH3 Plant- Tata Steel Special Economic Zone MoU, phase 1</t>
  </si>
  <si>
    <t>Hygenco Gopalpur GNH3 Plant - Tata Steel Special Economic Zone MoU, phase 2</t>
  </si>
  <si>
    <t>Hygenco Sterlite GH2 Plant</t>
  </si>
  <si>
    <t>1.8 Mwel</t>
  </si>
  <si>
    <t>260 MW - 300kt MeOH/y production</t>
  </si>
  <si>
    <t>https://abelenergy.com.au/thyssenkrupp-nucera-preferred-supplier-of-electrolysers</t>
  </si>
  <si>
    <t>[1039][1765][2582]</t>
  </si>
  <si>
    <t>https://renewablesnow.com/news/cepsa-picks-nucera-siemens-electrolysers-for-400-mw-project-in-spain-857525/</t>
  </si>
  <si>
    <t>[1718] [2583]</t>
  </si>
  <si>
    <t>https://www.lagazzettadelmezzogiorno.it/news/taranto/1507411/ex-ilva-puglia-hydrogen-valley-alimentera-i-nuovi-forni-elettrici.html</t>
  </si>
  <si>
    <t>[778], Platts European Gas Daily 16-09-2021 [2535][2536] [2584]</t>
  </si>
  <si>
    <t>[778], Platts European Gas Daily 16-09-2021  [2535][2536][2584]</t>
  </si>
  <si>
    <t>https://www.interreg-central.eu/news/h2ce-study-visit-at-sapios-group-green-hydrogen-hub-in-venice/</t>
  </si>
  <si>
    <t>[2535] [2585]</t>
  </si>
  <si>
    <t>https://umbria.tag24.it/fotovoltaico-e-idrogeno-gli-elettrodi-sangraf-diventano-sostenibili/</t>
  </si>
  <si>
    <t>[2535] [2586]</t>
  </si>
  <si>
    <t>https://www.fnmgroup.it/h2iseo_hydrogen_valley/</t>
  </si>
  <si>
    <t>[2535] [2587]</t>
  </si>
  <si>
    <t>EWE - Clean Hydrogen Coastline, project Bremen</t>
  </si>
  <si>
    <t>EWE - Clean Hydrogen Coastline, project Emdem</t>
  </si>
  <si>
    <t>Argus Hydrogen and Future Fuels Newsletter 20240716</t>
  </si>
  <si>
    <t>[1864][1865][2588]</t>
  </si>
  <si>
    <t>1.63MW</t>
  </si>
  <si>
    <t>https://direct.argusmedia.com/newsandanalysis/Article/2587867</t>
  </si>
  <si>
    <t>[1825] [2589]</t>
  </si>
  <si>
    <t>https://www.power-technology.com/marketdata/power-plant-profile-total-eren-h2-magallanes-complex-chile/</t>
  </si>
  <si>
    <t>[1145][2590]</t>
  </si>
  <si>
    <t>Puertollano HydRIC project Phase I</t>
  </si>
  <si>
    <t>Puertollano HydRIC project Phase II</t>
  </si>
  <si>
    <t>Felixstowe Green Hydrogen</t>
  </si>
  <si>
    <t>Cromarty Green Hydrogen Facility</t>
  </si>
  <si>
    <t>Green hydrogen for oil industry</t>
  </si>
  <si>
    <t>Green hydrogen for fragrance industry</t>
  </si>
  <si>
    <t>500MW, 330 kt NH3/y</t>
  </si>
  <si>
    <t>Khalifa Industrial Zone Abu Dhabi (KIZAD) Helios Industry- phase 1</t>
  </si>
  <si>
    <t>Khalifa Industrial Zone Abu Dhabi (KIZAD) Helios Industry- phase 2</t>
  </si>
  <si>
    <t>https://www.taqa.com.eg/news-details.php?newsid=40</t>
  </si>
  <si>
    <t>[1872] [2591]</t>
  </si>
  <si>
    <t>Ra Green Ammonia project</t>
  </si>
  <si>
    <t>https://www.offshore-energy.biz/dai-to-collaborate-with-siemens-energy-on-green-ammonia-project-in-egypt/</t>
  </si>
  <si>
    <t>[1209] [2592]</t>
  </si>
  <si>
    <t>320MW, 0.1 kt NH3/y</t>
  </si>
  <si>
    <t>https://www.power-technology.com/news/acme-oman-green-ammonia-hydrogen/</t>
  </si>
  <si>
    <t>[1296][1451][2593]</t>
  </si>
  <si>
    <t>[1296][1451][1972] [2080][2593]</t>
  </si>
  <si>
    <t>3.5GW, 1.2Mt NH3/y production</t>
  </si>
  <si>
    <t>4GW electrolysis, 2.3 Mt NH3/y, 0.48 Mt H2/y</t>
  </si>
  <si>
    <t>https://elsewedyelectric.com/en/page?v=News%20Room&amp;i=ELSEWEDY%20ELECTRIC%20IN%20PARTNERSHIP%20WITH%20RENEW%20POWER%20SIGNS%20A%20FRAMEWORK%20AGREEMENT%20WITH%20THE%20GOVERNMENT%20OF%20EGYPT%20FOR%20A%20GREEN%20HYDROGEN%20PROJECT</t>
  </si>
  <si>
    <t>[1456] [2594]</t>
  </si>
  <si>
    <t>1.5GW, 650 kt NH3/y at full capacity</t>
  </si>
  <si>
    <t>TAZIZ project, MoU ADNOC, ENEOS, Mitsui, phase 1</t>
  </si>
  <si>
    <t>TAZIZ project, MoU ADNOC, ENEOS, Mitsui, phase 2</t>
  </si>
  <si>
    <t>Sohar Port, Steel Industry, phase 1</t>
  </si>
  <si>
    <t>Sohar Port, Steel Industry, phase 2</t>
  </si>
  <si>
    <t>2.98 GW,330 kt H2/y and 1550kt NH3/y</t>
  </si>
  <si>
    <t>Mauritania - Green Ammonia project - phase 2</t>
  </si>
  <si>
    <t>Votalia - Taqa Arabia -phase 1</t>
  </si>
  <si>
    <t xml:space="preserve">Votalia - Taqa Arabia -phase 2 </t>
  </si>
  <si>
    <t>Sustainable Energy Authority project</t>
  </si>
  <si>
    <t>HYPORT Gargoub project</t>
  </si>
  <si>
    <t>Alfanar Egypt</t>
  </si>
  <si>
    <t>Actis project</t>
  </si>
  <si>
    <t>https://fuelcellsworks.com/news/green-hydrogen-factory-planned-for-bahrain/</t>
  </si>
  <si>
    <t>[2595]</t>
  </si>
  <si>
    <t xml:space="preserve">500MW </t>
  </si>
  <si>
    <t>[2596]</t>
  </si>
  <si>
    <t>https://www.deme-group.com/news/deme-expands-green-hydrogen-portfolio-hyport-production-facility-egypt</t>
  </si>
  <si>
    <t>https://alfanarprojects.com/en-us/newsroom/alfanar-consolidates-its-leading-position-in-energy-transition-by-developing-a-project-for-green-hydrogen-production/</t>
  </si>
  <si>
    <t>[2597]</t>
  </si>
  <si>
    <t>500 kt NH3/y, production</t>
  </si>
  <si>
    <t>200 kt NH3/y, production</t>
  </si>
  <si>
    <t>https://www.act.is/our-view-on-cop/green-hydrogen-a-key-enabler-of-the-energy-transition/</t>
  </si>
  <si>
    <t>[2598]</t>
  </si>
  <si>
    <t>Armonia Green Sevilla phase I</t>
  </si>
  <si>
    <t>Armonia Green Sevilla phase II</t>
  </si>
  <si>
    <t>Armonia Green Sevilla phase III</t>
  </si>
  <si>
    <t>287 kt NH3/y, capacity</t>
  </si>
  <si>
    <t>574 kt NH3/y, capacity</t>
  </si>
  <si>
    <t>861 kt NH3/y, capacity</t>
  </si>
  <si>
    <t>https://vivahuelva.es/sevilla/1319031/ignis-invertira-352-millones-de-euros-en-la-planta-de-amoniaco-verde-del-puerto/</t>
  </si>
  <si>
    <t>[2599]</t>
  </si>
  <si>
    <t>[2588],[2600]</t>
  </si>
  <si>
    <t>https://www.h2-view.com/story/siemens-energy-to-supply-280mw-electrolyser-to-german-hydrogen-project/2112847.article/</t>
  </si>
  <si>
    <t>https://virya-energy.prezly.com/virya-energy-hyoffgreen-and-messer-announce-final-investment-decision-for-25mw-renewable-hydrogen-plant-in-zeebrugge-paving-the-way-for-sustainable-mobility-and-industry</t>
  </si>
  <si>
    <t>https://renews.biz/94723/shell-takes-fid-on-100mw-electrolyser/</t>
  </si>
  <si>
    <t>[745] [746] [2290] [2602]</t>
  </si>
  <si>
    <t>1.5 GW</t>
  </si>
  <si>
    <t>Wilton International Industrial Zone green hydrogen (Wilton Green Hydrogen)</t>
  </si>
  <si>
    <t>https://direct.argusmedia.com/newsandanalysis/article/2424329?keywords=BP%20to%20build%202GW%20electrolyser%20in%20Spain</t>
  </si>
  <si>
    <t>BP Castellon refinery, phase 1 (HyVal)</t>
  </si>
  <si>
    <t>BP Castellon refinery, phase 2 (HyVal)</t>
  </si>
  <si>
    <t>[895] [2603] [2604]</t>
  </si>
  <si>
    <t>https://www.h2-view.com/story/bp-to-develop-2gw-hydrogen-project-in-spain-following-fid/2113029.article/</t>
  </si>
  <si>
    <t>[1269] [2603] [2604]</t>
  </si>
  <si>
    <t>400kt H2/y capacity</t>
  </si>
  <si>
    <t>https://energyforgrowth.org/article/african-hydrogen-projects-tracker-full-screen/</t>
  </si>
  <si>
    <t>[1178] [2605]</t>
  </si>
  <si>
    <t>Atlanthia Green Hydrogen</t>
  </si>
  <si>
    <t>44 MW el - 7 kt H2/y</t>
  </si>
  <si>
    <t>[2605]</t>
  </si>
  <si>
    <t>HDF MSR-Zimbawe (Manicaland)</t>
  </si>
  <si>
    <t xml:space="preserve">Port of Brownsville Refinery </t>
  </si>
  <si>
    <t>https://energynews.biz/element-fuels-completes-site-preparation-and-pre-construction-for-hydrogen-powered-refinery/</t>
  </si>
  <si>
    <t>[2606]</t>
  </si>
  <si>
    <t xml:space="preserve">Capanda Green Ammonia </t>
  </si>
  <si>
    <t>112 kt NH3/y production</t>
  </si>
  <si>
    <t>[2607]</t>
  </si>
  <si>
    <t>https://hydrogen-central.com/minbos-environmental-studies-underway-capanda-green-ammonia-project/</t>
  </si>
  <si>
    <t>Power2Earth</t>
  </si>
  <si>
    <t>1000 kt  fertiliser capacity</t>
  </si>
  <si>
    <t>https://www.fertiberia.com/en/reduced-climate-impact-and-strengthened-food-supply-fertiberia-lantmannen-and-nordion-energi-are-investing-to-develop-swedens-first-fossil-free-mineral-fertiliser-factory/</t>
  </si>
  <si>
    <t>[2608]</t>
  </si>
  <si>
    <t>https://www.hydrogeninsight.com/innovation/south-korea-s-first-nuclear-hydrogen-project-to-be-built-by-2027-by-eight-partners-including-hyundai-and-samsung/2-1-1663769</t>
  </si>
  <si>
    <t>[2609]</t>
  </si>
  <si>
    <t>Nuclear Hydrogen Project</t>
  </si>
  <si>
    <t>Frigg</t>
  </si>
  <si>
    <t>[2610]</t>
  </si>
  <si>
    <t>10 kt H2/y production</t>
  </si>
  <si>
    <t>https://renewablesnow.com/news/everfuel-proposes-up-to-2-gw-green-hydrogen-project-in-denmark-860710/</t>
  </si>
  <si>
    <t>Aslan Net-zero Energy Mexico (ANEM) - Phase I</t>
  </si>
  <si>
    <t>Aslan Net-zero Energy Mexico (ANEM) - Phase II</t>
  </si>
  <si>
    <t>https://www.prnewswire.com/news-releases/mou-signed-for-35-000-hectares-of-land-in-sonora-mexico-to-propel-green-hydrogen-and-ammonia-production-302191133.html</t>
  </si>
  <si>
    <t>[2611]</t>
  </si>
  <si>
    <t>1200 kt NH3/y production</t>
  </si>
  <si>
    <t>Xuchang LONGi Bioenergy Green Methanol Project</t>
  </si>
  <si>
    <t>120 kt MeOH/y capacity</t>
  </si>
  <si>
    <t>https://en.igascn.com/chian/detail/?TypeId=1026&amp;Id=7441&amp;SortSource=list</t>
  </si>
  <si>
    <t>http://www.cplastics.com.cn/?p=258</t>
  </si>
  <si>
    <t>[2612] [2613]</t>
  </si>
  <si>
    <t>Liquid Sunshine Energy Technology Alxa League Methanol project, phase 1</t>
  </si>
  <si>
    <t>Liquid Sunshine Energy Technology Alxa League Methanol project, phase 2</t>
  </si>
  <si>
    <t>Hydrogen Energy Comprehensive Utilization Project</t>
  </si>
  <si>
    <t>210 kt MeOH/y capacity</t>
  </si>
  <si>
    <t>https://www.linkedin.com/posts/yesh2_greenenergy-sustainability-china-activity-7219724816419819522-Kt96/?utm_source=share&amp;utm_medium=member_android</t>
  </si>
  <si>
    <t>[2614]</t>
  </si>
  <si>
    <t>Xinjiang Qitai Intelligent Energy Equipment Industrial Park Project</t>
  </si>
  <si>
    <t>450 kt MeOH/y capacity</t>
  </si>
  <si>
    <t>Multi-complementary Hydroalcohol Integragtion Project</t>
  </si>
  <si>
    <t>700 MW Wind Power + Hydrogen + Green Methanol Integration Project</t>
  </si>
  <si>
    <t>Sinoneng Chifeng Wind-scope Hydrogen and Alcohol Integration and Hydrogen Energy Supporting Industry Project</t>
  </si>
  <si>
    <t>Annual output of 5 million tons of alcohol and hdrogen clean fuel industry project</t>
  </si>
  <si>
    <t>5000 kt MeOH/y capacity</t>
  </si>
  <si>
    <t>Lanze Energy 300,000 tons per year green methanol project</t>
  </si>
  <si>
    <t>Green Technology Bank's 380,000 tons per year green methanol project</t>
  </si>
  <si>
    <t>380 kt MeOH/y capacity</t>
  </si>
  <si>
    <t>https://www.linkedin.com/pulse/380000-tonsyear-green-methanol-project-china-zhaopeng-cheng/</t>
  </si>
  <si>
    <t>[2614] [2615]</t>
  </si>
  <si>
    <t>Jidian corporation Yancheng 300,000 tons green methanol project</t>
  </si>
  <si>
    <t>Handan one million tons green methanol preparation demonstration area project</t>
  </si>
  <si>
    <t>1000 kt MeOH/y capacity</t>
  </si>
  <si>
    <t>Research project on the topic of biomass gasification and green electricity to hydrogen synthesis of green methanol</t>
  </si>
  <si>
    <t>Guoneng Zhongdian Group Guzhou Green Methanol Project</t>
  </si>
  <si>
    <t>160 kt MeOH/y capacity</t>
  </si>
  <si>
    <t>[2412] [2614]</t>
  </si>
  <si>
    <t>Sinochem Baicheng Renewable Green Energy Project</t>
  </si>
  <si>
    <t>Zhongneng Construction Heilongjiang Million-ton Green Hydrogen to Green Methanol Production Project</t>
  </si>
  <si>
    <t>Wind power coupled biomass green methanol integration Project  - Phase I</t>
  </si>
  <si>
    <t>Debt Bio Ruichang World's First 150,000-ton Biomass Gasification Project for Green Methanol Preparation</t>
  </si>
  <si>
    <t>150 kt MeOH/y capacity</t>
  </si>
  <si>
    <t>http://www.hfdepo.com/en/3g/display.asp?id=349</t>
  </si>
  <si>
    <t>[2614] [2616]</t>
  </si>
  <si>
    <t>300,000 tons of biomass methanol project by Chifeng Green Hydrogen Chain Technology</t>
  </si>
  <si>
    <t>https://www.chinatexnet.com/textile-news/2023-08-11/949023.html</t>
  </si>
  <si>
    <t>[2614] [2617]</t>
  </si>
  <si>
    <t>Vision Tongliao Wind-Solar Power to Hydrogen-Ammonia-Methanol Integration Project</t>
  </si>
  <si>
    <t>https://www.energypolicy.columbia.edu/wp-content/uploads/2023/10/ChinaHydrogenDevelopment-Commentary_CGEP_102023-4.pdf</t>
  </si>
  <si>
    <t>[2614] [2618]</t>
  </si>
  <si>
    <t>Shenghong Petrochemical 100,00 tons/year Carbon Dioxide to Green Methanol Project</t>
  </si>
  <si>
    <t>http://www.shenghonggroup.cn/en/about/fazhan/</t>
  </si>
  <si>
    <t>[2614] [2619]</t>
  </si>
  <si>
    <t>Yuanli Energy 700,000 tons/year Green methanol Demonstration Project</t>
  </si>
  <si>
    <t>Jilin Changling Wind-Solar-Hydrogen-Ammonia Digital Demonstration Project</t>
  </si>
  <si>
    <t>327 kt MeOH/y capacity</t>
  </si>
  <si>
    <t>https://www.yicaiglobal.com/star50news/2023_11_156623962485504344083</t>
  </si>
  <si>
    <t>[2614] [2620]</t>
  </si>
  <si>
    <t>Diaobingshan Off-grid wind power to hydrogen coupled green ammonia-methanol Integration Demonstration Project</t>
  </si>
  <si>
    <t>https://windeyenergy.com/en/news_show?id=108</t>
  </si>
  <si>
    <t>[2614] [2621]</t>
  </si>
  <si>
    <t>[2514] [2614]</t>
  </si>
  <si>
    <t>CNOOC 150,000 tons Biomass gasification to Green Methanol Project</t>
  </si>
  <si>
    <t>China Tiancheng wind-solar-storage-hydrogen-ammonia-methanol integration project</t>
  </si>
  <si>
    <t>800 kt MeOH/y capacity</t>
  </si>
  <si>
    <t>Huadian Keyouqianqi 50,000 kW wind power to hydrogen to green methanol integrated project</t>
  </si>
  <si>
    <t>Wind-solar Energy coupled biomass to green methanol project</t>
  </si>
  <si>
    <t>Sinochem Yueda 1,000,000 tons/year Green Methanol Project</t>
  </si>
  <si>
    <t>Dorlun County 200,000 tons green methanol project</t>
  </si>
  <si>
    <t>1.6GW Wind power grid-load-storage to green methanol project</t>
  </si>
  <si>
    <t>https://qwika.pro/shandong-province-partners-with-hong-kong-groups-for-1-6gw-green-methanol-project/</t>
  </si>
  <si>
    <t>[2614] [2622]</t>
  </si>
  <si>
    <t>Lishu Wind Power to green hydrogen, biomass coupling green biomass carbonization, biomass coal, and mature coal gasification to methanol project</t>
  </si>
  <si>
    <t>[1895][2553] [2614]</t>
  </si>
  <si>
    <t>320 kt MeOH/y capacity</t>
  </si>
  <si>
    <t>Yushu 150,000 tons green hydrogen coupled biomass to methanol project</t>
  </si>
  <si>
    <t>https://direct.argusmedia.com/newsandanalysis/article/2593775?keywords=german%20e-saf%20project%20scrapped</t>
  </si>
  <si>
    <t>https://www.linkedin.com/posts/itm-power_hydrogen-greentech-energy-activity-7228769913958535169-tHAL/?utm_source=share&amp;utm_medium=member_desktop</t>
  </si>
  <si>
    <t>[314][945][1180][1212] [1551] [2624]</t>
  </si>
  <si>
    <t>[1615] [2624]</t>
  </si>
  <si>
    <t>Hyoffwind Zeebrugge, expansion</t>
  </si>
  <si>
    <t>https://direct.argusmedia.com/newsandanalysis/article/2591319</t>
  </si>
  <si>
    <t>[2601][2625]</t>
  </si>
  <si>
    <t>[2625]</t>
  </si>
  <si>
    <t>Shuifa energy Qianguoer county source-grid-load-storage-hydrogen-ammonia-methanol integration project</t>
  </si>
  <si>
    <t>1216  MW - 296 kt H2/y</t>
  </si>
  <si>
    <t>Solatio - Ammonia project state of Piaui (phase I)</t>
  </si>
  <si>
    <t>Solatio - Ammonia project Parnaiba export zone (phases II to VI)</t>
  </si>
  <si>
    <t>1.9GW or 283 kton H2 1.6MtNH3/y production</t>
  </si>
  <si>
    <t>9.5GW or 1.42 Mton H2 8MtNH3/y production</t>
  </si>
  <si>
    <t>2.8 Mt H2/y 15 Mton NH3/y</t>
  </si>
  <si>
    <t>Qair-SUAPE</t>
  </si>
  <si>
    <t>140 MW</t>
  </si>
  <si>
    <t xml:space="preserve">COPPE/UFRJ pilot plant </t>
  </si>
  <si>
    <t xml:space="preserve">QAIR fraternité </t>
  </si>
  <si>
    <t>0,1kt H2/y</t>
  </si>
  <si>
    <t>0,003kt H2/y</t>
  </si>
  <si>
    <t>42 ktH2/y</t>
  </si>
  <si>
    <t>1.12 GW</t>
  </si>
  <si>
    <t>Eletronuclear hydrogen project - Angra nuclear power plant (I e II)</t>
  </si>
  <si>
    <t>Fortescue Future Industries - Port of Pecem  (Phase I and II)</t>
  </si>
  <si>
    <t>Fortescue Future Industries - Port of Pecem (Phase III)</t>
  </si>
  <si>
    <t xml:space="preserve">305kt H2/y </t>
  </si>
  <si>
    <t xml:space="preserve">174.3 kt H2/y </t>
  </si>
  <si>
    <t>https://fuelcellsworks.com/news/earthworks-for-fortescues-green-hydrogen-h2v-plant-at-pecem-complex-to-start-by-years-end/?mc_cid=e47b211bf0&amp;mc_eid=da4624d261</t>
  </si>
  <si>
    <t>[1010][1011][2094][2105][2626]</t>
  </si>
  <si>
    <t>[2626]</t>
  </si>
  <si>
    <t>https://www.h2-view.com/story/westfalen-to-supply-green-hydrogen-to-arcelormittal-france-from-2026/2112715.article/</t>
  </si>
  <si>
    <t>[2627]</t>
  </si>
  <si>
    <t>ArcelorMittal -Florange steel plant</t>
  </si>
  <si>
    <t>https://fuelcellsworks.com/news/dh2-energy-obtains-environmental-permit-for-the-hysencia-green-hydrogen-plant-in-spain/?mc_cid=4eb6e3a7c2&amp;mc_eid=da4624d261</t>
  </si>
  <si>
    <t>[560] [800] [2377] [2628]</t>
  </si>
  <si>
    <t>171 MW</t>
  </si>
  <si>
    <t>https://www.hydrogeninsight.com/industrial/lithuanias-largest-fertiliser-producer-bags-122m-government-grant-to-replace-grey-hydrogen-with-green-h2/2-1-1677023?utm_campaign=2024-07-16&amp;utm_content=hydrogen&amp;utm_medium=email&amp;utm_source=email_campaign&amp;utm_term=recharge</t>
  </si>
  <si>
    <t>[1916] [2629]</t>
  </si>
  <si>
    <t>812 t H2/y production</t>
  </si>
  <si>
    <t>https://gabitelingenieros.com/gabitel_desarrolla_el_proyecto_de_ingenieria_de_una-planta_de_hidrogeno_verde_de-50_mw_e_hidrogenera_en_villarrasa/</t>
  </si>
  <si>
    <t>[2630]</t>
  </si>
  <si>
    <t>Villarasa hydrogen project</t>
  </si>
  <si>
    <t>Oranjewind hydrogen production</t>
  </si>
  <si>
    <t>350 MW - 40 kt H2/y production</t>
  </si>
  <si>
    <t>North Atlantic Green Energy Hub</t>
  </si>
  <si>
    <t>100 kt H2/y production</t>
  </si>
  <si>
    <t>https://northatlantic.ca/greenenergyhubrelease/</t>
  </si>
  <si>
    <t>[2631]</t>
  </si>
  <si>
    <t>Grey2Green (Phase I)</t>
  </si>
  <si>
    <t>Grey2Green (Phase II)</t>
  </si>
  <si>
    <t>Grey2Green (Phase III</t>
  </si>
  <si>
    <t>310 MW</t>
  </si>
  <si>
    <t>510 MW</t>
  </si>
  <si>
    <t>320 kt NH3/y production</t>
  </si>
  <si>
    <t>Chifeng Energy Internet of Things Zero Carbon Hydrogen Ammonia Demostration Project- Phase 3</t>
  </si>
  <si>
    <t>900 kt NH3/y production</t>
  </si>
  <si>
    <t xml:space="preserve">620 kt NH3/y production </t>
  </si>
  <si>
    <t>https://chinahydrogen.substack.com/p/envision-began-construction-of-its</t>
  </si>
  <si>
    <t>[1830] [2632]</t>
  </si>
  <si>
    <t>[2632]</t>
  </si>
  <si>
    <t>210MW (in addition to the 20MW included in Ref 10)</t>
  </si>
  <si>
    <t>https://castellonplaza.com/la-planta-de-amoniaco-verde-de-ignis-en-castello-1000-millones-100-empleos-y-21-hectareas</t>
  </si>
  <si>
    <t>[2633]</t>
  </si>
  <si>
    <t>[2634]</t>
  </si>
  <si>
    <t>283 kt NH3/y, capacity</t>
  </si>
  <si>
    <t>567 kt NH3/y, capacity</t>
  </si>
  <si>
    <t>850 kt NH3/y, capacity</t>
  </si>
  <si>
    <t>Armonia Green Castellon Phase I</t>
  </si>
  <si>
    <t>Armonia Green Castellon Phase II</t>
  </si>
  <si>
    <t>Armonia Green Castellon Phase III</t>
  </si>
  <si>
    <t>Armonia Green Galicia Phase I</t>
  </si>
  <si>
    <t>Armonia Green Galicia Phase II</t>
  </si>
  <si>
    <t>Armonia Green Galicia Phase III</t>
  </si>
  <si>
    <t>https://ignis.es/ignis-planta-de-amoniaco-verde-galicia/</t>
  </si>
  <si>
    <t>400 MW additional</t>
  </si>
  <si>
    <t>LONGi Urad Rear Banner Integrated wind and solar hydrogen production project</t>
  </si>
  <si>
    <t>54 kt H2/y capacity</t>
  </si>
  <si>
    <t>https://www.linkedin.com/posts/yesh2_chinagreenhydrogennews-activity-7229503862699704325-BQWq?utm_source=share&amp;utm_medium=member_desktop</t>
  </si>
  <si>
    <t>[2635]</t>
  </si>
  <si>
    <t>https://direct.argusmedia.com/newsandanalysis/Article/2598348</t>
  </si>
  <si>
    <t xml:space="preserve">500 MW </t>
  </si>
  <si>
    <t>Cepsa San Roque Energy Park (Algeciras) - Andalucian Green Hydrogen Valley
Carteia Project - Phase 1</t>
  </si>
  <si>
    <t>https://www.h2-view.com/story/fortescue-powers-up-liquid-hydrogen-plant-at-christmas-creek-mine-site/2113755.article/</t>
  </si>
  <si>
    <t>[1036] [2637]</t>
  </si>
  <si>
    <t>two 0.7MW</t>
  </si>
  <si>
    <t>Cepsa La Rábida Energy Park (Huelva) - phase 1 - Andalucian Green Hydrogen Valley
Onuba Project (Together with THARSIS: LUXIA project)</t>
  </si>
  <si>
    <t>Cepsa La Rábida Energy Park (Huelva) - phase 3 - Andalusian Green Hydrogen Valley
ONUBA II Project</t>
  </si>
  <si>
    <t>Cepsa la Rábida Energy Park (Huelva) - phase 2- Andalusian Green Hydrogen Valley THARSIS Project 
Together with ONUBA: LUXIA project)</t>
  </si>
  <si>
    <t>Cepsa San Roque Energy Park (Algeciras) - Andalusian Green Hydrogen Valley - Phase 2
CARTEIA Project</t>
  </si>
  <si>
    <t>500 MW</t>
  </si>
  <si>
    <t>600 kt H2/y capacity</t>
  </si>
  <si>
    <t>https://exame.com/economia/solatio-fara-maior-usina-de-energia-solar-do-brasil-no-piaui/</t>
  </si>
  <si>
    <t>[1926] [2638]</t>
  </si>
  <si>
    <t>Green Energy Park (GEP) phases I to VI</t>
  </si>
  <si>
    <t>https://epbr.com.br/white-martins-anuncia-segunda-planta-de-hidrogenio-verde-para-atender-clientes-do-sudeste/</t>
  </si>
  <si>
    <t>[2406] [2639]</t>
  </si>
  <si>
    <t>https://epbr.com.br/voltalia-assina-pre-contrato-para-producao-de-hidrogenio-verde-no-ceara/</t>
  </si>
  <si>
    <t>https://jc.ne10.uol.com.br/colunas/jc-negocios/2024/04/13/european-energy-aposta-na-producao-do-e-metanol-em-pernambuco-indo-alem-da-producao-do-hidrogenio-verde.htmlv</t>
  </si>
  <si>
    <t>https://portalbenews.com.br/frv-vai-investir-r-27-bilhoes-para-produzir-hidrogenio-verde-no-ceara/</t>
  </si>
  <si>
    <t>[2541] [2640]</t>
  </si>
  <si>
    <t>[2545] [2641]</t>
  </si>
  <si>
    <t>[2548] [2562] [2642]</t>
  </si>
  <si>
    <t>https://projetoh2.com.br/brasil-qair-recebeu-aprovacao-em-projeto-de-h2v-no-porto-de-suape/</t>
  </si>
  <si>
    <t>[2643]</t>
  </si>
  <si>
    <t>https://petronoticias.com.br/eletronuclear-vai-usar-as-usinas-nucleares-para-produzir-pelo-menos-100-toneladas-de-hidrogenio-verde-por-ano/</t>
  </si>
  <si>
    <t>[2569] [2644]</t>
  </si>
  <si>
    <t>https://coppe.ufrj.br/planeta-coppe/coppe-inaugura-planta-de-producao-de-hidrogenio-verde/</t>
  </si>
  <si>
    <t>[2645]</t>
  </si>
  <si>
    <t>https://www.ceara.gov.br/2024/06/21/semace-preside-audiencia-publica-sobre-eia-rima-de-producao-de-hidrogenio-verde-no-pecem/</t>
  </si>
  <si>
    <t>https://www.brasil.qair.energy/blog/hydrogene-vert/</t>
  </si>
  <si>
    <t>[2646] [2647]</t>
  </si>
  <si>
    <t>CF Industries blue ammonia Blue Point (LA)</t>
  </si>
  <si>
    <t>CF Industries Donaldsonville Blue Ammonia (LA)</t>
  </si>
  <si>
    <t>2 MT CO2/y</t>
  </si>
  <si>
    <t xml:space="preserve">31kt H2/y production,  183 kt NH3/y </t>
  </si>
  <si>
    <t>Ain Sokhna ammonia project - Phase I</t>
  </si>
  <si>
    <t>Ain Sokhna ammonia project - Phase II</t>
  </si>
  <si>
    <t>https://www.ameapower.com/press-release-amea-power-signs-agreement-with-the-government-of-egypt-to-deploy-1000mw-green-hydrogen-project/</t>
  </si>
  <si>
    <t>[1388] [2108] [2648]</t>
  </si>
  <si>
    <t>1 GW - 800 kt NH3/y production</t>
  </si>
  <si>
    <t xml:space="preserve">100 kt NH3/y </t>
  </si>
  <si>
    <t>Ocior Energy green ammonia project -Phase 1</t>
  </si>
  <si>
    <t>Ocior Energy green ammonia project -Phase 2</t>
  </si>
  <si>
    <t>Phelan Green Energy - Egypt</t>
  </si>
  <si>
    <t>2500 kt NH3/y capacity</t>
  </si>
  <si>
    <t>https://image.digitalinsightresearch.in/Uploads/ImageLibrary/Active/MEED/2022/12/PDFs/meed-hydrogen-infographic_2301.pdf</t>
  </si>
  <si>
    <t>[2649]</t>
  </si>
  <si>
    <t>Smartenergy Green H2 Project</t>
  </si>
  <si>
    <t>[2650]</t>
  </si>
  <si>
    <t>https://www.smartenergy.net/smartenergy-signs-mou-with-egypt/</t>
  </si>
  <si>
    <t>1 GW - 150 kt H2/y - 830 kt NH3/y</t>
  </si>
  <si>
    <t>SK Ecoplant-CSCEC Consortium Green H2 project</t>
  </si>
  <si>
    <t>https://www.egypttoday.com/Article/3/130746/SK-Ecoplant-CSCEC-cooperate-to-build-2B-green-hydrogen-project</t>
  </si>
  <si>
    <t>Abu Qir Fertilizers Green Ammonia Project</t>
  </si>
  <si>
    <t>2.4 kt NH3/d capacity</t>
  </si>
  <si>
    <t>https://solarquarter.com/2024/04/17/abu-qir-fertilizers-joins-green-hydrogen-revolution-in-egypt-mou-signed-with-abb-international-and-mps-infrastructure/</t>
  </si>
  <si>
    <t>[2652]</t>
  </si>
  <si>
    <t>30 Mwel 
(inlcuding 0.4 MW from pilot phase)</t>
  </si>
  <si>
    <t>E-TAC</t>
  </si>
  <si>
    <t>Kibbuts Yotvata Hydrogen Valley</t>
  </si>
  <si>
    <t>https://www.prnewswire.com/il/news-releases/doral-energy-and-h2pro-announce-a-strategic-agreement-for-200-mw-electrolyzers-for-green-hydrogen-projects-301597957.html</t>
  </si>
  <si>
    <t>https://doral-energy.com/en/solutions/green-hydrogen/</t>
  </si>
  <si>
    <t>[2653] [2654]</t>
  </si>
  <si>
    <t>Gaia-H2Pro Project</t>
  </si>
  <si>
    <t>10- 20 MW</t>
  </si>
  <si>
    <t>https://gaiaenergyre.com/strategy-of-the-gaia-energy-to-export-green-hydrogen-to-europe/</t>
  </si>
  <si>
    <t>[2655]</t>
  </si>
  <si>
    <t>Gaia-Ajlan Bros Green H2 Project</t>
  </si>
  <si>
    <t>320 kt H2/y - 1400 kt NH3/y capacity</t>
  </si>
  <si>
    <t>https://www.upstreamonline.com/energy-transition/chinese-contractor-to-build-green-hydrogen-project-in-morocco/2-1-1438501</t>
  </si>
  <si>
    <t>[2656]</t>
  </si>
  <si>
    <t>Dakhla-Atlantic International Green Moleucle Hub</t>
  </si>
  <si>
    <t>https://northafricapost.com/69683-green-hydrogen-uk-oblin-planning-major-zero-carbon-project-in-moroccan-sahara.html</t>
  </si>
  <si>
    <t>https://www.oblingreen.com/laayoune-project/</t>
  </si>
  <si>
    <t>[2657] [2658]</t>
  </si>
  <si>
    <t>S2H2+Bm Green H2 Project - Phase I</t>
  </si>
  <si>
    <t>500 kt H2/y capacity</t>
  </si>
  <si>
    <t>S2H2+Bm Green H2 Project - Phase II</t>
  </si>
  <si>
    <t>3.1 MW</t>
  </si>
  <si>
    <t>https://www.moroccoworldnews.com/2023/12/359494/swedish-firm-s2h2-bm-to-open-green-hydrogen-plant-in-morocco</t>
  </si>
  <si>
    <t>[2659]</t>
  </si>
  <si>
    <t>Oman Shell’s Blue Hydrogen &amp; Ammonia project</t>
  </si>
  <si>
    <t>https://energynews.biz/oman-shellsleads-blue-hydrogen-ammonia-project/</t>
  </si>
  <si>
    <t>https://www.ogj.com/energy-transition/article/55131133/shell-lets-contracts-for-blue-hydrogen-project-in-oman</t>
  </si>
  <si>
    <t>[2660] [2661]</t>
  </si>
  <si>
    <t>3 kt NH3/d capacity</t>
  </si>
  <si>
    <t>Uniper Masdar Hydrogen Solar PV Park</t>
  </si>
  <si>
    <t>[2662]</t>
  </si>
  <si>
    <t>https://www.power-technology.com/marketdata/power-plant-profile-uniper-masdar-hydrogen-solar-pv-park-united-arab-emirates/</t>
  </si>
  <si>
    <t>Green Hydrogen and Ammonia Production Project, - Abu Dhabi</t>
  </si>
  <si>
    <t>[2663]</t>
  </si>
  <si>
    <t>200 Mwel - 30 kt H2/y - 170 kt NH3/y</t>
  </si>
  <si>
    <t xml:space="preserve">20 MW - 1.1 kt H2/y </t>
  </si>
  <si>
    <t>10MW - 0.6 kt H2/y</t>
  </si>
  <si>
    <t>0.15 - 0.2Mt CO2/y - 30000 Nm3 H2/h</t>
  </si>
  <si>
    <t>2000 Nm3 H2/h</t>
  </si>
  <si>
    <t>Prumo-Fuella ammonia plant</t>
  </si>
  <si>
    <t>520 MW - 400 kt NH3/y</t>
  </si>
  <si>
    <t>https://portodoacu.com.br/en/prumo-and-fuella-as-announce-first-area-reservation-contract-for-hydrogen-hub-at-porto-do-acu/</t>
  </si>
  <si>
    <t> Hydrogen and Innovative Energy Park in Marghera</t>
  </si>
  <si>
    <t>8 MW - 1.7 t H2/d</t>
  </si>
  <si>
    <t>https://live.comune.venezia.it/it/2024/05/parco-dell-idrogeno-e-delle-energie-innovative-la-giunta-licenzia-la-delibera-di-consiglio</t>
  </si>
  <si>
    <t>[2664]</t>
  </si>
  <si>
    <t>1000 kt H2/y capacity</t>
  </si>
  <si>
    <t>https://vighy.france-hydrogene.org/projets/lacq-h2/</t>
  </si>
  <si>
    <t>[2665]</t>
  </si>
  <si>
    <t>200 Mwel - 30 kt H2/y capacity</t>
  </si>
  <si>
    <t>https://www.debatpublic.fr/projet-take-kair-de-production-de-e-carburant-pour-laviation-donges-5829</t>
  </si>
  <si>
    <t>New Horizon</t>
  </si>
  <si>
    <t>https://www.usinenouvelle.com/article/en-normandie-lhyfe-va-construire-une-usine-d-hydrogene-vert-a-plus-de-200-millions-d-euros-pour-decarboner-le-site-de-yara.N2210027</t>
  </si>
  <si>
    <t>[2667]</t>
  </si>
  <si>
    <t>[648], Platts European Gas Daily 29-07-2021
[1847]</t>
  </si>
  <si>
    <t>H2 Valcamonica,</t>
  </si>
  <si>
    <t>80 MW</t>
  </si>
  <si>
    <t>Olga</t>
  </si>
  <si>
    <t>Tree Energy Solutions (TES) - TotalEnergies TX plant (Live Oak)</t>
  </si>
  <si>
    <t>TES- Green Energy Hub - Wilhelmshaven Port</t>
  </si>
  <si>
    <t>TES Tree Energy Solutions - UAE Project</t>
  </si>
  <si>
    <t>TES Tree Energy Solutions - Oman Project</t>
  </si>
  <si>
    <t>Project Nour - Phase 1</t>
  </si>
  <si>
    <t>Project Nour - Phase 2</t>
  </si>
  <si>
    <t>8.5 Gwel additional</t>
  </si>
  <si>
    <t>https://www.offshore-energy.biz/feasibility-study-confirms-scale-and-viability-of-10gw-hydrogen-project-in-mauritania/</t>
  </si>
  <si>
    <t>[1091] [2102][2668]</t>
  </si>
  <si>
    <t>[2668]</t>
  </si>
  <si>
    <t>1650 Mwel - 150 kt H2/y production</t>
  </si>
  <si>
    <t>H2 Magallanes - Phase 1</t>
  </si>
  <si>
    <t>H2 Magallanes - Phase 2</t>
  </si>
  <si>
    <t>3.6 Gwel</t>
  </si>
  <si>
    <t>3.7 Gwel</t>
  </si>
  <si>
    <t>Guelmim-Oued Noun - Chbika project - phase 1</t>
  </si>
  <si>
    <t>400 Mwel</t>
  </si>
  <si>
    <t>800 Mwel additional</t>
  </si>
  <si>
    <t>0.65 Mt CO2/y</t>
  </si>
  <si>
    <t>https://www.shell.com/news-and-insights/newsroom/news-and-media-releases/2024/shell-to-build-carbon-capture-and-storage-projects-in-canada.html</t>
  </si>
  <si>
    <t>[2463][2464][2669]</t>
  </si>
  <si>
    <t>Scotford refinery and chemicals complex (Shell's Polaris Carbon Capture project Shell hub) (ALB)</t>
  </si>
  <si>
    <t>https://solarquarter.com/2024/04/05/indian-oil-corporation-tenders-for-10-kta-green-hydrogen-unit-at-panipat-refinery/</t>
  </si>
  <si>
    <t>[1147][1992][2670]</t>
  </si>
  <si>
    <t>https://direct.argusmedia.com/newsandanalysis/article/2599424?keywords=Numaligarh%20hydrogen%20tender</t>
  </si>
  <si>
    <t>[2671]</t>
  </si>
  <si>
    <t>Vanadis Fuels - Phase 1</t>
  </si>
  <si>
    <t>Vanadis Fuels - Phase 2</t>
  </si>
  <si>
    <t>280kt MeOH/y</t>
  </si>
  <si>
    <t>120kt MeOH/y</t>
  </si>
  <si>
    <t>Voltalia plant at Pecem Industrial complex - Phase 1</t>
  </si>
  <si>
    <t>Voltalia plant at Pecem Industrial complex - Phase 2</t>
  </si>
  <si>
    <t>Narvik - Ammonia project- Phase 1</t>
  </si>
  <si>
    <t>Narvik - Ammonia project- Phase 2</t>
  </si>
  <si>
    <t>600 MW</t>
  </si>
  <si>
    <t xml:space="preserve">Innio Jenbach - H2 Ready </t>
  </si>
  <si>
    <t>24.5 MW</t>
  </si>
  <si>
    <t>Campbeltown Hydrogen SIU</t>
  </si>
  <si>
    <t>Cromarty Hydrogen Project - phase 1</t>
  </si>
  <si>
    <t>Cromarty Hydrogen Project - phase 2</t>
  </si>
  <si>
    <t>10.6 MW</t>
  </si>
  <si>
    <t>280.6 MW</t>
  </si>
  <si>
    <t>Didcot Green Hydrogen Electrolyser</t>
  </si>
  <si>
    <t>Markinch Green Hydrogen</t>
  </si>
  <si>
    <t>Oban Hydrogen SIU</t>
  </si>
  <si>
    <t>Pembroke power station - Pembroke Green Hydrogen/Net Zero Centre (Phase 1)</t>
  </si>
  <si>
    <t>Pembroke power station - Pembroke Green Hydrogen/Net Zero Centre (Phase 2)</t>
  </si>
  <si>
    <t>Port of Tilbury Green Hydrogen (Phase 1)</t>
  </si>
  <si>
    <t>Port of Tilbury Green Hydrogen (Phase 2)</t>
  </si>
  <si>
    <t>RWE Grangemouth</t>
  </si>
  <si>
    <t>Stornoway Hydrogen SIU</t>
  </si>
  <si>
    <t>Thurso Hydrogen SIU</t>
  </si>
  <si>
    <t>Wick Hydrogen SIU</t>
  </si>
  <si>
    <t>[2672]</t>
  </si>
  <si>
    <t>https://www.energyvoice.com/renewables-energy-transition/hydrogen/uk-hydrogen/553541/rwe-green-hydrogen-at-ineos-grangemouth/</t>
  </si>
  <si>
    <t>Dolphyn 1, phase 3</t>
  </si>
  <si>
    <t>4000MW</t>
  </si>
  <si>
    <t>HYRO  3 Northfleet- Kimberly-Clark project (2 pamts)</t>
  </si>
  <si>
    <t>17 MW</t>
  </si>
  <si>
    <t>Green Hydrogen 1/HyRo Scotland</t>
  </si>
  <si>
    <t>Kimberly-Clark Coleshill/HyRo 2</t>
  </si>
  <si>
    <t>11MW</t>
  </si>
  <si>
    <t>7.1MW</t>
  </si>
  <si>
    <t>Whitelee Green Hydrogen Facility- Green Hydrogen for Glasgow (Phase 1)</t>
  </si>
  <si>
    <t>Whitelee Green Hydrogen Facility- Green Hydrogen for Glasgow (Phase 2)</t>
  </si>
  <si>
    <t>Grenian Hydrogen - Middlewich</t>
  </si>
  <si>
    <t>Grenian Hydrogen - Speke</t>
  </si>
  <si>
    <t>Grenian Hydrogen - St Helens</t>
  </si>
  <si>
    <t>Grenian Hydrogen - Stretford</t>
  </si>
  <si>
    <t>Grenian Hydrogen - Winnington</t>
  </si>
  <si>
    <t>Grenian Hydrogen - Wrexham</t>
  </si>
  <si>
    <t>https://grenianhydrogen.com/</t>
  </si>
  <si>
    <t>[2673]</t>
  </si>
  <si>
    <t>H2H/Easington Hydrogen Production Green</t>
  </si>
  <si>
    <t>https://www.uniper.energy/solutions/energy-transformation-hubs/energy-transformation-hub-killingholme/humber-h2ubr-green</t>
  </si>
  <si>
    <t>[2674]</t>
  </si>
  <si>
    <t>Humber H2ub (Green)</t>
  </si>
  <si>
    <t>5.2MW</t>
  </si>
  <si>
    <t>HyMarnham</t>
  </si>
  <si>
    <t>9.3MW</t>
  </si>
  <si>
    <t>Inverness hydrogen hub - Phase 1</t>
  </si>
  <si>
    <t>Inverness hydrogen hub - Phase 2</t>
  </si>
  <si>
    <t>10.5MW</t>
  </si>
  <si>
    <t xml:space="preserve">190.5MW </t>
  </si>
  <si>
    <t>Lowestoft PowerPark hydrogen</t>
  </si>
  <si>
    <t xml:space="preserve">2 MW </t>
  </si>
  <si>
    <t xml:space="preserve">5 MW </t>
  </si>
  <si>
    <t>https://mannokbuild.com/mannok-set-to-generate-renewable-energy-with-recent-government-green-hydrogen-fund/</t>
  </si>
  <si>
    <t>[2675]</t>
  </si>
  <si>
    <t>Meld Energy Green Hydrogen Hub</t>
  </si>
  <si>
    <t xml:space="preserve">100 MW </t>
  </si>
  <si>
    <t>https://meld.energy/180m-green-hydrogen-facility-set-for-saltend/</t>
  </si>
  <si>
    <t>[2676]</t>
  </si>
  <si>
    <t>Net Zero Hub - West Isles</t>
  </si>
  <si>
    <t xml:space="preserve">50 MW </t>
  </si>
  <si>
    <t>Protium - Wilton Universal Group Teeside (Phase 2)</t>
  </si>
  <si>
    <t>Protium - Wilton Universal Group Teeside (Phase 1)</t>
  </si>
  <si>
    <t>17.2 MW</t>
  </si>
  <si>
    <t>68.8MW</t>
  </si>
  <si>
    <t>Protium Project Pioneer 2</t>
  </si>
  <si>
    <t>https://protium.green/our-projects/</t>
  </si>
  <si>
    <t>[2677]</t>
  </si>
  <si>
    <t>8 MW</t>
  </si>
  <si>
    <t>Tees Green Methanol</t>
  </si>
  <si>
    <t xml:space="preserve">200 MW </t>
  </si>
  <si>
    <t>https://projectmap.hydrogen-uk.org/projects/edf-tees-green-methanol/</t>
  </si>
  <si>
    <t>[2678]</t>
  </si>
  <si>
    <t>Suffolk Hydrogen</t>
  </si>
  <si>
    <t xml:space="preserve">10 MW </t>
  </si>
  <si>
    <t>Sullom Voe Terminal Hydrogen Project (Phase 1)</t>
  </si>
  <si>
    <t>Sullom Voe Terminal Hydrogen Project (Phase 2)</t>
  </si>
  <si>
    <t>Tees Valley Hydrogen Vehicle Ecosystem (HYVE)</t>
  </si>
  <si>
    <t>trans</t>
  </si>
  <si>
    <t>Tees Valley Transport Hub</t>
  </si>
  <si>
    <t xml:space="preserve">26 MW </t>
  </si>
  <si>
    <t>260 Mwel - 200 kt MeOH/y prouction</t>
  </si>
  <si>
    <t>eM-Lacq (part of E-CHO)</t>
  </si>
  <si>
    <t>BioTJet (part of E-CHO)</t>
  </si>
  <si>
    <t>Emil'Hy - pilot</t>
  </si>
  <si>
    <t>Emil'Hy- (Phase 1)</t>
  </si>
  <si>
    <t>Emil'Hy- (Phase 2)</t>
  </si>
  <si>
    <t>200 MW - 28 kt H2/y production</t>
  </si>
  <si>
    <t>400 MW - 56 kt H2/y production</t>
  </si>
  <si>
    <t>https://www.concertation-emilhy.fr/blank</t>
  </si>
  <si>
    <t>[1317] [2679]</t>
  </si>
  <si>
    <t>Kvinesdal Ammonia A Energi</t>
  </si>
  <si>
    <t>Hyperion H2 Alandroal- Phase 1</t>
  </si>
  <si>
    <t>Hyperion H2 Alandroal- Phase 2</t>
  </si>
  <si>
    <t>Hyperion H2 Alandroal- Phase 3</t>
  </si>
  <si>
    <t>Rafnes chemical plants (Aquarius)</t>
  </si>
  <si>
    <t>800 MW</t>
  </si>
  <si>
    <t>CRI project in Norway (Circlenergy)</t>
  </si>
  <si>
    <t>110 MW</t>
  </si>
  <si>
    <t>1.8 MW</t>
  </si>
  <si>
    <t>600 t NH3/day production</t>
  </si>
  <si>
    <t>3.2 kt NH3/day production</t>
  </si>
  <si>
    <t>EDP Ribatejo - ALHIVE Alenquer</t>
  </si>
  <si>
    <t>Energi Hub Kjerlingland</t>
  </si>
  <si>
    <t>https://ammoniaenergy.org/articles/green-ammonia-plant-proposed-for-orkney/</t>
  </si>
  <si>
    <t>[1422] [2680]</t>
  </si>
  <si>
    <t>ET Fuels - Ranua</t>
  </si>
  <si>
    <t>https://www.both2nia.com/en/news/et-fuels-plans-produce-synthetic-methanol-ranua-finland</t>
  </si>
  <si>
    <t>[2681]</t>
  </si>
  <si>
    <t xml:space="preserve">EuroWind Energy  Monte Das Areias </t>
  </si>
  <si>
    <t>North Ammonia Eydehavn plant</t>
  </si>
  <si>
    <t>171 Mwel - 145kt NH3/y capacity</t>
  </si>
  <si>
    <t>45 MW</t>
  </si>
  <si>
    <t>BotH2nia - Flexens Kokkola</t>
  </si>
  <si>
    <t xml:space="preserve">Ribatejo natural gas power plant (FLEXnCONFU) </t>
  </si>
  <si>
    <t>Galway Green Hydrogen Hub</t>
  </si>
  <si>
    <t>207.5 MW</t>
  </si>
  <si>
    <t xml:space="preserve">1000 MW </t>
  </si>
  <si>
    <t xml:space="preserve">20.1 MW </t>
  </si>
  <si>
    <t>https://www.topsoe.com/press-releases/worlds-first-of-its-kind-green-ammonia-plant-inaugurated-by-skovgaard-energy-vestas-and-topsoe</t>
  </si>
  <si>
    <t>[671][982][1249][1455] [1678][2682]</t>
  </si>
  <si>
    <t>https://direct.argusmedia.com/newsandanalysis/article/2601930</t>
  </si>
  <si>
    <t>[1851] [2683]</t>
  </si>
  <si>
    <t>Green ammonia Plant in Korgen</t>
  </si>
  <si>
    <t>Green NortH2 Energy Naantali</t>
  </si>
  <si>
    <t>Green NortH2 Energy Pori</t>
  </si>
  <si>
    <t>GreenH Bodo</t>
  </si>
  <si>
    <t>GreenH Kristiansund</t>
  </si>
  <si>
    <t>GreenH Sandnessjøen</t>
  </si>
  <si>
    <t>H2 Solar Rodao</t>
  </si>
  <si>
    <t>H2Enable (Phase 2)</t>
  </si>
  <si>
    <t>H2Enable (Phase 3)</t>
  </si>
  <si>
    <t>H2Enable (Phase 4)</t>
  </si>
  <si>
    <t>H2Hub HyChem</t>
  </si>
  <si>
    <t>Hemnes project Fortescue</t>
  </si>
  <si>
    <t>HEVO Sines (Phase 1)</t>
  </si>
  <si>
    <t>HEVO Sines (Phase 3)</t>
  </si>
  <si>
    <t>HTWO-Fuel Lutelandet</t>
  </si>
  <si>
    <t>HyFuel Floro/ Fjord base</t>
  </si>
  <si>
    <t>HyHubMo/Hydrogen Hub Mo</t>
  </si>
  <si>
    <t>Kvina Energy Park</t>
  </si>
  <si>
    <t>Landsvirkjun - Ljósifoss Hydropower Station</t>
  </si>
  <si>
    <t>Neptun Tromso</t>
  </si>
  <si>
    <t>Nesbruket Gen2 plant 2</t>
  </si>
  <si>
    <t>Norwegian Hydrogen - Tau</t>
  </si>
  <si>
    <t>WinPower - PtX Sines project</t>
  </si>
  <si>
    <t>https://fuella.no/projects/project-korgen/</t>
  </si>
  <si>
    <t>[2684]</t>
  </si>
  <si>
    <t>https://www.greennorth.energy/en/project-development/</t>
  </si>
  <si>
    <t>https://www.greennorth.energy/en/news/green-north-energy-to-replicate-its-business-finland-funded-hydrogen-plant-concept-in-pori-and-kemi-aiming-for-finlands-self-sufficiency-in-ammonia-production/</t>
  </si>
  <si>
    <t>[2686] [2687]</t>
  </si>
  <si>
    <t>Waawaata Green Hydrogen</t>
  </si>
  <si>
    <t>1400 MW</t>
  </si>
  <si>
    <t>https://greenh.no/en/a-new-hydrogen-plant-at-langstranda-is-on-schedule/</t>
  </si>
  <si>
    <t>[2688]</t>
  </si>
  <si>
    <t>https://norconsult.com/projects/green-hydrogen-concept-study-on-hydrogen-production-for-maritime-use-in-kristiansund/</t>
  </si>
  <si>
    <t>[2689]</t>
  </si>
  <si>
    <t>Sumitomo Hydrogen Cluster</t>
  </si>
  <si>
    <t>https://kommunikasjon.ntb.no/pressemelding/18213794/stor-milepael-for-hydrogen-i-sandnessjoen-nettreservasjonen-er-pa-plass?publisherId=17848591&amp;lang=no</t>
  </si>
  <si>
    <t>[2690]</t>
  </si>
  <si>
    <t>EPM Ammonia Project</t>
  </si>
  <si>
    <t>330 kt NH3/y capacity</t>
  </si>
  <si>
    <t>https://quadranteglobal.com/en/project/new-hydrogen-unit-vila-velha-de-rodao/</t>
  </si>
  <si>
    <t>[2691]</t>
  </si>
  <si>
    <t>H2Enable (Phase 1)</t>
  </si>
  <si>
    <t>e-Colibrí 1</t>
  </si>
  <si>
    <t>e-Colibrí 2</t>
  </si>
  <si>
    <t>910 MW</t>
  </si>
  <si>
    <t>1510 MW</t>
  </si>
  <si>
    <t>https://portodeaveiro.pt/webinar-decarbonising-small-medium-ports/pdfs/session-one/5-Hydrogen-as-an-energy-source-of-the-future-Teresa-Marques.pdf</t>
  </si>
  <si>
    <t>[2692]</t>
  </si>
  <si>
    <t>100 MW - 5 kt synfuel/y capacity</t>
  </si>
  <si>
    <t>45 MW - 2.2 kt synfule/y capacity</t>
  </si>
  <si>
    <t>Andes Energy</t>
  </si>
  <si>
    <t>28 MW - 75 kt MeOH/y capacity</t>
  </si>
  <si>
    <t>https://www.hychem.pt/pt/economia-circular/hidrogenio</t>
  </si>
  <si>
    <t>[2693]</t>
  </si>
  <si>
    <t>Hardanger Hydrogen Hub</t>
  </si>
  <si>
    <t>https://www.gronregionvestland.no/vaare-hubbar/hardanger-hydrogen-hub</t>
  </si>
  <si>
    <t>[2694]</t>
  </si>
  <si>
    <t>90 MW</t>
  </si>
  <si>
    <t>2.5 MW - 0.25-0.3 kt H2/y</t>
  </si>
  <si>
    <t>https://www.statkraft.com/newsroom/news-and-stories/2023/fortescue-future-industries-secures-renewable-power-supply-from-statkraft-to-planned-green-hydrogenammonia-project-in-hemnes/</t>
  </si>
  <si>
    <t>[2695]</t>
  </si>
  <si>
    <t>HEVO Sines (Phase 2)</t>
  </si>
  <si>
    <t>https://www.hydrogeninsight.com/production/mini-electrolyser-makers-shares-surge-as-it-reveals-eu-approval-for-massive-portuguese-green-hydrogen-project/2-1-1600035?message=[nuxt]+instance+unavailable&amp;stack=&amp;statusCode=404&amp;statusMessage=[nuxt]+instance+unavailable&amp;url=/production/mini-electrolyser-makers-shares-surge-as-it-reveals-eu-approval-for-massive-portuguese-green-hydrogen-project/2-1-1600035</t>
  </si>
  <si>
    <t>https://ir.fusion-fuel.eu/news-releases/news-release-details/fusion-fuel-receives-notification-ipcei-approval-european</t>
  </si>
  <si>
    <t>[2696][2697]</t>
  </si>
  <si>
    <t>[1064][2696][2697]</t>
  </si>
  <si>
    <t>101MW</t>
  </si>
  <si>
    <t>631MW</t>
  </si>
  <si>
    <t>https://greenstat.no/en/projects/htwo-fuel-as</t>
  </si>
  <si>
    <t>[2698]</t>
  </si>
  <si>
    <t>Lhyfe Lubmin</t>
  </si>
  <si>
    <t>https://www.fjordbase.no/nyhet/hyds-enters-as-new-owner-in-hyfuel-in-floro</t>
  </si>
  <si>
    <t>[2699]</t>
  </si>
  <si>
    <t>https://www.lhyfe.com/press/lhyfe-at-the-cutting-edge-of-hydrogen-strategies-with-a-new-800mw-project-in-lubmin-germany-to-supply-the-future-european-hydrogen-backbone-network/</t>
  </si>
  <si>
    <t>[2700]</t>
  </si>
  <si>
    <t>https://decarbconnect.com/project/hydrogen-hub-mo/</t>
  </si>
  <si>
    <t>[2701]</t>
  </si>
  <si>
    <t>https://gcenode.no/news/giant-hydrogen-plans-in-kvinesdal/</t>
  </si>
  <si>
    <t>[2702]</t>
  </si>
  <si>
    <t>https://www.renewableenergyworld.com/hydrogen/landsvirkjun-to-build-hydrogen-production-facility-at-16-mw-ljosifoss-hydropower/#gref</t>
  </si>
  <si>
    <t>[2703]</t>
  </si>
  <si>
    <t>https://neptuntromso.no/</t>
  </si>
  <si>
    <t>https://avinor.no/globalassets/_konsern/miljo-lokal/miljorapporter/hydrogen-supply-to-norwegian-airports_240108_update.pdf</t>
  </si>
  <si>
    <t>[2704]</t>
  </si>
  <si>
    <t>[2705]</t>
  </si>
  <si>
    <t>[2706]</t>
  </si>
  <si>
    <t>[2707]</t>
  </si>
  <si>
    <t xml:space="preserve">Nesbruket Gen2 plant 1, Mosjøen   </t>
  </si>
  <si>
    <t>https://winpowersa.com/cgi-sys/suspendedpage.cgi</t>
  </si>
  <si>
    <t>160 MW</t>
  </si>
  <si>
    <t>Rorvik hydrogen hub</t>
  </si>
  <si>
    <t>[2051][2686]</t>
  </si>
  <si>
    <t>Green NortH2 Energy Kemi</t>
  </si>
  <si>
    <t>[2685][2686]</t>
  </si>
  <si>
    <t>60 Mwel</t>
  </si>
  <si>
    <t>Holmaneset Project (GAP FFI Holmaneset)</t>
  </si>
  <si>
    <t>Koppo Energy Cluster</t>
  </si>
  <si>
    <t>Langnas: Mega Green Harbour (Aland Islands)</t>
  </si>
  <si>
    <t>H2 Puerto Sevilla</t>
  </si>
  <si>
    <t>9.1 MW</t>
  </si>
  <si>
    <t>NeoGreen Portugal - Palmela projetc</t>
  </si>
  <si>
    <t>https://neogreenhydrogen.com/sines-pt</t>
  </si>
  <si>
    <t>[2146] Data from Platts S&amp;P Global Hydrogen Daily 27/09/2023 [2708]</t>
  </si>
  <si>
    <t>330MW</t>
  </si>
  <si>
    <t>https://neogreenhydrogen.com/palmela</t>
  </si>
  <si>
    <t>[2709]</t>
  </si>
  <si>
    <t>50MW , 12 kt CH4/y production</t>
  </si>
  <si>
    <t>150MW , 35 kt CH4/y production</t>
  </si>
  <si>
    <t>100MW , 24 kt CH4/y production</t>
  </si>
  <si>
    <t>https://direct.argusmedia.com/newsandanalysis/Article/2518224</t>
  </si>
  <si>
    <t>[2558] [2710]</t>
  </si>
  <si>
    <t>Haapavesi biorefinery facility</t>
  </si>
  <si>
    <t>https://direct.argusmedia.com/newsandanalysis/article/2285320</t>
  </si>
  <si>
    <t>[2711]</t>
  </si>
  <si>
    <t>2.5MW -  29 kt synfuel/y capacity</t>
  </si>
  <si>
    <t>AMEA- Mauritania project</t>
  </si>
  <si>
    <t>https://direct.argusmedia.com/newsandanalysis/Article/2518618</t>
  </si>
  <si>
    <t>[2712]</t>
  </si>
  <si>
    <t>34 MW , 2000 bdp of e-fuels</t>
  </si>
  <si>
    <t>https://direct.argusmedia.com/newsandanalysis/Article/2519074</t>
  </si>
  <si>
    <t>[889][891][1220] [2713]</t>
  </si>
  <si>
    <t>Green Springs</t>
  </si>
  <si>
    <t>Hydro Havrand - Hoyanger</t>
  </si>
  <si>
    <t>[2714]</t>
  </si>
  <si>
    <t>https://www.cic-hydrogen.com/projects/green-springs-hydrogen/</t>
  </si>
  <si>
    <t>RVO- Holland coast project 1</t>
  </si>
  <si>
    <t>RVO- Holland coast project 2</t>
  </si>
  <si>
    <t>&lt;100 MW</t>
  </si>
  <si>
    <t>https://direct.argusmedia.com/newsandanalysis/Article/2519605</t>
  </si>
  <si>
    <t>[2715}</t>
  </si>
  <si>
    <t xml:space="preserve">ESA green steel </t>
  </si>
  <si>
    <t>https://direct.argusmedia.com/newsandanalysis/Article/2519642</t>
  </si>
  <si>
    <t>[2716]</t>
  </si>
  <si>
    <t>Liberty Steel green steel</t>
  </si>
  <si>
    <t>Meraker</t>
  </si>
  <si>
    <t>Masdar - Castilla La Mancha</t>
  </si>
  <si>
    <t>Viker/Borg Hydrogen</t>
  </si>
  <si>
    <t>https://vikenhydrogen.no/skal-utvikle-gront-hydrogen-til-industri-og-skipsfart-pa-ora-en-milepael-for-hydrogensatsingen/</t>
  </si>
  <si>
    <t>[2717]</t>
  </si>
  <si>
    <t>https://www.puhuri.fi/raahen-monivoiman-uusien-energiaratkaisujen-pilottihanke-etenee-temlta-hankkeelle-yli-5-miljoonan-euron-tuki/</t>
  </si>
  <si>
    <t>[2718]</t>
  </si>
  <si>
    <t>Raahen Monivoima Kokkola</t>
  </si>
  <si>
    <t>GreenH2CY</t>
  </si>
  <si>
    <t>https://direct.argusmedia.com/newsandanalysis/Article/2520252</t>
  </si>
  <si>
    <t>[2719]</t>
  </si>
  <si>
    <t>5.7 MW</t>
  </si>
  <si>
    <t>https://www.kauppalehti.fi/kumppanisisallot/kouvola-innovation/vihrea-vety-ja-kiertotalouden-maksimointi-nain-kouvolalaiset-yritykset-taistelevat-ilmastonmuutosta-vastaan/</t>
  </si>
  <si>
    <t>Solvay - Kouvola</t>
  </si>
  <si>
    <t>SK Hydrogen-Ammonia plant</t>
  </si>
  <si>
    <t>[2720]</t>
  </si>
  <si>
    <t>https://direct.argusmedia.com/newsandanalysis/Article/2521215</t>
  </si>
  <si>
    <t>[2721]</t>
  </si>
  <si>
    <t>https://www.forh2e.com/cs/projekty-a-reference/vodikovy-strategicky-projekt-h.html</t>
  </si>
  <si>
    <t>[2722]</t>
  </si>
  <si>
    <t>H2 Triangle</t>
  </si>
  <si>
    <t>https://direct.argusmedia.com/newsandanalysis/Article/2521454</t>
  </si>
  <si>
    <t>[2261] [2723]</t>
  </si>
  <si>
    <t xml:space="preserve">12 kt H2/ycapacity - 24 kt CH4/y </t>
  </si>
  <si>
    <t>https://direct.argusmedia.com/newsandanalysis/Article/2558006</t>
  </si>
  <si>
    <t>[2454] [2724]</t>
  </si>
  <si>
    <t>Torrent ammonia plant</t>
  </si>
  <si>
    <t>https://www.h2-view.com/story/air-liquide-inaugurates-20mw-german-green-hydrogen-plant-for-pipeline-supply/2114010.article/</t>
  </si>
  <si>
    <t>[1560] [2725]</t>
  </si>
  <si>
    <t>https://direct.argusmedia.com/newsandanalysis/Article/2524456</t>
  </si>
  <si>
    <t>[2726]</t>
  </si>
  <si>
    <t>Zephyros project</t>
  </si>
  <si>
    <t>https://direct.argusmedia.com/newsandanalysis/Article/2559167</t>
  </si>
  <si>
    <t>[2727]</t>
  </si>
  <si>
    <t>https://direct.argusmedia.com/newsandanalysis/Article/2543748</t>
  </si>
  <si>
    <t>[2651] [2728]</t>
  </si>
  <si>
    <t>250MW  or  50 kt H2/y converted to 250 kt NH3/y capacity</t>
  </si>
  <si>
    <t>https://direct.argusmedia.com/newsandanalysis/Article/2600505</t>
  </si>
  <si>
    <t>[2353] [2729]</t>
  </si>
  <si>
    <t>H2M Eemshaven</t>
  </si>
  <si>
    <t>210 kt H2/y capacity</t>
  </si>
  <si>
    <t>https://direct.argusmedia.com/newsandanalysis/Article/2525501</t>
  </si>
  <si>
    <t>[2730]</t>
  </si>
  <si>
    <t>250 ktNH3/y capacity</t>
  </si>
  <si>
    <t>https://www.hydrogen.energy.gov/docs/hydrogenprogramlibraries/pdfs/review23/lpo001_ducker_2023_o-pdf.pdf</t>
  </si>
  <si>
    <t>[1385][1440] [2140][2731]</t>
  </si>
  <si>
    <t>Liepaja Special Economic Zone (SEZ)</t>
  </si>
  <si>
    <t>https://direct.argusmedia.com/newsandanalysis/Article/2556212</t>
  </si>
  <si>
    <t>[2732]</t>
  </si>
  <si>
    <t>https://www.lhyfe.com/press/lhyfe-and-saf-international-group-sign-a-memorandum-of-understanding-to-decarbonise-the-aviation-industry-using-green-hydrogen/</t>
  </si>
  <si>
    <t>[2733]</t>
  </si>
  <si>
    <t>MoU Lhyfe and SAF+</t>
  </si>
  <si>
    <t>H2 project Coesfeld area</t>
  </si>
  <si>
    <t>[2734]</t>
  </si>
  <si>
    <t>https://direct.argusmedia.com/newsandanalysis/Article/2600209</t>
  </si>
  <si>
    <t>H2 project US Gulf coast</t>
  </si>
  <si>
    <t>https://direct.argusmedia.com/newsandanalysis/Article/2554152</t>
  </si>
  <si>
    <t>[2735]</t>
  </si>
  <si>
    <t xml:space="preserve">E-methane pilot project </t>
  </si>
  <si>
    <t>Production of 7.1 kt e-CH4/y</t>
  </si>
  <si>
    <t>https://direct.argusmedia.com/newsandanalysis/Article/2547060</t>
  </si>
  <si>
    <t>[2736]</t>
  </si>
  <si>
    <t>Sakhalin hydrogen cluster</t>
  </si>
  <si>
    <t>https://direct.argusmedia.com/newsandanalysis/Article/2526213</t>
  </si>
  <si>
    <t>[2737]</t>
  </si>
  <si>
    <t>Eneos project</t>
  </si>
  <si>
    <t>220 kt H2/y production</t>
  </si>
  <si>
    <t>https://direct.argusmedia.com/newsandanalysis/Article/2526588</t>
  </si>
  <si>
    <t>[2738]</t>
  </si>
  <si>
    <t>Welspun ammonia project</t>
  </si>
  <si>
    <t>170 kt H2/y production - 1000 kt NH3/y</t>
  </si>
  <si>
    <t>https://direct.argusmedia.com/newsandanalysis/Article/2526316</t>
  </si>
  <si>
    <t>[2739]</t>
  </si>
  <si>
    <t xml:space="preserve"> Blue Point complex  Louisiana</t>
  </si>
  <si>
    <t>https://direct.argusmedia.com/newsandanalysis/Article/2559070</t>
  </si>
  <si>
    <t>[2740]</t>
  </si>
  <si>
    <t xml:space="preserve">Ammonia project Baytown complex </t>
  </si>
  <si>
    <t>1Mt NH3/y production</t>
  </si>
  <si>
    <t>https://direct.argusmedia.com/newsandanalysis/Article/2551169</t>
  </si>
  <si>
    <t>[2741]</t>
  </si>
  <si>
    <t>https://direct.argusmedia.com/newsandanalysis/Article/2580464</t>
  </si>
  <si>
    <t>[1983] [2666][2742]</t>
  </si>
  <si>
    <t>200MW, 50 kt e-kerosene/y capacity</t>
  </si>
  <si>
    <t xml:space="preserve">IHI - ISCE2 SAF project </t>
  </si>
  <si>
    <t>10 kgH2/d for 5Kg SAF/d, capacity</t>
  </si>
  <si>
    <t>https://direct.argusmedia.com/newsandanalysis/Article/2581240</t>
  </si>
  <si>
    <t>[2743]</t>
  </si>
  <si>
    <t xml:space="preserve">H2 hub Bintulu Sarawak </t>
  </si>
  <si>
    <t>https://direct.argusmedia.com/newsandanalysis/Article/2542279</t>
  </si>
  <si>
    <t>[2744]</t>
  </si>
  <si>
    <t>https://direct.argusmedia.com/newsandanalysis/Article/2564926</t>
  </si>
  <si>
    <t>[450] [2745]</t>
  </si>
  <si>
    <t>130 kt MeOH/y production</t>
  </si>
  <si>
    <t>650 MW - 400 kt ammonia/y production</t>
  </si>
  <si>
    <t>1.300GW</t>
  </si>
  <si>
    <t>1.950 GW</t>
  </si>
  <si>
    <t>Nujio'qonik Green Hydrogen -phase 4</t>
  </si>
  <si>
    <t>2.600 GW</t>
  </si>
  <si>
    <t>Green Hydrogen Hub Stuttgart (GH2S)</t>
  </si>
  <si>
    <t>Data from World Energy GH2</t>
  </si>
  <si>
    <t>https://www.stadtwerke-stuttgart.de/partner-der-energiewende/h2g/</t>
  </si>
  <si>
    <t>[2746]</t>
  </si>
  <si>
    <t>GET H2 Nukleus, phase 2</t>
  </si>
  <si>
    <t>GET H2 Nukleus, phase 3</t>
  </si>
  <si>
    <t>GET H2 Nukleus, phase 1</t>
  </si>
  <si>
    <t>https://www.h2-view.com/story/large-scale-methanol-project-in-portugal-secures-25mw-of-plug-electrolysers/2114810.article/</t>
  </si>
  <si>
    <t>https://www.capwatt.com/pt/apoios/h2driven</t>
  </si>
  <si>
    <t>https://gen2energy.com/gen2-energy-updated-chancellor-scholz-and-prime-minister-store-of-their-latest-news-for-export-of-green-hydrogen-from-norway-to-germany/?_gl=1*19j8ygn*_up*MQ..*_ga*NDI1NDc2MDg2LjE3MjY1NjU3NDI.*_ga_2G9JLTXMYT*MTcyNjU2NTc0MS4xLjEuMTcyNjU2NTg1NC4wLjAuMA..</t>
  </si>
  <si>
    <t>[1500][2749]</t>
  </si>
  <si>
    <t>https://www.infener.com/blogs/newsroom/neumunster-gives-the-green-light-for-infener-hub-50-mw-project-for-green-hydrogen-planned</t>
  </si>
  <si>
    <t>[2371][2750]</t>
  </si>
  <si>
    <t>Various types</t>
  </si>
  <si>
    <t>[2751]</t>
  </si>
  <si>
    <t>https://chinahydrogen.substack.com/p/chinas-first-biogas-to-hydrogen-facility</t>
  </si>
  <si>
    <t>ALK &amp; PEM</t>
  </si>
  <si>
    <t>2756 kt H2/y</t>
  </si>
  <si>
    <t>488 kt H2/y</t>
  </si>
  <si>
    <t>17.4GW</t>
  </si>
  <si>
    <t>141.7MW</t>
  </si>
  <si>
    <t>46MW</t>
  </si>
  <si>
    <t>Other projects from confidential sources (post-2024)</t>
  </si>
  <si>
    <t>Other projects from confidential sources (2000-2024)</t>
  </si>
  <si>
    <t>Non-energy related projects (2000-2024)</t>
  </si>
  <si>
    <t>Non-energy related projects (post-2024)</t>
  </si>
  <si>
    <t>Geographical details
Decimal Degrees
(Lat. N is positive, Long. E is positive)</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</si>
  <si>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</si>
  <si>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</si>
  <si>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</si>
  <si>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</si>
  <si>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</si>
  <si>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</si>
  <si>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</si>
  <si>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</si>
  <si>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</si>
  <si>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</si>
  <si>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</si>
  <si>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</si>
  <si>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Hydrogen demand</t>
  </si>
  <si>
    <t>End-use product</t>
  </si>
  <si>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</si>
  <si>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</si>
  <si>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</si>
  <si>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</si>
  <si>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</si>
  <si>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</si>
  <si>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</si>
  <si>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</si>
  <si>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</si>
  <si>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</si>
  <si>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blast furnaces, hot finishing and other high-temperature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</si>
  <si>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</si>
  <si>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</si>
  <si>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</si>
  <si>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Injection of hydrogen in the natural gas grid. </t>
  </si>
  <si>
    <t>Use of hydrogen in heat and power via CHPs, for example in fuel cells or turbines.</t>
  </si>
  <si>
    <t>Direct use of hydrogen in buildings for water and space heating.</t>
  </si>
  <si>
    <t>Use of hydrogen in biofuels production.</t>
  </si>
  <si>
    <t>Production of synthetic liquid fuels (excluding methanol).</t>
  </si>
  <si>
    <r>
      <t>CH</t>
    </r>
    <r>
      <rPr>
        <vertAlign val="subscript"/>
        <sz val="11"/>
        <color rgb="FF808080"/>
        <rFont val="Corbel"/>
        <family val="2"/>
      </rPr>
      <t>4</t>
    </r>
    <r>
      <rPr>
        <sz val="11"/>
        <color rgb="FF808080"/>
        <rFont val="Corbel"/>
        <family val="2"/>
      </rPr>
      <t xml:space="preserve"> grid inj.</t>
    </r>
  </si>
  <si>
    <t>Injection of synthetic methane in the natural gas grid.</t>
  </si>
  <si>
    <r>
      <t>CH</t>
    </r>
    <r>
      <rPr>
        <vertAlign val="subscript"/>
        <sz val="11"/>
        <color rgb="FF808080"/>
        <rFont val="Corbel"/>
        <family val="2"/>
      </rPr>
      <t>4</t>
    </r>
    <r>
      <rPr>
        <sz val="11"/>
        <color rgb="FF808080"/>
        <rFont val="Corbel"/>
        <family val="2"/>
      </rPr>
      <t xml:space="preserve"> mobility</t>
    </r>
  </si>
  <si>
    <t>.</t>
  </si>
  <si>
    <t>Use of synthetic methane in vehicles.</t>
  </si>
  <si>
    <t>Estimated normalised capacity</t>
  </si>
  <si>
    <t xml:space="preserve">For ease of comparison, estimated normalised hydrogen production capacity in MW H₂ output (LHV) is included for all Power-to-X (PtX) projects. </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</si>
  <si>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</si>
  <si>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</si>
  <si>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</si>
  <si>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SOEC: 0.0038 MW/Nm³ H₂/hour</t>
  </si>
  <si>
    <t xml:space="preserve">Unknown PtX: 0.0045 MW/Nm³ H₂/hour (equivalent to 50 kWh/kg H₂). </t>
  </si>
  <si>
    <t>For projects in which size has been announced as production output, the capacity has been estimated assuming the following capacity factors:</t>
  </si>
  <si>
    <t>Grid electricity</t>
  </si>
  <si>
    <t>Grid electricity+Renewables</t>
  </si>
  <si>
    <t>Dedicated renewables</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</si>
  <si>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</si>
  <si>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t>a) Natural gas fuelled plants: 0.9105 kg CO₂/Nm³ H₂  and continuous operation (capacity factor of 1). Source: California Air Resources Board, 2018.</t>
  </si>
  <si>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</si>
  <si>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</si>
  <si>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Conversions</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</si>
  <si>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</si>
  <si>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</si>
  <si>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</si>
  <si>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t>Fischer-Tropsch efficiency for liquid fuels: 73%.</t>
  </si>
  <si>
    <t>Methanation efficiency: 77%.</t>
  </si>
  <si>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</si>
  <si>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</si>
  <si>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</si>
  <si>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</si>
  <si>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</si>
  <si>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t>Ammonia lower heating value: 0.019 PJ/kt.</t>
  </si>
  <si>
    <t>Methanol lower heating value: 0.020 PJ/kt.</t>
  </si>
  <si>
    <t>Methanol density: 792 kg/m³.</t>
  </si>
  <si>
    <t>Kerosene lower heating value: 0.045 PJ/kt.</t>
  </si>
  <si>
    <r>
      <t>Kerosene density: 803 kg/m</t>
    </r>
    <r>
      <rPr>
        <vertAlign val="superscript"/>
        <sz val="11"/>
        <color rgb="FF808080"/>
        <rFont val="Corbel"/>
        <family val="2"/>
      </rPr>
      <t>3</t>
    </r>
    <r>
      <rPr>
        <sz val="11"/>
        <color rgb="FF808080"/>
        <rFont val="Corbel"/>
        <family val="2"/>
      </rPr>
      <t>.</t>
    </r>
  </si>
  <si>
    <t>Diesel lower heating value: 0.043 PJ/kt.</t>
  </si>
  <si>
    <r>
      <t>Diesel density: 844 kg/m</t>
    </r>
    <r>
      <rPr>
        <vertAlign val="superscript"/>
        <sz val="11"/>
        <color rgb="FF808080"/>
        <rFont val="Corbel"/>
        <family val="2"/>
      </rPr>
      <t>3</t>
    </r>
    <r>
      <rPr>
        <sz val="11"/>
        <color rgb="FF808080"/>
        <rFont val="Corbel"/>
        <family val="2"/>
      </rPr>
      <t>.</t>
    </r>
  </si>
  <si>
    <t>HEFA/HVO lower heating value: 0.044PJ/kt.</t>
  </si>
  <si>
    <t>Methane lower heating value: 0.050 PJ/kt.</t>
  </si>
  <si>
    <t>When projects are divided into several phases, the total announced capacity is cited. However, for calculating  the normalised capacity, the installed capacity of each phase is reduced by the capacity of the precedent phase(s)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</si>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</sst>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
    <numFmt numFmtId="165" formatCode="0.000"/>
    <numFmt numFmtId="166" formatCode="0.0000"/>
    <numFmt numFmtId="167" formatCode="_-* #,##0_-;\-* #,##0_-;_-* &quot;-&quot;??_-;_-@_-"/>
  </numFmts>
  <fonts count="6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b/>
      <sz val="14"/>
      <color rgb="FF02889E"/>
      <name val="Calibri"/>
      <family val="2"/>
      <scheme val="minor"/>
    </font>
    <font>
      <sz val="11"/>
      <color theme="0"/>
      <name val="Corbel"/>
      <family val="2"/>
    </font>
    <font>
      <sz val="11"/>
      <color theme="1"/>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b/>
      <sz val="15"/>
      <color theme="0"/>
      <name val="Corbel"/>
      <family val="2"/>
    </font>
    <font>
      <sz val="10"/>
      <name val="Corbel"/>
      <family val="2"/>
    </font>
    <font>
      <sz val="10"/>
      <color rgb="FFFF0000"/>
      <name val="Corbel"/>
      <family val="2"/>
    </font>
    <font>
      <vertAlign val="superscript"/>
      <sz val="7"/>
      <color theme="1"/>
      <name val="Corbel"/>
      <family val="2"/>
    </font>
    <font>
      <sz val="7"/>
      <color theme="1"/>
      <name val="Corbel"/>
      <family val="2"/>
    </font>
    <font>
      <vertAlign val="subscript"/>
      <sz val="7"/>
      <color theme="1"/>
      <name val="Corbel"/>
      <family val="2"/>
    </font>
    <font>
      <sz val="10"/>
      <color theme="0"/>
      <name val="Corbel"/>
      <family val="2"/>
    </font>
    <font>
      <strike/>
      <sz val="10"/>
      <color theme="1"/>
      <name val="Corbel"/>
      <family val="2"/>
    </font>
    <font>
      <sz val="10"/>
      <color theme="1"/>
      <name val="Corbel"/>
      <family val="2"/>
    </font>
    <font>
      <sz val="20"/>
      <name val="Corbel"/>
      <family val="2"/>
    </font>
    <font>
      <sz val="8"/>
      <name val="Calibri"/>
      <family val="2"/>
      <scheme val="minor"/>
    </font>
    <font>
      <sz val="10"/>
      <color theme="1"/>
      <name val="Arial"/>
      <family val="2"/>
    </font>
    <font>
      <sz val="10"/>
      <color theme="1"/>
      <name val="Corbel"/>
      <family val="2"/>
    </font>
    <font>
      <sz val="10"/>
      <color theme="1"/>
      <name val="Corbel"/>
      <family val="2"/>
    </font>
    <font>
      <strike/>
      <sz val="11"/>
      <color theme="1"/>
      <name val="Calibri"/>
      <family val="2"/>
      <scheme val="minor"/>
    </font>
    <font>
      <strike/>
      <u/>
      <sz val="11"/>
      <color theme="10"/>
      <name val="Calibri"/>
      <family val="2"/>
    </font>
    <font>
      <sz val="10"/>
      <color rgb="FF000000"/>
      <name val="Corbel"/>
      <family val="2"/>
    </font>
    <font>
      <sz val="10"/>
      <color theme="1"/>
      <name val="Calibri"/>
      <family val="2"/>
      <scheme val="minor"/>
    </font>
    <fon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u/>
      <sz val="11"/>
      <name val="Calibri"/>
      <family val="2"/>
    </font>
    <fon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sz val="11"/>
      <name val="Corbel"/>
      <family val="2"/>
    </font>
    <font>
      <sz val="10"/>
      <color theme="1"/>
      <name val="Calibri"/>
      <family val="2"/>
    </font>
    <font>
      <sz val="10"/>
      <color theme="0"/>
      <name val="Calibri"/>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rgb="FF02889E"/>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theme="5" tint="0.79998168889431442"/>
        <bgColor indexed="64"/>
      </patternFill>
    </fill>
    <fill>
      <patternFill patternType="solid">
        <fgColor rgb="FF7030A0"/>
        <bgColor indexed="64"/>
      </patternFill>
    </fill>
    <fill>
      <patternFill patternType="solid">
        <fgColor rgb="FFFF6600"/>
        <bgColor indexed="64"/>
      </patternFill>
    </fill>
    <fill>
      <patternFill patternType="solid">
        <fgColor theme="0" tint="-0.249977111117893"/>
        <bgColor indexed="64"/>
      </patternFill>
    </fill>
    <fill>
      <patternFill patternType="solid">
        <fgColor rgb="FFD9E1F2"/>
        <bgColor indexed="64"/>
      </patternFill>
    </fill>
  </fills>
  <borders count="18">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
      <left/>
      <right style="thin">
        <color theme="0"/>
      </right>
      <top/>
      <bottom/>
      <diagonal/>
    </border>
    <border>
      <left/>
      <right/>
      <top/>
      <bottom style="medium">
        <color rgb="FF9BC2E6"/>
      </bottom>
      <diagonal/>
    </border>
    <border>
      <left/>
      <right/>
      <top/>
      <bottom style="thin">
        <color theme="4" tint="0.39997558519241921"/>
      </bottom>
      <diagonal/>
    </border>
  </borders>
  <cellStyleXfs count="22">
    <xf numFmtId="0" fontId="0" fillId="0" borderId="0"/>
    <xf numFmtId="0" fontId="3" fillId="0" borderId="0" applyNumberFormat="0" applyFill="0" applyBorder="0" applyAlignment="0" applyProtection="0"/>
    <xf numFmtId="0" fontId="1" fillId="0" borderId="0"/>
    <xf numFmtId="0" fontId="7" fillId="0" borderId="0"/>
    <xf numFmtId="0" fontId="7" fillId="0" borderId="0"/>
    <xf numFmtId="0" fontId="7" fillId="0" borderId="0"/>
    <xf numFmtId="0" fontId="7" fillId="0" borderId="0"/>
    <xf numFmtId="0" fontId="7" fillId="0" borderId="0"/>
    <xf numFmtId="0" fontId="8"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20" fillId="9" borderId="0" applyNumberFormat="0" applyBorder="0" applyAlignment="0" applyProtection="0"/>
    <xf numFmtId="0" fontId="2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1" fillId="0" borderId="0" applyNumberFormat="0" applyBorder="0" applyAlignment="0">
      <alignment horizontal="left" vertical="center" wrapText="1"/>
    </xf>
  </cellStyleXfs>
  <cellXfs count="228">
    <xf numFmtId="0" fontId="0" fillId="0" borderId="0" xfId="0"/>
    <xf numFmtId="0" fontId="9" fillId="2" borderId="0" xfId="0" applyFont="1" applyFill="1" applyAlignment="1">
      <alignment horizontal="left" vertical="top"/>
    </xf>
    <xf numFmtId="0" fontId="0" fillId="2" borderId="0" xfId="0" applyFill="1" applyAlignment="1">
      <alignment horizontal="left" vertical="top"/>
    </xf>
    <xf numFmtId="0" fontId="6"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2" fillId="2" borderId="0" xfId="0" applyFont="1" applyFill="1" applyAlignment="1">
      <alignment horizontal="left" vertical="center" wrapText="1"/>
    </xf>
    <xf numFmtId="0" fontId="13" fillId="2" borderId="0" xfId="0" applyFont="1" applyFill="1" applyAlignment="1">
      <alignment horizontal="left" vertical="center" wrapText="1"/>
    </xf>
    <xf numFmtId="0" fontId="3" fillId="2" borderId="0" xfId="1" applyFill="1" applyAlignment="1" applyProtection="1"/>
    <xf numFmtId="0" fontId="12" fillId="2" borderId="0" xfId="0" applyFont="1" applyFill="1" applyAlignment="1">
      <alignment horizontal="justify" vertical="center" wrapText="1"/>
    </xf>
    <xf numFmtId="0" fontId="14"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1" fillId="4" borderId="0" xfId="0" applyFont="1" applyFill="1" applyAlignment="1">
      <alignment horizontal="left" vertical="top" wrapText="1"/>
    </xf>
    <xf numFmtId="0" fontId="11" fillId="5" borderId="0" xfId="0" applyFont="1" applyFill="1" applyAlignment="1">
      <alignment horizontal="left" vertical="top" wrapText="1"/>
    </xf>
    <xf numFmtId="0" fontId="15" fillId="2" borderId="0" xfId="0" applyFont="1" applyFill="1" applyAlignment="1">
      <alignment horizontal="left" vertical="top"/>
    </xf>
    <xf numFmtId="0" fontId="5" fillId="2" borderId="0" xfId="0" applyFont="1" applyFill="1" applyAlignment="1">
      <alignment horizontal="left" vertical="top"/>
    </xf>
    <xf numFmtId="0" fontId="3" fillId="2" borderId="0" xfId="1" applyFill="1" applyBorder="1" applyAlignment="1">
      <alignment horizontal="left" vertical="top"/>
    </xf>
    <xf numFmtId="0" fontId="3" fillId="0" borderId="0" xfId="1"/>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20" fillId="9" borderId="0" xfId="14" applyAlignment="1">
      <alignment horizontal="left" vertical="center" wrapText="1"/>
    </xf>
    <xf numFmtId="0" fontId="3" fillId="9" borderId="0" xfId="1" applyFill="1" applyAlignment="1">
      <alignment horizontal="left" vertical="center"/>
    </xf>
    <xf numFmtId="0" fontId="20" fillId="9" borderId="0" xfId="14"/>
    <xf numFmtId="0" fontId="3" fillId="9" borderId="0" xfId="1" applyFill="1" applyAlignment="1">
      <alignment wrapText="1"/>
    </xf>
    <xf numFmtId="0" fontId="16" fillId="13" borderId="3" xfId="0" applyFont="1" applyFill="1" applyBorder="1" applyAlignment="1">
      <alignment vertical="center" wrapText="1"/>
    </xf>
    <xf numFmtId="0" fontId="5" fillId="11" borderId="0" xfId="0" applyFont="1" applyFill="1" applyAlignment="1">
      <alignment horizontal="left" vertical="center" wrapText="1"/>
    </xf>
    <xf numFmtId="0" fontId="4" fillId="11" borderId="0" xfId="0" applyFont="1" applyFill="1" applyAlignment="1">
      <alignment horizontal="left" vertical="center" wrapText="1"/>
    </xf>
    <xf numFmtId="0" fontId="3" fillId="0" borderId="0" xfId="1" applyAlignment="1">
      <alignment vertical="center"/>
    </xf>
    <xf numFmtId="0" fontId="2" fillId="0" borderId="0" xfId="0" applyFont="1"/>
    <xf numFmtId="0" fontId="17" fillId="0" borderId="0" xfId="0" applyFont="1" applyAlignment="1">
      <alignment horizontal="center" vertical="center"/>
    </xf>
    <xf numFmtId="0" fontId="17" fillId="0" borderId="0" xfId="0" applyFont="1" applyAlignment="1">
      <alignment wrapText="1"/>
    </xf>
    <xf numFmtId="0" fontId="2" fillId="7" borderId="0" xfId="0" applyFont="1" applyFill="1"/>
    <xf numFmtId="0" fontId="0" fillId="7" borderId="0" xfId="0" applyFill="1"/>
    <xf numFmtId="0" fontId="2" fillId="11" borderId="0" xfId="0" applyFont="1" applyFill="1"/>
    <xf numFmtId="0" fontId="0" fillId="11" borderId="0" xfId="0" applyFill="1"/>
    <xf numFmtId="0" fontId="22" fillId="11" borderId="0" xfId="0" applyFont="1" applyFill="1" applyAlignment="1">
      <alignment vertical="center"/>
    </xf>
    <xf numFmtId="0" fontId="22" fillId="7" borderId="0" xfId="0" applyFont="1" applyFill="1" applyAlignment="1">
      <alignment vertical="center"/>
    </xf>
    <xf numFmtId="0" fontId="22" fillId="0" borderId="0" xfId="0" applyFont="1" applyAlignment="1">
      <alignment vertical="center"/>
    </xf>
    <xf numFmtId="0" fontId="22" fillId="11" borderId="0" xfId="0" applyFont="1" applyFill="1" applyAlignment="1">
      <alignment vertical="center" wrapText="1"/>
    </xf>
    <xf numFmtId="0" fontId="25" fillId="11" borderId="0" xfId="0" applyFont="1" applyFill="1" applyAlignment="1">
      <alignment vertical="center"/>
    </xf>
    <xf numFmtId="0" fontId="22" fillId="11" borderId="0" xfId="0" applyFont="1" applyFill="1" applyAlignment="1">
      <alignment horizontal="center" vertical="center"/>
    </xf>
    <xf numFmtId="1" fontId="22" fillId="11" borderId="0" xfId="0" applyNumberFormat="1" applyFont="1" applyFill="1" applyAlignment="1">
      <alignment horizontal="center" vertical="center"/>
    </xf>
    <xf numFmtId="164" fontId="22" fillId="11" borderId="0" xfId="0" applyNumberFormat="1" applyFont="1" applyFill="1" applyAlignment="1">
      <alignment horizontal="center" vertical="center"/>
    </xf>
    <xf numFmtId="0" fontId="22" fillId="11" borderId="0" xfId="0" applyFont="1" applyFill="1" applyAlignment="1">
      <alignment horizontal="center" vertical="center" wrapText="1"/>
    </xf>
    <xf numFmtId="0" fontId="16" fillId="13" borderId="8" xfId="0" applyFont="1" applyFill="1" applyBorder="1" applyAlignment="1">
      <alignment horizontal="center" vertical="top" wrapText="1"/>
    </xf>
    <xf numFmtId="0" fontId="16" fillId="10" borderId="6" xfId="0" applyFont="1" applyFill="1" applyBorder="1" applyAlignment="1">
      <alignment horizontal="center" vertical="center" wrapText="1"/>
    </xf>
    <xf numFmtId="0" fontId="30" fillId="15" borderId="0" xfId="0" applyFont="1" applyFill="1" applyAlignment="1">
      <alignment vertical="center"/>
    </xf>
    <xf numFmtId="0" fontId="30" fillId="15" borderId="0" xfId="0" applyFont="1" applyFill="1" applyAlignment="1">
      <alignment vertical="center" wrapText="1"/>
    </xf>
    <xf numFmtId="1" fontId="30" fillId="15" borderId="0" xfId="0" applyNumberFormat="1" applyFont="1" applyFill="1" applyAlignment="1">
      <alignment horizontal="center" vertical="center"/>
    </xf>
    <xf numFmtId="164" fontId="30" fillId="15" borderId="0" xfId="0" applyNumberFormat="1" applyFont="1" applyFill="1" applyAlignment="1">
      <alignment horizontal="center" vertical="center"/>
    </xf>
    <xf numFmtId="0" fontId="16" fillId="12" borderId="8" xfId="0" applyFont="1" applyFill="1" applyBorder="1" applyAlignment="1">
      <alignment vertical="top" wrapText="1"/>
    </xf>
    <xf numFmtId="0" fontId="16" fillId="12" borderId="8" xfId="0" applyFont="1" applyFill="1" applyBorder="1" applyAlignment="1">
      <alignment vertical="top" textRotation="90" wrapText="1"/>
    </xf>
    <xf numFmtId="0" fontId="16" fillId="13" borderId="8" xfId="0" applyFont="1" applyFill="1" applyBorder="1" applyAlignment="1">
      <alignment vertical="top"/>
    </xf>
    <xf numFmtId="0" fontId="16" fillId="13" borderId="8" xfId="0" applyFont="1" applyFill="1" applyBorder="1" applyAlignment="1">
      <alignment vertical="top" wrapText="1"/>
    </xf>
    <xf numFmtId="0" fontId="16" fillId="13" borderId="8" xfId="0" applyFont="1" applyFill="1" applyBorder="1" applyAlignment="1">
      <alignment vertical="top" textRotation="90"/>
    </xf>
    <xf numFmtId="0" fontId="16" fillId="13" borderId="8" xfId="0" applyFont="1" applyFill="1" applyBorder="1" applyAlignment="1">
      <alignment vertical="center" wrapText="1"/>
    </xf>
    <xf numFmtId="0" fontId="16" fillId="13" borderId="7" xfId="0" applyFont="1" applyFill="1" applyBorder="1" applyAlignment="1">
      <alignment horizontal="center" vertical="center"/>
    </xf>
    <xf numFmtId="0" fontId="16" fillId="13" borderId="7" xfId="0" applyFont="1" applyFill="1" applyBorder="1" applyAlignment="1">
      <alignment horizontal="center" vertical="center" wrapText="1"/>
    </xf>
    <xf numFmtId="0" fontId="16" fillId="13" borderId="7" xfId="0" applyFont="1" applyFill="1" applyBorder="1" applyAlignment="1">
      <alignment horizontal="center" vertical="center" textRotation="90"/>
    </xf>
    <xf numFmtId="0" fontId="16" fillId="13" borderId="13" xfId="0" applyFont="1" applyFill="1" applyBorder="1" applyAlignment="1">
      <alignment vertical="center"/>
    </xf>
    <xf numFmtId="0" fontId="16" fillId="13" borderId="4" xfId="0" applyFont="1" applyFill="1" applyBorder="1" applyAlignment="1">
      <alignment vertical="center"/>
    </xf>
    <xf numFmtId="0" fontId="16" fillId="13" borderId="12" xfId="0" applyFont="1" applyFill="1" applyBorder="1" applyAlignment="1">
      <alignment vertical="center"/>
    </xf>
    <xf numFmtId="0" fontId="16" fillId="13" borderId="7" xfId="0" applyFont="1" applyFill="1" applyBorder="1" applyAlignment="1">
      <alignment vertical="center"/>
    </xf>
    <xf numFmtId="0" fontId="16" fillId="13" borderId="9" xfId="0" applyFont="1" applyFill="1" applyBorder="1" applyAlignment="1">
      <alignment vertical="center"/>
    </xf>
    <xf numFmtId="0" fontId="16" fillId="13" borderId="11" xfId="0" applyFont="1" applyFill="1" applyBorder="1" applyAlignment="1">
      <alignment vertical="center"/>
    </xf>
    <xf numFmtId="0" fontId="16" fillId="13" borderId="7" xfId="0" applyFont="1" applyFill="1" applyBorder="1" applyAlignment="1">
      <alignment vertical="center" wrapText="1"/>
    </xf>
    <xf numFmtId="0" fontId="16" fillId="13" borderId="3" xfId="0" applyFont="1" applyFill="1" applyBorder="1" applyAlignment="1">
      <alignment vertical="center"/>
    </xf>
    <xf numFmtId="0" fontId="31" fillId="11" borderId="0" xfId="0" applyFont="1" applyFill="1" applyAlignment="1">
      <alignment vertical="center"/>
    </xf>
    <xf numFmtId="0" fontId="22" fillId="10" borderId="0" xfId="0" applyFont="1" applyFill="1" applyAlignment="1">
      <alignment vertical="center"/>
    </xf>
    <xf numFmtId="0" fontId="22" fillId="10" borderId="0" xfId="0" applyFont="1" applyFill="1" applyAlignment="1">
      <alignment horizontal="center" vertical="center"/>
    </xf>
    <xf numFmtId="1" fontId="22" fillId="10" borderId="0" xfId="0" applyNumberFormat="1" applyFont="1" applyFill="1" applyAlignment="1">
      <alignment horizontal="center" vertical="center"/>
    </xf>
    <xf numFmtId="0" fontId="22" fillId="10" borderId="0" xfId="0" applyFont="1" applyFill="1" applyAlignment="1">
      <alignment vertical="center" wrapText="1"/>
    </xf>
    <xf numFmtId="0" fontId="22" fillId="14" borderId="0" xfId="0" applyFont="1" applyFill="1" applyAlignment="1">
      <alignment vertical="center"/>
    </xf>
    <xf numFmtId="165" fontId="22" fillId="11" borderId="0" xfId="0" applyNumberFormat="1" applyFont="1" applyFill="1" applyAlignment="1">
      <alignment horizontal="center" vertical="center"/>
    </xf>
    <xf numFmtId="0" fontId="24" fillId="10" borderId="10" xfId="0" applyFont="1" applyFill="1" applyBorder="1" applyAlignment="1">
      <alignment horizontal="center" vertical="center" wrapText="1"/>
    </xf>
    <xf numFmtId="0" fontId="0" fillId="2" borderId="0" xfId="0" applyFill="1" applyAlignment="1">
      <alignment horizontal="left" vertical="top" wrapText="1"/>
    </xf>
    <xf numFmtId="0" fontId="22" fillId="16" borderId="0" xfId="0" applyFont="1" applyFill="1" applyAlignment="1">
      <alignment vertical="center"/>
    </xf>
    <xf numFmtId="0" fontId="22" fillId="16" borderId="0" xfId="0" applyFont="1" applyFill="1" applyAlignment="1">
      <alignment vertical="center" wrapText="1"/>
    </xf>
    <xf numFmtId="0" fontId="22" fillId="16" borderId="0" xfId="0" applyFont="1" applyFill="1" applyAlignment="1">
      <alignment horizontal="center" vertical="center"/>
    </xf>
    <xf numFmtId="1" fontId="22" fillId="16" borderId="0" xfId="0" applyNumberFormat="1" applyFont="1" applyFill="1" applyAlignment="1">
      <alignment horizontal="center" vertical="center"/>
    </xf>
    <xf numFmtId="164" fontId="22" fillId="16" borderId="0" xfId="0" applyNumberFormat="1" applyFont="1" applyFill="1" applyAlignment="1">
      <alignment horizontal="center" vertical="center"/>
    </xf>
    <xf numFmtId="0" fontId="22" fillId="7" borderId="14" xfId="0" applyFont="1" applyFill="1" applyBorder="1" applyAlignment="1">
      <alignment vertical="center"/>
    </xf>
    <xf numFmtId="0" fontId="22" fillId="11" borderId="14" xfId="0" applyFont="1" applyFill="1" applyBorder="1" applyAlignment="1">
      <alignment vertical="center"/>
    </xf>
    <xf numFmtId="164" fontId="22" fillId="10" borderId="0" xfId="0" applyNumberFormat="1" applyFont="1" applyFill="1" applyAlignment="1">
      <alignment horizontal="center" vertical="center"/>
    </xf>
    <xf numFmtId="0" fontId="31" fillId="0" borderId="0" xfId="0" applyFont="1" applyAlignment="1">
      <alignment vertical="center"/>
    </xf>
    <xf numFmtId="0" fontId="32" fillId="11" borderId="0" xfId="0" applyFont="1" applyFill="1" applyAlignment="1">
      <alignment vertical="center"/>
    </xf>
    <xf numFmtId="0" fontId="32" fillId="11" borderId="0" xfId="0" applyFont="1" applyFill="1" applyAlignment="1">
      <alignment horizontal="center" vertical="center"/>
    </xf>
    <xf numFmtId="1" fontId="32" fillId="11" borderId="0" xfId="0" applyNumberFormat="1" applyFont="1" applyFill="1" applyAlignment="1">
      <alignment horizontal="center" vertical="center"/>
    </xf>
    <xf numFmtId="0" fontId="32" fillId="11" borderId="0" xfId="0" applyFont="1" applyFill="1" applyAlignment="1">
      <alignment vertical="center" wrapText="1"/>
    </xf>
    <xf numFmtId="0" fontId="25" fillId="11" borderId="14" xfId="0" applyFont="1" applyFill="1" applyBorder="1" applyAlignment="1">
      <alignment vertical="center"/>
    </xf>
    <xf numFmtId="164" fontId="32" fillId="11" borderId="0" xfId="0" applyNumberFormat="1" applyFont="1" applyFill="1" applyAlignment="1">
      <alignment horizontal="center" vertical="center"/>
    </xf>
    <xf numFmtId="2" fontId="22" fillId="11" borderId="0" xfId="0" applyNumberFormat="1" applyFont="1" applyFill="1" applyAlignment="1">
      <alignment horizontal="center" vertical="center"/>
    </xf>
    <xf numFmtId="165" fontId="32" fillId="11" borderId="0" xfId="0" applyNumberFormat="1" applyFont="1" applyFill="1" applyAlignment="1">
      <alignment horizontal="center" vertical="center"/>
    </xf>
    <xf numFmtId="2" fontId="32" fillId="11" borderId="0" xfId="0" applyNumberFormat="1" applyFont="1" applyFill="1" applyAlignment="1">
      <alignment horizontal="center" vertical="center"/>
    </xf>
    <xf numFmtId="0" fontId="3" fillId="9" borderId="0" xfId="1" applyFill="1"/>
    <xf numFmtId="0" fontId="35" fillId="0" borderId="0" xfId="0" applyFont="1"/>
    <xf numFmtId="0" fontId="25" fillId="16" borderId="0" xfId="0" applyFont="1" applyFill="1" applyAlignment="1">
      <alignment vertical="center"/>
    </xf>
    <xf numFmtId="0" fontId="25" fillId="16" borderId="0" xfId="0" applyFont="1" applyFill="1" applyAlignment="1">
      <alignment vertical="center" wrapText="1"/>
    </xf>
    <xf numFmtId="0" fontId="25" fillId="16" borderId="0" xfId="0" applyFont="1" applyFill="1" applyAlignment="1">
      <alignment horizontal="center" vertical="center"/>
    </xf>
    <xf numFmtId="1" fontId="25" fillId="16" borderId="0" xfId="0" applyNumberFormat="1" applyFont="1" applyFill="1" applyAlignment="1">
      <alignment horizontal="center" vertical="center"/>
    </xf>
    <xf numFmtId="0" fontId="23" fillId="10" borderId="0" xfId="0" applyFont="1" applyFill="1" applyAlignment="1">
      <alignment vertical="center" wrapText="1"/>
    </xf>
    <xf numFmtId="0" fontId="3" fillId="8" borderId="0" xfId="1" applyFill="1" applyBorder="1" applyAlignment="1">
      <alignment horizontal="left" vertical="top"/>
    </xf>
    <xf numFmtId="0" fontId="25" fillId="11" borderId="0" xfId="0" applyFont="1" applyFill="1" applyAlignment="1">
      <alignment vertical="center" wrapText="1"/>
    </xf>
    <xf numFmtId="0" fontId="3" fillId="0" borderId="0" xfId="1" applyFill="1" applyBorder="1" applyAlignment="1">
      <alignment horizontal="left" vertical="top"/>
    </xf>
    <xf numFmtId="0" fontId="3" fillId="2" borderId="0" xfId="1" applyFill="1" applyAlignment="1">
      <alignment horizontal="left" vertical="top"/>
    </xf>
    <xf numFmtId="0" fontId="3" fillId="0" borderId="0" xfId="1" applyAlignment="1">
      <alignment wrapText="1"/>
    </xf>
    <xf numFmtId="0" fontId="32" fillId="16" borderId="0" xfId="0" applyFont="1" applyFill="1" applyAlignment="1">
      <alignment vertical="center"/>
    </xf>
    <xf numFmtId="0" fontId="32" fillId="16" borderId="0" xfId="0" applyFont="1" applyFill="1" applyAlignment="1">
      <alignment vertical="center" wrapText="1"/>
    </xf>
    <xf numFmtId="0" fontId="32" fillId="16" borderId="0" xfId="0" applyFont="1" applyFill="1" applyAlignment="1">
      <alignment horizontal="center" vertical="center"/>
    </xf>
    <xf numFmtId="1" fontId="32" fillId="16" borderId="0" xfId="0" applyNumberFormat="1" applyFont="1" applyFill="1" applyAlignment="1">
      <alignment horizontal="center" vertical="center"/>
    </xf>
    <xf numFmtId="0" fontId="32" fillId="11" borderId="0" xfId="0" applyFont="1" applyFill="1" applyAlignment="1">
      <alignment horizontal="left" vertical="center"/>
    </xf>
    <xf numFmtId="2" fontId="22" fillId="7" borderId="0" xfId="0" applyNumberFormat="1" applyFont="1" applyFill="1" applyAlignment="1">
      <alignment vertical="center"/>
    </xf>
    <xf numFmtId="0" fontId="0" fillId="6" borderId="0" xfId="0" applyFill="1" applyAlignment="1">
      <alignment horizontal="left" vertical="top"/>
    </xf>
    <xf numFmtId="167" fontId="22" fillId="11" borderId="0" xfId="17" applyNumberFormat="1" applyFont="1" applyFill="1" applyAlignment="1">
      <alignment horizontal="center" vertical="center"/>
    </xf>
    <xf numFmtId="0" fontId="9" fillId="0" borderId="0" xfId="0" applyFont="1"/>
    <xf numFmtId="0" fontId="16" fillId="17" borderId="10" xfId="0" applyFont="1" applyFill="1" applyBorder="1" applyAlignment="1">
      <alignment horizontal="center" vertical="center" wrapText="1"/>
    </xf>
    <xf numFmtId="0" fontId="16" fillId="17" borderId="6" xfId="0" applyFont="1" applyFill="1" applyBorder="1" applyAlignment="1">
      <alignment horizontal="center" vertical="center" wrapText="1"/>
    </xf>
    <xf numFmtId="166" fontId="22" fillId="17" borderId="0" xfId="0" applyNumberFormat="1" applyFont="1" applyFill="1" applyAlignment="1">
      <alignment horizontal="center" vertical="center"/>
    </xf>
    <xf numFmtId="0" fontId="22" fillId="17" borderId="0" xfId="0" applyFont="1" applyFill="1" applyAlignment="1">
      <alignment vertical="center"/>
    </xf>
    <xf numFmtId="0" fontId="32" fillId="11" borderId="14" xfId="0" applyFont="1" applyFill="1" applyBorder="1" applyAlignment="1">
      <alignment vertical="center"/>
    </xf>
    <xf numFmtId="164" fontId="22" fillId="11" borderId="14" xfId="0" applyNumberFormat="1" applyFont="1" applyFill="1" applyBorder="1" applyAlignment="1">
      <alignment horizontal="center" vertical="center"/>
    </xf>
    <xf numFmtId="0" fontId="36" fillId="11" borderId="0" xfId="0" applyFont="1" applyFill="1" applyAlignment="1">
      <alignment vertical="center"/>
    </xf>
    <xf numFmtId="166" fontId="22" fillId="11" borderId="0" xfId="0" applyNumberFormat="1" applyFont="1" applyFill="1" applyAlignment="1">
      <alignment horizontal="center" vertical="center"/>
    </xf>
    <xf numFmtId="1" fontId="26" fillId="11" borderId="0" xfId="0" applyNumberFormat="1" applyFont="1" applyFill="1" applyAlignment="1">
      <alignment horizontal="center" vertical="center"/>
    </xf>
    <xf numFmtId="0" fontId="37" fillId="11" borderId="0" xfId="0" applyFont="1" applyFill="1" applyAlignment="1">
      <alignment vertical="center"/>
    </xf>
    <xf numFmtId="0" fontId="37" fillId="11" borderId="0" xfId="0" applyFont="1" applyFill="1" applyAlignment="1">
      <alignment horizontal="center" vertical="center"/>
    </xf>
    <xf numFmtId="1" fontId="37" fillId="11" borderId="0" xfId="0" applyNumberFormat="1" applyFont="1" applyFill="1" applyAlignment="1">
      <alignment horizontal="center" vertical="center"/>
    </xf>
    <xf numFmtId="0" fontId="0" fillId="0" borderId="0" xfId="0" applyAlignment="1">
      <alignment wrapText="1"/>
    </xf>
    <xf numFmtId="0" fontId="38" fillId="2" borderId="0" xfId="0" applyFont="1" applyFill="1" applyAlignment="1">
      <alignment horizontal="left" vertical="top"/>
    </xf>
    <xf numFmtId="0" fontId="39" fillId="2" borderId="0" xfId="1" applyFont="1" applyFill="1" applyAlignment="1">
      <alignment horizontal="left" vertical="top"/>
    </xf>
    <xf numFmtId="0" fontId="40" fillId="18" borderId="16" xfId="0" applyFont="1" applyFill="1" applyBorder="1" applyAlignment="1">
      <alignment vertical="center" wrapText="1"/>
    </xf>
    <xf numFmtId="0" fontId="22" fillId="0" borderId="17" xfId="0" applyFont="1" applyBorder="1" applyAlignment="1">
      <alignment vertical="center"/>
    </xf>
    <xf numFmtId="0" fontId="42" fillId="11" borderId="0" xfId="0" applyFont="1" applyFill="1" applyAlignment="1">
      <alignment vertical="center"/>
    </xf>
    <xf numFmtId="0" fontId="42" fillId="11" borderId="0" xfId="0" applyFont="1" applyFill="1" applyAlignment="1">
      <alignment horizontal="center" vertical="center"/>
    </xf>
    <xf numFmtId="1" fontId="42" fillId="11" borderId="0" xfId="0" applyNumberFormat="1" applyFont="1" applyFill="1" applyAlignment="1">
      <alignment horizontal="center" vertical="center"/>
    </xf>
    <xf numFmtId="0" fontId="42" fillId="11" borderId="0" xfId="0" applyFont="1" applyFill="1" applyAlignment="1">
      <alignment vertical="center" wrapText="1"/>
    </xf>
    <xf numFmtId="1" fontId="22" fillId="11" borderId="14" xfId="0" applyNumberFormat="1" applyFont="1" applyFill="1" applyBorder="1" applyAlignment="1">
      <alignment horizontal="center" vertical="center"/>
    </xf>
    <xf numFmtId="0" fontId="22" fillId="11" borderId="14" xfId="0" applyFont="1" applyFill="1" applyBorder="1" applyAlignment="1">
      <alignment vertical="center" wrapText="1"/>
    </xf>
    <xf numFmtId="0" fontId="43" fillId="11" borderId="0" xfId="0" applyFont="1" applyFill="1" applyAlignment="1">
      <alignment vertical="center"/>
    </xf>
    <xf numFmtId="0" fontId="43" fillId="11" borderId="0" xfId="0" applyFont="1" applyFill="1" applyAlignment="1">
      <alignment horizontal="center" vertical="center"/>
    </xf>
    <xf numFmtId="1" fontId="43" fillId="11" borderId="0" xfId="0" applyNumberFormat="1" applyFont="1" applyFill="1" applyAlignment="1">
      <alignment horizontal="center" vertical="center"/>
    </xf>
    <xf numFmtId="0" fontId="43" fillId="11" borderId="0" xfId="0" applyFont="1" applyFill="1" applyAlignment="1">
      <alignment vertical="center" wrapText="1"/>
    </xf>
    <xf numFmtId="0" fontId="44" fillId="11" borderId="0" xfId="0" applyFont="1" applyFill="1" applyAlignment="1">
      <alignment vertical="center"/>
    </xf>
    <xf numFmtId="0" fontId="44" fillId="11" borderId="0" xfId="0" applyFont="1" applyFill="1" applyAlignment="1">
      <alignment horizontal="center" vertical="center"/>
    </xf>
    <xf numFmtId="1" fontId="44" fillId="11" borderId="0" xfId="0" applyNumberFormat="1" applyFont="1" applyFill="1" applyAlignment="1">
      <alignment horizontal="center" vertical="center"/>
    </xf>
    <xf numFmtId="0" fontId="45" fillId="11" borderId="0" xfId="0" applyFont="1" applyFill="1" applyAlignment="1">
      <alignment vertical="center"/>
    </xf>
    <xf numFmtId="0" fontId="46" fillId="11" borderId="0" xfId="0" applyFont="1" applyFill="1" applyAlignment="1">
      <alignment vertical="center"/>
    </xf>
    <xf numFmtId="0" fontId="47" fillId="0" borderId="0" xfId="1" applyFont="1" applyFill="1"/>
    <xf numFmtId="0" fontId="48" fillId="11" borderId="0" xfId="0" applyFont="1" applyFill="1" applyAlignment="1">
      <alignment vertical="center"/>
    </xf>
    <xf numFmtId="0" fontId="49" fillId="11" borderId="0" xfId="0" applyFont="1" applyFill="1" applyAlignment="1">
      <alignment vertical="center"/>
    </xf>
    <xf numFmtId="0" fontId="49" fillId="11" borderId="0" xfId="0" applyFont="1" applyFill="1" applyAlignment="1">
      <alignment horizontal="center" vertical="center"/>
    </xf>
    <xf numFmtId="1" fontId="49" fillId="11" borderId="0" xfId="0" applyNumberFormat="1" applyFont="1" applyFill="1" applyAlignment="1">
      <alignment horizontal="center" vertical="center"/>
    </xf>
    <xf numFmtId="0" fontId="50" fillId="11" borderId="0" xfId="0" applyFont="1" applyFill="1" applyAlignment="1">
      <alignment vertical="center"/>
    </xf>
    <xf numFmtId="164" fontId="50" fillId="11" borderId="0" xfId="0" applyNumberFormat="1" applyFont="1" applyFill="1" applyAlignment="1">
      <alignment horizontal="center" vertical="center"/>
    </xf>
    <xf numFmtId="1" fontId="50" fillId="11" borderId="0" xfId="0" applyNumberFormat="1" applyFont="1" applyFill="1" applyAlignment="1">
      <alignment horizontal="center" vertical="center"/>
    </xf>
    <xf numFmtId="0" fontId="50" fillId="11" borderId="0" xfId="0" applyFont="1" applyFill="1" applyAlignment="1">
      <alignment vertical="center" wrapText="1"/>
    </xf>
    <xf numFmtId="164" fontId="51" fillId="11" borderId="0" xfId="0" applyNumberFormat="1" applyFont="1" applyFill="1" applyAlignment="1">
      <alignment horizontal="center" vertical="center"/>
    </xf>
    <xf numFmtId="1" fontId="51" fillId="11" borderId="0" xfId="0" applyNumberFormat="1" applyFont="1" applyFill="1" applyAlignment="1">
      <alignment horizontal="center" vertical="center"/>
    </xf>
    <xf numFmtId="0" fontId="51" fillId="11" borderId="0" xfId="0" applyFont="1" applyFill="1" applyAlignment="1">
      <alignment horizontal="center" vertical="center"/>
    </xf>
    <xf numFmtId="0" fontId="52" fillId="11" borderId="0" xfId="0" applyFont="1" applyFill="1" applyAlignment="1">
      <alignment vertical="center"/>
    </xf>
    <xf numFmtId="0" fontId="52" fillId="11" borderId="0" xfId="0" applyFont="1" applyFill="1" applyAlignment="1">
      <alignment horizontal="center" vertical="center"/>
    </xf>
    <xf numFmtId="164" fontId="52" fillId="11" borderId="0" xfId="0" applyNumberFormat="1" applyFont="1" applyFill="1" applyAlignment="1">
      <alignment horizontal="center" vertical="center"/>
    </xf>
    <xf numFmtId="1" fontId="52" fillId="11" borderId="0" xfId="0" applyNumberFormat="1" applyFont="1" applyFill="1" applyAlignment="1">
      <alignment horizontal="center" vertical="center"/>
    </xf>
    <xf numFmtId="0" fontId="53" fillId="11" borderId="0" xfId="0" applyFont="1" applyFill="1" applyAlignment="1">
      <alignment vertical="center"/>
    </xf>
    <xf numFmtId="0" fontId="53" fillId="7" borderId="0" xfId="0" applyFont="1" applyFill="1" applyAlignment="1">
      <alignment vertical="center"/>
    </xf>
    <xf numFmtId="164" fontId="53" fillId="11" borderId="0" xfId="0" applyNumberFormat="1" applyFont="1" applyFill="1" applyAlignment="1">
      <alignment horizontal="center" vertical="center"/>
    </xf>
    <xf numFmtId="1" fontId="53" fillId="11" borderId="0" xfId="0" applyNumberFormat="1" applyFont="1" applyFill="1" applyAlignment="1">
      <alignment horizontal="center" vertical="center"/>
    </xf>
    <xf numFmtId="166" fontId="53" fillId="17" borderId="0" xfId="0" applyNumberFormat="1" applyFont="1" applyFill="1" applyAlignment="1">
      <alignment horizontal="center" vertical="center"/>
    </xf>
    <xf numFmtId="164" fontId="54" fillId="11" borderId="0" xfId="0" applyNumberFormat="1" applyFont="1" applyFill="1" applyAlignment="1">
      <alignment horizontal="center" vertical="center"/>
    </xf>
    <xf numFmtId="0" fontId="55" fillId="11" borderId="0" xfId="0" applyFont="1" applyFill="1" applyAlignment="1">
      <alignment horizontal="center" vertical="center"/>
    </xf>
    <xf numFmtId="164" fontId="55" fillId="11" borderId="0" xfId="0" applyNumberFormat="1" applyFont="1" applyFill="1" applyAlignment="1">
      <alignment horizontal="center" vertical="center"/>
    </xf>
    <xf numFmtId="0" fontId="55" fillId="11" borderId="0" xfId="0" applyFont="1" applyFill="1" applyAlignment="1">
      <alignment vertical="center"/>
    </xf>
    <xf numFmtId="0" fontId="24" fillId="10" borderId="11" xfId="0" applyFont="1" applyFill="1" applyBorder="1" applyAlignment="1">
      <alignment horizontal="center" vertical="center" wrapText="1"/>
    </xf>
    <xf numFmtId="0" fontId="56" fillId="6" borderId="7" xfId="0" applyFont="1" applyFill="1" applyBorder="1" applyAlignment="1">
      <alignment vertical="center" wrapText="1"/>
    </xf>
    <xf numFmtId="0" fontId="57" fillId="14" borderId="0" xfId="0" applyFont="1" applyFill="1" applyAlignment="1">
      <alignment horizontal="left" vertical="center" wrapText="1"/>
    </xf>
    <xf numFmtId="0" fontId="58" fillId="15" borderId="0" xfId="0" applyFont="1" applyFill="1" applyAlignment="1">
      <alignment horizontal="left" vertical="center" wrapText="1"/>
    </xf>
    <xf numFmtId="1" fontId="57" fillId="14" borderId="0" xfId="0" applyNumberFormat="1" applyFont="1" applyFill="1" applyAlignment="1">
      <alignment horizontal="center" vertical="center" wrapText="1"/>
    </xf>
    <xf numFmtId="2" fontId="30" fillId="15" borderId="0" xfId="0" applyNumberFormat="1" applyFont="1" applyFill="1" applyAlignment="1">
      <alignment horizontal="center" vertical="center"/>
    </xf>
    <xf numFmtId="0" fontId="57" fillId="14" borderId="0" xfId="0" applyFont="1" applyFill="1" applyAlignment="1">
      <alignment horizontal="center" vertical="center" wrapText="1"/>
    </xf>
    <xf numFmtId="0" fontId="33" fillId="13" borderId="0" xfId="0" applyFont="1" applyFill="1" applyAlignment="1">
      <alignment horizontal="center" vertical="center" wrapText="1"/>
    </xf>
    <xf numFmtId="0" fontId="17" fillId="2" borderId="0" xfId="0" applyFont="1" applyFill="1" applyAlignment="1">
      <alignment horizontal="left" vertical="center"/>
    </xf>
    <xf numFmtId="0" fontId="17" fillId="0" borderId="0" xfId="0" applyFont="1" applyAlignment="1">
      <alignment horizontal="left" vertical="center"/>
    </xf>
    <xf numFmtId="0" fontId="17" fillId="3" borderId="0" xfId="0" applyFont="1" applyFill="1" applyAlignment="1">
      <alignment horizontal="left" vertical="center"/>
    </xf>
    <xf numFmtId="0" fontId="59" fillId="2" borderId="0" xfId="0" applyFont="1" applyFill="1" applyAlignment="1">
      <alignment horizontal="left" vertical="center"/>
    </xf>
    <xf numFmtId="0" fontId="60" fillId="2" borderId="0" xfId="0" applyFont="1" applyFill="1" applyAlignment="1">
      <alignment horizontal="left" vertical="center"/>
    </xf>
    <xf numFmtId="0" fontId="56" fillId="2" borderId="0" xfId="0" applyFont="1" applyFill="1" applyAlignment="1">
      <alignment horizontal="left" vertical="center" wrapText="1"/>
    </xf>
    <xf numFmtId="0" fontId="61" fillId="2" borderId="0" xfId="0" applyFont="1" applyFill="1" applyAlignment="1">
      <alignment horizontal="left" vertical="center"/>
    </xf>
    <xf numFmtId="0" fontId="62" fillId="2" borderId="0" xfId="0" applyFont="1" applyFill="1" applyAlignment="1">
      <alignment horizontal="left" vertical="center" wrapText="1"/>
    </xf>
    <xf numFmtId="0" fontId="65" fillId="2" borderId="0" xfId="1" applyFont="1" applyFill="1" applyAlignment="1" applyProtection="1">
      <alignment horizontal="left" vertical="center"/>
    </xf>
    <xf numFmtId="0" fontId="60" fillId="2" borderId="0" xfId="0" applyFont="1" applyFill="1"/>
    <xf numFmtId="0" fontId="61" fillId="2" borderId="0" xfId="0" applyFont="1" applyFill="1"/>
    <xf numFmtId="0" fontId="66" fillId="2" borderId="0" xfId="0" applyFont="1" applyFill="1" applyAlignment="1">
      <alignment horizontal="left" vertical="center" wrapText="1"/>
    </xf>
    <xf numFmtId="0" fontId="65" fillId="2" borderId="0" xfId="1" applyFont="1" applyFill="1" applyAlignment="1" applyProtection="1">
      <alignment horizontal="left" vertical="center" wrapText="1"/>
    </xf>
    <xf numFmtId="0" fontId="17" fillId="2" borderId="0" xfId="0" applyFont="1" applyFill="1" applyAlignment="1">
      <alignment horizontal="left" vertical="center" wrapText="1"/>
    </xf>
    <xf numFmtId="0" fontId="17" fillId="2" borderId="0" xfId="0" applyFont="1" applyFill="1"/>
    <xf numFmtId="0" fontId="61" fillId="2" borderId="0" xfId="0" applyFont="1" applyFill="1" applyAlignment="1">
      <alignment vertical="center"/>
    </xf>
    <xf numFmtId="2" fontId="61" fillId="2" borderId="0" xfId="0" applyNumberFormat="1" applyFont="1" applyFill="1"/>
    <xf numFmtId="0" fontId="59" fillId="2" borderId="0" xfId="0" applyFont="1" applyFill="1"/>
    <xf numFmtId="0" fontId="17" fillId="14" borderId="0" xfId="0" applyFont="1" applyFill="1" applyAlignment="1">
      <alignment horizontal="left" vertical="center"/>
    </xf>
    <xf numFmtId="0" fontId="16" fillId="15" borderId="0" xfId="0" applyFont="1" applyFill="1" applyAlignment="1">
      <alignment horizontal="left" vertical="center"/>
    </xf>
    <xf numFmtId="0" fontId="56" fillId="15" borderId="0" xfId="0" applyFont="1" applyFill="1" applyAlignment="1">
      <alignment horizontal="left" vertical="center"/>
    </xf>
    <xf numFmtId="0" fontId="17" fillId="11" borderId="0" xfId="0" applyFont="1" applyFill="1" applyAlignment="1">
      <alignment vertical="center"/>
    </xf>
    <xf numFmtId="0" fontId="17" fillId="10" borderId="0" xfId="0" applyFont="1" applyFill="1" applyAlignment="1">
      <alignment vertical="center"/>
    </xf>
    <xf numFmtId="0" fontId="17" fillId="16" borderId="0" xfId="0" applyFont="1" applyFill="1" applyAlignment="1">
      <alignment vertical="center"/>
    </xf>
    <xf numFmtId="0" fontId="16" fillId="2" borderId="0" xfId="0" applyFont="1" applyFill="1" applyAlignment="1">
      <alignment horizontal="left" vertical="center" wrapText="1"/>
    </xf>
    <xf numFmtId="0" fontId="61" fillId="2" borderId="0" xfId="0" applyFont="1" applyFill="1" applyAlignment="1">
      <alignment horizontal="left" wrapText="1"/>
    </xf>
    <xf numFmtId="0" fontId="16" fillId="13" borderId="13" xfId="0" applyFont="1" applyFill="1" applyBorder="1" applyAlignment="1">
      <alignment horizontal="center" vertical="center" wrapText="1"/>
    </xf>
    <xf numFmtId="0" fontId="16" fillId="13" borderId="12" xfId="0" applyFont="1" applyFill="1" applyBorder="1" applyAlignment="1">
      <alignment horizontal="center" vertical="center" wrapText="1"/>
    </xf>
    <xf numFmtId="0" fontId="16" fillId="13" borderId="5" xfId="0" applyFont="1" applyFill="1" applyBorder="1" applyAlignment="1">
      <alignment horizontal="center" vertical="center" wrapText="1"/>
    </xf>
    <xf numFmtId="0" fontId="16" fillId="13" borderId="15" xfId="0" applyFont="1" applyFill="1" applyBorder="1" applyAlignment="1">
      <alignment horizontal="center" vertical="center" wrapText="1"/>
    </xf>
    <xf numFmtId="0" fontId="33" fillId="13" borderId="1" xfId="0" applyFont="1" applyFill="1" applyBorder="1" applyAlignment="1">
      <alignment horizontal="center" vertical="center" wrapText="1"/>
    </xf>
    <xf numFmtId="0" fontId="33" fillId="13" borderId="2" xfId="0" applyFont="1" applyFill="1" applyBorder="1" applyAlignment="1">
      <alignment horizontal="center" vertical="center" wrapText="1"/>
    </xf>
    <xf numFmtId="0" fontId="16" fillId="12" borderId="7" xfId="0" applyFont="1" applyFill="1" applyBorder="1" applyAlignment="1">
      <alignment horizontal="center" vertical="center" wrapText="1"/>
    </xf>
    <xf numFmtId="0" fontId="16" fillId="12" borderId="3" xfId="0" applyFont="1" applyFill="1" applyBorder="1" applyAlignment="1">
      <alignment horizontal="center" vertical="center" wrapText="1"/>
    </xf>
    <xf numFmtId="0" fontId="16" fillId="12" borderId="7" xfId="0" applyFont="1" applyFill="1" applyBorder="1" applyAlignment="1">
      <alignment horizontal="center" vertical="center" textRotation="90" wrapText="1"/>
    </xf>
    <xf numFmtId="0" fontId="16" fillId="12" borderId="3" xfId="0" applyFont="1" applyFill="1" applyBorder="1" applyAlignment="1">
      <alignment horizontal="center" vertical="center" textRotation="90" wrapText="1"/>
    </xf>
    <xf numFmtId="0" fontId="16" fillId="13" borderId="9" xfId="0" applyFont="1" applyFill="1" applyBorder="1" applyAlignment="1">
      <alignment horizontal="center" vertical="center"/>
    </xf>
    <xf numFmtId="0" fontId="16" fillId="13" borderId="11" xfId="0" applyFont="1" applyFill="1" applyBorder="1" applyAlignment="1">
      <alignment horizontal="center" vertical="center"/>
    </xf>
    <xf numFmtId="0" fontId="16" fillId="13" borderId="10" xfId="0" applyFont="1" applyFill="1" applyBorder="1" applyAlignment="1">
      <alignment horizontal="center" vertical="center"/>
    </xf>
    <xf numFmtId="0" fontId="16" fillId="13" borderId="7" xfId="0" applyFont="1" applyFill="1" applyBorder="1" applyAlignment="1">
      <alignment horizontal="center" vertical="center" wrapText="1"/>
    </xf>
    <xf numFmtId="0" fontId="16" fillId="13" borderId="3" xfId="0" applyFont="1" applyFill="1" applyBorder="1" applyAlignment="1">
      <alignment horizontal="center" vertical="center" wrapText="1"/>
    </xf>
    <xf numFmtId="0" fontId="0" fillId="11" borderId="0" xfId="0" applyFill="1" applyAlignment="1">
      <alignment horizontal="center"/>
    </xf>
    <xf numFmtId="0" fontId="0" fillId="7" borderId="0" xfId="0" applyFill="1" applyAlignment="1">
      <alignment horizontal="center"/>
    </xf>
  </cellXfs>
  <cellStyles count="22">
    <cellStyle name="Comma 2" xfId="13" xr:uid="{00000000-0005-0000-0000-000001000000}"/>
    <cellStyle name="Comma 2 2" xfId="16" xr:uid="{00000000-0005-0000-0000-000002000000}"/>
    <cellStyle name="Comma 2 2 2" xfId="19" xr:uid="{CCA8097E-122A-491B-A427-D73BF0266AAB}"/>
    <cellStyle name="Comma 2 3" xfId="18" xr:uid="{E6332515-7514-4BCF-996E-00C5F6208EFE}"/>
    <cellStyle name="Comma 3" xfId="20" xr:uid="{0A27704F-5BC9-49E9-AFA7-32067017F93D}"/>
    <cellStyle name="Hiperlink" xfId="1" builtinId="8"/>
    <cellStyle name="Hiperlink Visitado" xfId="9" builtinId="9" hidden="1"/>
    <cellStyle name="Hiperlink Visitado" xfId="10" builtinId="9" hidden="1"/>
    <cellStyle name="Hiperlink Visitado" xfId="11" builtinId="9" hidden="1"/>
    <cellStyle name="Hiperlink Visitado" xfId="12" builtinId="9" hidden="1"/>
    <cellStyle name="Hyperlink 2" xfId="8" xr:uid="{00000000-0005-0000-0000-000008000000}"/>
    <cellStyle name="Normal" xfId="0" builtinId="0"/>
    <cellStyle name="Normal 222" xfId="2" xr:uid="{00000000-0005-0000-0000-00000A000000}"/>
    <cellStyle name="Normal 3" xfId="6" xr:uid="{00000000-0005-0000-0000-00000B000000}"/>
    <cellStyle name="Normal 3 2" xfId="15" xr:uid="{00000000-0005-0000-0000-00000C000000}"/>
    <cellStyle name="Normal 4" xfId="7" xr:uid="{00000000-0005-0000-0000-00000D000000}"/>
    <cellStyle name="Notes" xfId="21" xr:uid="{489BFE0A-5328-471E-A57B-74FDA283FDEB}"/>
    <cellStyle name="Ruim" xfId="14" builtinId="27"/>
    <cellStyle name="Standaard 2" xfId="3" xr:uid="{00000000-0005-0000-0000-00000F000000}"/>
    <cellStyle name="Standaard 3" xfId="5" xr:uid="{00000000-0005-0000-0000-000010000000}"/>
    <cellStyle name="Standaard 4" xfId="4" xr:uid="{00000000-0005-0000-0000-000011000000}"/>
    <cellStyle name="Vírgula" xfId="17" builtinId="3"/>
  </cellStyles>
  <dxfs count="107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family val="2"/>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66" formatCode="0.0000"/>
      <fill>
        <patternFill patternType="solid">
          <fgColor indexed="64"/>
          <bgColor theme="0"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66" formatCode="0.0000"/>
      <fill>
        <patternFill patternType="solid">
          <fgColor indexed="64"/>
          <bgColor theme="0"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0" formatCode="General"/>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0" formatCode="General"/>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64" formatCode="0.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numFmt numFmtId="164" formatCode="0.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FF0000"/>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family val="2"/>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1" defaultTableStyle="TableStyleMedium2" defaultPivotStyle="PivotStyleLight16">
    <tableStyle name="Invisible" pivot="0" table="0" count="0" xr9:uid="{E237060F-A1DE-46A3-BF36-EAB9766020AD}"/>
  </tableStyles>
  <colors>
    <mruColors>
      <color rgb="FF004BFF"/>
      <color rgb="FFFF6600"/>
      <color rgb="FFFFBD02"/>
      <color rgb="FF808080"/>
      <color rgb="FF02889E"/>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3</xdr:row>
      <xdr:rowOff>156011</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32212" cy="706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0</xdr:colOff>
      <xdr:row>3</xdr:row>
      <xdr:rowOff>156011</xdr:rowOff>
    </xdr:to>
    <xdr:pic>
      <xdr:nvPicPr>
        <xdr:cNvPr id="4" name="Picture 3">
          <a:extLst>
            <a:ext uri="{FF2B5EF4-FFF2-40B4-BE49-F238E27FC236}">
              <a16:creationId xmlns:a16="http://schemas.microsoft.com/office/drawing/2014/main" id="{A1B7E983-15DE-41D6-BA76-85ED3BA00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313983</xdr:colOff>
      <xdr:row>3</xdr:row>
      <xdr:rowOff>156011</xdr:rowOff>
    </xdr:to>
    <xdr:pic>
      <xdr:nvPicPr>
        <xdr:cNvPr id="3" name="Picture 2">
          <a:extLst>
            <a:ext uri="{FF2B5EF4-FFF2-40B4-BE49-F238E27FC236}">
              <a16:creationId xmlns:a16="http://schemas.microsoft.com/office/drawing/2014/main" id="{8B59DF37-683E-4D47-B7EA-0D1600EF4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104775</xdr:colOff>
      <xdr:row>4</xdr:row>
      <xdr:rowOff>3173</xdr:rowOff>
    </xdr:from>
    <xdr:to>
      <xdr:col>19</xdr:col>
      <xdr:colOff>122239</xdr:colOff>
      <xdr:row>31</xdr:row>
      <xdr:rowOff>0</xdr:rowOff>
    </xdr:to>
    <xdr:sp macro="" textlink="">
      <xdr:nvSpPr>
        <xdr:cNvPr id="6" name="TextBox 5">
          <a:extLst>
            <a:ext uri="{FF2B5EF4-FFF2-40B4-BE49-F238E27FC236}">
              <a16:creationId xmlns:a16="http://schemas.microsoft.com/office/drawing/2014/main" id="{57C28E2B-FFFA-4A78-B465-1180DA502448}"/>
            </a:ext>
          </a:extLst>
        </xdr:cNvPr>
        <xdr:cNvSpPr txBox="1"/>
      </xdr:nvSpPr>
      <xdr:spPr>
        <a:xfrm>
          <a:off x="733425" y="765173"/>
          <a:ext cx="11333164" cy="51593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For Argus Hydrogen and Future Fuels Service, all data and information used to develop aggregated data is provided “as is” without warranty of any kind, and Argus has no responsibility or liability to any party with respect to use of those extracts or aggregated data.</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(2024),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0</xdr:colOff>
      <xdr:row>1</xdr:row>
      <xdr:rowOff>123825</xdr:rowOff>
    </xdr:to>
    <xdr:sp macro="" textlink="">
      <xdr:nvSpPr>
        <xdr:cNvPr id="2049" name="AutoShape 1" descr="Icon">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1924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0</xdr:colOff>
      <xdr:row>1</xdr:row>
      <xdr:rowOff>123825</xdr:rowOff>
    </xdr:to>
    <xdr:sp macro="" textlink="">
      <xdr:nvSpPr>
        <xdr:cNvPr id="2050" name="AutoShape 2" descr="Wordmark">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12827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0</xdr:row>
      <xdr:rowOff>0</xdr:rowOff>
    </xdr:from>
    <xdr:to>
      <xdr:col>3</xdr:col>
      <xdr:colOff>0</xdr:colOff>
      <xdr:row>1</xdr:row>
      <xdr:rowOff>120650</xdr:rowOff>
    </xdr:to>
    <xdr:sp macro="" textlink="">
      <xdr:nvSpPr>
        <xdr:cNvPr id="3" name="AutoShape 1" descr="Icon">
          <a:extLst>
            <a:ext uri="{FF2B5EF4-FFF2-40B4-BE49-F238E27FC236}">
              <a16:creationId xmlns:a16="http://schemas.microsoft.com/office/drawing/2014/main" id="{BF1C5FC8-D0FF-4CFB-B34F-DBC633160A44}"/>
            </a:ext>
          </a:extLst>
        </xdr:cNvPr>
        <xdr:cNvSpPr>
          <a:spLocks noChangeAspect="1" noChangeArrowheads="1"/>
        </xdr:cNvSpPr>
      </xdr:nvSpPr>
      <xdr:spPr bwMode="auto">
        <a:xfrm>
          <a:off x="22860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0</xdr:colOff>
      <xdr:row>1</xdr:row>
      <xdr:rowOff>120650</xdr:rowOff>
    </xdr:to>
    <xdr:sp macro="" textlink="">
      <xdr:nvSpPr>
        <xdr:cNvPr id="4" name="AutoShape 2" descr="Wordmark">
          <a:extLst>
            <a:ext uri="{FF2B5EF4-FFF2-40B4-BE49-F238E27FC236}">
              <a16:creationId xmlns:a16="http://schemas.microsoft.com/office/drawing/2014/main" id="{CE419A53-EBB7-408C-979D-E130881C5A4B}"/>
            </a:ext>
          </a:extLst>
        </xdr:cNvPr>
        <xdr:cNvSpPr>
          <a:spLocks noChangeAspect="1" noChangeArrowheads="1"/>
        </xdr:cNvSpPr>
      </xdr:nvSpPr>
      <xdr:spPr bwMode="auto">
        <a:xfrm>
          <a:off x="15240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0</xdr:colOff>
      <xdr:row>3</xdr:row>
      <xdr:rowOff>146050</xdr:rowOff>
    </xdr:to>
    <xdr:pic>
      <xdr:nvPicPr>
        <xdr:cNvPr id="5" name="Picture 4">
          <a:extLst>
            <a:ext uri="{FF2B5EF4-FFF2-40B4-BE49-F238E27FC236}">
              <a16:creationId xmlns:a16="http://schemas.microsoft.com/office/drawing/2014/main" id="{65661154-2CAF-4D91-9DC9-6CA96BE9E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388"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663388</xdr:colOff>
      <xdr:row>3</xdr:row>
      <xdr:rowOff>146050</xdr:rowOff>
    </xdr:to>
    <xdr:pic>
      <xdr:nvPicPr>
        <xdr:cNvPr id="6" name="Picture 5">
          <a:extLst>
            <a:ext uri="{FF2B5EF4-FFF2-40B4-BE49-F238E27FC236}">
              <a16:creationId xmlns:a16="http://schemas.microsoft.com/office/drawing/2014/main" id="{8F84710C-1ED6-4AD4-B485-556DD7CB9A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388"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304800</xdr:colOff>
      <xdr:row>1</xdr:row>
      <xdr:rowOff>120650</xdr:rowOff>
    </xdr:to>
    <xdr:sp macro="" textlink="">
      <xdr:nvSpPr>
        <xdr:cNvPr id="2" name="AutoShape 1" descr="Icon">
          <a:extLst>
            <a:ext uri="{FF2B5EF4-FFF2-40B4-BE49-F238E27FC236}">
              <a16:creationId xmlns:a16="http://schemas.microsoft.com/office/drawing/2014/main" id="{B1BF3FA9-E4A9-4CB6-95FA-56406045B59D}"/>
            </a:ext>
          </a:extLst>
        </xdr:cNvPr>
        <xdr:cNvSpPr>
          <a:spLocks noChangeAspect="1" noChangeArrowheads="1"/>
        </xdr:cNvSpPr>
      </xdr:nvSpPr>
      <xdr:spPr bwMode="auto">
        <a:xfrm>
          <a:off x="22860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7" name="AutoShape 2" descr="Wordmark">
          <a:extLst>
            <a:ext uri="{FF2B5EF4-FFF2-40B4-BE49-F238E27FC236}">
              <a16:creationId xmlns:a16="http://schemas.microsoft.com/office/drawing/2014/main" id="{ECAD89DC-DBF5-4194-8D7A-1E0DFCD62FAF}"/>
            </a:ext>
          </a:extLst>
        </xdr:cNvPr>
        <xdr:cNvSpPr>
          <a:spLocks noChangeAspect="1" noChangeArrowheads="1"/>
        </xdr:cNvSpPr>
      </xdr:nvSpPr>
      <xdr:spPr bwMode="auto">
        <a:xfrm>
          <a:off x="15240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8" name="Picture 7">
          <a:extLst>
            <a:ext uri="{FF2B5EF4-FFF2-40B4-BE49-F238E27FC236}">
              <a16:creationId xmlns:a16="http://schemas.microsoft.com/office/drawing/2014/main" id="{7E7BF559-0C6A-4BB8-B5A2-E1CF740FC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388"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E7177E-543B-4208-A4F7-683C8E17F888}" name="H2ProjectDB689571011" displayName="H2ProjectDB689571011" ref="A4:AJ2445" totalsRowShown="0" headerRowDxfId="1071" dataDxfId="1070">
  <autoFilter ref="A4:AJ2445" xr:uid="{00000000-0009-0000-0100-000002000000}">
    <filterColumn colId="2">
      <filters>
        <filter val="BRA"/>
      </filters>
    </filterColumn>
  </autoFilter>
  <sortState xmlns:xlrd2="http://schemas.microsoft.com/office/spreadsheetml/2017/richdata2" ref="A5:AJ2445">
    <sortCondition ref="A4:A2445"/>
  </sortState>
  <tableColumns count="36">
    <tableColumn id="1" xr3:uid="{4322D464-1571-4C6F-BBF1-1EB2668832B7}" name="Ref" dataDxfId="1069" totalsRowDxfId="1068"/>
    <tableColumn id="2" xr3:uid="{5E4761DC-228A-45BA-8627-8040F12124A0}" name="Project name" dataDxfId="1067" totalsRowDxfId="1066"/>
    <tableColumn id="3" xr3:uid="{415D807D-7B85-4BC0-8FD8-7585434AF712}" name="Country" dataDxfId="1065" totalsRowDxfId="1064"/>
    <tableColumn id="6" xr3:uid="{87CB7C6C-AD3F-4363-A04B-491F33834E23}" name="Date online" dataDxfId="1063" totalsRowDxfId="1062"/>
    <tableColumn id="7" xr3:uid="{31AC8D2B-B556-4D71-BBC8-09CD8EFFFF88}" name="Decomission date" dataDxfId="1061" totalsRowDxfId="1060"/>
    <tableColumn id="8" xr3:uid="{E3E01D30-8E19-439C-86E1-4CD8AA7E17DB}" name="Status" dataDxfId="1059" totalsRowDxfId="1058"/>
    <tableColumn id="9" xr3:uid="{C31B2069-AD34-4D35-9A1B-D3C8137D1391}" name="Technology" dataDxfId="1057" totalsRowDxfId="1056"/>
    <tableColumn id="10" xr3:uid="{44DC2C6F-B05E-45F7-9028-607591210204}" name="Technology_details" dataDxfId="1055" totalsRowDxfId="1054"/>
    <tableColumn id="11" xr3:uid="{ED985FA9-C5B7-48D1-8CED-4A04E91E8DE3}" name="Technology_electricity" dataDxfId="1053" totalsRowDxfId="1052">
      <calculatedColumnFormula>IF(AND(G5&lt;&gt;"ALK",G5&lt;&gt;"PEM",G5&lt;&gt;"SOEC",G5&lt;&gt;"Other electrolysis"),"N/A","")</calculatedColumnFormula>
    </tableColumn>
    <tableColumn id="12" xr3:uid="{E128C7A8-0B37-4D41-92F0-8769E0F3E7D6}" name="Technology_electricity_details" dataDxfId="1051" totalsRowDxfId="1050">
      <calculatedColumnFormula>IF(I5&lt;&gt;"Dedicated renewable","N/A",)</calculatedColumnFormula>
    </tableColumn>
    <tableColumn id="13" xr3:uid="{07103EBD-E8B0-4F76-B83E-6E9703196470}" name="Product" dataDxfId="1049" totalsRowDxfId="1048"/>
    <tableColumn id="14" xr3:uid="{B1893CD0-160D-4108-97B6-0B0B6786C135}" name="EndUse_Refining" dataDxfId="1047" totalsRowDxfId="1046"/>
    <tableColumn id="15" xr3:uid="{3329225A-7D21-461D-9E48-3E2168CFC177}" name="EndUse_Ammonia" dataDxfId="1045" totalsRowDxfId="1044"/>
    <tableColumn id="16" xr3:uid="{517A992E-F80C-41FD-9CD2-7320E2BE6266}" name="EndUse_Methanol" dataDxfId="1043" totalsRowDxfId="1042"/>
    <tableColumn id="17" xr3:uid="{2A1602F4-2076-466C-AB5F-5AB8BEC8781B}" name="EndUse_Iron&amp;Steel" dataDxfId="1041" totalsRowDxfId="1040"/>
    <tableColumn id="18" xr3:uid="{48038477-918F-4F6C-9E61-3457A023CA6D}" name="EndUse_Other Ind" dataDxfId="1039" totalsRowDxfId="1038"/>
    <tableColumn id="19" xr3:uid="{4BAA2CA4-C023-402B-A71A-2F3BC9F2233E}" name="EndUse_Mobility" dataDxfId="1037" totalsRowDxfId="1036"/>
    <tableColumn id="20" xr3:uid="{2BAD388A-1AB6-4906-882A-92EF93A0A349}" name="EndUse_Power" dataDxfId="1035" totalsRowDxfId="1034"/>
    <tableColumn id="21" xr3:uid="{47F47250-3180-4E03-AB4B-F70F0580E004}" name="EndUse_Grid inj." dataDxfId="1033" totalsRowDxfId="1032"/>
    <tableColumn id="22" xr3:uid="{26E6CF90-402A-4857-AF6B-00E2207210BA}" name="EndUse_CHP" dataDxfId="1031" totalsRowDxfId="1030"/>
    <tableColumn id="23" xr3:uid="{07EDDC3B-4349-4156-ACF1-10AA6FB60AF3}" name="EndUse_Domestic heat" dataDxfId="1029" totalsRowDxfId="1028"/>
    <tableColumn id="24" xr3:uid="{D1150047-FE9F-4A56-B270-1FD7E5E84012}" name="EndUse_Biofuels" dataDxfId="1027" totalsRowDxfId="1026"/>
    <tableColumn id="25" xr3:uid="{97B207ED-6EAE-4108-99C2-16FC252933B8}" name="EndUse_Synfuels" dataDxfId="1025" totalsRowDxfId="1024"/>
    <tableColumn id="26" xr3:uid="{2650CB87-A51F-4354-8802-8704DD1F5D95}" name="EndUse_CH4 grid inj." dataDxfId="1023" totalsRowDxfId="1022"/>
    <tableColumn id="97" xr3:uid="{5264C7B3-0E0C-4A6A-9538-A8E8E8057FD5}" name="EndUse_CH4 mobility" dataDxfId="1021" totalsRowDxfId="1020"/>
    <tableColumn id="28" xr3:uid="{586E7CDD-D9BD-4DF4-BF95-DC83D9BCE504}" name="Announced Size" dataDxfId="1019" totalsRowDxfId="1018"/>
    <tableColumn id="29" xr3:uid="{995880AD-E70A-4E16-B627-B9CE4DDA36A9}" name="Capacity_MWel" dataDxfId="1017" totalsRowDxfId="1016">
      <calculatedColumnFormula>IF(OR(G5="ALK",G5="PEM",G5="SOEC",G5="Other Electrolysis"),
AB5*VLOOKUP(G5,ElectrolysisConvF,3,FALSE),
"")</calculatedColumnFormula>
    </tableColumn>
    <tableColumn id="30" xr3:uid="{85902074-028D-4F92-9C32-6E5A4CEA599C}" name="Capacity_Nm³ H₂/h" dataDxfId="1015" totalsRowDxfId="1014">
      <calculatedColumnFormula>IF(OR(G5="ALK",G5="PEM",G5="SOEC",G5="Other Electrolysis"),
AA5/VLOOKUP(G5,ElectrolysisConvF,3,FALSE),
AC5*10^6/(H2dens*HoursInYear))</calculatedColumnFormula>
    </tableColumn>
    <tableColumn id="31" xr3:uid="{27DF58EC-8511-4689-892C-2FFBAFA2E33F}" name="Capacity_kt H2/y" dataDxfId="1013" totalsRowDxfId="1012">
      <calculatedColumnFormula>AB5*H2dens*HoursInYear/10^6</calculatedColumnFormula>
    </tableColumn>
    <tableColumn id="32" xr3:uid="{CBAA06CE-F137-415C-9EA7-606054C3B0B5}" name="Capacity_t CO₂ captured/y" dataDxfId="1011" totalsRowDxfId="1010"/>
    <tableColumn id="33" xr3:uid="{06A9E043-1C13-42CC-BB11-E4C28359CACF}" name="IEA zero-carbon estimated normalized capacity [Nm³ H₂/hour]" dataDxfId="1009" totalsRowDxfId="1008">
      <calculatedColumnFormula>IF(AND(G5&lt;&gt;"NG w CCUS",G5&lt;&gt;"Oil w CCUS",G5&lt;&gt;"Coal w CCUS"),AB5,AD5*10^3/(HoursInYear*IF(G5="NG w CCUS",0.9105,1.9075)))</calculatedColumnFormula>
    </tableColumn>
    <tableColumn id="35" xr3:uid="{EA44FD14-5B5A-44B3-9FB0-690F7DA1AB76}" name="References" dataDxfId="1007" totalsRowDxfId="1006"/>
    <tableColumn id="4" xr3:uid="{E06DEF87-9843-4E11-94A1-0C412562AC36}" name="Latitude" dataDxfId="1005" totalsRowDxfId="1004"/>
    <tableColumn id="5" xr3:uid="{A4D89CA9-6F8B-4892-84E0-FBA710C1B34A}" name="Longitude" dataDxfId="1003" totalsRowDxfId="1002"/>
    <tableColumn id="59" xr3:uid="{208805C2-2AEE-4D22-9342-079E20EB884D}" name="Dummy_1" dataDxfId="1001" totalsRowDxfId="1000"/>
    <tableColumn id="81" xr3:uid="{06828695-0D30-410D-8884-DCA885E305CD}" name="LOWE_CF" dataDxfId="999" totalsRowDxfId="9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8" totalsRowShown="0" headerRowDxfId="997">
  <autoFilter ref="A1:B218" xr:uid="{00000000-0009-0000-0100-000001000000}"/>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03" dT="2024-05-27T15:58:58.71" personId="{00000000-0000-0000-0000-000000000000}" id="{2B48DF4D-7FE4-49E4-846E-1643C97CA64C}">
    <text>Duplicate of REF 1686</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fuelcellsworks.com/news/spain-reganosa-edp-renovaveis-investment-of-780-million-in-galicia-includes-a-100-mw-electrolysis-hydrogen-h2-production-plant/" TargetMode="External"/><Relationship Id="rId682" Type="http://schemas.openxmlformats.org/officeDocument/2006/relationships/hyperlink" Target="https://vighy.france-hydrogene.org/projets/effi-h2-vannes/"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h2-view.com/story/exxonmobil-unveils-ambitious-blue-hydrogen-targets-for-integrated-refining-and-petrochemical-site/" TargetMode="External"/><Relationship Id="rId987" Type="http://schemas.openxmlformats.org/officeDocument/2006/relationships/hyperlink" Target="https://www.hvnplus.co.uk/news/arbikie-distillery-begins-work-on-hydrogen-heating-installation-02-02-2023/" TargetMode="External"/><Relationship Id="rId1172" Type="http://schemas.openxmlformats.org/officeDocument/2006/relationships/hyperlink" Target="https://direct.argusmedia.com/newsandanalysis/article/2510124"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spglobal.com/platts/en/market-insights/latest-news/electric-power/061521-bavarias-six-ipcei-shortlisted-hydrogen-projects-may-get-eur1-billion" TargetMode="External"/><Relationship Id="rId1032" Type="http://schemas.openxmlformats.org/officeDocument/2006/relationships/hyperlink" Target="http://www.thenavigatorcompany.com/var/ezdemo_site/storage/original/application/4470a6c498af5b4a766c860dd70cb923.pdf" TargetMode="External"/><Relationship Id="rId707" Type="http://schemas.openxmlformats.org/officeDocument/2006/relationships/hyperlink" Target="https://hydrogensolutions.no/en/starter-gronn-hydrogenproduksjon-vestlandet/" TargetMode="External"/><Relationship Id="rId914" Type="http://schemas.openxmlformats.org/officeDocument/2006/relationships/hyperlink" Target="https://www.argusmedia.com/pt/news/2457061-enit-eyes-300mw-renewable-hydrogen-plant-in-brazil?backToResults=true" TargetMode="External"/><Relationship Id="rId1337" Type="http://schemas.openxmlformats.org/officeDocument/2006/relationships/hyperlink" Target="https://direct.argusmedia.com/newsandanalysis/Article/2558006"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www.agerpres.ro/english/2020/11/12/romgaz-petrom-set-to-produce-hydrogen-at-wind-farm-in-dobrogea--608063" TargetMode="External"/><Relationship Id="rId357" Type="http://schemas.openxmlformats.org/officeDocument/2006/relationships/hyperlink" Target="https://www.hydrogendays.cz/2016/admin/scripts/source/presentations/PL%2005_%20Denis%20Thomas_HDs2016.pdf" TargetMode="External"/><Relationship Id="rId1194" Type="http://schemas.openxmlformats.org/officeDocument/2006/relationships/hyperlink" Target="https://8rivers.com/8-rivers-8rh2-ultra-low-carbon-hydrogen-technology-announcement/"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www.dena.de/en/newsroom/news/2019-1/global-alliance-powerfuels-partners-are-advancing-the-market-development-of-powerfuels-in-german-regulatory-sandboxes-of-energiewende/" TargetMode="External"/><Relationship Id="rId771" Type="http://schemas.openxmlformats.org/officeDocument/2006/relationships/hyperlink" Target="https://www.publicpower.org/periodical/article/douglas-county-pud-moves-phase-two-green-hydrogen-project?s=03" TargetMode="External"/><Relationship Id="rId869" Type="http://schemas.openxmlformats.org/officeDocument/2006/relationships/hyperlink" Target="https://www.edpr.com/en/news/2023/01/30/edp-and-cepsa-sign-alliance-promote-andalusian-green-hydrogen-valley"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greenport.com/news101/australasia/hydrogen-project-planned-for-port-anthony" TargetMode="External"/><Relationship Id="rId729" Type="http://schemas.openxmlformats.org/officeDocument/2006/relationships/hyperlink" Target="https://www.irishtimes.com/business/ireland-s-first-green-hydrogen-project-to-come-on-stream-in-weeks-1.4399291" TargetMode="External"/><Relationship Id="rId1054" Type="http://schemas.openxmlformats.org/officeDocument/2006/relationships/hyperlink" Target="https://energynews.biz/copenhagen-infrastructure-partners-to-build-green-hydrogen-plant-in-mexico/" TargetMode="External"/><Relationship Id="rId1261" Type="http://schemas.openxmlformats.org/officeDocument/2006/relationships/hyperlink" Target="https://renewablesnow.com/news/chiles-susterra-plans-usd-423m-green-h2-project-for-mining-industry-844219/" TargetMode="External"/><Relationship Id="rId1359" Type="http://schemas.openxmlformats.org/officeDocument/2006/relationships/hyperlink" Target="https://chinahydrogen.substack.com/p/chinas-first-biogas-to-hydrogen-facility" TargetMode="External"/><Relationship Id="rId936" Type="http://schemas.openxmlformats.org/officeDocument/2006/relationships/hyperlink" Target="https://direct.argusmedia.com/newsandanalysis/Article/2399721" TargetMode="External"/><Relationship Id="rId1121" Type="http://schemas.openxmlformats.org/officeDocument/2006/relationships/hyperlink" Target="https://hydronews.it/oltre-220-milioni-di-euro-di-investimenti-e-30-mw-di-elettrolisi-il-progetto-di-infinite-green-energy-italia-per-produrre-idrogeno-verde-in-abruzzo/" TargetMode="External"/><Relationship Id="rId1219" Type="http://schemas.openxmlformats.org/officeDocument/2006/relationships/hyperlink" Target="https://direct.argusmedia.com/newsandanalysis/Article/2508889"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www.sohu.com/a/421783419_703050" TargetMode="External"/><Relationship Id="rId793" Type="http://schemas.openxmlformats.org/officeDocument/2006/relationships/hyperlink" Target="https://bayotech.us/bayotech-partners-with-ranken-technical-college/"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traffordgreenhydrogen.co.uk/theproject" TargetMode="External"/><Relationship Id="rId1076" Type="http://schemas.openxmlformats.org/officeDocument/2006/relationships/hyperlink" Target="https://direct.argusmedia.com/newsandanalysis/Article/2472952" TargetMode="External"/><Relationship Id="rId1283" Type="http://schemas.openxmlformats.org/officeDocument/2006/relationships/hyperlink" Target="https://www.deme-group.com/news/deme-expands-green-hydrogen-portfolio-hyport-production-facility-egypt"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fuelcellsworks.com/news/acwa-power-signs-mou-with-pupuk-indonesia-for-large-scale-green-hydrogen-project/" TargetMode="External"/><Relationship Id="rId958" Type="http://schemas.openxmlformats.org/officeDocument/2006/relationships/hyperlink" Target="https://hycamite.com/" TargetMode="External"/><Relationship Id="rId1143" Type="http://schemas.openxmlformats.org/officeDocument/2006/relationships/hyperlink" Target="https://cdn.fortescue.com/docs/default-source/prince-george/project-coyote-fact-sheet-v2.pdf?sfvrsn=70e4a14_3/"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energy.gov/sites/prod/files/2020/10/f79/h2iq_10082020_h2scale.pdf" TargetMode="External"/><Relationship Id="rId720" Type="http://schemas.openxmlformats.org/officeDocument/2006/relationships/hyperlink" Target="https://www.linde.com/news-media/press-releases/2020/linde-to-produce-green-hydrogen-for-mobility-market-in-california" TargetMode="External"/><Relationship Id="rId818" Type="http://schemas.openxmlformats.org/officeDocument/2006/relationships/hyperlink" Target="https://www.constellationenergy.com/newsroom/2023/Constellation-Starts-Production-at-Nations-First-One-Megawatt-Demonstration-Scale-Nuclear-Powered-Clean-Hydrogen-Facility.html" TargetMode="External"/><Relationship Id="rId1350" Type="http://schemas.openxmlformats.org/officeDocument/2006/relationships/hyperlink" Target="https://direct.argusmedia.com/newsandanalysis/Article/2559070" TargetMode="External"/><Relationship Id="rId1003" Type="http://schemas.openxmlformats.org/officeDocument/2006/relationships/hyperlink" Target="https://vighy.france-hydrogene.org/projets/em-lacq/" TargetMode="External"/><Relationship Id="rId1210" Type="http://schemas.openxmlformats.org/officeDocument/2006/relationships/hyperlink" Target="https://www.thenationalnews.com/business/energy/2022/08/31/qatarenergy-renewable-solutions-and-qafco-team-up-to-build-ammonia-7-project/" TargetMode="External"/><Relationship Id="rId1308" Type="http://schemas.openxmlformats.org/officeDocument/2006/relationships/hyperlink" Target="https://greenh.no/en/a-new-hydrogen-plant-at-langstranda-is-on-schedule/" TargetMode="External"/><Relationship Id="rId14" Type="http://schemas.openxmlformats.org/officeDocument/2006/relationships/hyperlink" Target="https://www.open-grid-europe.com/cps/rde/oge-internet/hs.xsl/H2morrow-3571.htm"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230" Type="http://schemas.openxmlformats.org/officeDocument/2006/relationships/hyperlink" Target="https://pale-blu.com/acorn/" TargetMode="External"/><Relationship Id="rId468" Type="http://schemas.openxmlformats.org/officeDocument/2006/relationships/hyperlink" Target="https://www.endesa.com/es/prensa/sala-de-prensa/noticias/transicion-energetica/endesa-contempla-desarrollo-23-proyectos-hidrogeno-verde-espana" TargetMode="External"/><Relationship Id="rId675" Type="http://schemas.openxmlformats.org/officeDocument/2006/relationships/hyperlink" Target="https://multiplhy-project.eu/Pages/Latest-News.aspx" TargetMode="External"/><Relationship Id="rId882" Type="http://schemas.openxmlformats.org/officeDocument/2006/relationships/hyperlink" Target="https://reneweconomy.com.au/origin-teams-with-orica-to-propose-hunter-green-hydrogen-hub/" TargetMode="External"/><Relationship Id="rId1098" Type="http://schemas.openxmlformats.org/officeDocument/2006/relationships/hyperlink" Target="https://www.reuters.com/sustainability/climate-energy/germanys-august-global-investment-plans-build-hydrogen-plant-indonesia-2023-08-28/"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rabbalshedekraft.com/en/green-hydrogen/" TargetMode="External"/><Relationship Id="rId742" Type="http://schemas.openxmlformats.org/officeDocument/2006/relationships/hyperlink" Target="https://www.spglobal.com/commodityinsights/en/market-insights/latest-news/electric-power/030623-volth2-targets-mid-sized-green-hydrogen-projects-to-optimize-offshore-wind" TargetMode="External"/><Relationship Id="rId1165" Type="http://schemas.openxmlformats.org/officeDocument/2006/relationships/hyperlink" Target="https://www.heiderefinery.com/entwicklung-von-gruenem-wasserstoff-in-der-raffinerie-heide-rueckt-einen-schritt-naeher" TargetMode="External"/><Relationship Id="rId602" Type="http://schemas.openxmlformats.org/officeDocument/2006/relationships/hyperlink" Target="https://renews.biz/66655/cip-unveils-plans-for-esbjerg-green-ammonia-plant/" TargetMode="External"/><Relationship Id="rId1025" Type="http://schemas.openxmlformats.org/officeDocument/2006/relationships/hyperlink" Target="https://www.entsog.eu/sites/default/files/2023-04/web_entsog_230311_CHA_Learnbook_230405.pdf" TargetMode="External"/><Relationship Id="rId1232" Type="http://schemas.openxmlformats.org/officeDocument/2006/relationships/hyperlink" Target="https://www.bizjournals.com/phoenix/news/2023/11/02/linde-nextera-hydrogen-facility-phoenix-tonopah.html?utm_source=sy&amp;utm_medum=ptr&amp;utm_campaign=knxv" TargetMode="External"/><Relationship Id="rId907" Type="http://schemas.openxmlformats.org/officeDocument/2006/relationships/hyperlink" Target="https://www.hydrogeninsight.com/production/linde-to-invest-1-8bn-in-new-blue-hydrogen-plant-in-texas-with-start-up-in-2025/2-1-1399822" TargetMode="External"/><Relationship Id="rId36" Type="http://schemas.openxmlformats.org/officeDocument/2006/relationships/hyperlink" Target="https://www.hysyngas.de/" TargetMode="External"/><Relationship Id="rId185" Type="http://schemas.openxmlformats.org/officeDocument/2006/relationships/hyperlink" Target="https://www.hydrogen4climateaction.eu/programme" TargetMode="External"/><Relationship Id="rId392" Type="http://schemas.openxmlformats.org/officeDocument/2006/relationships/hyperlink" Target="https://www.snam.it/en/Media/Press-releases/2021/Tenaris_Edison_Snam_trial_steelmaking_green_hydrogen_Dalmine_Italy.html" TargetMode="External"/><Relationship Id="rId697" Type="http://schemas.openxmlformats.org/officeDocument/2006/relationships/hyperlink" Target="https://www.h2stations.org/station/?id=2531" TargetMode="External"/><Relationship Id="rId252" Type="http://schemas.openxmlformats.org/officeDocument/2006/relationships/hyperlink" Target="https://ijglobal.com/articles/147180/western-australia-green-hydrogen-project-progressing" TargetMode="External"/><Relationship Id="rId1187" Type="http://schemas.openxmlformats.org/officeDocument/2006/relationships/hyperlink" Target="https://www.carboncapturejournal.com/ViewNews.aspx?NewsID=5838"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www.reuters.com/markets/commodities/vietnam-company-invest-840-mln-countrys-first-green-hydrogen-plant-2022-05-25/" TargetMode="External"/><Relationship Id="rId764" Type="http://schemas.openxmlformats.org/officeDocument/2006/relationships/hyperlink" Target="https://www.h2-view.com/story/new-24mw-electrolysis-plant-set-for-large-scale-green-hydrogen-production/" TargetMode="External"/><Relationship Id="rId971" Type="http://schemas.openxmlformats.org/officeDocument/2006/relationships/hyperlink" Target="https://www.spglobal.com/commodityinsights/en/market-insights/latest-news/energy-transition/063023-two-green-hydrogen-projects-totaling-30000-mtyear-of-capacity-start-up-in-china"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renewstable-sumba.com/" TargetMode="External"/><Relationship Id="rId831" Type="http://schemas.openxmlformats.org/officeDocument/2006/relationships/hyperlink" Target="https://www.masen.ma/fr/actualites-masen/masen-prepare-un-mega-projet-dans-lhydrogene-vert-une-1ere-en-afrique" TargetMode="External"/><Relationship Id="rId1047" Type="http://schemas.openxmlformats.org/officeDocument/2006/relationships/hyperlink" Target="https://www.hydeal.com/copie-de-hydeal-ambition" TargetMode="External"/><Relationship Id="rId1254" Type="http://schemas.openxmlformats.org/officeDocument/2006/relationships/hyperlink" Target="https://www.greencarcongress.com/2023/12/20231227-cip.html" TargetMode="External"/><Relationship Id="rId929" Type="http://schemas.openxmlformats.org/officeDocument/2006/relationships/hyperlink" Target="https://direct.argusmedia.com/newsandanalysis/Article/2439283" TargetMode="External"/><Relationship Id="rId1114" Type="http://schemas.openxmlformats.org/officeDocument/2006/relationships/hyperlink" Target="https://direct.argusmedia.com/newsandanalysis/article/2498233" TargetMode="External"/><Relationship Id="rId1321" Type="http://schemas.openxmlformats.org/officeDocument/2006/relationships/hyperlink" Target="https://www.renewableenergyworld.com/hydrogen/landsvirkjun-to-build-hydrogen-production-facility-at-16-mw-ljosifoss-hydropower/" TargetMode="External"/><Relationship Id="rId58" Type="http://schemas.openxmlformats.org/officeDocument/2006/relationships/hyperlink" Target="http://www.renewablessa.sa.gov.au/content/uploads/2019/01/hydrogen-rd-in-sa-report-nov2018.pdf"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balkanengineer.com/news/bulgarian-city-builds-charging-station-green-hydrogen"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www.metropole-dijon.fr/Actualites/Production-d-hydrogene2" TargetMode="External"/><Relationship Id="rId786" Type="http://schemas.openxmlformats.org/officeDocument/2006/relationships/hyperlink" Target="https://assets.ctfassets.net/ztehsn2qe34u/3m5XSgBaBPkbfBQVoJWmd5/fee525778dc177352b9b1831bfa3db0a/Communique-de-presse-terega-solutions-hydrogene.pdf" TargetMode="External"/><Relationship Id="rId993" Type="http://schemas.openxmlformats.org/officeDocument/2006/relationships/hyperlink" Target="https://vighy.france-hydrogene.org/projets/ecoh2-breizh2/"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www.news24.com/fin24/economy/prieska-green-hydrogen-project-gets-funding-boost-20220614" TargetMode="External"/><Relationship Id="rId1069" Type="http://schemas.openxmlformats.org/officeDocument/2006/relationships/hyperlink" Target="https://direct.argusmedia.com/newsandanalysis/Article/2487336" TargetMode="External"/><Relationship Id="rId1276" Type="http://schemas.openxmlformats.org/officeDocument/2006/relationships/hyperlink" Target="https://direct.argusmedia.com/newsandanalysis/Article/2587867" TargetMode="External"/><Relationship Id="rId201" Type="http://schemas.openxmlformats.org/officeDocument/2006/relationships/hyperlink" Target="https://www.hzwei.info/blog/2019/04/15/energiewende-als-gemeinschaftsprojekt/" TargetMode="External"/><Relationship Id="rId506" Type="http://schemas.openxmlformats.org/officeDocument/2006/relationships/hyperlink" Target="https://www.h2-view.com/story/itm-power-makes-first-sale-in-japan-sells-1-4mw-electrolyser-to-sumitomo-corp/" TargetMode="External"/><Relationship Id="rId853" Type="http://schemas.openxmlformats.org/officeDocument/2006/relationships/hyperlink" Target="https://research.csiro.au/hyresource/ord-hydrogen/" TargetMode="External"/><Relationship Id="rId1136" Type="http://schemas.openxmlformats.org/officeDocument/2006/relationships/hyperlink" Target="https://www.abo-wind.com/en/media-center/press/2023/2023-10-17_hydrogen-project-huenfeld.html" TargetMode="External"/><Relationship Id="rId713" Type="http://schemas.openxmlformats.org/officeDocument/2006/relationships/hyperlink" Target="https://www.pertamina.com/en/news-room/news-release/pertamina-nre-krakatau-steel-and-raja-collaborate-to-develop-hydrogen-pipelines" TargetMode="External"/><Relationship Id="rId920" Type="http://schemas.openxmlformats.org/officeDocument/2006/relationships/hyperlink" Target="https://fuelcellsworks.com/news/sk-eco-plant-partners-with-canadas-world-energy-gh2-in-a-4-5-billion-green-hydrogen-commercialization-project/" TargetMode="External"/><Relationship Id="rId1343" Type="http://schemas.openxmlformats.org/officeDocument/2006/relationships/hyperlink" Target="https://www.hydrogen.energy.gov/docs/hydrogenprogramlibraries/pdfs/review23/lpo001_ducker_2023_o-pdf.pdf" TargetMode="External"/><Relationship Id="rId1203" Type="http://schemas.openxmlformats.org/officeDocument/2006/relationships/hyperlink" Target="https://gcenode.no/news/a-hydrogen-producer-for-decades/" TargetMode="External"/><Relationship Id="rId296" Type="http://schemas.openxmlformats.org/officeDocument/2006/relationships/hyperlink" Target="https://www.thechemicalengineer.com/news/two-new-large-scale-ccus-facilities-now-in-operation/"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www.kochprojectsolutions.com/news/2021/louisiana-to-get-9-2-billion-renewables-complex-after-koch-fidelis-infrastructure-deal"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www.eleconomista.es/energia/noticias/11594929/02/22/El-fondo-de-Copenhague-lanza-un-megaproyecto-de-hidrogeno-con-Naturgy-Enagas-Fertiberia-y-Vestas.html" TargetMode="External"/><Relationship Id="rId875" Type="http://schemas.openxmlformats.org/officeDocument/2006/relationships/hyperlink" Target="https://energynews.biz/morocco-fourth-in-worlds-hydrogen-race-total-eren-launches-10-69bln-hydrogen-megaproject/" TargetMode="External"/><Relationship Id="rId1060" Type="http://schemas.openxmlformats.org/officeDocument/2006/relationships/hyperlink" Target="https://direct.argusmedia.com/newsandanalysis/Article/2470398" TargetMode="External"/><Relationship Id="rId1298" Type="http://schemas.openxmlformats.org/officeDocument/2006/relationships/hyperlink" Target="https://petronoticias.com.br/eletronuclear-vai-usar-as-usinas-nucleares-para-produzir-pelo-menos-100-toneladas-de-hidrogenio-verde-por-ano/" TargetMode="External"/><Relationship Id="rId528" Type="http://schemas.openxmlformats.org/officeDocument/2006/relationships/hyperlink" Target="https://wintershalldea.com/en/newsroom/wintershall-dea-helps-shape-wilhelmshaven-energy-hub" TargetMode="External"/><Relationship Id="rId735" Type="http://schemas.openxmlformats.org/officeDocument/2006/relationships/hyperlink" Target="https://www.energyintel.com/00000186-b241-dc3c-a9b6-fb5361720000" TargetMode="External"/><Relationship Id="rId942" Type="http://schemas.openxmlformats.org/officeDocument/2006/relationships/hyperlink" Target="https://fuelcellsworks.com/news/hydrogen-utopia-explores-opportunities-for-converting-plastic-waste-into-hydrogen-in-estonia/?mc_cid=44d2eee315&amp;mc_eid=da4624d261" TargetMode="External"/><Relationship Id="rId1158" Type="http://schemas.openxmlformats.org/officeDocument/2006/relationships/hyperlink" Target="https://www.world-energy.org/article/34543.html" TargetMode="External"/><Relationship Id="rId1018" Type="http://schemas.openxmlformats.org/officeDocument/2006/relationships/hyperlink" Target="https://www.st1.fi/st1-suunnittelee-synteettisen-metanolin-pilottilaitosta-lappeenrantaan" TargetMode="External"/><Relationship Id="rId1225" Type="http://schemas.openxmlformats.org/officeDocument/2006/relationships/hyperlink" Target="https://www.rompetrol.com/major-investments/Decarbonization-and-green-energy-initiatives" TargetMode="External"/><Relationship Id="rId71" Type="http://schemas.openxmlformats.org/officeDocument/2006/relationships/hyperlink" Target="https://www.hamburg-news.hamburg/en/renewable-energy/hydrogen-becoming-technology-future/" TargetMode="External"/><Relationship Id="rId802" Type="http://schemas.openxmlformats.org/officeDocument/2006/relationships/hyperlink" Target="http://www.rmlt.com.cn/2022/0424/645540.shtml" TargetMode="External"/><Relationship Id="rId29" Type="http://schemas.openxmlformats.org/officeDocument/2006/relationships/hyperlink" Target="https://www.h21.green/projects/h21-north-of-england/" TargetMode="External"/><Relationship Id="rId178" Type="http://schemas.openxmlformats.org/officeDocument/2006/relationships/hyperlink" Target="https://www.co2value.eu/wp-content/uploads/2019/09/2.-CRI.pdf"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asia.nikkei.com/Business/Energy/Itochu-s-blue-ammonia-from-Canada-to-power-Japan-s-green-future"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h2lac.org/h2lac-review/peru-tendra-su-primer-proyecto-de-hidrogeno-verde-con-energia-solar-y-eolica/" TargetMode="External"/><Relationship Id="rId1082" Type="http://schemas.openxmlformats.org/officeDocument/2006/relationships/hyperlink" Target="https://private.cedigaz.org/newsreport_pdf/61766c96eb575_CNR60-21.pdf"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spglobal.com/commodityinsights/en/market-insights/latest-news/electric-power/020123-interview-uks-octopus-hydrogen-seeks-to-unseat-conventional-production-diesel-in-transport" TargetMode="External"/><Relationship Id="rId964" Type="http://schemas.openxmlformats.org/officeDocument/2006/relationships/hyperlink" Target="https://direct.argusmedia.com/newsandanalysis/Article/2442717" TargetMode="External"/><Relationship Id="rId93" Type="http://schemas.openxmlformats.org/officeDocument/2006/relationships/hyperlink" Target="https://www.lakecharlesmethanol.com/" TargetMode="External"/><Relationship Id="rId617" Type="http://schemas.openxmlformats.org/officeDocument/2006/relationships/hyperlink" Target="https://ec.europa.eu/clima/document/75e0ade9-12f3-435a-8875-f5afd9b92ed8_en" TargetMode="External"/><Relationship Id="rId824" Type="http://schemas.openxmlformats.org/officeDocument/2006/relationships/hyperlink" Target="https://chuneng.bjx.com.cn/news/20210326/1144111.shtml" TargetMode="External"/><Relationship Id="rId1247" Type="http://schemas.openxmlformats.org/officeDocument/2006/relationships/hyperlink" Target="https://ammoniaenergy.org/articles/sixth-renewable-ammonia-project-announced-for-ceara-state-brazil/" TargetMode="External"/><Relationship Id="rId1107" Type="http://schemas.openxmlformats.org/officeDocument/2006/relationships/hyperlink" Target="https://direct.argusmedia.com/newsandanalysis/Article/2475253" TargetMode="External"/><Relationship Id="rId1314" Type="http://schemas.openxmlformats.org/officeDocument/2006/relationships/hyperlink" Target="https://www.statkraft.com/newsroom/news-and-stories/2023/fortescue-future-industries-secures-renewable-power-supply-from-statkraft-to-planned-green-hydrogenammonia-project-in-hemnes/" TargetMode="External"/><Relationship Id="rId20" Type="http://schemas.openxmlformats.org/officeDocument/2006/relationships/hyperlink" Target="https://press.siemens.com/global/en/pressrelease/siemens-delivers-pem-electrolyzer-salzgitter-ag"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cincodias.elpais.com/cincodias/2021/02/05/companias/1612525996_216085.html"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bdi.fr/en/hygo-the-renewable-hydrogen-production-project-on-the-michelin-site-in-vannes-has-been-launched/" TargetMode="External"/><Relationship Id="rId779" Type="http://schemas.openxmlformats.org/officeDocument/2006/relationships/hyperlink" Target="https://fuelcellsworks.com/news/line-hydrogen-announces-first-commercial-scale-green-hydrogen-plant-in-tasmania/" TargetMode="External"/><Relationship Id="rId986" Type="http://schemas.openxmlformats.org/officeDocument/2006/relationships/hyperlink" Target="https://bioenergyinternational.com/hzi-to-develop-first-small-scale-waste-to-hydrogen/"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www.bp.com/en/global/corporate/news-and-insights/press-releases/bp-and-linde-plan-major-ccs-project-to-advance-decarbonization-efforts-across-texas-gulf-coast.html" TargetMode="External"/><Relationship Id="rId639" Type="http://schemas.openxmlformats.org/officeDocument/2006/relationships/hyperlink" Target="https://www.h2-view.com/story/1bn-abu-dhabi-project-will-produce-200000-tonnes-of-green-ammonia-from-hydrogen/" TargetMode="External"/><Relationship Id="rId1171" Type="http://schemas.openxmlformats.org/officeDocument/2006/relationships/hyperlink" Target="https://renewablesnow.com/news/eneco-plans-800-mw-green-h2-hub-at-rotterdam-port-area-840764/" TargetMode="External"/><Relationship Id="rId1269" Type="http://schemas.openxmlformats.org/officeDocument/2006/relationships/hyperlink" Target="https://h2bulletin.com/enapter-to-deliver-aem-nexus-500-electrolysers-with-500-kw-production-capacity-to-kit/" TargetMode="External"/><Relationship Id="rId401" Type="http://schemas.openxmlformats.org/officeDocument/2006/relationships/hyperlink" Target="https://co2re.co/FacilityData" TargetMode="External"/><Relationship Id="rId846" Type="http://schemas.openxmlformats.org/officeDocument/2006/relationships/hyperlink" Target="https://www.petrofac.com/media/news/petrofac-to-explore-feasibility-of-green-hydrogen-to-ammonia-facility-in-egypt/" TargetMode="External"/><Relationship Id="rId1031"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1129" Type="http://schemas.openxmlformats.org/officeDocument/2006/relationships/hyperlink" Target="https://zegpower.com/posts/opening-of-zeg-h1-at-ccb-energy-park/" TargetMode="External"/><Relationship Id="rId706" Type="http://schemas.openxmlformats.org/officeDocument/2006/relationships/hyperlink" Target="https://www.offshore-energy.biz/worlds-first-offshore-green-hydrogen-production-platform-inaugurated-france/" TargetMode="External"/><Relationship Id="rId913" Type="http://schemas.openxmlformats.org/officeDocument/2006/relationships/hyperlink" Target="https://hydrogen-central.com/infinity-power-conjuncta-develop-green-hydrogen-project-mauritania/" TargetMode="External"/><Relationship Id="rId1336" Type="http://schemas.openxmlformats.org/officeDocument/2006/relationships/hyperlink" Target="https://www.forh2e.com/cs/projekty-a-reference/vodikovy-strategicky-projekt-h.html" TargetMode="External"/><Relationship Id="rId42" Type="http://schemas.openxmlformats.org/officeDocument/2006/relationships/hyperlink" Target="https://www.hybridge.net/index-2.html" TargetMode="External"/><Relationship Id="rId191" Type="http://schemas.openxmlformats.org/officeDocument/2006/relationships/hyperlink" Target="https://www.h-tec.com/anwendungen/stromlueckenfueller/"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hydrogen-central.com/alliander-groenleven-solar-rays-hydrogen-netherlands/"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energynews.biz/energypark-emden-enters-the-second-stage/" TargetMode="External"/><Relationship Id="rId770" Type="http://schemas.openxmlformats.org/officeDocument/2006/relationships/hyperlink" Target="https://www.itm-power.com/news/12mw-electrolyser-sale" TargetMode="External"/><Relationship Id="rId1193" Type="http://schemas.openxmlformats.org/officeDocument/2006/relationships/hyperlink" Target="https://energynews.biz/adnoc-to-invest-17bn-in-major-carbon-capture-and-hydrogen-project/"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www.hydrogeninsight.com/production/ten-fold-expansion-brazilian-chemicals-giant-unveils-1-5bn-growth-plans-for-green-hydrogen-plant/2-1-1390060" TargetMode="External"/><Relationship Id="rId1053" Type="http://schemas.openxmlformats.org/officeDocument/2006/relationships/hyperlink" Target="https://direct.argusmedia.com/newsandanalysis/article/2488018" TargetMode="External"/><Relationship Id="rId1260" Type="http://schemas.openxmlformats.org/officeDocument/2006/relationships/hyperlink" Target="https://direct.argusmedia.com/newsandanalysis/Article/2517245" TargetMode="External"/><Relationship Id="rId630" Type="http://schemas.openxmlformats.org/officeDocument/2006/relationships/hyperlink" Target="https://www.energymining.sa.gov.au/industry/modern-energy/hydrogen-in-south-australia/the-hydrogen-utility-h2u-eyre-peninsula-gateway" TargetMode="External"/><Relationship Id="rId728" Type="http://schemas.openxmlformats.org/officeDocument/2006/relationships/hyperlink" Target="https://fuelcellsworks.com/news/in-france-the-vhygo-project-grand-ouest-hydrogen-valley-will-deploy-green-hydrogen-in-three-different-regions/?mc_cid=4101eb9ee9&amp;mc_eid=da4624d261" TargetMode="External"/><Relationship Id="rId935" Type="http://schemas.openxmlformats.org/officeDocument/2006/relationships/hyperlink" Target="https://www.enapter.com/newsroom/first-order-placed-for-enapters-aem-multicore-megawatt-class-electrolyser-system" TargetMode="External"/><Relationship Id="rId1358" Type="http://schemas.openxmlformats.org/officeDocument/2006/relationships/hyperlink" Target="https://www.hydrogeninsight.com/production/spain-awards-150m-of-grants-to-build-309mw-of-green-hydrogen-production-for-use-in-hard-to-abate-sectors/2-1-1563916" TargetMode="External"/><Relationship Id="rId64" Type="http://schemas.openxmlformats.org/officeDocument/2006/relationships/hyperlink" Target="https://nelhydrogen.com/press-release/nel-asa-awarded-multi-billion-nok-electrolyzer-and-fueling-station-contract-by-nikola/" TargetMode="External"/><Relationship Id="rId1120" Type="http://schemas.openxmlformats.org/officeDocument/2006/relationships/hyperlink" Target="https://direct.argusmedia.com/newsandanalysis/article/2451947" TargetMode="External"/><Relationship Id="rId1218" Type="http://schemas.openxmlformats.org/officeDocument/2006/relationships/hyperlink" Target="https://www.elpais.com.uy/negocios/noticias/lacalle-pou-anuncia-planta-de-hidrogeno-verde-en-paysandu-con-inversion-de-mas-de-us-2-000-millones"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energyiceberg.com/ten-chinese-green-hydrogen-companies/" TargetMode="External"/><Relationship Id="rId792" Type="http://schemas.openxmlformats.org/officeDocument/2006/relationships/hyperlink" Target="https://www.businesswire.com/news/home/20210421006131/e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agnespower.com/en/progetto-adriatico/" TargetMode="External"/><Relationship Id="rId1075" Type="http://schemas.openxmlformats.org/officeDocument/2006/relationships/hyperlink" Target="https://h2-international.com/2021/06/14/element-eins-and-hybridge-stopped/" TargetMode="External"/><Relationship Id="rId1282" Type="http://schemas.openxmlformats.org/officeDocument/2006/relationships/hyperlink" Target="https://fuelcellsworks.com/news/green-hydrogen-factory-planned-for-bahrain/"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energy.gov/eere/fuelcells/articles/us-hydrogen-electrolyzer-locations-and-capacity" TargetMode="External"/><Relationship Id="rId957" Type="http://schemas.openxmlformats.org/officeDocument/2006/relationships/hyperlink" Target="https://fuelcellsworks.com/news/hystar-to-supply-its-world-leading-electrolyser-for-polands-largest-private-energy-group/" TargetMode="External"/><Relationship Id="rId1142" Type="http://schemas.openxmlformats.org/officeDocument/2006/relationships/hyperlink" Target="https://www.projects.eao.gov.bc.ca/p/650b5adc5d77c20022fb59fc/project-details" TargetMode="External"/><Relationship Id="rId86" Type="http://schemas.openxmlformats.org/officeDocument/2006/relationships/hyperlink" Target="https://www.ocap.nl/nl/" TargetMode="External"/><Relationship Id="rId817" Type="http://schemas.openxmlformats.org/officeDocument/2006/relationships/hyperlink" Target="https://news.cision.com/aker-horizons/r/aker-horizons-and-vng-sign-letter-of-intent-to-supply-green-ammonia-from-norway-to-germany,c3765868" TargetMode="External"/><Relationship Id="rId1002" Type="http://schemas.openxmlformats.org/officeDocument/2006/relationships/hyperlink" Target="https://www.caissedesdepots.fr/sites/default/files/2021-02/CP%20CEF%20-%20TBF%20-%20HYDROGEN%20FUEL%20FOR%20PARIS%20HYSETCO%2016022021.pdf" TargetMode="External"/><Relationship Id="rId1307" Type="http://schemas.openxmlformats.org/officeDocument/2006/relationships/hyperlink" Target="https://www.greennorth.energy/en/news/green-north-energy-to-replicate-its-business-finland-funded-hydrogen-plant-concept-in-pori-and-kemi-aiming-for-finlands-self-sufficiency-in-ammonia-production/" TargetMode="External"/><Relationship Id="rId13" Type="http://schemas.openxmlformats.org/officeDocument/2006/relationships/hyperlink" Target="https://www.equinor.com/en/news/evaluating-conversion-natural-gas-hydrogen.html"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cincodias.elpais.com/cincodias/2021/01/29/companias/1611950644_648508.html?id_externo_rsoc=TW_CC" TargetMode="External"/><Relationship Id="rId1097" Type="http://schemas.openxmlformats.org/officeDocument/2006/relationships/hyperlink" Target="https://www.prnewswire.com/news-releases/air-products-to-invest-about-500-million-to-build-green-hydrogen-production-facility-in-new-york-301642745.html" TargetMode="External"/><Relationship Id="rId674" Type="http://schemas.openxmlformats.org/officeDocument/2006/relationships/hyperlink" Target="https://ir.q4europe.com/Tools/newsArticleHTML.aspx?solutionID=3512&amp;customerKey=itmpower&amp;storyID=14682293&amp;language=en" TargetMode="External"/><Relationship Id="rId881" Type="http://schemas.openxmlformats.org/officeDocument/2006/relationships/hyperlink" Target="https://www.hydeal.com/copie-de-hydeal-ambition" TargetMode="External"/><Relationship Id="rId979" Type="http://schemas.openxmlformats.org/officeDocument/2006/relationships/hyperlink" Target="https://www.biobiochile.cl/especial/aqui-tierra/noticias/2022/11/23/podria-operar-en-2024-chile-estrenara-su-primer-tren-cero-emisiones-con-100-hidrogeno-verde.shtml"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vatgas.se/2021/09/07/strandmollen-ab-far-investeringsstod-fran-klimatklivet-for-vatgasproduktion/" TargetMode="External"/><Relationship Id="rId741" Type="http://schemas.openxmlformats.org/officeDocument/2006/relationships/hyperlink" Target="https://www.independent.ie/business/irish/ei-h2-and-zenith-announce-plans-for-green-hydrogen-plant-in-bantry-bay-40623074.html" TargetMode="External"/><Relationship Id="rId839" Type="http://schemas.openxmlformats.org/officeDocument/2006/relationships/hyperlink" Target="https://www.cepsa.com/en/press/first-green-hydrogen-corridor" TargetMode="External"/><Relationship Id="rId1164" Type="http://schemas.openxmlformats.org/officeDocument/2006/relationships/hyperlink" Target="https://reneweconomy.com.au/investors-scrap-pioneering-green-hydrogen-plant-in-germany-because-of-costs/"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www.spglobal.com/platts/en/market-insights/podcasts/oil/012722-good-bad-ugly-asian-oil-markets-2022-gasoline-gasoil-jet-fuel" TargetMode="External"/><Relationship Id="rId1024" Type="http://schemas.openxmlformats.org/officeDocument/2006/relationships/hyperlink" Target="https://flexens.com/flexens-and-hydre-collaborate-to-launch-hydrogen-transport-in-finland-letter-of-intent-signed-with-lempaalan-energia/" TargetMode="External"/><Relationship Id="rId1231" Type="http://schemas.openxmlformats.org/officeDocument/2006/relationships/hyperlink" Target="https://governor.wv.gov/News/press-releases/2023/Pages/Gov.-Justice-announces-Fidelis-New-Energy-to-build-hydrogen-project-and-data-center-campus-in-Mason-County.aspx"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h2argus.com/assets/p1-ponyativka-green-hydrogen_ammonia-pv-wind-hydro_whiter.pdf" TargetMode="External"/><Relationship Id="rId685" Type="http://schemas.openxmlformats.org/officeDocument/2006/relationships/hyperlink" Target="https://hydrogen-central.com/alliander-groenleven-solar-rays-hydrogen-netherlands/" TargetMode="External"/><Relationship Id="rId892" Type="http://schemas.openxmlformats.org/officeDocument/2006/relationships/hyperlink" Target="https://engage.geelongport.com.au/geelonghydrogenhub" TargetMode="External"/><Relationship Id="rId906" Type="http://schemas.openxmlformats.org/officeDocument/2006/relationships/hyperlink" Target="https://energynews.biz/hanyang-and-linde-to-create-blue-hydrogen-production-cluster-in-jeonnam/" TargetMode="External"/><Relationship Id="rId1329" Type="http://schemas.openxmlformats.org/officeDocument/2006/relationships/hyperlink" Target="https://ren-gas.com/en/projekti/lahti-2/"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fuelcellsworks.com/news/hydrogen-greek-companies-participating-in-the-5-major-eu-projects-get-greek-govt-approval/" TargetMode="External"/><Relationship Id="rId752" Type="http://schemas.openxmlformats.org/officeDocument/2006/relationships/hyperlink" Target="https://www.world-nuclear-news.org/Articles/US-DOE-funds-hydrogen-production-from-nuclear-powe" TargetMode="External"/><Relationship Id="rId1175" Type="http://schemas.openxmlformats.org/officeDocument/2006/relationships/hyperlink" Target="https://www.maersk.com/news/articles/2023/11/22/maersk-signs-landmark-green-methanol-offtake-agreement"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www.argusmedia.com/en/news/2270376-fortescue-plans-argentina-green-hydrogen-project" TargetMode="External"/><Relationship Id="rId1035" Type="http://schemas.openxmlformats.org/officeDocument/2006/relationships/hyperlink" Target="https://solarquarter.com/2023/04/24/omans-first-green-ammonia-plant-by-acme-to-launch-by-mid-2025-in-duqm-sez/" TargetMode="External"/><Relationship Id="rId1242" Type="http://schemas.openxmlformats.org/officeDocument/2006/relationships/hyperlink" Target="https://direct.argusmedia.com/newsandanalysis/Article/2541309"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hexagonresources.com/wp-content/uploads/2021/03/HXG4335_Draft4_Roadshow-Presentation_FINAL-LGv2_full-version.pdf" TargetMode="External"/><Relationship Id="rId696" Type="http://schemas.openxmlformats.org/officeDocument/2006/relationships/hyperlink" Target="https://www.zepak.com.pl/en/clean-poland/hydrogen-production-at-ze-pak-sa.html" TargetMode="External"/><Relationship Id="rId917" Type="http://schemas.openxmlformats.org/officeDocument/2006/relationships/hyperlink" Target="https://www.energate-messenger.com/news/210798/companies-pool-investments-of-1-3-billion-euros-for-green-hydrogen" TargetMode="External"/><Relationship Id="rId1102" Type="http://schemas.openxmlformats.org/officeDocument/2006/relationships/hyperlink" Target="https://renewablesnow.com/news/ewe-plans-320-mw-green-hydrogen-plant-on-germanys-north-sea-coast-803869/"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www.reuters.com/world/middle-east/egypt-agrees-5-bln-deal-with-norways-scatec-green-ammonia-project-2022-03-10/" TargetMode="External"/><Relationship Id="rId763" Type="http://schemas.openxmlformats.org/officeDocument/2006/relationships/hyperlink" Target="https://s29.q4cdn.com/600973483/files/doc_financials/2022/q4/PLUG-4Q22-Investor-Letter-FINAL.pdf" TargetMode="External"/><Relationship Id="rId1186" Type="http://schemas.openxmlformats.org/officeDocument/2006/relationships/hyperlink" Target="https://www.chinadaily.com.cn/a/202306/30/WS649e36c8a310bf8a75d6c825.html"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direct.argusmedia.com/newsandanalysis/Article/2404840" TargetMode="External"/><Relationship Id="rId1046" Type="http://schemas.openxmlformats.org/officeDocument/2006/relationships/hyperlink" Target="https://investor.fce.com/press-releases/press-release-details/2023/FuelCell-Energy-and-Toyota-Announce-Completion-of-Worlds-First-Tri-gen-Production-System/default.aspx" TargetMode="External"/><Relationship Id="rId1253" Type="http://schemas.openxmlformats.org/officeDocument/2006/relationships/hyperlink" Target="https://www.portalminero.com/wp/verano-energy-ingresa-a-evaluacion-ambiental-proyecto-para-la-produccion-de-hidrogeno-y-amoniaco-verde-en-peru/" TargetMode="External"/><Relationship Id="rId623" Type="http://schemas.openxmlformats.org/officeDocument/2006/relationships/hyperlink" Target="https://www.expansion.com/empresas/energia/2021/01/10/5ffada9f468aebdd0a8b4611.html" TargetMode="External"/><Relationship Id="rId830" Type="http://schemas.openxmlformats.org/officeDocument/2006/relationships/hyperlink" Target="https://www.atomeplc.com/projects/iceland/" TargetMode="External"/><Relationship Id="rId928" Type="http://schemas.openxmlformats.org/officeDocument/2006/relationships/hyperlink" Target="https://direct.argusmedia.com/newsandanalysis/Article/2453115"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fuelcellsworks.com/news/romanias-hidroelectrica-plans-green-hydrogen-production-on-the-danube/" TargetMode="External"/><Relationship Id="rId1113" Type="http://schemas.openxmlformats.org/officeDocument/2006/relationships/hyperlink" Target="https://fortescue.com/news-and-media/news/2023/07/20/fortescue-future-industries-makes-major-investment-in-american-green-energy-jobs-with-purchase-of-phoenix-hydrogen-hub" TargetMode="External"/><Relationship Id="rId1197" Type="http://schemas.openxmlformats.org/officeDocument/2006/relationships/hyperlink" Target="https://cmb.tech/news/cleanergy-solutions-namibia-kicks-off-construction-works-for-africas-first-public-refuelling-station-with-onsite-green-hydrogen-production" TargetMode="External"/><Relationship Id="rId1320" Type="http://schemas.openxmlformats.org/officeDocument/2006/relationships/hyperlink" Target="https://gcenode.no/news/giant-hydrogen-plans-in-kvinesdal/"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www.ir.plugpower.com/press-releases/news-details/2022/Plug-Secures-5-MW-Electrolyzer-Sale-to-Leading-Canadian-Energy-Company-Irving-Oil/default.aspx" TargetMode="External"/><Relationship Id="rId981" Type="http://schemas.openxmlformats.org/officeDocument/2006/relationships/hyperlink" Target="https://h2lac.org/noticias/planta-piloto-movil-de-h2v-permitira-cuantificar-el-potencial-de-generacion-de-la-region-de-antofagasta/" TargetMode="External"/><Relationship Id="rId1057" Type="http://schemas.openxmlformats.org/officeDocument/2006/relationships/hyperlink" Target="https://direct.argusmedia.com/newsandanalysis/Article/2488273"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www.watoday.com.au/politics/western-australia/wesfarmers-and-mitsui-look-at-1-billion-plus-wa-low-carbon-ammonia-export-20211003-p58wsn.html" TargetMode="External"/><Relationship Id="rId841" Type="http://schemas.openxmlformats.org/officeDocument/2006/relationships/hyperlink" Target="https://www.globalconstructionreview.com/norways-scatec-to-build-450m-green-fuel-plant-in-egypt/" TargetMode="External"/><Relationship Id="rId1264" Type="http://schemas.openxmlformats.org/officeDocument/2006/relationships/hyperlink" Target="https://totalenergies.com/media/news/press-releases/germany-totalenergies-and-vng-join-forces-green-hydrogen-decarbonize-leuna"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portodeaveiro.pt/webinar-decarbonising-small-medium-ports/pdfs/session-two/8-Bulgarian-Romanian-Cooperation-Maria-Tzancova-&amp;-Forin-Nemtanu.pdf" TargetMode="External"/><Relationship Id="rId701" Type="http://schemas.openxmlformats.org/officeDocument/2006/relationships/hyperlink" Target="https://www.sunfire.de/en/news/detail/rwe-realizes-electrolysis-project-with-sunfire" TargetMode="External"/><Relationship Id="rId939"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124" Type="http://schemas.openxmlformats.org/officeDocument/2006/relationships/hyperlink" Target="https://www.gov.uk/government/publications/hydrogen-production-business-model-net-zero-hydrogen-fund-shortlisted-projects/hydrogen-business-model-net-zero-hydrogen-fund-shortlisted-projects-allocation-round-2022" TargetMode="External"/><Relationship Id="rId1331" Type="http://schemas.openxmlformats.org/officeDocument/2006/relationships/hyperlink" Target="https://ren-gas.com/en/projekti/mikkeli-2/"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mcphy.com/en/achievements/hydrogen-mobility-en/dijon-metropole-smart-energhy-dmse/?cn-reloaded=1" TargetMode="External"/><Relationship Id="rId785"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2" Type="http://schemas.openxmlformats.org/officeDocument/2006/relationships/hyperlink" Target="https://vighy.france-hydrogene.org/projets/ecoh2-breizh1/"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news.bjx.com.cn/html/20220526/1228289.shtml?utm_campaign=China%20Clean%20Energy%20Syndicate%20&amp;utm_medium=email&amp;utm_source=Revue%20newsletter" TargetMode="External"/><Relationship Id="rId852" Type="http://schemas.openxmlformats.org/officeDocument/2006/relationships/hyperlink" Target="https://nelhydrogen.com/press-release/nel-asa-everwind-fuels-has-elected-nel-to-participate-in-the-feed-study-for-the-point-tupper-project/" TargetMode="External"/><Relationship Id="rId1068" Type="http://schemas.openxmlformats.org/officeDocument/2006/relationships/hyperlink" Target="https://direct.argusmedia.com/newsandanalysis/Article/2487032" TargetMode="External"/><Relationship Id="rId1275" Type="http://schemas.openxmlformats.org/officeDocument/2006/relationships/hyperlink" Target="https://www.fnmgroup.it/h2iseo_hydrogen_valley/"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www.capitalenergetico.cl/wp-content/uploads/2021/03/La-Economia-Verde-Final-Plug-Power.pdf" TargetMode="External"/><Relationship Id="rId505" Type="http://schemas.openxmlformats.org/officeDocument/2006/relationships/hyperlink" Target="https://www.spglobal.com/marketintelligence/en/news-insights/latest-news-headlines/new-jersey-resources-plots-new-strategy-focused-on-renewable-energy-61510875" TargetMode="External"/><Relationship Id="rId712" Type="http://schemas.openxmlformats.org/officeDocument/2006/relationships/hyperlink" Target="https://www.zepak.com.pl/en/about-us/press-office/news/12534-green-hydrogen-in-zepak.html" TargetMode="External"/><Relationship Id="rId1135" Type="http://schemas.openxmlformats.org/officeDocument/2006/relationships/hyperlink" Target="https://direct.argusmedia.com/newsandanalysis/article/2500004" TargetMode="External"/><Relationship Id="rId1342" Type="http://schemas.openxmlformats.org/officeDocument/2006/relationships/hyperlink" Target="https://direct.argusmedia.com/newsandanalysis/Article/2600505"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mitsubishicorp.com/jp/en/pr/archive/2021/html/0000046720.html" TargetMode="External"/><Relationship Id="rId796" Type="http://schemas.openxmlformats.org/officeDocument/2006/relationships/hyperlink" Target="https://www.rechargenews.com/energy-transition/us-start-up-to-build-turquoise-hydrogen-pilot-plant-after-securing-funding-from-major-energy-players/2-1-1240970" TargetMode="External"/><Relationship Id="rId1202" Type="http://schemas.openxmlformats.org/officeDocument/2006/relationships/hyperlink" Target="https://www.viessmann.family/en/what-we-offer/climate-solutions/hydrogen/smartquart-a-complete-hydrogen-infrastructure-is-being-built-in-kaisersesch.html"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eng.heroya-industripark.no/latest-news/first-step-towards-full-decarbonisation-of-the-ammonia-plant-at-heroeya" TargetMode="External"/><Relationship Id="rId863" Type="http://schemas.openxmlformats.org/officeDocument/2006/relationships/hyperlink" Target="https://www.ohpsa.sa.gov.au/about-the-project" TargetMode="External"/><Relationship Id="rId1079" Type="http://schemas.openxmlformats.org/officeDocument/2006/relationships/hyperlink" Target="https://direct.argusmedia.com/newsandanalysis/Article/2481001" TargetMode="External"/><Relationship Id="rId1286" Type="http://schemas.openxmlformats.org/officeDocument/2006/relationships/hyperlink" Target="https://vivahuelva.es/sevilla/1319031/ignis-invertira-352-millones-de-euros-en-la-planta-de-amoniaco-verde-del-puerto/"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fuelcellsworks.com/news/infinite-blue-energy-signs-mou-with-strike-energys-project-haber/?mc_cid=e014ff7079&amp;mc_eid=da4624d261" TargetMode="External"/><Relationship Id="rId1146" Type="http://schemas.openxmlformats.org/officeDocument/2006/relationships/hyperlink" Target="https://hidrogeno-verde.es/planta-de-produccion-hidrogeno-garray-soria/" TargetMode="External"/><Relationship Id="rId723" Type="http://schemas.openxmlformats.org/officeDocument/2006/relationships/hyperlink" Target="https://www.latribune.fr/entreprises-finance/transitions-ecologiques/hydrogene-les-dix-travaux-d-h2-loire-vallee-881643.html" TargetMode="External"/><Relationship Id="rId930" Type="http://schemas.openxmlformats.org/officeDocument/2006/relationships/hyperlink" Target="https://direct.argusmedia.com/newsandanalysis/Article/2456404" TargetMode="External"/><Relationship Id="rId1006" Type="http://schemas.openxmlformats.org/officeDocument/2006/relationships/hyperlink" Target="https://www.wiva.at/wp-content/uploads/2022/10/05_UpHy_Uitz.pdf" TargetMode="External"/><Relationship Id="rId1353" Type="http://schemas.openxmlformats.org/officeDocument/2006/relationships/hyperlink" Target="https://direct.argusmedia.com/newsandanalysis/Article/2581240"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1213" Type="http://schemas.openxmlformats.org/officeDocument/2006/relationships/hyperlink" Target="https://7fidelity.com/jga/" TargetMode="External"/><Relationship Id="rId1297" Type="http://schemas.openxmlformats.org/officeDocument/2006/relationships/hyperlink" Target="https://projetoh2.com.br/brasil-qair-recebeu-aprovacao-em-projeto-de-h2v-no-porto-de-suape/"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fuelcellsworks.com/news/ineos-announces-over-e2-billion-investment-in-green-hydrogen-production/?mc_cid=8a8bc1ef04&amp;mc_eid=da4624d261" TargetMode="External"/><Relationship Id="rId874"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www.business-live.co.uk/manufacturing/energy-giants-uniper-shell-unite-23666723" TargetMode="External"/><Relationship Id="rId734" Type="http://schemas.openxmlformats.org/officeDocument/2006/relationships/hyperlink" Target="https://energia.gob.cl/sites/default/files/documentos/green_h2_strategy_chile.pdf" TargetMode="External"/><Relationship Id="rId941" Type="http://schemas.openxmlformats.org/officeDocument/2006/relationships/hyperlink" Target="https://hydronews.it/a-nextchem-lo-studio-di-fattibilita-di-un-impianto-di-produzione-di-metanolo-green-da-h2-co2-in-puglia/" TargetMode="External"/><Relationship Id="rId1157" Type="http://schemas.openxmlformats.org/officeDocument/2006/relationships/hyperlink" Target="https://h2v.eu/hydrogen-valleys/h2crete-valley-project"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www.ofgem.gov.uk/sites/default/files/docs/2019/04/nic_isp_vattenfall_ng.pdf" TargetMode="External"/><Relationship Id="rId801" Type="http://schemas.openxmlformats.org/officeDocument/2006/relationships/hyperlink" Target="https://www.yara.com/news-and-media/news/archive/news-2022/yara-acme-and-scatec-sign-term-sheet-for-sale-of-green-ammonia-from-oman/" TargetMode="External"/><Relationship Id="rId1017" Type="http://schemas.openxmlformats.org/officeDocument/2006/relationships/hyperlink" Target="https://h2cluster.fi/projects/" TargetMode="External"/><Relationship Id="rId1224" Type="http://schemas.openxmlformats.org/officeDocument/2006/relationships/hyperlink" Target="https://direct.argusmedia.com/newsandanalysis/Article/2562627"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djewels.eu/final-permit-for-pioneering-green-hydrogen-project-djewels/" TargetMode="External"/><Relationship Id="rId885" Type="http://schemas.openxmlformats.org/officeDocument/2006/relationships/hyperlink" Target="https://www.technipenergies.com/en/media/news/hy2gen-ag-commissions-technip-energies-complete-pre-feed-study-its-renewable-hydrogen" TargetMode="External"/><Relationship Id="rId1070" Type="http://schemas.openxmlformats.org/officeDocument/2006/relationships/hyperlink" Target="https://direct.argusmedia.com/newsandanalysis/Article/2482294"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www.upstreamonline.com/hydrogen/santos-looking-to-supply-blue-hydrogen-to-new-south-wales-in-study-with-qenos/2-1-1093360" TargetMode="External"/><Relationship Id="rId745" Type="http://schemas.openxmlformats.org/officeDocument/2006/relationships/hyperlink" Target="https://www.spglobal.com/platts/es/market-insights/latest-news/electric-power/012822-linde-engineering-wins-24-mw-electrolyzer-order-from-yara-norge" TargetMode="External"/><Relationship Id="rId952" Type="http://schemas.openxmlformats.org/officeDocument/2006/relationships/hyperlink" Target="https://renewablesnow.com/news/hynfra-plans-200000-tonnes-green-ammonia-plant-in-jordan-827164/" TargetMode="External"/><Relationship Id="rId1168" Type="http://schemas.openxmlformats.org/officeDocument/2006/relationships/hyperlink" Target="https://energynews.biz/h-tec-systems-pem-electrolyser-powers-hydrogen-lab-bremerhaven/"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research.csiro.au/hyresource/sun-metals-hydrogen-queensland-sunhq-project/" TargetMode="External"/><Relationship Id="rId605" Type="http://schemas.openxmlformats.org/officeDocument/2006/relationships/hyperlink" Target="http://mecc.sinosteel.com/En/news_content.aspx?id=3778" TargetMode="External"/><Relationship Id="rId812" Type="http://schemas.openxmlformats.org/officeDocument/2006/relationships/hyperlink" Target="https://catalinaptx.com/" TargetMode="External"/><Relationship Id="rId1028" Type="http://schemas.openxmlformats.org/officeDocument/2006/relationships/hyperlink" Target="https://www.globenewswire.com/en/news-release/2023/02/16/2609396/0/en/Fusion-Fuel-Signs-Terms-of-Acceptance-with-Portuguese-Prime-Minister-Antonio-Costa-for-10-Million-Component-14-Grant.html" TargetMode="External"/><Relationship Id="rId1235" Type="http://schemas.openxmlformats.org/officeDocument/2006/relationships/hyperlink" Target="https://direct.argusmedia.com/newsandanalysis/Article/2502785"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www.fusion-fuel.eu/projects/europe-middle-east-africa/portugal/hevo-sul/" TargetMode="External"/><Relationship Id="rId896" Type="http://schemas.openxmlformats.org/officeDocument/2006/relationships/hyperlink" Target="https://fuelcellsworks.com/news/petronas-partners-eneos-for-first-commercial-scale-hydrogen-to-mch-project/?mc_cid=07efbb08b8&amp;mc_eid=da4624d261" TargetMode="External"/><Relationship Id="rId1081" Type="http://schemas.openxmlformats.org/officeDocument/2006/relationships/hyperlink" Target="https://direct.argusmedia.com/newsandanalysis/Article/2493360" TargetMode="External"/><Relationship Id="rId1302" Type="http://schemas.openxmlformats.org/officeDocument/2006/relationships/hyperlink" Target="https://www.topsoe.com/press-releases/worlds-first-of-its-kind-green-ammonia-plant-inaugurated-by-skovgaard-energy-vestas-and-topsoe"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www.canarymedia.com/articles/hydrogen/massive-green-hydrogen-hub-in-utah-wins-504m-federal-loan-guarantee" TargetMode="External"/><Relationship Id="rId756" Type="http://schemas.openxmlformats.org/officeDocument/2006/relationships/hyperlink" Target="https://www.octohydrogen.com/press-releases/octopus-hydrogen-wins-net-zero-hydrogen-funding-for-15-mw-scotland-electrolysis-project" TargetMode="External"/><Relationship Id="rId1179" Type="http://schemas.openxmlformats.org/officeDocument/2006/relationships/hyperlink" Target="https://direct.argusmedia.com/newsandanalysis/Article/2515556"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direct.argusmedia.com/newsandanalysis/Article/2412656" TargetMode="External"/><Relationship Id="rId1039" Type="http://schemas.openxmlformats.org/officeDocument/2006/relationships/hyperlink" Target="https://direct.argusmedia.com/newsandanalysis/Article/2466217" TargetMode="External"/><Relationship Id="rId1246" Type="http://schemas.openxmlformats.org/officeDocument/2006/relationships/hyperlink" Target="https://direct.argusmedia.com/newsandanalysis/Article/2423789"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norsk-e-fuel.com/articles/coming-soon-green-jet-fuel-from-mosjoen" TargetMode="External"/><Relationship Id="rId823" Type="http://schemas.openxmlformats.org/officeDocument/2006/relationships/hyperlink" Target="https://www.upstreamonline.com/hydrogen/baofeng-energy-brings-worlds-largest-green-hydrogen-project-on-line-in-china/2-1-116122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euters.com/business/sustainable-business/chinas-sinopec-targets-500000-t-green-hydrogen-capacity-by-2025-2021-06-09/" TargetMode="External"/><Relationship Id="rId1092" Type="http://schemas.openxmlformats.org/officeDocument/2006/relationships/hyperlink" Target="https://www.reuters.com/business/cop/mauritania-bp-explore-green-hydrogen-projects-2022-11-08/" TargetMode="External"/><Relationship Id="rId1106" Type="http://schemas.openxmlformats.org/officeDocument/2006/relationships/hyperlink" Target="https://direct.argusmedia.com/newsandanalysis/Article/2495021" TargetMode="External"/><Relationship Id="rId1313" Type="http://schemas.openxmlformats.org/officeDocument/2006/relationships/hyperlink" Target="https://www.gronregionvestland.no/vaare-hubbar/hardanger-hydrogen-hub"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en.newsroom.engie.com/news/engie-has-reached-an-important-milestone-in-the-australian-renewable-hydrogen-project-with-yara-8e5c-314df.html" TargetMode="External"/><Relationship Id="rId974" Type="http://schemas.openxmlformats.org/officeDocument/2006/relationships/hyperlink" Target="https://fuelcellsworks.com/news/walmart-chile-initiates-plan-to-operate-100-of-its-green-hydrogen-logistics-network/?mc_cid=be1ca95ecf&amp;mc_eid=da4624d261"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www.euractiv.com/section/energy/opinion/why-green-ammonia-will-be-the-workhorse-of-eus-future-hydrogen-economy/" TargetMode="External"/><Relationship Id="rId834" Type="http://schemas.openxmlformats.org/officeDocument/2006/relationships/hyperlink" Target="https://www.ammoniaenergy.org/articles/trafigura-plans-new-green-export-project-in-south-australia/" TargetMode="External"/><Relationship Id="rId1257" Type="http://schemas.openxmlformats.org/officeDocument/2006/relationships/hyperlink" Target="https://direct.argusmedia.com/newsandanalysis/Article/2547706"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elvagonpurpura.com/heilbronn-quiere-enviar-trenes-llenos-de-hidrogeno-verde-a-karlsruhe/" TargetMode="External"/><Relationship Id="rId680" Type="http://schemas.openxmlformats.org/officeDocument/2006/relationships/hyperlink" Target="https://www.linde.com/news-media/press-releases/2022/linde-inaugurates-world-s-first-hydrogen-refueling-system-for-passenger-trains" TargetMode="External"/><Relationship Id="rId901" Type="http://schemas.openxmlformats.org/officeDocument/2006/relationships/hyperlink" Target="https://ausfutureenergy.com/project/gladstone-energy-and-ammonia-project/" TargetMode="External"/><Relationship Id="rId1117" Type="http://schemas.openxmlformats.org/officeDocument/2006/relationships/hyperlink" Target="https://www.hydrogeninsight.com/production/second-major-blue-hydrogen-project-reaches-final-investment-decision-in-rotterdam/2-1-1574743" TargetMode="External"/><Relationship Id="rId1324" Type="http://schemas.openxmlformats.org/officeDocument/2006/relationships/hyperlink" Target="https://avinor.no/globalassets/_konsern/miljo-lokal/miljorapporter/hydrogen-supply-to-norwegian-airports_240108_update.pdf"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offshorewind.biz/2022/05/17/sif-ge-and-pondera-team-up-on-off-grid-offshore-wind-to-hydrogen-project/" TargetMode="External"/><Relationship Id="rId778" Type="http://schemas.openxmlformats.org/officeDocument/2006/relationships/hyperlink" Target="https://www.greenhydrogennz.com/" TargetMode="External"/><Relationship Id="rId985" Type="http://schemas.openxmlformats.org/officeDocument/2006/relationships/hyperlink" Target="https://hydrogen-central.com/opening-hydrogen-production-plant-kubel-power-plant/" TargetMode="External"/><Relationship Id="rId1170" Type="http://schemas.openxmlformats.org/officeDocument/2006/relationships/hyperlink" Target="https://direct.argusmedia.com/newsandanalysis/Article/2506358" TargetMode="External"/><Relationship Id="rId638" Type="http://schemas.openxmlformats.org/officeDocument/2006/relationships/hyperlink" Target="https://www.pv-magazine.com/2021/01/29/solar-powered-hydrogen-for-masdar-city/" TargetMode="External"/><Relationship Id="rId845" Type="http://schemas.openxmlformats.org/officeDocument/2006/relationships/hyperlink" Target="https://www.acwapower.com/news/acwa-power-to-develop-uzbekistans-first-green-hydrogen-and-green-ammonia-projects/" TargetMode="External"/><Relationship Id="rId1030" Type="http://schemas.openxmlformats.org/officeDocument/2006/relationships/hyperlink" Target="https://www.san-group.com/news/opening-of-first-green-hydrogen-production-in-lower-austria" TargetMode="External"/><Relationship Id="rId1268" Type="http://schemas.openxmlformats.org/officeDocument/2006/relationships/hyperlink" Target="https://www.enapter.com/de/enapter-news/4-mw-scale-aem-electrolysers-sold-to-italy-new-aem-flex-120-video-out-and-much-more/"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grande-region-hydrogen.eu/en/projects/h2v-warndt-naborien-h2v-wn/" TargetMode="External"/><Relationship Id="rId705" Type="http://schemas.openxmlformats.org/officeDocument/2006/relationships/hyperlink" Target="https://climate.ec.europa.eu/system/files/2022-07/if_pf_2021_h2valcamonica_en.pdf" TargetMode="External"/><Relationship Id="rId1128" Type="http://schemas.openxmlformats.org/officeDocument/2006/relationships/hyperlink" Target="https://www.lenergygroup.com/adjudican-licitacion-internacional-para-epc-de-electrolizadores-de-hidrogeno-verde-en-peru/" TargetMode="External"/><Relationship Id="rId1335" Type="http://schemas.openxmlformats.org/officeDocument/2006/relationships/hyperlink" Target="https://www.kauppalehti.fi/kumppanisisallot/kouvola-innovation/vihrea-vety-ja-kiertotalouden-maksimointi-nain-kouvolalaiset-yritykset-taistelevat-ilmastonmuutosta-vastaan/"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nrel.gov/aries/annual-report-2021/index.html" TargetMode="External"/><Relationship Id="rId789" Type="http://schemas.openxmlformats.org/officeDocument/2006/relationships/hyperlink" Target="https://www.castanet.net/news/BC/416117/Hydra-Energys-62M-hydrogen-production-plant-approved-in-Prince-George" TargetMode="External"/><Relationship Id="rId912" Type="http://schemas.openxmlformats.org/officeDocument/2006/relationships/hyperlink" Target="https://energynews.biz/mytilineos-invests-in-rosedale-green-hydrogen-project/" TargetMode="External"/><Relationship Id="rId996" Type="http://schemas.openxmlformats.org/officeDocument/2006/relationships/hyperlink" Target="https://vighy.france-hydrogene.org/projets/dephy2a-bastia/"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www.ir.plugpower.com/press-releases/news-details/2022/MOL-GROUP-Launches-Green-Hydrogen-Production-Using-Plug-Electrolyzers/default.aspx" TargetMode="External"/><Relationship Id="rId649" Type="http://schemas.openxmlformats.org/officeDocument/2006/relationships/hyperlink" Target="https://cen.acs.org/business/Chemical-makers-plan-blue-ammonia/100/i16" TargetMode="External"/><Relationship Id="rId856" Type="http://schemas.openxmlformats.org/officeDocument/2006/relationships/hyperlink" Target="https://igeh2.com/" TargetMode="External"/><Relationship Id="rId1181" Type="http://schemas.openxmlformats.org/officeDocument/2006/relationships/hyperlink" Target="https://www.hydrogen-lab.de/" TargetMode="External"/><Relationship Id="rId1279" Type="http://schemas.openxmlformats.org/officeDocument/2006/relationships/hyperlink" Target="https://www.offshore-energy.biz/dai-to-collaborate-with-siemens-energy-on-green-ammonia-project-in-egypt/"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s://sghydrogen.com/" TargetMode="External"/><Relationship Id="rId1041" Type="http://schemas.openxmlformats.org/officeDocument/2006/relationships/hyperlink" Target="https://direct.argusmedia.com/newsandanalysis/Article/2474746" TargetMode="External"/><Relationship Id="rId1139" Type="http://schemas.openxmlformats.org/officeDocument/2006/relationships/hyperlink" Target="https://direct.argusmedia.com/newsandanalysis/Article/2502042" TargetMode="External"/><Relationship Id="rId1346" Type="http://schemas.openxmlformats.org/officeDocument/2006/relationships/hyperlink" Target="https://direct.argusmedia.com/newsandanalysis/Article/2600209" TargetMode="External"/><Relationship Id="rId495" Type="http://schemas.openxmlformats.org/officeDocument/2006/relationships/hyperlink" Target="https://renewablesnow.com/news/douglas-county-pud-launches-5-mw-green-hydrogen-pilot-in-washington-state-734291/" TargetMode="External"/><Relationship Id="rId716" Type="http://schemas.openxmlformats.org/officeDocument/2006/relationships/hyperlink" Target="https://www.planetaryhydrogen.com/news/" TargetMode="External"/><Relationship Id="rId923" Type="http://schemas.openxmlformats.org/officeDocument/2006/relationships/hyperlink" Target="https://www.greencarcongress.com/2021/11/20211118-neste.html"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energycapitalpower.com/h2-industries-receives-preliminary-approval-for-3-billion-waste-to-hydrogen-plant-in-egypt/" TargetMode="External"/><Relationship Id="rId1192" Type="http://schemas.openxmlformats.org/officeDocument/2006/relationships/hyperlink" Target="https://calgaryherald.com/opinion/columnists/varcoe-dow-to-invest-8-8-billion-in-alberta-net-zero-petrochemical-project" TargetMode="External"/><Relationship Id="rId1206" Type="http://schemas.openxmlformats.org/officeDocument/2006/relationships/hyperlink" Target="https://www.forbes.com/sites/davidblekhman/2023/10/12/hydrogen-hub-prototype-in-norwegian-fjords-nordic-notes/?sh=6a9e313d6a85"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portocentral.com.br/en/cei-energetica-e-porto-central-assinam-para-o-desenvolvimento-de-projeto-de-hidrogenio-verde/" TargetMode="External"/><Relationship Id="rId1052" Type="http://schemas.openxmlformats.org/officeDocument/2006/relationships/hyperlink" Target="https://direct.argusmedia.com/newsandanalysis/article/2438394"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fuelcellsworks.com/news/basque-hydrogen-corridor-unveiled-a-e1-3billion-hydrogen-project/" TargetMode="External"/><Relationship Id="rId934" Type="http://schemas.openxmlformats.org/officeDocument/2006/relationships/hyperlink" Target="https://www.enapter.com/newsroom/dutch-energy-company-orders-megawatt-class-electrolyser" TargetMode="External"/><Relationship Id="rId1357" Type="http://schemas.openxmlformats.org/officeDocument/2006/relationships/hyperlink" Target="https://www.shell.com/news-and-insights/newsroom/news-and-media-releases/2024/shell-to-build-carbon-capture-and-storage-projects-in-canada.html"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bloomberg.com/press-releases/2021-07-08/avangrid-poised-to-build-green-hydrogen-future" TargetMode="External"/><Relationship Id="rId780" Type="http://schemas.openxmlformats.org/officeDocument/2006/relationships/hyperlink" Target="https://topsectorenergie.nl/documents/99/TKI_Nieuw_Gas-Overview_Hydrogen_projects_in_the_Netherlands_-_version_-_220627.pdf" TargetMode="External"/><Relationship Id="rId1217" Type="http://schemas.openxmlformats.org/officeDocument/2006/relationships/hyperlink" Target="https://www.gub.uy/presidencia/comunicacion/noticias/gobierno-anuncio-inversion-4000-millones-dolares-para-planta-hidrogeno-verde"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www.maersk.com/news/articles/2022/03/28/maersk-explores-new-ways-to-accelerate-green-fuel-production" TargetMode="External"/><Relationship Id="rId1063" Type="http://schemas.openxmlformats.org/officeDocument/2006/relationships/hyperlink" Target="https://research.csiro.au/hyresource/good-earth-green-hydrogen-and-ammonia-project/" TargetMode="External"/><Relationship Id="rId1270" Type="http://schemas.openxmlformats.org/officeDocument/2006/relationships/hyperlink" Target="https://abelenergy.com.au/thyssenkrupp-nucera-preferred-supplier-of-electrolysers" TargetMode="External"/><Relationship Id="rId640" Type="http://schemas.openxmlformats.org/officeDocument/2006/relationships/hyperlink" Target="https://www.ammoniaenergy.org/articles/cwp-global-taps-bechtel-to-help-develop-african-ammonia-projects/" TargetMode="External"/><Relationship Id="rId738" Type="http://schemas.openxmlformats.org/officeDocument/2006/relationships/hyperlink" Target="https://research.csiro.au/hyresource/desert-bloom-hydrogen/" TargetMode="External"/><Relationship Id="rId945" Type="http://schemas.openxmlformats.org/officeDocument/2006/relationships/hyperlink" Target="https://www.lainformacion.com/empresas/siemens-gamesa-hiperbaric-ariema-hidrogeno-navarra/2885011/"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chuneng.bjx.com.cn/news/20201015/1110001.shtml" TargetMode="External"/><Relationship Id="rId584" Type="http://schemas.openxmlformats.org/officeDocument/2006/relationships/hyperlink" Target="https://economictimes.indiatimes.com/industry/renewables/gail-to-set-up-green-hydrogen-plant-at-guna-in-mp/articleshow/91517347.cms" TargetMode="External"/><Relationship Id="rId805" Type="http://schemas.openxmlformats.org/officeDocument/2006/relationships/hyperlink" Target="https://www.gasunie.nl/en/projects/supercritical-water-gasification" TargetMode="External"/><Relationship Id="rId1130" Type="http://schemas.openxmlformats.org/officeDocument/2006/relationships/hyperlink" Target="https://www.uniper.energy/news/jera-americas-conocophillips-and-uniper-se-initiatives-to-source-low-carbon-hydrogenammonia-supply-from-us-gulf-coast-to-advance-the-global-energy-transition" TargetMode="External"/><Relationship Id="rId1228" Type="http://schemas.openxmlformats.org/officeDocument/2006/relationships/hyperlink" Target="https://natural-resources.canada.ca/science-and-data/funding-partnerships/opportunities/current-investments/heat-integrated-carbon-capture-and-storage-potash-mine/25243"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fuelcellsworks.com/news/sgh2-greener-than-green-hydrogen-plant-gets-green-light/" TargetMode="External"/><Relationship Id="rId889" Type="http://schemas.openxmlformats.org/officeDocument/2006/relationships/hyperlink" Target="https://www.h2v.eu/hydrogen-valleys/hy-fi-hydrogen-facility-initiative" TargetMode="External"/><Relationship Id="rId1074" Type="http://schemas.openxmlformats.org/officeDocument/2006/relationships/hyperlink" Target="https://direct.argusmedia.com/newsandanalysis/Article/2489603"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power-technology.com/comment/dhofar-green-hydrogen-scheme/" TargetMode="External"/><Relationship Id="rId749" Type="http://schemas.openxmlformats.org/officeDocument/2006/relationships/hyperlink" Target="https://hydrogen-central.com/cf-industries-signs-mou-jera-supply-500000-metric-tonnes-per-year-clean-ammonia/" TargetMode="External"/><Relationship Id="rId1281" Type="http://schemas.openxmlformats.org/officeDocument/2006/relationships/hyperlink" Target="https://elsewedyelectric.com/en/page?v=News%20Room&amp;i=ELSEWEDY%20ELECTRIC%20IN%20PARTNERSHIP%20WITH%20RENEW%20POWER%20SIGNS%20A%20FRAMEWORK%20AGREEMENT%20WITH%20THE%20GOVERNMENT%20OF%20EGYPT%20FOR%20A%20GREEN%20HYDROGEN%20PROJECT"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www.pertamina.com/en/news-room/news-release/supports-the-government.s-energy-transition-plan-this-is-pertamina.s-clean-energy-project" TargetMode="External"/><Relationship Id="rId609" Type="http://schemas.openxmlformats.org/officeDocument/2006/relationships/hyperlink" Target="https://environmental.pasenategop.com/wp-content/uploads/sites/34/2021/03/03.10.2021-Babb-Perry-KeyState-Senate-Energy-Comm.-Hearing-3.10.21.pdf" TargetMode="External"/><Relationship Id="rId956" Type="http://schemas.openxmlformats.org/officeDocument/2006/relationships/hyperlink" Target="https://www.hydrogeninsight.com/production/worlds-largest-construction-begins-at-chinas-biggest-green-ammonia-plant/2-1-1484607" TargetMode="External"/><Relationship Id="rId1141" Type="http://schemas.openxmlformats.org/officeDocument/2006/relationships/hyperlink" Target="https://fortescue.com/what-we-do/our-projects/gibson-island" TargetMode="External"/><Relationship Id="rId1239" Type="http://schemas.openxmlformats.org/officeDocument/2006/relationships/hyperlink" Target="https://www.icis.com/explore/resources/news/2022/07/08/10782971/india-s-gacl-ntpc-rel-to-produce-green-methanol-ammonia/"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hh2e.de/en/news/hh2e-and-met-group-establish-a-joint-project-company-to-develop-one-of-europes-largest-green-hydrogen-production-plants-in-lubmin-germany/" TargetMode="External"/><Relationship Id="rId816" Type="http://schemas.openxmlformats.org/officeDocument/2006/relationships/hyperlink" Target="https://h2-international.com/2023/02/14/cummins-engine-harnessing-the-power-of-niagara-falls-for-hydrogen/" TargetMode="External"/><Relationship Id="rId1001" Type="http://schemas.openxmlformats.org/officeDocument/2006/relationships/hyperlink" Target="https://vighy.france-hydrogene.org/projets/zero-emission-valley-zev/" TargetMode="External"/><Relationship Id="rId248" Type="http://schemas.openxmlformats.org/officeDocument/2006/relationships/hyperlink" Target="https://asianrehub.com/about/" TargetMode="External"/><Relationship Id="rId455" Type="http://schemas.openxmlformats.org/officeDocument/2006/relationships/hyperlink" Target="https://www.swb.de/ueber-swb/unternehmen/nachhaltigkeit/wasserstoff/clean-hydrogen-coastline" TargetMode="External"/><Relationship Id="rId662" Type="http://schemas.openxmlformats.org/officeDocument/2006/relationships/hyperlink" Target="http://h2est.ee/wp-content/uploads/2021/07/8_NeptHyne_from-Innovation-to-International-Cooperation_Tomasz-Pelc.pdf" TargetMode="External"/><Relationship Id="rId1085" Type="http://schemas.openxmlformats.org/officeDocument/2006/relationships/hyperlink" Target="https://private.cedigaz.org/newsreport_pdf/64e479cd7cb17_CNR62-16.pdf" TargetMode="External"/><Relationship Id="rId1292" Type="http://schemas.openxmlformats.org/officeDocument/2006/relationships/hyperlink" Target="https://www.keyera.com/investors/news/keyera-and-shell-sign-agreement-to-advance-clean-energy/" TargetMode="External"/><Relationship Id="rId1306" Type="http://schemas.openxmlformats.org/officeDocument/2006/relationships/hyperlink" Target="https://h2cluster.fi/projects/"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research.csiro.au/hyresource/h2kwinana/" TargetMode="External"/><Relationship Id="rId967" Type="http://schemas.openxmlformats.org/officeDocument/2006/relationships/hyperlink" Target="https://totalenergies.com/media/news/press-releases/united-states-totalenergies-and-tes-join-forces-develop-large-scale-e-ng" TargetMode="External"/><Relationship Id="rId1152" Type="http://schemas.openxmlformats.org/officeDocument/2006/relationships/hyperlink" Target="https://direct.argusmedia.com/newsandanalysis/Article/2503029"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www.dawn.com/news/1653735" TargetMode="External"/><Relationship Id="rId1012" Type="http://schemas.openxmlformats.org/officeDocument/2006/relationships/hyperlink" Target="https://www.tiwag.at/unternehmen/energiewende/power2x-kufstein/"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www.durofelguera.com/index.asp?MP=11&amp;MS=36&amp;TR=A&amp;IDR=19&amp;tipo=2&amp;id=519&amp;fecha=20/01/2021" TargetMode="External"/><Relationship Id="rId673" Type="http://schemas.openxmlformats.org/officeDocument/2006/relationships/hyperlink" Target="https://eng.heroya-industripark.no/latest-news/another-green-hydrogen-investment-for-heroeya-this-could-be-big" TargetMode="External"/><Relationship Id="rId880" Type="http://schemas.openxmlformats.org/officeDocument/2006/relationships/hyperlink" Target="https://renewablesnow.com/news/brazils-cactus-energia-signs-h2-mou-in-ceara-backed-by-36-gw-of-solar-offshore-wind-772305/" TargetMode="External"/><Relationship Id="rId1096" Type="http://schemas.openxmlformats.org/officeDocument/2006/relationships/hyperlink" Target="https://mopng.gov.in/files/article/articlefiles/2023Q2.pdf" TargetMode="External"/><Relationship Id="rId1317" Type="http://schemas.openxmlformats.org/officeDocument/2006/relationships/hyperlink" Target="https://greenstat.no/en/projects/htwo-fuel-as"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www.energy-saxony.net/fileadmin/Inhalte/Downloads/Veranstaltungen/2022/SUMMIT22/20220119_energy_saxony_EDL_HyKero_Praesentation_de_final.pdf" TargetMode="External"/><Relationship Id="rId978" Type="http://schemas.openxmlformats.org/officeDocument/2006/relationships/hyperlink" Target="https://tci-gecomp.com/en/project/arichile-h2-en/" TargetMode="External"/><Relationship Id="rId1163" Type="http://schemas.openxmlformats.org/officeDocument/2006/relationships/hyperlink" Target="https://www.lhyfe.com/press/lhyfe-to-supply-several-of-hympulsions-hydrogen-filling-stations-for-a-ten-year-period-from-a-new-green-and-renewable-hydrogen-production-site-in-auvergne-rhone-alpes/" TargetMode="External"/><Relationship Id="rId740" Type="http://schemas.openxmlformats.org/officeDocument/2006/relationships/hyperlink" Target="https://renewablesnow.com/news/eew-unveils-massive-green-hydrogen-solar-project-in-australia-734022/" TargetMode="External"/><Relationship Id="rId838" Type="http://schemas.openxmlformats.org/officeDocument/2006/relationships/hyperlink" Target="https://renewablesnow.com/news/statkraft-awarded-funds-to-study-green-h2-ammonia-production-at-chilean-solar-farm-756144/" TargetMode="External"/><Relationship Id="rId1023" Type="http://schemas.openxmlformats.org/officeDocument/2006/relationships/hyperlink" Target="https://ren-gas.com/en/news/significant-investment-in-the-production-of-green-hydrogen-and-renewable-finnish-gas-planned-for-the-kaanaa-district-of-pori/"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energy-utilities.com/international-firms-sign-agreement-with-oman-for-news114757.html" TargetMode="External"/><Relationship Id="rId600" Type="http://schemas.openxmlformats.org/officeDocument/2006/relationships/hyperlink" Target="https://fuelcellsworks.com/news/scatec-partners-with-acme-group-to-develop-a-large-scale-green-ammonia-facility-in-oman/?mc_cid=07efbb08b8&amp;mc_eid=da4624d261" TargetMode="External"/><Relationship Id="rId684" Type="http://schemas.openxmlformats.org/officeDocument/2006/relationships/hyperlink" Target="https://research.csiro.au/hyresource/renewable-hydrogen-production-and-refuelling-project/" TargetMode="External"/><Relationship Id="rId1230" Type="http://schemas.openxmlformats.org/officeDocument/2006/relationships/hyperlink" Target="https://www.prnewswire.com/news-releases/fidelis-new-energy-selects-battelle-carbon-services-as-its-subsurface-contractor-for-carbon-capture-and-sequestration-in-support-of-the-mountaineer-gigasystem-hydrogen-project-in-west-virginia-301916588.html" TargetMode="External"/><Relationship Id="rId1328" Type="http://schemas.openxmlformats.org/officeDocument/2006/relationships/hyperlink" Target="https://ren-gas.com/en/projekti/tampere-2/"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nrf.ac.za/sasols-energy-transition-collaboration-on-the-hydrogen-economy/" TargetMode="External"/><Relationship Id="rId905" Type="http://schemas.openxmlformats.org/officeDocument/2006/relationships/hyperlink" Target="https://www.linkedin.com/feed/update/urn:li:activity:7078990234830471168/" TargetMode="External"/><Relationship Id="rId989" Type="http://schemas.openxmlformats.org/officeDocument/2006/relationships/hyperlink" Target="https://vighy.france-hydrogene.org/projets/dijon-metropole-smart-energy-dmse/"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rystadenergy.com/newsevents/news/press-releases/COP27-host-Egypt-commits-40bn-to-green-hydrogen-economy-to-attract-foreign-investment/" TargetMode="External"/><Relationship Id="rId751" Type="http://schemas.openxmlformats.org/officeDocument/2006/relationships/hyperlink" Target="https://www.enagas.es/stfls/ENAGAS/Notas%20de%20prensa/Nota%20de%20prensa%20conjunta%20MoU%20H2%20(bp%20Iberdrola%20Enagas)%2028042021_EN_pr.pdf" TargetMode="External"/><Relationship Id="rId849" Type="http://schemas.openxmlformats.org/officeDocument/2006/relationships/hyperlink" Target="https://www.sasol.com/media-centre/media-releases/sasol-announces-lead-role-feasibility-study-boegoebaai-green-hydrogen" TargetMode="External"/><Relationship Id="rId1174" Type="http://schemas.openxmlformats.org/officeDocument/2006/relationships/hyperlink" Target="https://direct.argusmedia.com/newsandanalysis/Article/2511917"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fuelcellsworks.com/news/woodside-signs-hydrogen-mou-with-tasmanian-government-on-renewable-hydrogen-production-facility/" TargetMode="External"/><Relationship Id="rId1034" Type="http://schemas.openxmlformats.org/officeDocument/2006/relationships/hyperlink" Target="https://www.fortum.com/media/2023/06/fortum-explores-prerequisites-fossil-free-hydrogen-production-ssabs-site-raahe" TargetMode="External"/><Relationship Id="rId1241" Type="http://schemas.openxmlformats.org/officeDocument/2006/relationships/hyperlink" Target="https://energy.economictimes.indiatimes.com/news/renewable/odisha-approves-12-projects-with-investment-of-inr-84918-crore/105523997" TargetMode="External"/><Relationship Id="rId1339" Type="http://schemas.openxmlformats.org/officeDocument/2006/relationships/hyperlink" Target="https://direct.argusmedia.com/newsandanalysis/Article/2559167"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fuelcellsworks.com/news/hexagon-energy-and-air-products-team-up-on-blue-hydrogen-project-in-australia/?mc_cid=0dec0e5c1a&amp;mc_eid=da4624d261" TargetMode="External"/><Relationship Id="rId695" Type="http://schemas.openxmlformats.org/officeDocument/2006/relationships/hyperlink" Target="https://www.dhnet.be/regions/liege/2022/02/19/production-dhydrogene-a-liege-airport-en-2023-QJZNVKUWPNFMHP7N6W2QIPRM7E/" TargetMode="External"/><Relationship Id="rId709" Type="http://schemas.openxmlformats.org/officeDocument/2006/relationships/hyperlink" Target="https://www.gprectifier.com/news/2000nm3-h-green-power-intelligent-rectifier-h-63514189.html" TargetMode="External"/><Relationship Id="rId916" Type="http://schemas.openxmlformats.org/officeDocument/2006/relationships/hyperlink" Target="https://www.energate-messenger.com/news/232487/ewe-becomes-hydrogen-supplier-for-salzgitter" TargetMode="External"/><Relationship Id="rId1101" Type="http://schemas.openxmlformats.org/officeDocument/2006/relationships/hyperlink" Target="https://scottishbusinessnews.net/uks-first-off-grid-green-hydrogen-site-invites-potential-buyers/"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energyegypt.net/total-eren-enara-capital-to-build-green-ammonia-facility-in-egypts-sczone/" TargetMode="External"/><Relationship Id="rId762" Type="http://schemas.openxmlformats.org/officeDocument/2006/relationships/hyperlink" Target="https://www.mukran-port.de/en/press/lesen/cooperation-launched-in-hydrogen-region.html" TargetMode="External"/><Relationship Id="rId1185" Type="http://schemas.openxmlformats.org/officeDocument/2006/relationships/hyperlink" Target="https://bbj.hu/economy/energy/green-energy/assembly-starts-of-hungarys-1st-industrial-green-hydrogen-plant"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rechargenews.com/wind/deep-purple-seabed-hydrogen-storage-for-offshore-wind-plan/2-1-617947" TargetMode="External"/><Relationship Id="rId1045" Type="http://schemas.openxmlformats.org/officeDocument/2006/relationships/hyperlink" Target="https://direct.argusmedia.com/newsandanalysis/Article/2477061" TargetMode="External"/><Relationship Id="rId1252" Type="http://schemas.openxmlformats.org/officeDocument/2006/relationships/hyperlink" Target="https://direct.argusmedia.com/newsandanalysis/Article/2542681"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indrastra.com/2022/01/china-completes-first-megaton-scale-ccs.html" TargetMode="External"/><Relationship Id="rId927" Type="http://schemas.openxmlformats.org/officeDocument/2006/relationships/hyperlink" Target="https://hydrogen-central.com/hazer-advances-collaboration-engie-hazer-facility-france-hydrogen-production/" TargetMode="External"/><Relationship Id="rId1112" Type="http://schemas.openxmlformats.org/officeDocument/2006/relationships/hyperlink" Target="https://www.corfo.cl/sites/cpp/sala_de_prensa/nacional/27_12_2021_ganadores_hidrogeno_verde;jsessionid=AtmVall_qC_xbEQ78caDTJmM19RoKSj2ln2G-JlYRLnD1fSNOPDM!1252277378!-615728055"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ise.fraunhofer.de/en/research-projects/lighthouse-project-power-to-gas.html" TargetMode="External"/><Relationship Id="rId773" Type="http://schemas.openxmlformats.org/officeDocument/2006/relationships/hyperlink" Target="https://hydrogen-central.com/fusion-fuel-signs-green-hydrogen-offtake-agreement-portuguese-gas-utility-dourogas/" TargetMode="External"/><Relationship Id="rId1196" Type="http://schemas.openxmlformats.org/officeDocument/2006/relationships/hyperlink" Target="https://www.power-technology.com/news/mitsui-danish-solar-e-methanol-plant/?cf-view"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libertyhydrogen.com.au/liberty-hydrogen-launches-today/" TargetMode="External"/><Relationship Id="rId980" Type="http://schemas.openxmlformats.org/officeDocument/2006/relationships/hyperlink" Target="https://www.fishfarmingexpert.com/green-hydrogen-generation-hydroelectric-power-mowi-chile/mowi-seeks-to-run-farms-on-home-made-hydrogen/1283091" TargetMode="External"/><Relationship Id="rId1056" Type="http://schemas.openxmlformats.org/officeDocument/2006/relationships/hyperlink" Target="https://direct.argusmedia.com/newsandanalysis/article/2391838" TargetMode="External"/><Relationship Id="rId1263" Type="http://schemas.openxmlformats.org/officeDocument/2006/relationships/hyperlink" Target="https://www.enerdata.net/publications/daily-energy-news/ceara-brazil-signs-mou-12-mtyear-green-hydrogen-project.html" TargetMode="External"/><Relationship Id="rId840" Type="http://schemas.openxmlformats.org/officeDocument/2006/relationships/hyperlink" Target="https://www.offshore-energy.biz/cepsa-and-getec-sign-green-hydrogen-agreement/" TargetMode="External"/><Relationship Id="rId938" Type="http://schemas.openxmlformats.org/officeDocument/2006/relationships/hyperlink" Target="http://www.asianmetal.com/news/data/1649670/7/HBIS%20to%20put%20hydrogen-based%20DRI%20plant%20phase%20I%20into%20operation%20by%20late%20202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totalenergies.com/media/news/press-releases/total-and-engie-to-develop-france-s-largest-site-of-green-hydrogen" TargetMode="External"/><Relationship Id="rId700" Type="http://schemas.openxmlformats.org/officeDocument/2006/relationships/hyperlink" Target="https://energynews.biz/race-to-lead-in-hydrogen-technology-has-intensified/" TargetMode="External"/><Relationship Id="rId1123" Type="http://schemas.openxmlformats.org/officeDocument/2006/relationships/hyperlink" Target="https://www.kbr.com/en/insights-news/press-release/kbr-wins-blue-hydrogen-technology-and-engineering-contract-eet-hydrogen" TargetMode="External"/><Relationship Id="rId1330" Type="http://schemas.openxmlformats.org/officeDocument/2006/relationships/hyperlink" Target="https://ren-gas.com/en/projekti/kotka-2/"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www.group.sener/project/electrolyzer-petronor-refinery-muskiz/?lang=en" TargetMode="External"/><Relationship Id="rId991" Type="http://schemas.openxmlformats.org/officeDocument/2006/relationships/hyperlink" Target="https://vighy.france-hydrogene.org/projets/h2v-saint-clair-du-rhone/" TargetMode="External"/><Relationship Id="rId1067" Type="http://schemas.openxmlformats.org/officeDocument/2006/relationships/hyperlink" Target="https://direct.argusmedia.com/newsandanalysis/Article/2472976"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www.rechargenews.com/energy-transition/another-aussie-green-hydrogen-hub-in-the-works-as-total-eren-eyes-1gw-darwin-project/2-1-1278144" TargetMode="External"/><Relationship Id="rId851" Type="http://schemas.openxmlformats.org/officeDocument/2006/relationships/hyperlink" Target="https://www.h2bulletin.com/mmex-resources-corp-to-produce-green-hydrogen-in-rio-grande-argentina/" TargetMode="External"/><Relationship Id="rId1274" Type="http://schemas.openxmlformats.org/officeDocument/2006/relationships/hyperlink" Target="https://umbria.tag24.it/fotovoltaico-e-idrogeno-gli-elettrodi-sangraf-diventano-sostenibili/"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renewablesnow.com/news/edp-to-pour-eur-550m-to-revamp-spanish-coal-fired-plant-into-green-h2-facility-754051/" TargetMode="External"/><Relationship Id="rId504" Type="http://schemas.openxmlformats.org/officeDocument/2006/relationships/hyperlink" Target="https://www.h2-view.com/story/50mw-green-hydrogen-facility-one-step-closer-to-completion/" TargetMode="External"/><Relationship Id="rId711" Type="http://schemas.openxmlformats.org/officeDocument/2006/relationships/hyperlink" Target="http://www.chinapower.hk/en/media/news-p210412a.php" TargetMode="External"/><Relationship Id="rId949" Type="http://schemas.openxmlformats.org/officeDocument/2006/relationships/hyperlink" Target="https://hydrogen-central.com/esb-green-energy-hub-hydrogen-moneypoint-ireland/" TargetMode="External"/><Relationship Id="rId1134" Type="http://schemas.openxmlformats.org/officeDocument/2006/relationships/hyperlink" Target="https://www.newswire.ca/news-releases/atco-selected-by-south-australia-as-partner-on-world-s-largest-hydrogen-production-facility-808265891.html" TargetMode="External"/><Relationship Id="rId1341" Type="http://schemas.openxmlformats.org/officeDocument/2006/relationships/hyperlink" Target="https://direct.argusmedia.com/newsandanalysis/Article/2543748"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enagas.es/enagas/es/Comunicacion/NotasPrensa/15_02_2022_NP_HyDeal_Espan%CC%83a" TargetMode="External"/><Relationship Id="rId795" Type="http://schemas.openxmlformats.org/officeDocument/2006/relationships/hyperlink" Target="https://energynews.biz/hydrogen-utopia-in-waste-plastic-to-hydrogen-project-in-poland/" TargetMode="External"/><Relationship Id="rId809" Type="http://schemas.openxmlformats.org/officeDocument/2006/relationships/hyperlink" Target="https://www.zukunftsheizen.de/fileadmin/user_upload/Downloads/BET_2021_Vortrag_Tremel_Siemens_Chiles_wind_to_Europe.pdf" TargetMode="External"/><Relationship Id="rId1201" Type="http://schemas.openxmlformats.org/officeDocument/2006/relationships/hyperlink" Target="https://research.csiro.au/hyresource/hydrogen-fuels-australia-truganina-hrs/"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2"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8" Type="http://schemas.openxmlformats.org/officeDocument/2006/relationships/hyperlink" Target="https://direct.argusmedia.com/newsandanalysis/Article/2493292" TargetMode="External"/><Relationship Id="rId1285" Type="http://schemas.openxmlformats.org/officeDocument/2006/relationships/hyperlink" Target="https://www.act.is/our-view-on-cop/green-hydrogen-a-key-enabler-of-the-energy-transition/"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rwe.com/en/press/rwe-generation/2021-12-20-rwe-working-with-linde-to-develop-electrolyser-plant-in-lingen" TargetMode="External"/><Relationship Id="rId722" Type="http://schemas.openxmlformats.org/officeDocument/2006/relationships/hyperlink" Target="https://www.fronius.com/en/solar-energy/about-us/news/solhub-san-venture-reference-11062021" TargetMode="External"/><Relationship Id="rId1145" Type="http://schemas.openxmlformats.org/officeDocument/2006/relationships/hyperlink" Target="https://www.h2b2.es/h2b2s-sohycal-project-in-california-has-started-hydrogen-production/" TargetMode="External"/><Relationship Id="rId1352" Type="http://schemas.openxmlformats.org/officeDocument/2006/relationships/hyperlink" Target="https://direct.argusmedia.com/newsandanalysis/Article/2580464"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www.h2-view.com/story/25gw-hydrogen-mega-project-set-for-oman/" TargetMode="External"/><Relationship Id="rId1005" Type="http://schemas.openxmlformats.org/officeDocument/2006/relationships/hyperlink" Target="https://elyse.energy/en/our-projects/biotjet" TargetMode="External"/><Relationship Id="rId1212" Type="http://schemas.openxmlformats.org/officeDocument/2006/relationships/hyperlink" Target="https://www.h2-view.com/story/shell-to-upgrade-existing-hydrogen-facility-to-develop-sustainable-aviation-fuels/" TargetMode="External"/><Relationship Id="rId459" Type="http://schemas.openxmlformats.org/officeDocument/2006/relationships/hyperlink" Target="https://mcphy.com/en/press-releases/cooperation-agreement-with-enel-green-power/?cn-reloaded=1&amp;cn-reloaded=1" TargetMode="External"/><Relationship Id="rId666" Type="http://schemas.openxmlformats.org/officeDocument/2006/relationships/hyperlink" Target="https://www.argusmedia.com/en/news/2337598-sk-es-plug-power-aim-to-grow-h2-business-supply-asia" TargetMode="External"/><Relationship Id="rId873" Type="http://schemas.openxmlformats.org/officeDocument/2006/relationships/hyperlink" Target="https://www.sasol.com/media-centre/media-releases/sasol-explore-potential-cleaner-aviation-fuels-world-class-partners" TargetMode="External"/><Relationship Id="rId1089" Type="http://schemas.openxmlformats.org/officeDocument/2006/relationships/hyperlink" Target="https://www.energy-storage.news/chevron-does-u-turn-and-invests-in-utah-green-hydrogen-project/" TargetMode="External"/><Relationship Id="rId1296" Type="http://schemas.openxmlformats.org/officeDocument/2006/relationships/hyperlink" Target="https://portalbenews.com.br/frv-vai-investir-r-27-bilhoes-para-produzir-hidrogenio-verde-no-ceara/"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www.kellasmidstream.com/news-kellas/kellas-announces-the-development-of-h2northeast-a-low-carbon-blue-hydrogen-production-site-in-teesside-uk" TargetMode="External"/><Relationship Id="rId1156" Type="http://schemas.openxmlformats.org/officeDocument/2006/relationships/hyperlink" Target="https://www.rwe.com/en/press/rwe-generation/2023-11-02-rwe-receives-funding-commitment-for-generation-plant-in-bedburg/" TargetMode="External"/><Relationship Id="rId1363" Type="http://schemas.microsoft.com/office/2017/10/relationships/threadedComment" Target="../threadedComments/threadedComment1.xml"/><Relationship Id="rId733" Type="http://schemas.openxmlformats.org/officeDocument/2006/relationships/hyperlink" Target="https://www.wiva.at/v2/portfolio-item/h2pioneer-pave-the-way-for-green-hydrogen-for-early-adopters-in-the-light-industry/?lang=en" TargetMode="External"/><Relationship Id="rId940" Type="http://schemas.openxmlformats.org/officeDocument/2006/relationships/hyperlink" Target="https://www.ammoniaenergy.org/articles/fertiliser-giant-ocp-group-to-go-fully-renewable-eliminate-ammonia-imports-to-morocco/" TargetMode="External"/><Relationship Id="rId1016" Type="http://schemas.openxmlformats.org/officeDocument/2006/relationships/hyperlink" Target="https://www.epressi.com/tiedotteet/energia/koppo-energys-leading-energy-transition-project-of-green-hydrogen-and-sustainable-liquefied-synthetic-methane-is-progressing-in-kristinestad.html"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www.hysolar.nl/nieuws/groene-waterstof-krijgt-vaart/" TargetMode="External"/><Relationship Id="rId800" Type="http://schemas.openxmlformats.org/officeDocument/2006/relationships/hyperlink" Target="https://energynews.biz/production-of-blue-hydrogen-begins-in-changwon-city/?utm_source=rss&amp;utm_medium=rss&amp;utm_campaign=production-of-blue-hydrogen-begins-in-changwon-city" TargetMode="External"/><Relationship Id="rId1223" Type="http://schemas.openxmlformats.org/officeDocument/2006/relationships/hyperlink" Target="https://fr.lhyfe.com/presse/lhyfe-va-developper-une-usine-de-200-mw-a-delfzijl-pays-bas/"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reuters.com/business/sustainable-business/egypt-india-sign-mou-build-green-hydrogen-factory-worth-8-bln-2022-07-27/" TargetMode="External"/><Relationship Id="rId27" Type="http://schemas.openxmlformats.org/officeDocument/2006/relationships/hyperlink" Target="https://hynet.co.uk/" TargetMode="External"/><Relationship Id="rId537" Type="http://schemas.openxmlformats.org/officeDocument/2006/relationships/hyperlink" Target="https://energynews.biz/funding-secured-for-dalrymple-bay-hydrogen-project-feasibility-studies/" TargetMode="External"/><Relationship Id="rId744" Type="http://schemas.openxmlformats.org/officeDocument/2006/relationships/hyperlink" Target="https://volth2.com/projects/" TargetMode="External"/><Relationship Id="rId951" Type="http://schemas.openxmlformats.org/officeDocument/2006/relationships/hyperlink" Target="https://fuelcellsworks.com/news/lhyfe-and-duisport-plan-first-green-hydrogen-production-plant-in-duisburg-harbor-the-largest-inland-port-in-the-world/?mc_cid=cb7d9f94fc&amp;mc_eid=da4624d261" TargetMode="External"/><Relationship Id="rId1167" Type="http://schemas.openxmlformats.org/officeDocument/2006/relationships/hyperlink" Target="https://www.aumanufacturing.com.au/fortescue-presses-go-on-3-green-hydrogen-project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svevind.se/en/2021/10/10/roadmap-signed-or-30-gw-green-hydrogen-developments-in-kazakhstan/" TargetMode="External"/><Relationship Id="rId604" Type="http://schemas.openxmlformats.org/officeDocument/2006/relationships/hyperlink" Target="https://www.seetao.com/details/111344.html" TargetMode="External"/><Relationship Id="rId811" Type="http://schemas.openxmlformats.org/officeDocument/2006/relationships/hyperlink" Target="https://w3.windfair.net/wind-energy/pr/41036-statkraft-h2-green-steel-renewables-electricity-sweden-price-hydropower-green-steel-production-industry" TargetMode="External"/><Relationship Id="rId1027"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1234" Type="http://schemas.openxmlformats.org/officeDocument/2006/relationships/hyperlink" Target="https://www.unigel.com.br/unigel-fecha-contrato-com-a-thyssenkrupp-nucera-e-investe-us-120-milhoes-na-primeira-fabrica-de-hidrogenio-verde-do-brasil/"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oge.net/en/sustainable/projects/our-hydrogen-projects/get-h2-nukleus" TargetMode="External"/><Relationship Id="rId895" Type="http://schemas.openxmlformats.org/officeDocument/2006/relationships/hyperlink" Target="https://www.norsk-e-fuel.com/about-us" TargetMode="External"/><Relationship Id="rId909" Type="http://schemas.openxmlformats.org/officeDocument/2006/relationships/hyperlink" Target="https://www.linde.com/news-media/press-releases/2023/linde-to-increase-green-hydrogen-production-in-california" TargetMode="External"/><Relationship Id="rId1080" Type="http://schemas.openxmlformats.org/officeDocument/2006/relationships/hyperlink" Target="https://direct.argusmedia.com/newsandanalysis/Article/2474890" TargetMode="External"/><Relationship Id="rId1301" Type="http://schemas.openxmlformats.org/officeDocument/2006/relationships/hyperlink" Target="https://www.brasil.qair.energy/blog/hydrogene-vert/"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reneweconomy.com.au/world-first-super-hybrid-wind-hydro-and-hydrogen-project-planned-for-queensland/" TargetMode="External"/><Relationship Id="rId755" Type="http://schemas.openxmlformats.org/officeDocument/2006/relationships/hyperlink" Target="https://carboncopy.eco/initiatives/herne-bay-green-hydrogen-production-plant" TargetMode="External"/><Relationship Id="rId962" Type="http://schemas.openxmlformats.org/officeDocument/2006/relationships/hyperlink" Target="https://www.maritime-executive.com/article/maersk-invests-in-green-methanol-production-in-south-dakota" TargetMode="External"/><Relationship Id="rId1178" Type="http://schemas.openxmlformats.org/officeDocument/2006/relationships/hyperlink" Target="https://www.greenhydrogensystems.com/projects/alliander"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www.awi.de/en/about-us/service/press/single-view/co2-neutral-auf-der-nordsee.html" TargetMode="External"/><Relationship Id="rId822" Type="http://schemas.openxmlformats.org/officeDocument/2006/relationships/hyperlink" Target="https://fuelcellsworks.com/news/enegix-energy-partners-with-black-veatch-on-green-hydrogen-plant-in-ceara-brazil/?mc_cid=fbb2a1bb9c&amp;mc_eid=da4624d261" TargetMode="External"/><Relationship Id="rId1038" Type="http://schemas.openxmlformats.org/officeDocument/2006/relationships/hyperlink" Target="https://www.hydrogeninsight.com/industrial/indian-steel-giant-to-start-using-green-hydrogen-within-two-years/2-1-1492967" TargetMode="External"/><Relationship Id="rId1245" Type="http://schemas.openxmlformats.org/officeDocument/2006/relationships/hyperlink" Target="https://chinahydrogen.substack.com/p/4-green-methanol-production-projects"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www.chemengonline.com/repsol-to-begin-operating-2-5-mw-electrolyzer-at-petronor-refinery/?printmode=1" TargetMode="External"/><Relationship Id="rId1091" Type="http://schemas.openxmlformats.org/officeDocument/2006/relationships/hyperlink" Target="https://hyrasia.energy/" TargetMode="External"/><Relationship Id="rId1105" Type="http://schemas.openxmlformats.org/officeDocument/2006/relationships/hyperlink" Target="https://www.offshore-energy.biz/houston-ship-channel-could-host-large-scale-ammonia-production-and-export-project/" TargetMode="External"/><Relationship Id="rId1312" Type="http://schemas.openxmlformats.org/officeDocument/2006/relationships/hyperlink" Target="https://www.hychem.pt/pt/economia-circular/hidrogenio"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rwe.com/en/press/rwe-ag/2022-03-24-oge-and-rwe-present-national-infrastructure-concept--h2ercules" TargetMode="External"/><Relationship Id="rId559" Type="http://schemas.openxmlformats.org/officeDocument/2006/relationships/hyperlink" Target="https://www.pv-magazine.com/2021/11/22/giant-green-hydrogen-project-powered-by-6-gw-of-off-grid-solar-and-wind-proposed-for-south-australia/" TargetMode="External"/><Relationship Id="rId766" Type="http://schemas.openxmlformats.org/officeDocument/2006/relationships/hyperlink" Target="https://h2-tech.com/news/2022/10-2022/danish-power-to-x-partnership-breaks-ground-on-first-of-its-kind-green-ammonia-project/" TargetMode="External"/><Relationship Id="rId1189" Type="http://schemas.openxmlformats.org/officeDocument/2006/relationships/hyperlink" Target="https://www.hydrogeninsight.com/production/largest-in-europe-air-products-announces-blue-hydrogen-plant-at-rotterdam-linked-to-dutch-offshore-ccs-network/2-1-1549667"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gravithy.eu/" TargetMode="External"/><Relationship Id="rId973" Type="http://schemas.openxmlformats.org/officeDocument/2006/relationships/hyperlink" Target="https://hydrogen.johncockerill.com/en/markets/power-to-gas/" TargetMode="External"/><Relationship Id="rId1049" Type="http://schemas.openxmlformats.org/officeDocument/2006/relationships/hyperlink" Target="https://fuelcellsworks.com/news/hypster-demonstrator-paves-the-way-for-the-hydrogen-industry-in-europe/" TargetMode="External"/><Relationship Id="rId1256" Type="http://schemas.openxmlformats.org/officeDocument/2006/relationships/hyperlink" Target="https://direct.argusmedia.com/newsandanalysis/article/2565197" TargetMode="External"/><Relationship Id="rId833" Type="http://schemas.openxmlformats.org/officeDocument/2006/relationships/hyperlink" Target="https://www.hydrogenfuelnews.com/green-hydrogen-production-ireland/8550229/" TargetMode="External"/><Relationship Id="rId1116" Type="http://schemas.openxmlformats.org/officeDocument/2006/relationships/hyperlink" Target="https://direct.argusmedia.com/newsandanalysis/article/2497228"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fptaximadrid.es/la-fptm-impulsa-el-mayor-proyecto-de-movilidad-publica-con-hidrogeno-verde/" TargetMode="External"/><Relationship Id="rId900" Type="http://schemas.openxmlformats.org/officeDocument/2006/relationships/hyperlink" Target="https://www.energias-renovables.com/hidrogeno/ansasol-elige-castilla-y-leon-para-desarrollar-20220408" TargetMode="External"/><Relationship Id="rId1323" Type="http://schemas.openxmlformats.org/officeDocument/2006/relationships/hyperlink" Target="https://gen2energy.com/projects/production-sites/" TargetMode="External"/><Relationship Id="rId125" Type="http://schemas.openxmlformats.org/officeDocument/2006/relationships/hyperlink" Target="https://www.balance-project.org/projects" TargetMode="External"/><Relationship Id="rId332" Type="http://schemas.openxmlformats.org/officeDocument/2006/relationships/hyperlink" Target="../../../../bermudez_j/AppData/Roaming/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europeanenergy.com/2023/03/27/european-energy-orders-electrolyzer-from-stiesdal/" TargetMode="External"/><Relationship Id="rId984" Type="http://schemas.openxmlformats.org/officeDocument/2006/relationships/hyperlink" Target="https://www.mynewsdesk.com/se/strandmoellen-ab/pressreleases/strandmoellen-ab-has-placed-a-purchase-order-for-a-3mw-electrolyser-from-fest-gmbh-3172967" TargetMode="External"/><Relationship Id="rId637" Type="http://schemas.openxmlformats.org/officeDocument/2006/relationships/hyperlink" Target="https://www.spglobal.com/platts/en/market-insights/latest-news/electric-power/050621-siemens-energy-masdar-to-build-pilot-uae-hydrogen-plant-by-2022-with-focus-on-saf" TargetMode="External"/><Relationship Id="rId844" Type="http://schemas.openxmlformats.org/officeDocument/2006/relationships/hyperlink" Target="https://energyindustryreview.com/renewables/omv-petrom-gets-financing-to-produce-green-h2-at-the-petrobrazi-refinery/" TargetMode="External"/><Relationship Id="rId1267" Type="http://schemas.openxmlformats.org/officeDocument/2006/relationships/hyperlink" Target="https://elpinguino.com/noticia/2023/10/27/organizaciones-ambientalistas-advierten-por-impacto-de-futuro-proyecto-de-hidrogeno-verde-cercano-a-humedal-bahia-lomas"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marseille-fos/" TargetMode="External"/><Relationship Id="rId690" Type="http://schemas.openxmlformats.org/officeDocument/2006/relationships/hyperlink" Target="https://www.brusselstimes.com/149604/charleroi-hydrogen-bus-project-postponed-due-to-lack-of-funding-waste-to-wheels-jumet-philippe-henry" TargetMode="External"/><Relationship Id="rId704" Type="http://schemas.openxmlformats.org/officeDocument/2006/relationships/hyperlink" Target="https://www.h2bulletin.com/eu-approves-e122-million-for-decarbonisation-projects-including-hydrogen/" TargetMode="External"/><Relationship Id="rId911" Type="http://schemas.openxmlformats.org/officeDocument/2006/relationships/hyperlink" Target="https://www.enerdata.net/publications/daily-energy-news/statera-plans-3-gw-hydrogen-plant-scotland-uk.html" TargetMode="External"/><Relationship Id="rId1127" Type="http://schemas.openxmlformats.org/officeDocument/2006/relationships/hyperlink" Target="https://www.prnewswire.com/apac/news-releases/posco-holdings-takes-first-step-in-developing-40-000-tons-of-green-hydrogen-production-in-western-australia-301959009.html" TargetMode="External"/><Relationship Id="rId1334" Type="http://schemas.openxmlformats.org/officeDocument/2006/relationships/hyperlink" Target="https://www.puhuri.fi/raahen-monivoiman-uusien-energiaratkaisujen-pilottihanke-etenee-temlta-hankkeelle-yli-5-miljoonan-euron-tuki/"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ablesnow.com/news/plug-power-to-create-green-hydrogen-jv-with-olin-build-plant-in-louisiana-782996/" TargetMode="External"/><Relationship Id="rId788" Type="http://schemas.openxmlformats.org/officeDocument/2006/relationships/hyperlink" Target="https://www.princegeorgecitizen.com/local-news/prince-george-breaks-ground-on-worlds-largest-hydrogen-refuelling-station-5848061" TargetMode="External"/><Relationship Id="rId995" Type="http://schemas.openxmlformats.org/officeDocument/2006/relationships/hyperlink" Target="https://vighy.france-hydrogene.org/projets/dephy2a-ajaccio/" TargetMode="External"/><Relationship Id="rId1180" Type="http://schemas.openxmlformats.org/officeDocument/2006/relationships/hyperlink" Target="https://direct.argusmedia.com/newsandanalysis/article/2514678"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offshore-energy.biz/getech-starts-work-at-scottish-green-hydrogen-hub-in-inverness/" TargetMode="External"/><Relationship Id="rId855" Type="http://schemas.openxmlformats.org/officeDocument/2006/relationships/hyperlink" Target="https://hxgenergymaterials.com.au/wp-content/uploads/2022/03/Hexagons-West-Australian-Blue-Ammonia-Project.pdf" TargetMode="External"/><Relationship Id="rId1040" Type="http://schemas.openxmlformats.org/officeDocument/2006/relationships/hyperlink" Target="https://direct.argusmedia.com/newsandanalysis/Article/2468774" TargetMode="External"/><Relationship Id="rId1278" Type="http://schemas.openxmlformats.org/officeDocument/2006/relationships/hyperlink" Target="https://www.taqa.com.eg/news-details.php?newsid=40"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www.sustainable-bus.com/fuel-cell-bus/tmb-barcelona-hydrogen-bus-on-the-road/" TargetMode="External"/><Relationship Id="rId508" Type="http://schemas.openxmlformats.org/officeDocument/2006/relationships/hyperlink" Target="https://www.e15.cz/byznys/prumysl-a-energetika/skupina-solar-global-spusti-vyrobu-prvniho-zeleneho-vodiku-v-cesku-1379128" TargetMode="External"/><Relationship Id="rId715" Type="http://schemas.openxmlformats.org/officeDocument/2006/relationships/hyperlink" Target="https://nelhydrogen.com/wp-content/uploads/2021/02/Nel_2020_Q4_Presentation.pdf" TargetMode="External"/><Relationship Id="rId922" Type="http://schemas.openxmlformats.org/officeDocument/2006/relationships/hyperlink" Target="https://www.neste.com/releases-and-news/sustainability/neste-moves-forward-its-renewable-hydrogen-project-porvoo-finland" TargetMode="External"/><Relationship Id="rId1138" Type="http://schemas.openxmlformats.org/officeDocument/2006/relationships/hyperlink" Target="https://www.baltictimes.com/respect_energy_holding_plans_the_construction_of_offshore_floating_wind_farm_equipped__with_an_innovative_technology_to_hydrogen_and_ammonia_production/" TargetMode="External"/><Relationship Id="rId1345" Type="http://schemas.openxmlformats.org/officeDocument/2006/relationships/hyperlink" Target="https://www.lhyfe.com/press/lhyfe-and-saf-international-group-sign-a-memorandum-of-understanding-to-decarbonise-the-aviation-industry-using-green-hydrogen/"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www.zawya.com/en/business/hyport-duqm-project-eyes-1mln-mtpa-of-green-ammonia-at-full-capacity-rkpnzt5c" TargetMode="External"/><Relationship Id="rId1191" Type="http://schemas.openxmlformats.org/officeDocument/2006/relationships/hyperlink" Target="https://www.businesswire.com/news/home/20230718825639/en/Air-Liquide-signs-new-green-financing-for-low-carbon-hydrogen-production-in-China-aligned-with-EU-Taxonomy" TargetMode="External"/><Relationship Id="rId1205" Type="http://schemas.openxmlformats.org/officeDocument/2006/relationships/hyperlink" Target="https://chemicalparks.eu/news/ineratec-e-fuel-production-plant-frankfurt-hochst-industrial-park-germany"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h2-industries.com/en/waste-to-energy/" TargetMode="External"/><Relationship Id="rId659" Type="http://schemas.openxmlformats.org/officeDocument/2006/relationships/hyperlink" Target="https://renewablesnow.com/news/white-martins-signs-pact-for-green-h2-project-in-rio-grande-do-sul-765821/" TargetMode="External"/><Relationship Id="rId866" Type="http://schemas.openxmlformats.org/officeDocument/2006/relationships/hyperlink" Target="https://www.bloomenergy.com/news/xcel-energy-and-bloom-energy-to-produce-zero-carbon-hydrogen-at-nuclear-facility/" TargetMode="External"/><Relationship Id="rId1289" Type="http://schemas.openxmlformats.org/officeDocument/2006/relationships/hyperlink" Target="https://renews.biz/94723/shell-takes-fid-on-100mw-electrolyser/"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research.csiro.au/hyresource/green-hydrogen-for-city-of-cockburn/" TargetMode="External"/><Relationship Id="rId1051" Type="http://schemas.openxmlformats.org/officeDocument/2006/relationships/hyperlink" Target="https://direct.argusmedia.com/newsandanalysis/article/2470181" TargetMode="External"/><Relationship Id="rId1149" Type="http://schemas.openxmlformats.org/officeDocument/2006/relationships/hyperlink" Target="https://direct.argusmedia.com/newsandanalysis/Article/2504545" TargetMode="External"/><Relationship Id="rId1356" Type="http://schemas.openxmlformats.org/officeDocument/2006/relationships/hyperlink" Target="https://direct.argusmedia.com/newsandanalysis/Article/2564926"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enertrag.com/en/news-german/etail/enertrag-plans-green-hydrogen-project-in-the-tacuarembo-region-of-uruguay" TargetMode="External"/><Relationship Id="rId933" Type="http://schemas.openxmlformats.org/officeDocument/2006/relationships/hyperlink" Target="https://www.enapter.com/newsroom/enapter-receives-canadian-order-for-two-1-megawatt-electrolysers" TargetMode="External"/><Relationship Id="rId1009" Type="http://schemas.openxmlformats.org/officeDocument/2006/relationships/hyperlink" Target="https://www.hydrogen.energy.gov/pdfs/review23/ta039_ghezel-ayagh_2023_o.pdf"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renewablesnow.com/news/avangrid-has-green-hydrogen-plans-ready-for-doe-rfi-747452/" TargetMode="External"/><Relationship Id="rId1216" Type="http://schemas.openxmlformats.org/officeDocument/2006/relationships/hyperlink" Target="https://hydronews.it/sardidrogeno-il-progetto-della-francese-hdf-energy-per-produrre-idrogeno-green-in-sardegna/"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intercontinentalenergy.com/western-green-energy-hub" TargetMode="External"/><Relationship Id="rId1062" Type="http://schemas.openxmlformats.org/officeDocument/2006/relationships/hyperlink" Target="https://direct.argusmedia.com/newsandanalysis/Article/2488641" TargetMode="External"/><Relationship Id="rId737" Type="http://schemas.openxmlformats.org/officeDocument/2006/relationships/hyperlink" Target="https://energyiceberg.com/china-renewable-green-hydrogen/" TargetMode="External"/><Relationship Id="rId944" Type="http://schemas.openxmlformats.org/officeDocument/2006/relationships/hyperlink" Target="https://www.hydrogeninsight.com/innovation/korean-conglomerates-plan-to-produce-clean-hydrogen-from-an-ultra-safe-micro-nuclear-reactor-in-the-heart-of-seoul/2-1-1439877"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press.siemens-energy.com/eu/en/pressrelease/siemens-energy-and-messer-group-cooperate-hydrogen-electrolysis-integrated-hub-concept" TargetMode="External"/><Relationship Id="rId790" Type="http://schemas.openxmlformats.org/officeDocument/2006/relationships/hyperlink" Target="https://www.norsk-e-fuel.com/articles/partnership_with_norwegian" TargetMode="External"/><Relationship Id="rId804" Type="http://schemas.openxmlformats.org/officeDocument/2006/relationships/hyperlink" Target="https://www.canarygreen.org/seafuels-refuelling-station/" TargetMode="External"/><Relationship Id="rId1227" Type="http://schemas.openxmlformats.org/officeDocument/2006/relationships/hyperlink" Target="https://www.ks-potashcanada.com/wp-content/uploads/2023/11/22-KSPC-CommunityReport-REV.pdf"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www.linde.com/news-media/press-releases/2022/linde-to-increase-green-hydrogen-production-in-the-united-states" TargetMode="External"/><Relationship Id="rId888" Type="http://schemas.openxmlformats.org/officeDocument/2006/relationships/hyperlink" Target="https://www.h2v.eu/hydrogen-valleys/wiva-pg-wasserstoffinitiative-vorzeigeregion-austria-power-gas" TargetMode="External"/><Relationship Id="rId1073" Type="http://schemas.openxmlformats.org/officeDocument/2006/relationships/hyperlink" Target="https://direct.argusmedia.com/newsandanalysis/Article/2486635" TargetMode="External"/><Relationship Id="rId1280" Type="http://schemas.openxmlformats.org/officeDocument/2006/relationships/hyperlink" Target="https://www.power-technology.com/news/acme-oman-green-ammonia-hydrogen/"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offshore-energy.biz/getech-starts-work-at-scottish-green-hydrogen-hub-in-inverness/" TargetMode="External"/><Relationship Id="rId955" Type="http://schemas.openxmlformats.org/officeDocument/2006/relationships/hyperlink" Target="https://k-rep.com.au/" TargetMode="External"/><Relationship Id="rId1140" Type="http://schemas.openxmlformats.org/officeDocument/2006/relationships/hyperlink" Target="https://fortescue.com/what-we-do/our-projects/holmaneset"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pertamina.com/id/news-room/energia-news/pertamina-optimalkan-manfaat-geotermal" TargetMode="External"/><Relationship Id="rId594" Type="http://schemas.openxmlformats.org/officeDocument/2006/relationships/hyperlink" Target="https://reneweconomy.com.au/massive-15bn-desert-bloom-green-hydrogen-project-gets-planning-fast-track/" TargetMode="External"/><Relationship Id="rId608" Type="http://schemas.openxmlformats.org/officeDocument/2006/relationships/hyperlink" Target="https://fuelcellsworks.com/news/gev-to-develop-2-8-gw-green-hydrogen-export-project-tiwi-islands-australia/" TargetMode="External"/><Relationship Id="rId815" Type="http://schemas.openxmlformats.org/officeDocument/2006/relationships/hyperlink" Target="https://phynix-energy.eu/phynix-selecciona-a-duro-felguera-green-tech-para-el-contrato-epcde-su-planta-de-produccion-de-hidrogeno-renovable-vitale-de-10mw/" TargetMode="External"/><Relationship Id="rId1238" Type="http://schemas.openxmlformats.org/officeDocument/2006/relationships/hyperlink" Target="https://www.investinspain.org/content/icex-invest/en/noticias-main/2022/viridi.html"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fleur-de-lys" TargetMode="External"/><Relationship Id="rId1000" Type="http://schemas.openxmlformats.org/officeDocument/2006/relationships/hyperlink" Target="https://vighy.france-hydrogene.org/projets/usine-trange/" TargetMode="External"/><Relationship Id="rId1084" Type="http://schemas.openxmlformats.org/officeDocument/2006/relationships/hyperlink" Target="https://h2ce.ru/en/news/industry-news/thyssenkrupp-uhde-joins-offset-consortium-on-floating-green-hydrogen-and-ammonia-project" TargetMode="External"/><Relationship Id="rId1305" Type="http://schemas.openxmlformats.org/officeDocument/2006/relationships/hyperlink" Target="https://www.greennorth.energy/en/project-development/"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elecnor.com/noticias/enerfin-construira-una-planta-de-hidrogeno-verde-en-el-puerto-exterior-de-a-coruna" TargetMode="External"/><Relationship Id="rId661" Type="http://schemas.openxmlformats.org/officeDocument/2006/relationships/hyperlink" Target="http://www.energyglobalnews.com/taiwan-air-liquide-far-eastern-opens-new-hydrogen-plant-in-tainan/" TargetMode="External"/><Relationship Id="rId759" Type="http://schemas.openxmlformats.org/officeDocument/2006/relationships/hyperlink" Target="https://www.eni.com/en-IT/media/press-release/2022/10/green-hydrogen-projects-gela-taranto.html" TargetMode="External"/><Relationship Id="rId966" Type="http://schemas.openxmlformats.org/officeDocument/2006/relationships/hyperlink" Target="https://direct.argusmedia.com/newsandanalysis/Article/2421394" TargetMode="External"/><Relationship Id="rId1291" Type="http://schemas.openxmlformats.org/officeDocument/2006/relationships/hyperlink" Target="https://www.beaver.ab.ca/public/download/files/231170"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www.hoganlovells.com/-/media/hogan-lovells/global/knowledge/publications/files/2020/australian-hydrogen-projects-paper.pdf" TargetMode="External"/><Relationship Id="rId619" Type="http://schemas.openxmlformats.org/officeDocument/2006/relationships/hyperlink" Target="https://fuelcellsworks.com/news/australian-company-signs-mou-with-innu-nation-to-look-at-feasbility-of-green-hydrogen-at-gull-island/?mc_cid=d03ba51fd9&amp;mc_eid=da4624d261" TargetMode="External"/><Relationship Id="rId1151" Type="http://schemas.openxmlformats.org/officeDocument/2006/relationships/hyperlink" Target="https://direct.argusmedia.com/newsandanalysis/Article/2505476" TargetMode="External"/><Relationship Id="rId1249" Type="http://schemas.openxmlformats.org/officeDocument/2006/relationships/hyperlink" Target="https://direct.argusmedia.com/newsandanalysis/Article/2503507"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adnoc.ae/en/news-and-media/press-releases/2021/adnoc-to-build-world-scale-blue-ammonia-project" TargetMode="External"/><Relationship Id="rId1011" Type="http://schemas.openxmlformats.org/officeDocument/2006/relationships/hyperlink" Target="https://www.hydrogen.energy.gov/pdfs/review23/ta045_pal_2023_o.pdf" TargetMode="External"/><Relationship Id="rId1109" Type="http://schemas.openxmlformats.org/officeDocument/2006/relationships/hyperlink" Target="https://energynews.biz/kgal-to-invest-in-arcadia-efuels-green-hydrogen-based-production-facility-in-denmark/"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fuelcellsworks.com/news/green-hydrogen-air-liquide-electrolysis-with-h2v/?mc_cid=97c6cd5d96&amp;mc_eid=da4624d261" TargetMode="External"/><Relationship Id="rId672" Type="http://schemas.openxmlformats.org/officeDocument/2006/relationships/hyperlink" Target="https://www.pv-magazine.com/2022/09/13/the-hydrogen-stream-worlds-largest-electrolyzer-to-be-deployed-in-norway/" TargetMode="External"/><Relationship Id="rId1095" Type="http://schemas.openxmlformats.org/officeDocument/2006/relationships/hyperlink" Target="https://www.hydrogeninsight.com/production/partners-to-spend-more-than-1bn-on-500mw-plus-green-hydrogen-project-in-portugal/2-1-1353788" TargetMode="External"/><Relationship Id="rId1316" Type="http://schemas.openxmlformats.org/officeDocument/2006/relationships/hyperlink" Target="https://ir.fusion-fuel.eu/news-releases/news-release-details/fusion-fuel-receives-notification-ipcei-approval-european"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xfuels.de/hykero/" TargetMode="External"/><Relationship Id="rId977" Type="http://schemas.openxmlformats.org/officeDocument/2006/relationships/hyperlink" Target="https://www.airproducts.com/company/news-center/2022/11/1108-air-products-receive-475-million-cad-net-zero-hydrogen-complex-funding" TargetMode="External"/><Relationship Id="rId1162" Type="http://schemas.openxmlformats.org/officeDocument/2006/relationships/hyperlink" Target="https://research.csiro.au/hyresource/kogan-creek-renewable-hydrogen-demonstration-plan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offshore-energy.biz/japanese-looking-to-produce-e-methane-utilising-cameron-lng/" TargetMode="External"/><Relationship Id="rId1022" Type="http://schemas.openxmlformats.org/officeDocument/2006/relationships/hyperlink" Target="https://ren-gas.com/en/news/mikkelis-power-to-gas-project-is-progressing-nordic-ren-gas-and-etela-savon-energia-signed-a-project-development-agreement/"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www.rechargenews.com/energy-transition/-we-will-produce-carbon-negative-green-hydrogen-from-non-recyclable-waste-at-zero-or-below-zero-cost-/2-1-1162744" TargetMode="External"/><Relationship Id="rId683" Type="http://schemas.openxmlformats.org/officeDocument/2006/relationships/hyperlink" Target="https://www.regionalgateway.net/airbus-and-hyport-to-advance-green-hydrogen-availability-at-airports/" TargetMode="External"/><Relationship Id="rId890" Type="http://schemas.openxmlformats.org/officeDocument/2006/relationships/hyperlink" Target="https://www.spglobal.com/commodityinsights/en/market-insights/latest-news/electric-power/111521-h2-green-to-develop-hydrogen-and-ammonia-hub-in-shoreham-uk-to-decarbonize-port" TargetMode="External"/><Relationship Id="rId904" Type="http://schemas.openxmlformats.org/officeDocument/2006/relationships/hyperlink" Target="https://www.cleanhydrogenworks.com/_files/ugd/9b794f_71f2bbea67dc4ebb8ab789194a19132a.pdf" TargetMode="External"/><Relationship Id="rId1327" Type="http://schemas.openxmlformats.org/officeDocument/2006/relationships/hyperlink" Target="https://ren-gas.com/en/projekti/kerava-2/"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fuelcellsworks.com/news/hazer-group-enters-mou-for-developing-hydrogen-production-facility-in-canada/?mc_cid=8d7926e8c4&amp;mc_eid=da4624d261" TargetMode="External"/><Relationship Id="rId988" Type="http://schemas.openxmlformats.org/officeDocument/2006/relationships/hyperlink" Target="https://vighy.france-hydrogene.org/projets/hynovera/" TargetMode="External"/><Relationship Id="rId1173" Type="http://schemas.openxmlformats.org/officeDocument/2006/relationships/hyperlink" Target="https://www.iwes.fraunhofer.de/en/research-projects/current-projects/leuna-100.html"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cincodias.elpais.com/cincodias/2021/04/28/companias/1619600656_589151.html" TargetMode="External"/><Relationship Id="rId848" Type="http://schemas.openxmlformats.org/officeDocument/2006/relationships/hyperlink" Target="https://www.pv-magazine.com/2021/01/26/sumitomo-reveals-hydrogen-plans-in-australia-oman/" TargetMode="External"/><Relationship Id="rId1033" Type="http://schemas.openxmlformats.org/officeDocument/2006/relationships/hyperlink" Target="https://madoquapower2x.com/" TargetMode="External"/><Relationship Id="rId487" Type="http://schemas.openxmlformats.org/officeDocument/2006/relationships/hyperlink" Target="https://www.usinenouvelle.com/article/h2v-produira-de-l-hydrogene-vert-sur-le-site-de-l-ancienne-acierie-de-gandrange.N1073449" TargetMode="External"/><Relationship Id="rId610" Type="http://schemas.openxmlformats.org/officeDocument/2006/relationships/hyperlink" Target="https://www.ammoniaenergy.org/articles/maire-tecnimont-plans-million-tonne-per-year-blue-ammonia-plant-in-the-us/" TargetMode="External"/><Relationship Id="rId694" Type="http://schemas.openxmlformats.org/officeDocument/2006/relationships/hyperlink" Target="https://www.hyflexpower.eu/" TargetMode="External"/><Relationship Id="rId708" Type="http://schemas.openxmlformats.org/officeDocument/2006/relationships/hyperlink" Target="https://www.marubeni.com/en/news/2022/info/00025.html" TargetMode="External"/><Relationship Id="rId915" Type="http://schemas.openxmlformats.org/officeDocument/2006/relationships/hyperlink" Target="https://hydrogen-central.com/provaris-pleased-collaborate-norwegian-hydrogen-developing-norway-largest-production-facility-for-green-hydrogen/" TargetMode="External"/><Relationship Id="rId1240" Type="http://schemas.openxmlformats.org/officeDocument/2006/relationships/hyperlink" Target="https://www.thehindubusinessline.com/news/danish-company-umwelt-energy-to-invest-850-m-in-tn-for-green-hydrogen-methanol-plant/article66567616.ece" TargetMode="External"/><Relationship Id="rId1338" Type="http://schemas.openxmlformats.org/officeDocument/2006/relationships/hyperlink" Target="https://www.h2-view.com/story/air-liquide-inaugurates-20mw-german-green-hydrogen-plant-for-pipeline-supply/2114010.article/"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h2v-valenciennes/" TargetMode="External"/><Relationship Id="rId1100" Type="http://schemas.openxmlformats.org/officeDocument/2006/relationships/hyperlink" Target="https://www.pv-magazine-australia.com/2023/09/15/hynq-north-queensland-clean-energy-project-gains-a-new-development-partner/" TargetMode="External"/><Relationship Id="rId1184" Type="http://schemas.openxmlformats.org/officeDocument/2006/relationships/hyperlink" Target="https://daures.green/" TargetMode="External"/><Relationship Id="rId44" Type="http://schemas.openxmlformats.org/officeDocument/2006/relationships/hyperlink" Target="https://refhyne.eu/about/" TargetMode="External"/><Relationship Id="rId554" Type="http://schemas.openxmlformats.org/officeDocument/2006/relationships/hyperlink" Target="https://www.bp.com/en/global/corporate/news-and-insights/press-releases/abu-dhabis-adnoc-and-masdar-to-join-bps-uk-hydrogen-projects.html" TargetMode="External"/><Relationship Id="rId761" Type="http://schemas.openxmlformats.org/officeDocument/2006/relationships/hyperlink" Target="https://hydrogen-central.com/environmental-permit-given-ovako-hydrogen-plant-steel-production/" TargetMode="External"/><Relationship Id="rId859" Type="http://schemas.openxmlformats.org/officeDocument/2006/relationships/hyperlink" Target="https://energynews.biz/ssab-and-fortum-explore-hydrogen-reduced-sponge-iron-production/"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fuelcellsworks.com/news/germany-city-of-esslingen-inaugurates-green-hydrogen-lighthouse-project/" TargetMode="External"/><Relationship Id="rId621" Type="http://schemas.openxmlformats.org/officeDocument/2006/relationships/hyperlink" Target="https://www.technipfmc.com/en/what-we-do/subsea/energy-transition-deep-purple/" TargetMode="External"/><Relationship Id="rId1044" Type="http://schemas.openxmlformats.org/officeDocument/2006/relationships/hyperlink" Target="https://direct.argusmedia.com/newsandanalysis/Article/2476908" TargetMode="External"/><Relationship Id="rId1251" Type="http://schemas.openxmlformats.org/officeDocument/2006/relationships/hyperlink" Target="https://www.reuters.com/business/energy/eletrobras-signs-agreement-with-prumo-produce-green-hydrogen-brazilian-port-2024-06-05/" TargetMode="External"/><Relationship Id="rId1349" Type="http://schemas.openxmlformats.org/officeDocument/2006/relationships/hyperlink" Target="https://direct.argusmedia.com/newsandanalysis/Article/2526588"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fuelcellsworks.com/news/green-hydrogen-systems-electrolysers-chosen-by-octopus-hydrogen-for-a-project-in-the-uk/?mc_cid=e5c7eff1d8&amp;mc_eid=da4624d261" TargetMode="External"/><Relationship Id="rId926" Type="http://schemas.openxmlformats.org/officeDocument/2006/relationships/hyperlink" Target="https://fuelcellsworks.com/news/glenfarne-energy-transition-to-collaborate-with-samsung-engineering-on-green-hydrogen-and-ammonia-initiatives-in-chile/"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green-hydrogen-systems-electrolysers-chosen-for-green-hydrogen-project-in-germany/" TargetMode="External"/><Relationship Id="rId772" Type="http://schemas.openxmlformats.org/officeDocument/2006/relationships/hyperlink" Target="https://time.news/asturias-receives-39-million-eu-funds-to-promote-3-hydrogen-projects/" TargetMode="External"/><Relationship Id="rId1195" Type="http://schemas.openxmlformats.org/officeDocument/2006/relationships/hyperlink" Target="https://ignis.es/en/green-ammonia-project-ignis/" TargetMode="External"/><Relationship Id="rId1209" Type="http://schemas.openxmlformats.org/officeDocument/2006/relationships/hyperlink" Target="https://www.arabianbusiness.com/industries/energy/qatarenergy-qafco-to-build-the-worlds-largest-blue-ammonia-facility"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h2-view.com/story/pure-hydrogen-targets-port-anthony-victoria-for-hydrogen-hub/" TargetMode="External"/><Relationship Id="rId1055" Type="http://schemas.openxmlformats.org/officeDocument/2006/relationships/hyperlink" Target="https://direct.argusmedia.com/newsandanalysis/article/2455314" TargetMode="External"/><Relationship Id="rId1262" Type="http://schemas.openxmlformats.org/officeDocument/2006/relationships/hyperlink" Target="https://www.ohmium.com/news/h2-green-mining-and-ohmium-sign-agreement-to-boost-green-hydrogen-in-chile"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fuelcellsworks.com/news/partnership-behind-green-fuels-for-denmark-accelerates-project-and-investigates-production-of-green-jet-fuel-by-2025/?mc_cid=d03ba51fd9&amp;mc_eid=da4624d261" TargetMode="External"/><Relationship Id="rId1122" Type="http://schemas.openxmlformats.org/officeDocument/2006/relationships/hyperlink" Target="https://indonesiabusinesspost.com/risks-opportunities/pln-pioneers-green-hydrogen-production-in-indonesia-aiming-for-game-changing-energy-transition/"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hydrogen-central.com/gh2-port-bordeaux-largest-hydrogen-production-unit-project/" TargetMode="External"/><Relationship Id="rId783" Type="http://schemas.openxmlformats.org/officeDocument/2006/relationships/hyperlink" Target="https://news.cision.com/nel-asa/r/nel-asa--receives-purchase-order-for-a-containerized-pem-water-electrolyser-in-australia,c3600097" TargetMode="External"/><Relationship Id="rId990" Type="http://schemas.openxmlformats.org/officeDocument/2006/relationships/hyperlink" Target="https://www.france-hydrogene.org/magazine/hydom-un-projet-a-85-mw-dans-la-vallee-de-la-chimie/?cn-reloaded=1"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newablesnow.com/news/first-hydrogen-seeks-uk-govt-grants-for-80-mw-of-hydrogen-projects-790594/" TargetMode="External"/><Relationship Id="rId1066" Type="http://schemas.openxmlformats.org/officeDocument/2006/relationships/hyperlink" Target="https://direct.argusmedia.com/newsandanalysis/Article/2492648" TargetMode="External"/><Relationship Id="rId1273" Type="http://schemas.openxmlformats.org/officeDocument/2006/relationships/hyperlink" Target="https://www.interreg-central.eu/news/h2ce-study-visit-at-sapios-group-green-hydrogen-hub-in-venice/" TargetMode="External"/><Relationship Id="rId850" Type="http://schemas.openxmlformats.org/officeDocument/2006/relationships/hyperlink" Target="https://www.elconfidencial.com/espana/andalucia/2022-01-23/primera-planta-comercial-hidrogeno-verde-algeciras_3362444/" TargetMode="External"/><Relationship Id="rId948" Type="http://schemas.openxmlformats.org/officeDocument/2006/relationships/hyperlink" Target="https://www.climatecouncil.ie/media/climatechangeadvisorycouncil/contentassets/publications/Hydrogen%20in%20Ireland%20web%20version.pdf" TargetMode="External"/><Relationship Id="rId1133" Type="http://schemas.openxmlformats.org/officeDocument/2006/relationships/hyperlink" Target="https://www.h2-view.com/story/topsoe-and-aramco-collaborate-to-demonstrate-blue-hydrogen-technology-in-saudi-arabia/2100248.article/"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www.spglobal.com/marketintelligence/en/news-insights/latest-news-headlines/new-jersey-resources-starts-up-1st-east-coast-green-hydrogen-blending-project-67570888" TargetMode="External"/><Relationship Id="rId587" Type="http://schemas.openxmlformats.org/officeDocument/2006/relationships/hyperlink" Target="https://www.china5e.com/news/news-1107445-1.html" TargetMode="External"/><Relationship Id="rId710" Type="http://schemas.openxmlformats.org/officeDocument/2006/relationships/hyperlink" Target="https://www.centerpointenergy.com/en-us/business/services/clean-energy-innovation/renewable-hydrogen?sa=tx" TargetMode="External"/><Relationship Id="rId808" Type="http://schemas.openxmlformats.org/officeDocument/2006/relationships/hyperlink" Target="https://www.hifglobal.com/" TargetMode="External"/><Relationship Id="rId1340" Type="http://schemas.openxmlformats.org/officeDocument/2006/relationships/hyperlink" Target="https://www.egypttoday.com/Article/3/130746/SK-Ecoplant-CSCEC-cooperate-to-build-2B-green-hydrogen-projec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www.businesswire.com/news/home/20220811005309/en/INNIO-to-Power-Raven-SR%E2%80%99s-First-Waste-to-Hydrogen-Plant-With-100-Renewable-Energy" TargetMode="External"/><Relationship Id="rId1077" Type="http://schemas.openxmlformats.org/officeDocument/2006/relationships/hyperlink" Target="https://direct.argusmedia.com/newsandanalysis/Article/2491133" TargetMode="External"/><Relationship Id="rId1200" Type="http://schemas.openxmlformats.org/officeDocument/2006/relationships/hyperlink" Target="https://research.csiro.au/hyresource/hazer-commercial-demonstration-plant/" TargetMode="External"/><Relationship Id="rId654" Type="http://schemas.openxmlformats.org/officeDocument/2006/relationships/hyperlink" Target="https://www.traffordgreenhydrogen.co.uk/news/carlton-power-secures-government-backing-to-develop-trafford-green-hydrogen-project" TargetMode="External"/><Relationship Id="rId861" Type="http://schemas.openxmlformats.org/officeDocument/2006/relationships/hyperlink" Target="https://www.aesandes.com/en/aes-andes-launches-first-green-hydrogen-open-season-chile-its-adelaida-project" TargetMode="External"/><Relationship Id="rId959" Type="http://schemas.openxmlformats.org/officeDocument/2006/relationships/hyperlink" Target="https://newsroom.bloomenergy.com/news/bloom-energy-demonstrates-hydrogen-production-with-the-worlds-largest-and-most-efficient-solid-oxide-electrolyzer" TargetMode="External"/><Relationship Id="rId1284" Type="http://schemas.openxmlformats.org/officeDocument/2006/relationships/hyperlink" Target="https://alfanarprojects.com/en-us/newsroom/alfanar-consolidates-its-leading-position-in-energy-transition-by-developing-a-project-for-green-hydrogen-production/"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xeloncorp.com/newsroom/Pages/DOE-Grant-to-Support-Hydrogen-Production-Project-at-Nine-Mile-Point.aspx" TargetMode="External"/><Relationship Id="rId721" Type="http://schemas.openxmlformats.org/officeDocument/2006/relationships/hyperlink" Target="https://www.world-energy.org/article/29081.html" TargetMode="External"/><Relationship Id="rId1144" Type="http://schemas.openxmlformats.org/officeDocument/2006/relationships/hyperlink" Target="https://www.h2-view.com/story/gaznat-inaugurates-hydrogen-and-co2-to-syngas-project-in-switzerland/" TargetMode="External"/><Relationship Id="rId1351" Type="http://schemas.openxmlformats.org/officeDocument/2006/relationships/hyperlink" Target="https://direct.argusmedia.com/newsandanalysis/Article/2551169"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www.theguardian.com/world/2021/may/27/oman-plans-to-build-worlds-largest-green-hydrogen-plant" TargetMode="External"/><Relationship Id="rId819" Type="http://schemas.openxmlformats.org/officeDocument/2006/relationships/hyperlink" Target="https://cipartners.dk/2022/04/20/european-consortium-madoquapower2x-announces-industrial-scale-power-to-green-hydrogen-and-ammonia-project-in-sines-portugal/" TargetMode="External"/><Relationship Id="rId1004" Type="http://schemas.openxmlformats.org/officeDocument/2006/relationships/hyperlink" Target="https://vighy.france-hydrogene.org/projets/h2-bordeaux/" TargetMode="External"/><Relationship Id="rId1211" Type="http://schemas.openxmlformats.org/officeDocument/2006/relationships/hyperlink" Target="https://hycamite.com/news/hycamite-breaks-ground-at-kokkola-industrial-park-for-customer-sample-facility"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horisontenergi.no/horisont-energi-chooses-hammerfest-norway-to-build-europes-first-large-scale-carbon-neutral-ammonia-plant/" TargetMode="External"/><Relationship Id="rId665" Type="http://schemas.openxmlformats.org/officeDocument/2006/relationships/hyperlink" Target="https://www.h2-view.com/story/octopus-hydrogen-granted-environmental-permit-for-green-hydrogen-production/" TargetMode="External"/><Relationship Id="rId872" Type="http://schemas.openxmlformats.org/officeDocument/2006/relationships/hyperlink" Target="https://www.offshore-mag.com/renewable-energy/article/14286224/tes-ewe-sign-green-hydrogen-accord-for-wilhelmshaven-hub" TargetMode="External"/><Relationship Id="rId1088" Type="http://schemas.openxmlformats.org/officeDocument/2006/relationships/hyperlink" Target="https://direct.argusmedia.com/newsandanalysis/Article/2493887" TargetMode="External"/><Relationship Id="rId1295" Type="http://schemas.openxmlformats.org/officeDocument/2006/relationships/hyperlink" Target="https://jc.ne10.uol.com.br/colunas/jc-negocios/2024/04/13/european-energy-aposta-na-producao-do-e-metanol-em-pernambuco-indo-alem-da-producao-do-hidrogenio-verde.htmlv" TargetMode="External"/><Relationship Id="rId1309" Type="http://schemas.openxmlformats.org/officeDocument/2006/relationships/hyperlink" Target="https://kommunikasjon.ntb.no/pressemelding/18213794/stor-milepael-for-hydrogen-i-sandnessjoen-nettreservasjonen-er-pa-plass?publisherId=17848591&amp;lang=no"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research.csiro.au/hyresource/h2-hub-gladstone/" TargetMode="External"/><Relationship Id="rId732"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1155" Type="http://schemas.openxmlformats.org/officeDocument/2006/relationships/hyperlink" Target="https://www.renewableenergymagazine.com/hydrogen/first-aem-flex-120-electrolyser-delivered-to-20231103" TargetMode="External"/><Relationship Id="rId1362" Type="http://schemas.openxmlformats.org/officeDocument/2006/relationships/comments" Target="../comments1.xm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utilitas.ee/en/the-utilitas-and-ug-investments-green-hydrogen-complete-chain-project-received-a-positive-financing-decision/" TargetMode="External"/><Relationship Id="rId1222" Type="http://schemas.openxmlformats.org/officeDocument/2006/relationships/hyperlink" Target="https://www.h2-mobile.fr/actus/sealhyfe-premier-electrolyseur-offshore-monde-entre-services/" TargetMode="External"/><Relationship Id="rId469" Type="http://schemas.openxmlformats.org/officeDocument/2006/relationships/hyperlink" Target="https://esenergia.es/planta-de-hidrogeno-verde/" TargetMode="External"/><Relationship Id="rId676" Type="http://schemas.openxmlformats.org/officeDocument/2006/relationships/hyperlink" Target="https://energynews.biz/douglas-county-pud-proceeding-with-construction-of-hydrogen-plant/" TargetMode="External"/><Relationship Id="rId883" Type="http://schemas.openxmlformats.org/officeDocument/2006/relationships/hyperlink" Target="https://www.pv-magazine-latam.com/2022/05/24/la-petrolera-colombiana-ecopetrol-sella-alianza-con-seis-empresas-internacionales-para-desarrollo-de-hidrogeno/" TargetMode="External"/><Relationship Id="rId1099" Type="http://schemas.openxmlformats.org/officeDocument/2006/relationships/hyperlink" Target="https://www.euro-petrole.com/totalenergies-et-air-liquide-sassocient-pour-decarboner-la-plateforme-de-normandie-grace-a-lhydrogene-vert-n-f-26045"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www.chemengonline.com/austrian-consortium-unveils-major-decarbonization-project-focused-on-co2-capture-green-hydrogen/" TargetMode="External"/><Relationship Id="rId1166" Type="http://schemas.openxmlformats.org/officeDocument/2006/relationships/hyperlink" Target="https://www.reuters.com/business/energy/australias-fortescue-approves-750-mln-investment-three-green-projects-2023-11-20/" TargetMode="External"/><Relationship Id="rId175" Type="http://schemas.openxmlformats.org/officeDocument/2006/relationships/hyperlink" Target="http://www.energy-observer.org/en/" TargetMode="External"/><Relationship Id="rId743" Type="http://schemas.openxmlformats.org/officeDocument/2006/relationships/hyperlink" Target="https://www.volth2.com/persbericht-delfzijl-2-juni-2022/" TargetMode="External"/><Relationship Id="rId950" Type="http://schemas.openxmlformats.org/officeDocument/2006/relationships/hyperlink" Target="https://eih2.ie/e120m-green-energy-facility-planned-for-cork-creating-85-jobs/" TargetMode="External"/><Relationship Id="rId1026" Type="http://schemas.openxmlformats.org/officeDocument/2006/relationships/hyperlink" Target="https://balkangreenenergynews.com/hidroelectrica-makes-plans-to-enter-green-hydrogen-production/"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 TargetMode="External"/><Relationship Id="rId687" Type="http://schemas.openxmlformats.org/officeDocument/2006/relationships/hyperlink" Target="https://hidrogeno-verde.es/primera-planta-de-hidrogeno-en-un-almacen-logistico-en-espana/" TargetMode="External"/><Relationship Id="rId810" Type="http://schemas.openxmlformats.org/officeDocument/2006/relationships/hyperlink" Target="https://twitter.com/H2GreenSteel/status/1548942476026822656?s=20&amp;t=gLuxq_kzs2E6wDNArSo1YQ" TargetMode="External"/><Relationship Id="rId908" Type="http://schemas.openxmlformats.org/officeDocument/2006/relationships/hyperlink" Target="https://www.linde.com/news-media/press-releases/2023/linde-to-supply-green-hydrogen-to-evonik-in-singapore" TargetMode="External"/><Relationship Id="rId1233" Type="http://schemas.openxmlformats.org/officeDocument/2006/relationships/hyperlink" Target="https://www.hydrogeninsight.com/production/india-s-largest-power-giant-unveils-enormous-4gw-green-hydrogen-project/2-1-1601848"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ir.fusion-fuel.eu/news-releases/news-release-details/fusion-fuel-supply-hevo-solar-technology-hive-energy-green" TargetMode="External"/><Relationship Id="rId1177" Type="http://schemas.openxmlformats.org/officeDocument/2006/relationships/hyperlink" Target="https://renewablesnow.com/news/austrian-retailer-mpreis-commissions-32-mw-green-hydrogen-plant-779013/" TargetMode="External"/><Relationship Id="rId1300" Type="http://schemas.openxmlformats.org/officeDocument/2006/relationships/hyperlink" Target="https://www.ceara.gov.br/2024/06/21/semace-preside-audiencia-publica-sobre-eia-rima-de-producao-de-hidrogenio-verde-no-pecem/"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newsbeezer.com/portugaleng/producing-hydrogen-at-alandroal-this-can-be-possible-after-an-investment-of-more-than-e-300-million/" TargetMode="External"/><Relationship Id="rId754" Type="http://schemas.openxmlformats.org/officeDocument/2006/relationships/hyperlink" Target="https://www.woodplc.com/news/latest-press-releases/2021/Wood-and-HYGEN-Energy-to-accelerate-green-hydrogen-production-in-the-UK" TargetMode="External"/><Relationship Id="rId961" Type="http://schemas.openxmlformats.org/officeDocument/2006/relationships/hyperlink" Target="https://direct.argusmedia.com/newsandanalysis/Article/2395369"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hydrogen-central.com/hydrogen-lab-leuna-starts-operations-germany/" TargetMode="External"/><Relationship Id="rId821" Type="http://schemas.openxmlformats.org/officeDocument/2006/relationships/hyperlink" Target="https://hydrogen-central.com/h2biscus-project-samsung-lotte-posco-hydrogen-plant-malaysia/" TargetMode="External"/><Relationship Id="rId1037" Type="http://schemas.openxmlformats.org/officeDocument/2006/relationships/hyperlink" Target="https://salcos.salzgitter-ag.com/en/grinhy-20.html" TargetMode="External"/><Relationship Id="rId1244" Type="http://schemas.openxmlformats.org/officeDocument/2006/relationships/hyperlink" Target="https://biofuels-news.com/news/shells-rhineland-refinery-to-produce-saf/"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www.h2-view.com/story/e3-5bn-project-to-create-1500km-hydrogen-backbone-pipeline-for-germany/" TargetMode="External"/><Relationship Id="rId698" Type="http://schemas.openxmlformats.org/officeDocument/2006/relationships/hyperlink" Target="https://forbes.co/2022/05/31/editors-picks/asi-es-el-primer-carro-de-hidrogeno-que-circula-por-las-calles-de-colombia" TargetMode="External"/><Relationship Id="rId919" Type="http://schemas.openxmlformats.org/officeDocument/2006/relationships/hyperlink" Target="https://renewablesnow.com/news/meld-energy-plans-100-mw-hydrogen-project-at-uk-chemicals-park-825189/" TargetMode="External"/><Relationship Id="rId1090" Type="http://schemas.openxmlformats.org/officeDocument/2006/relationships/hyperlink" Target="https://renewablesnow.com/news/luxcara-joins-major-green-hydrogen-project-in-hamburg-834397/" TargetMode="External"/><Relationship Id="rId1104" Type="http://schemas.openxmlformats.org/officeDocument/2006/relationships/hyperlink" Target="https://direct.argusmedia.com/newsandanalysis/Article/2486874" TargetMode="External"/><Relationship Id="rId1311" Type="http://schemas.openxmlformats.org/officeDocument/2006/relationships/hyperlink" Target="https://portodeaveiro.pt/webinar-decarbonising-small-medium-ports/pdfs/session-one/5-Hydrogen-as-an-energy-source-of-the-future-Teresa-Marques.pdf"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lapisenergy.com/lapis-energy-to-develop-carbon-capture-sequestration-project-with-lsb-industries/" TargetMode="External"/><Relationship Id="rId765" Type="http://schemas.openxmlformats.org/officeDocument/2006/relationships/hyperlink" Target="https://www.greenlab.dk/knowledge/greenhyscale-project-enter-grant-agreement-preparation-phase/" TargetMode="External"/><Relationship Id="rId972" Type="http://schemas.openxmlformats.org/officeDocument/2006/relationships/hyperlink" Target="https://www.reuters.com/business/energy/sinopecs-first-green-hydrogen-plant-xinjiang-starts-production-xinhua-2023-06-30/" TargetMode="External"/><Relationship Id="rId1188" Type="http://schemas.openxmlformats.org/officeDocument/2006/relationships/hyperlink" Target="https://www.sse.com/news-and-views/2023/12/sse-thermal-acquires-50-stake-in-h2northeast-hydrogen-project/"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news.cision.com/nel-asa/r/nel-asa--nel-to-supply-an-alkaline-electrolyser-system-for-solar-foods,c3526086" TargetMode="External"/><Relationship Id="rId832" Type="http://schemas.openxmlformats.org/officeDocument/2006/relationships/hyperlink" Target="https://www.rechargenews.com/energy-transition/enterprize-plans-4gw-offshore-wind-farm-off-ireland-to-power-3-2gw-green-hydrogen-project/2-1-1104575" TargetMode="External"/><Relationship Id="rId1048" Type="http://schemas.openxmlformats.org/officeDocument/2006/relationships/hyperlink" Target="https://ec.europa.eu/clima/system/files/2021-11/policy_funding_innovation-fund_large-scale_successful_projects_en.pdf" TargetMode="External"/><Relationship Id="rId1255" Type="http://schemas.openxmlformats.org/officeDocument/2006/relationships/hyperlink" Target="https://www.datamarnews.com/noticias/santos-port-authority-eyes-federal-fund-for-green-hydrogen-production/" TargetMode="External"/><Relationship Id="rId264" Type="http://schemas.openxmlformats.org/officeDocument/2006/relationships/hyperlink" Target="http://www.seafuel.eu/es/inicio/" TargetMode="External"/><Relationship Id="rId471" Type="http://schemas.openxmlformats.org/officeDocument/2006/relationships/hyperlink" Target="https://espana.edp.com/en/news/2021/05/21/edp-presents-its-energy-transition-projects-asturias-offshore-wind-farm-and" TargetMode="External"/><Relationship Id="rId1115" Type="http://schemas.openxmlformats.org/officeDocument/2006/relationships/hyperlink" Target="https://direct.argusmedia.com/newsandanalysis/article/2486110" TargetMode="External"/><Relationship Id="rId1322" Type="http://schemas.openxmlformats.org/officeDocument/2006/relationships/hyperlink" Target="https://neptuntromso.no/"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energynews.biz/hhi-to-build-pilot-green-hydrogen-production-plant/" TargetMode="External"/><Relationship Id="rId776" Type="http://schemas.openxmlformats.org/officeDocument/2006/relationships/hyperlink" Target="https://maritime-executive.com/editorials/e-methanol-and-the-future-of-marine" TargetMode="External"/><Relationship Id="rId983" Type="http://schemas.openxmlformats.org/officeDocument/2006/relationships/hyperlink" Target="https://renewablesnow.com/news/austrias-first-green-hydrogen-production-plant-goes-live-822650/" TargetMode="External"/><Relationship Id="rId1199" Type="http://schemas.openxmlformats.org/officeDocument/2006/relationships/hyperlink" Target="https://vighy.france-hydrogene.org/projets/usine-trange/"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www.qamarenergy.com/sites/default/files/The%20UAE%27s%20Role%20in%20the%20Global%20Hydrogen%20Economy.pdf" TargetMode="External"/><Relationship Id="rId1059" Type="http://schemas.openxmlformats.org/officeDocument/2006/relationships/hyperlink" Target="https://direct.argusmedia.com/newsandanalysis/Article/2472537" TargetMode="External"/><Relationship Id="rId1266" Type="http://schemas.openxmlformats.org/officeDocument/2006/relationships/hyperlink" Target="https://direct.argusmedia.com/newsandanalysis/Article/2425755" TargetMode="External"/><Relationship Id="rId843" Type="http://schemas.openxmlformats.org/officeDocument/2006/relationships/hyperlink" Target="https://www.nucnet.org/news/danish-companies-sign-agreement-for-usd4-billion-thorium-smr-in-borneo-5-1-2023" TargetMode="External"/><Relationship Id="rId1126" Type="http://schemas.openxmlformats.org/officeDocument/2006/relationships/hyperlink" Target="https://chemicalparks.eu/news/madoquapower2x-investment-green-hydrogen-production-sines-portugal" TargetMode="External"/><Relationship Id="rId275" Type="http://schemas.openxmlformats.org/officeDocument/2006/relationships/hyperlink" Target="https://www.norsk-e-fuel.com/en/" TargetMode="External"/><Relationship Id="rId482" Type="http://schemas.openxmlformats.org/officeDocument/2006/relationships/hyperlink" Target="https://h2v.net/projet/projet-h2v-59/" TargetMode="External"/><Relationship Id="rId703"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0" Type="http://schemas.openxmlformats.org/officeDocument/2006/relationships/hyperlink" Target="https://www.argusmedia.com/en/news/2422050-scottish-300mw-h2-plant-to-decarbonise-whisky-industry" TargetMode="External"/><Relationship Id="rId1333" Type="http://schemas.openxmlformats.org/officeDocument/2006/relationships/hyperlink" Target="https://vikenhydrogen.no/skal-utvikle-gront-hydrogen-til-industri-og-skipsfart-pa-ora-en-milepael-for-hydrogensatsingen/"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mcphy.com/en/achievements/hydrogen-mobility-en/zero-emission-valley-zev/" TargetMode="External"/><Relationship Id="rId994" Type="http://schemas.openxmlformats.org/officeDocument/2006/relationships/hyperlink" Target="https://vighy.france-hydrogene.org/projets/hycor/"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mairetecnimont.com/en/media/press-releases/maire-tecnimont-group-reaches-agreement-greenfield-nitrogen-llc-development-green-ammonia-plant" TargetMode="External"/><Relationship Id="rId854" Type="http://schemas.openxmlformats.org/officeDocument/2006/relationships/hyperlink" Target="https://research.csiro.au/hyresource/portland-renewable-hydrogen-project/" TargetMode="External"/><Relationship Id="rId1277" Type="http://schemas.openxmlformats.org/officeDocument/2006/relationships/hyperlink" Target="https://www.power-technology.com/marketdata/power-plant-profile-total-eren-h2-magallanes-complex-chile/"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mcphy.com/en/press-releases/power_to_gas_mcphy_hebei_delivery/?cn-reloaded=1" TargetMode="External"/><Relationship Id="rId507" Type="http://schemas.openxmlformats.org/officeDocument/2006/relationships/hyperlink" Target="http://www.eog-asia.com/sumitomo-starts-hydrogen-demonstration-experiment-using-megawatt-class-water-electrolyser/" TargetMode="External"/><Relationship Id="rId714" Type="http://schemas.openxmlformats.org/officeDocument/2006/relationships/hyperlink" Target="https://research.csiro.au/hyresource/manilla-solar-phase-2-hydrogen-energy-storage-system/" TargetMode="External"/><Relationship Id="rId921" Type="http://schemas.openxmlformats.org/officeDocument/2006/relationships/hyperlink" Target="https://renewablesnow.com/news/ric-energy-unveils-green-h2-project-it-is-developing-alone-in-spain-782794/" TargetMode="External"/><Relationship Id="rId1137" Type="http://schemas.openxmlformats.org/officeDocument/2006/relationships/hyperlink" Target="https://www.atalayar.com/en/articulo/economy-and-business/dakhla-will-host-an-8-gigawatt-green-hydrogen-plant-to-power-industry/20231004140908191877.html" TargetMode="External"/><Relationship Id="rId1344" Type="http://schemas.openxmlformats.org/officeDocument/2006/relationships/hyperlink" Target="https://direct.argusmedia.com/newsandanalysis/Article/2556212"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news.cision.com/nel-asa/r/nel-asa--receives-purchase-order-for-an-alkaline-electrolyser-system-from-glencore-nikkelverk,c3576789" TargetMode="External"/><Relationship Id="rId798" Type="http://schemas.openxmlformats.org/officeDocument/2006/relationships/hyperlink" Target="https://fuelcellsworks.com/news/hyvia-installs-first-electrolyzer-in-flins-plant-accelerating-hydrogen-mobility-ecosystem/?mc_cid=12e0faa137&amp;mc_eid=da4624d261" TargetMode="External"/><Relationship Id="rId1190" Type="http://schemas.openxmlformats.org/officeDocument/2006/relationships/hyperlink" Target="https://www.airliquide.com/group/press-releases-news/2022-07-19/air-liquide-build-two-new-hydrogen-production-units-carbon-capture-technology-shanghai-chemical" TargetMode="External"/><Relationship Id="rId1204" Type="http://schemas.openxmlformats.org/officeDocument/2006/relationships/hyperlink" Target="https://gaspathways.com/c-zero-the-low-power-solution-for-producing-hydrogen-from-natural-gas-2341"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5" Type="http://schemas.openxmlformats.org/officeDocument/2006/relationships/hyperlink" Target="https://research.csiro.au/hyresource/mid-west-clean-energy-project/" TargetMode="External"/><Relationship Id="rId1050" Type="http://schemas.openxmlformats.org/officeDocument/2006/relationships/hyperlink" Target="https://chariotenergygroup.com/operations/green-hydrogen/" TargetMode="External"/><Relationship Id="rId1288" Type="http://schemas.openxmlformats.org/officeDocument/2006/relationships/hyperlink" Target="https://virya-energy.prezly.com/virya-energy-hyoffgreen-and-messer-announce-final-investment-decision-for-25mw-renewable-hydrogen-plant-in-zeebrugge-paving-the-way-for-sustainable-mobility-and-industry"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files.woodside/docs/default-source/media-releases/woodside%27s-h2perth-to-make-western-australia-a-hydrogen-powerhouse.pdf?sfvrsn=3857b154_2" TargetMode="External"/><Relationship Id="rId725"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2" Type="http://schemas.openxmlformats.org/officeDocument/2006/relationships/hyperlink" Target="https://direct.argusmedia.com/newsandanalysis/Article/2453086" TargetMode="External"/><Relationship Id="rId1148" Type="http://schemas.openxmlformats.org/officeDocument/2006/relationships/hyperlink" Target="https://direct.argusmedia.com/newsandanalysis/Article/2503017" TargetMode="External"/><Relationship Id="rId1355" Type="http://schemas.openxmlformats.org/officeDocument/2006/relationships/hyperlink" Target="https://direct.argusmedia.com/newsandanalysis/Article/2412080"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nelhydrogen.com/press-release/nel-asa-receives-purchase-order-for-40-mw-electrolyser-equipment-from-bondalti/" TargetMode="External"/><Relationship Id="rId1215" Type="http://schemas.openxmlformats.org/officeDocument/2006/relationships/hyperlink" Target="https://proactivo.com.pe/fenix-primera-planta-de-hidrogeno-verde-instalada-en-central-electrica-en-el-peru-inicia-su-operacion/"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www.offshore-energy.biz/woodside-starts-engineering-activities-on-h2ok-hydrogen-project/" TargetMode="External"/><Relationship Id="rId669" Type="http://schemas.openxmlformats.org/officeDocument/2006/relationships/hyperlink" Target="https://ens.dk/sites/ens.dk/files/ptx/strategy_ptx.pdf" TargetMode="External"/><Relationship Id="rId876" Type="http://schemas.openxmlformats.org/officeDocument/2006/relationships/hyperlink" Target="https://madoquaventures.com/projects/" TargetMode="External"/><Relationship Id="rId1299" Type="http://schemas.openxmlformats.org/officeDocument/2006/relationships/hyperlink" Target="https://coppe.ufrj.br/planeta-coppe/coppe-inaugura-planta-de-producao-de-hidrogenio-verde/"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ww.viessmann.family/en/what-we-offer/climate-solutions/hydrogen/smartquart-a-complete-hydrogen-infrastructure-is-being-built-in-kaisersesch" TargetMode="External"/><Relationship Id="rId736" Type="http://schemas.openxmlformats.org/officeDocument/2006/relationships/hyperlink" Target="https://news.solarbe.com/202001/08/319050.html" TargetMode="External"/><Relationship Id="rId1061" Type="http://schemas.openxmlformats.org/officeDocument/2006/relationships/hyperlink" Target="https://direct.argusmedia.com/newsandanalysis/Article/2474138" TargetMode="External"/><Relationship Id="rId1159" Type="http://schemas.openxmlformats.org/officeDocument/2006/relationships/hyperlink" Target="https://wcsecure.weblink.com.au/pdf/PV1/02553645.pdf"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1019" Type="http://schemas.openxmlformats.org/officeDocument/2006/relationships/hyperlink" Target="https://ren-gas.com/en/news/lahti-energia-and-nordic-ren-gas-signed-a-project-development-agreement-for-the-lahti-power-to-gas-project/"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hammarshillenergy.co.uk/type-news/media-release/" TargetMode="External"/><Relationship Id="rId803" Type="http://schemas.openxmlformats.org/officeDocument/2006/relationships/hyperlink" Target="https://www.straitstimes.com/business/economy/china-approves-renewable-mega-project-for-green-hydrogen" TargetMode="External"/><Relationship Id="rId1226" Type="http://schemas.openxmlformats.org/officeDocument/2006/relationships/hyperlink" Target="https://hydrogentechworld.com/gail-inaugurates-10-mw-green-hydrogen-production-plant-in-madhya-pradesh"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2" Type="http://schemas.openxmlformats.org/officeDocument/2006/relationships/hyperlink" Target="https://direct.argusmedia.com/newsandanalysis/Article/2477036"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4" Type="http://schemas.openxmlformats.org/officeDocument/2006/relationships/hyperlink" Target="http://daystarenergy.com.au/"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www.pv-magazine.com/2020/11/17/danish-investment-fund-backs-5-gw-australian-renewable-hydrogen-project/" TargetMode="External"/><Relationship Id="rId607" Type="http://schemas.openxmlformats.org/officeDocument/2006/relationships/hyperlink" Target="https://renewablesnow.com/news/fortescue-plans-usd-6bn-green-hydrogen-project-at-brazils-pecem-port-746992/" TargetMode="External"/><Relationship Id="rId814" Type="http://schemas.openxmlformats.org/officeDocument/2006/relationships/hyperlink" Target="https://www.h2v.eu/hydrogen-valleys/crystal-brook-hydrogen-superhub" TargetMode="External"/><Relationship Id="rId1237" Type="http://schemas.openxmlformats.org/officeDocument/2006/relationships/hyperlink" Target="https://direct.argusmedia.com/newsandanalysis/article/2509646?keywords=en.it"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biofuelsdigest.com/bdigest/2021/12/15/wood-waste-to-hydrogen-motes-h2-gambit-in-california-announced/" TargetMode="External"/><Relationship Id="rId660" Type="http://schemas.openxmlformats.org/officeDocument/2006/relationships/hyperlink" Target="https://hydrogen-central.com/developers-behind-controversial-hydrogen-plant-set-clydebank-waterfront-explained-the-reason-for-withdrawing-their-controversial-plans/" TargetMode="External"/><Relationship Id="rId898" Type="http://schemas.openxmlformats.org/officeDocument/2006/relationships/hyperlink" Target="https://www.ghi-corp.com/projects/nova-scotia" TargetMode="External"/><Relationship Id="rId1083" Type="http://schemas.openxmlformats.org/officeDocument/2006/relationships/hyperlink" Target="https://private.cedigaz.org/newsreport_pdf/64c3726cd950b_CNR62-14.pdf" TargetMode="External"/><Relationship Id="rId1290" Type="http://schemas.openxmlformats.org/officeDocument/2006/relationships/hyperlink" Target="https://www.linkedin.com/pulse/alberta-selects-shell-suncor-atco-atlas-carbon-hub-proposal-/" TargetMode="External"/><Relationship Id="rId1304" Type="http://schemas.openxmlformats.org/officeDocument/2006/relationships/hyperlink" Target="https://fuella.no/projects/project-korgen/"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fuelcellsworks.com/news/petrofac-to-evaluate-green-hydrogen-development-on-sakhalin-island/?mc_cid=8d7926e8c4&amp;mc_eid=da4624d261" TargetMode="External"/><Relationship Id="rId965" Type="http://schemas.openxmlformats.org/officeDocument/2006/relationships/hyperlink" Target="https://direct.argusmedia.com/newsandanalysis/Article/2431937" TargetMode="External"/><Relationship Id="rId1150" Type="http://schemas.openxmlformats.org/officeDocument/2006/relationships/hyperlink" Target="https://direct.argusmedia.com/newsandanalysis/Article/2504674"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www.wa.gov.au/system/files/2022-04/City%20of%20Cockburn%20-%20Green%20Hydrogen%20-%20Final%20Knowledge%20Sharing%20Report.pdf" TargetMode="External"/><Relationship Id="rId618" Type="http://schemas.openxmlformats.org/officeDocument/2006/relationships/hyperlink" Target="https://www.mynewsdesk.com/se/uniper/news/uniper-aer-med-och-bygger-en-vaetgashubb-i-luleaa-429036" TargetMode="External"/><Relationship Id="rId825" Type="http://schemas.openxmlformats.org/officeDocument/2006/relationships/hyperlink" Target="https://hyphenafrica.com/news/hyphen-hydrogen-energy-progresses-its-planned-us10-bn-namibian-green-hydrogen-project/" TargetMode="External"/><Relationship Id="rId1248" Type="http://schemas.openxmlformats.org/officeDocument/2006/relationships/hyperlink" Target="https://direct.argusmedia.com/newsandanalysis/Article/2508805"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www.power-technology.com/marketdata/sinopec-ordos-solar-pv-park-china/" TargetMode="External"/><Relationship Id="rId1010" Type="http://schemas.openxmlformats.org/officeDocument/2006/relationships/hyperlink" Target="https://www.hydrogen.energy.gov/pdfs/review23/sdi002_prabakar_2023_o.pdf" TargetMode="External"/><Relationship Id="rId1094" Type="http://schemas.openxmlformats.org/officeDocument/2006/relationships/hyperlink" Target="https://www.tecnicasreunidas.es/tecnicas-reunidas-s-a-initiates-the-preliminary-scope-for-a-green-hydrogen-and-green-ammonia-production-facilities-in-australia/" TargetMode="External"/><Relationship Id="rId1108" Type="http://schemas.openxmlformats.org/officeDocument/2006/relationships/hyperlink" Target="https://energynews.biz/atlas-agros-green-hydrogen-fertilizer-plant-nears-final-investment-decision/" TargetMode="External"/><Relationship Id="rId1315" Type="http://schemas.openxmlformats.org/officeDocument/2006/relationships/hyperlink" Target="https://www.hydrogeninsight.com/production/mini-electrolyser-makers-shares-surge-as-it-reveals-eu-approval-for-massive-portuguese-green-hydrogen-project/2-1-1600035?message=%5bnuxt%5d+instance+unavailable&amp;stack=&amp;statusCode=404&amp;statusMessage=%5bnuxt%5d+instance+unavailable&amp;url=/production/mini-electrolyser-makers-shares-surge-as-it-reveals-eu-approval-for-massive-portuguese-green-hydrogen-project/2-1-1600035"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thyssenkrupp-nucera.com/2022/07/26/unigel-installs-the-first-industrial-scale-green-hydrogen-production-site-in-brazil-using-thyssenkrupp-nucera-technology/" TargetMode="External"/><Relationship Id="rId769" Type="http://schemas.openxmlformats.org/officeDocument/2006/relationships/hyperlink" Target="https://research.csiro.au/hyresource/clean-energy-innovation-park/" TargetMode="External"/><Relationship Id="rId976" Type="http://schemas.openxmlformats.org/officeDocument/2006/relationships/hyperlink" Target="https://www.s-ge.com/en/system/files?file=event/downloads/20220525%20Green%20Hydrogen%20projects%20Chile.pdf&amp;ct"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energiepark-bad-lauchstaedt.de/" TargetMode="External"/><Relationship Id="rId629" Type="http://schemas.openxmlformats.org/officeDocument/2006/relationships/hyperlink" Target="https://hydrogenisland.dk/en" TargetMode="External"/><Relationship Id="rId1161" Type="http://schemas.openxmlformats.org/officeDocument/2006/relationships/hyperlink" Target="https://sustainablebiz.ca/deep-sky-to-pilot-equatics-dac--seawater-tech-in-quebec-facility" TargetMode="External"/><Relationship Id="rId1259" Type="http://schemas.openxmlformats.org/officeDocument/2006/relationships/hyperlink" Target="https://gep-global.com/news/green-energy-park-raises-30-million-us-dollars-initial-equity-funding-accelerate-energy-transition-and-build-one-largest-renewable-hydrogen-production-and-export-terminal-facilities-world" TargetMode="External"/><Relationship Id="rId836" Type="http://schemas.openxmlformats.org/officeDocument/2006/relationships/hyperlink" Target="https://www.argusmedia.com/en/news/2426650-osaka-gas-santos-eye-emethane-production-in-australia" TargetMode="External"/><Relationship Id="rId1021" Type="http://schemas.openxmlformats.org/officeDocument/2006/relationships/hyperlink" Target="https://p2x.fi/p2x-solutions-selvittaa-savon-voiman-kanssa-mahdollisuutta-vihrean-vedyn-ja-sahkopolttoaineiden-tuotantoon-joensuussa/" TargetMode="External"/><Relationship Id="rId1119" Type="http://schemas.openxmlformats.org/officeDocument/2006/relationships/hyperlink" Target="https://direct.argusmedia.com/newsandanalysis/article/2451947" TargetMode="External"/><Relationship Id="rId903" Type="http://schemas.openxmlformats.org/officeDocument/2006/relationships/hyperlink" Target="https://www.ammoniaenergy.org/articles/mauritania-ammonia-mega-project-enters-next-phase/" TargetMode="External"/><Relationship Id="rId1326" Type="http://schemas.openxmlformats.org/officeDocument/2006/relationships/hyperlink" Target="https://neogreenhydrogen.com/sines-pt"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vighy.france-hydrogene.org/projets/projet-h2-pierre-benite/" TargetMode="External"/><Relationship Id="rId693" Type="http://schemas.openxmlformats.org/officeDocument/2006/relationships/hyperlink" Target="https://arkenergy.com.au/news/2023/11/1/364-ark-energy-breaks-ground-for-sunhq/"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afrik21.africa/en/egypt-with-hassan-allam-masdar-wants-to-convert-4-gw-of-electricity-into-hydrogen/" TargetMode="External"/><Relationship Id="rId760" Type="http://schemas.openxmlformats.org/officeDocument/2006/relationships/hyperlink" Target="https://www.enelgreenpower.com/media/press/2022/09/egp-saras-green-hydrogen-ipcei-hy2use" TargetMode="External"/><Relationship Id="rId998" Type="http://schemas.openxmlformats.org/officeDocument/2006/relationships/hyperlink" Target="https://vighy.france-hydrogene.org/projets/h2v-thionville/" TargetMode="External"/><Relationship Id="rId1183" Type="http://schemas.openxmlformats.org/officeDocument/2006/relationships/hyperlink" Target="https://nelhydrogen.com/press-release/nel-asa-receives-purchase-order-for-a-containerized-electrolyser-for-sustainable-aviation-fuel-production/"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www.offshore-energy.biz/everwind-fuels-receives-environmental-approval-for-point-tupper-project/" TargetMode="External"/><Relationship Id="rId1043" Type="http://schemas.openxmlformats.org/officeDocument/2006/relationships/hyperlink" Target="https://direct.argusmedia.com/newsandanalysis/Article/2472237" TargetMode="External"/><Relationship Id="rId620" Type="http://schemas.openxmlformats.org/officeDocument/2006/relationships/hyperlink" Target="https://www.eleconomista.es/empresas-finanzas/noticias/10896511/11/20/Repsol-invertira-hasta-2900-millones-en-hidrogeno-en-cinco-anos-.html" TargetMode="External"/><Relationship Id="rId718" Type="http://schemas.openxmlformats.org/officeDocument/2006/relationships/hyperlink" Target="https://www.equinor.com/news/archive/20211215-launch-h2be-project-hydrogen-belgium" TargetMode="External"/><Relationship Id="rId925" Type="http://schemas.openxmlformats.org/officeDocument/2006/relationships/hyperlink" Target="https://www.doinghydrogen.com/partner/enertrag-ag/" TargetMode="External"/><Relationship Id="rId1250" Type="http://schemas.openxmlformats.org/officeDocument/2006/relationships/hyperlink" Target="https://direct.argusmedia.com/newsandanalysis/Article/2513338" TargetMode="External"/><Relationship Id="rId1348" Type="http://schemas.openxmlformats.org/officeDocument/2006/relationships/hyperlink" Target="https://direct.argusmedia.com/newsandanalysis/Article/2547060" TargetMode="External"/><Relationship Id="rId1110" Type="http://schemas.openxmlformats.org/officeDocument/2006/relationships/hyperlink" Target="https://sevilla.abc.es/economia/comienza-funcionar-primera-planta-hidrogeno-verde-andalucia-20231015201113-nts.html" TargetMode="External"/><Relationship Id="rId1208" Type="http://schemas.openxmlformats.org/officeDocument/2006/relationships/hyperlink" Target="https://research.csiro.au/hyresource/swinburne-university-of-technology-victorian-hydrogen-hub-csiro-hydrogen-refuelling-station/"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gh2.eu/news/gh2-increases-the-capacity-of-its-green-hydrogen-based-efuel-production-plant-project-in-the-port-of" TargetMode="External"/><Relationship Id="rId782" Type="http://schemas.openxmlformats.org/officeDocument/2006/relationships/hyperlink" Target="https://www.mynewsdesk.com/se/strandmoellen-ab/pressreleases/strandmoellen-ab-has-placed-a-purchase-order-for-a-3mw-electrolyser-from-fest-gmbh-3172967"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resourceworld.com/first-hydrogen-identifies-four-u-k-sites-for-hydrogen-projects/" TargetMode="External"/><Relationship Id="rId1065" Type="http://schemas.openxmlformats.org/officeDocument/2006/relationships/hyperlink" Target="https://direct.argusmedia.com/newsandanalysis/Article/2492610" TargetMode="External"/><Relationship Id="rId1272" Type="http://schemas.openxmlformats.org/officeDocument/2006/relationships/hyperlink" Target="https://www.lagazzettadelmezzogiorno.it/news/taranto/1507411/ex-ilva-puglia-hydrogen-valley-alimentera-i-nuovi-forni-elettrici.html" TargetMode="External"/><Relationship Id="rId502" Type="http://schemas.openxmlformats.org/officeDocument/2006/relationships/hyperlink" Target="https://fuelcellsworks.com/news/fm-logistic-completes-successful-test-of-hydrogen-generator/" TargetMode="External"/><Relationship Id="rId947" Type="http://schemas.openxmlformats.org/officeDocument/2006/relationships/hyperlink" Target="https://thecurrency.news/articles/80215/bord-na-mona-enrols-boc-for-green-hydrogen-business/" TargetMode="External"/><Relationship Id="rId1132" Type="http://schemas.openxmlformats.org/officeDocument/2006/relationships/hyperlink" Target="https://timesofindia.indiatimes.com/city/jaipur/rajasthan-jakson-group-to-set-up-mega-green-hydrogen-ammonia-plant-in-kota/articleshow/95110232.cms"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reflau.com/projekt"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www.rystadenergy.com/news/africa-and-europe-set-to-be-the-dynamos-for-the-global-green-hydrogen-economy"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rechargenews.com/energy-transition/growing-ambition-the-worlds-20-largest-green-hydrogen-projects/2-1-933755" TargetMode="External"/><Relationship Id="rId1087" Type="http://schemas.openxmlformats.org/officeDocument/2006/relationships/hyperlink" Target="https://direct.argusmedia.com/newsandanalysis/article/2481753" TargetMode="External"/><Relationship Id="rId1294" Type="http://schemas.openxmlformats.org/officeDocument/2006/relationships/hyperlink" Target="https://epbr.com.br/voltalia-assina-pre-contrato-para-producao-de-hidrogenio-verde-no-ceara/" TargetMode="External"/><Relationship Id="rId664" Type="http://schemas.openxmlformats.org/officeDocument/2006/relationships/hyperlink" Target="https://www.liquidwind.se/news/liquid-wind-announces-full-ownership-transition-to-orsted-of-flagshipone" TargetMode="External"/><Relationship Id="rId871" Type="http://schemas.openxmlformats.org/officeDocument/2006/relationships/hyperlink" Target="https://energynews.biz/danish-renewables-giant-unveils-bold-green-hydrogen-project-in-eyre-peninsula/" TargetMode="External"/><Relationship Id="rId969" Type="http://schemas.openxmlformats.org/officeDocument/2006/relationships/hyperlink" Target="https://www.constructionweekonline.in/business/a-p-moller-maersk-sungas-renewables-sign-strategic-green-methanol-partnership"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edify-green-hydrogen-project/" TargetMode="External"/><Relationship Id="rId731" Type="http://schemas.openxmlformats.org/officeDocument/2006/relationships/hyperlink" Target="https://www.rechargenews.com/transition/linde-to-build-world-s-largest-electrolyser-to-produce-green-hydrogen/2-1-944080?utm_source=emailsharing" TargetMode="External"/><Relationship Id="rId1154" Type="http://schemas.openxmlformats.org/officeDocument/2006/relationships/hyperlink" Target="https://energynews.biz/bayotech-unveil-bayogaas-hydrogen-hub-in-missouri/" TargetMode="External"/><Relationship Id="rId1361" Type="http://schemas.openxmlformats.org/officeDocument/2006/relationships/vmlDrawing" Target="../drawings/vmlDrawing1.vm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829" Type="http://schemas.openxmlformats.org/officeDocument/2006/relationships/hyperlink" Target="https://ntepa.nt.gov.au/__data/assets/pdf_file/0018/1122741/provaris-tiwi-h2-project-referral.pdf" TargetMode="External"/><Relationship Id="rId1014" Type="http://schemas.openxmlformats.org/officeDocument/2006/relationships/hyperlink" Target="https://www.hysnowgroomer.com/projektinformationen-2/" TargetMode="External"/><Relationship Id="rId1221" Type="http://schemas.openxmlformats.org/officeDocument/2006/relationships/hyperlink" Target="https://www.h2-view.com/story/linde-africa-hive-hydrogen-to-develop-4-6bn-green-ammonia-production-project-in-south-africa/" TargetMode="External"/><Relationship Id="rId1319" Type="http://schemas.openxmlformats.org/officeDocument/2006/relationships/hyperlink" Target="https://decarbconnect.com/project/hydrogen-hub-mo/" TargetMode="External"/><Relationship Id="rId25" Type="http://schemas.openxmlformats.org/officeDocument/2006/relationships/hyperlink" Target="https://www.green-industrial-hydrogen.com/"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www.adodunav.org/en/news/vodorodniiat-proiekt-v-rusie-prieminava-km-faza-na-osshchiestviavanie" TargetMode="External"/><Relationship Id="rId686" Type="http://schemas.openxmlformats.org/officeDocument/2006/relationships/hyperlink" Target="https://p2x.fi/en/the-foundation-stone-of-p2x-solutions-green-hydrogen-production-plant-was-laid-in-harjavalta/" TargetMode="External"/><Relationship Id="rId893"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ecubes.si/zero-emission-mobility-corridor-project-in-slovenia/" TargetMode="External"/><Relationship Id="rId753" Type="http://schemas.openxmlformats.org/officeDocument/2006/relationships/hyperlink" Target="https://www.airliquide.com/group/press-releases-news/2021-07-29/air-liquide-transforms-its-network-germany-connecting-large-electrolyzer-producing-renewable" TargetMode="External"/><Relationship Id="rId1176" Type="http://schemas.openxmlformats.org/officeDocument/2006/relationships/hyperlink" Target="https://group.vattenfall.com/press-and-media/pressreleases/2019/hybrit-orders-norwegain-electrolyzers-for-fossil-free-steel-production-in-lulea" TargetMode="External"/><Relationship Id="rId101" Type="http://schemas.openxmlformats.org/officeDocument/2006/relationships/hyperlink" Target="https://www.gp-joule.de/referenzen/efarm"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direct.argusmedia.com/newsandanalysis/Article/2397690" TargetMode="External"/><Relationship Id="rId1036" Type="http://schemas.openxmlformats.org/officeDocument/2006/relationships/hyperlink" Target="http://www.fuelcellchina.com/Industry_information_details/1454.html" TargetMode="External"/><Relationship Id="rId1243" Type="http://schemas.openxmlformats.org/officeDocument/2006/relationships/hyperlink" Target="https://direct.argusmedia.com/newsandanalysis/Article/2511437" TargetMode="External"/><Relationship Id="rId613" Type="http://schemas.openxmlformats.org/officeDocument/2006/relationships/hyperlink" Target="https://www.energiaestrategica.com/el-primer-proyecto-piloto-de-hidrogeno-verde-de-uruguay-podria-estar-operativo-en-2025/" TargetMode="External"/><Relationship Id="rId820" Type="http://schemas.openxmlformats.org/officeDocument/2006/relationships/hyperlink" Target="https://www.h2-view.com/story/australia-to-gain-hydrogen-production-project-with-a-900-tonne-per-day-capacity-by-2031/" TargetMode="External"/><Relationship Id="rId918" Type="http://schemas.openxmlformats.org/officeDocument/2006/relationships/hyperlink" Target="https://www.acciona.com/updates/news/acciona-energia-plug-power-present-valle-h2v-navarra-project-government-navarra/?_adin=02021864894" TargetMode="External"/><Relationship Id="rId1103" Type="http://schemas.openxmlformats.org/officeDocument/2006/relationships/hyperlink" Target="https://hystar.com/yara-clean-ammonia-joins-hypilot-project-with-hystar-equinor-and-gassco/" TargetMode="External"/><Relationship Id="rId1310" Type="http://schemas.openxmlformats.org/officeDocument/2006/relationships/hyperlink" Target="https://quadranteglobal.com/en/project/new-hydrogen-unit-vila-velha-de-rodao/" TargetMode="External"/><Relationship Id="rId47" Type="http://schemas.openxmlformats.org/officeDocument/2006/relationships/hyperlink" Target="https://reneweconomy.com.au/s-a-to-host-australias-first-green-hydrogen-power-plant-89447/" TargetMode="External"/><Relationship Id="rId196" Type="http://schemas.openxmlformats.org/officeDocument/2006/relationships/hyperlink" Target="http://www.ptg-bw.de/"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www.lavozdeasturias.es/noticia/asturias/2021/10/14/edppretende-crear-valle-hidrogeno-asturias/00031634225270324999555.htm"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hydrogen-central.com/portugal-keme-energy-green-hydrogen-plant-sines-5-million-euros-investment/" TargetMode="External"/><Relationship Id="rId775" Type="http://schemas.openxmlformats.org/officeDocument/2006/relationships/hyperlink" Target="https://www.offshore-energy.biz/multiplhy-project-sunfire-installs-worlds-largest-soec-electrolyser/" TargetMode="External"/><Relationship Id="rId982" Type="http://schemas.openxmlformats.org/officeDocument/2006/relationships/hyperlink" Target="https://chile.hyvolution.com/en/2023/06/20/mae-exhibits-at-hyvolution-and-brings-its-experience-in-the-development-of-a-pioneering-green-hydrogen-project-in-chile/" TargetMode="External"/><Relationship Id="rId1198" Type="http://schemas.openxmlformats.org/officeDocument/2006/relationships/hyperlink" Target="https://research.csiro.au/hyresource/geelong-new-energies-service-station-project/"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renewablesnow.com/news/h2-industries-plans-usd-14bn-waste-to-hydrogen-facility-in-oman-781651/" TargetMode="External"/><Relationship Id="rId842" Type="http://schemas.openxmlformats.org/officeDocument/2006/relationships/hyperlink" Target="https://ec.europa.eu/commission/presscorner/detail/en/ip_22_5968" TargetMode="External"/><Relationship Id="rId1058" Type="http://schemas.openxmlformats.org/officeDocument/2006/relationships/hyperlink" Target="https://direct.argusmedia.com/newsandanalysis/Article/2488999" TargetMode="External"/><Relationship Id="rId1265" Type="http://schemas.openxmlformats.org/officeDocument/2006/relationships/hyperlink" Target="https://www.hydrogeninsight.com/production/construction-begins-on-2-6bn-gigawatt-scale-green-hydrogen-and-ammonia-project-in-northern-china/2-1-1672656" TargetMode="External"/><Relationship Id="rId702" Type="http://schemas.openxmlformats.org/officeDocument/2006/relationships/hyperlink" Target="https://www.reuters.com/business/cf-industries-sees-roughly-2-bln-price-tag-us-blue-ammonia-facility-2022-05-05/" TargetMode="External"/><Relationship Id="rId1125" Type="http://schemas.openxmlformats.org/officeDocument/2006/relationships/hyperlink" Target="https://www.industryandenergy.eu/hydrogen/trafigura-takes-control-of-h2-energy-europe-to-boost-green-hydrogen/" TargetMode="External"/><Relationship Id="rId1332" Type="http://schemas.openxmlformats.org/officeDocument/2006/relationships/hyperlink" Target="https://ren-gas.com/en/projekti/pori-2/" TargetMode="External"/><Relationship Id="rId69" Type="http://schemas.openxmlformats.org/officeDocument/2006/relationships/hyperlink" Target="https://www.sunfire.de/en/company/news/detail/first-commercial-plant-for-the-production-of-blue-crude-planned-in-norway" TargetMode="External"/><Relationship Id="rId285" Type="http://schemas.openxmlformats.org/officeDocument/2006/relationships/hyperlink" Target="https://www.h2-view.com/story/repsol-unveils-green-hydrogen-project/" TargetMode="External"/><Relationship Id="rId492" Type="http://schemas.openxmlformats.org/officeDocument/2006/relationships/hyperlink" Target="https://ax.legal/2021/12/07/chiles-hydrogen-project-pipeline/" TargetMode="External"/><Relationship Id="rId797" Type="http://schemas.openxmlformats.org/officeDocument/2006/relationships/hyperlink" Target="https://statements.qld.gov.au/statements/97085"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1287" Type="http://schemas.openxmlformats.org/officeDocument/2006/relationships/hyperlink" Target="https://www.h2-view.com/story/siemens-energy-to-supply-280mw-electrolyser-to-german-hydrogen-project/2112847.article/"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mcphy.com/en/press-releases/greenh2atlantic-project/?cn-reloaded=1" TargetMode="External"/><Relationship Id="rId864" Type="http://schemas.openxmlformats.org/officeDocument/2006/relationships/hyperlink" Target="https://research.csiro.au/hyresource/bristol-springs-solar-hydrogen-project/" TargetMode="External"/><Relationship Id="rId517" Type="http://schemas.openxmlformats.org/officeDocument/2006/relationships/hyperlink" Target="https://www.infiniteblueenergy.com/projects/arrowsmith-hydrogen-plant-stage-1/" TargetMode="External"/><Relationship Id="rId724" Type="http://schemas.openxmlformats.org/officeDocument/2006/relationships/hyperlink" Target="https://www.lexlatin.com/noticias/paraguay-planta-hidrogeno-amoniaco-verde-NeoGreen-Hydrogen" TargetMode="External"/><Relationship Id="rId931" Type="http://schemas.openxmlformats.org/officeDocument/2006/relationships/hyperlink" Target="https://direct.argusmedia.com/newsandanalysis/Article/2451404" TargetMode="External"/><Relationship Id="rId1147" Type="http://schemas.openxmlformats.org/officeDocument/2006/relationships/hyperlink" Target="https://direct.argusmedia.com/newsandanalysis/Article/2505496" TargetMode="External"/><Relationship Id="rId1354" Type="http://schemas.openxmlformats.org/officeDocument/2006/relationships/hyperlink" Target="https://direct.argusmedia.com/newsandanalysis/Article/2542279" TargetMode="External"/><Relationship Id="rId60" Type="http://schemas.openxmlformats.org/officeDocument/2006/relationships/hyperlink" Target="https://www.csiro.au/en/Do-business/Futures/Reports/Hydrogen-Roadmap" TargetMode="External"/><Relationship Id="rId1007" Type="http://schemas.openxmlformats.org/officeDocument/2006/relationships/hyperlink" Target="https://ek.fi/tutkittua-tietoa/vihreat-investoinnit/" TargetMode="External"/><Relationship Id="rId1214" Type="http://schemas.openxmlformats.org/officeDocument/2006/relationships/hyperlink" Target="https://skynrg.com/state-of-baden-wu%CC%88rttemberg-supports-study-on-the-production-and-use-of-synthetic-kerosene-based-on-renewable-energies/" TargetMode="External"/><Relationship Id="rId18" Type="http://schemas.openxmlformats.org/officeDocument/2006/relationships/hyperlink" Target="https://hydeploy.co.uk/"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argusmedia.com/en/news/2254679-uniper-targets-green-hydrogen-production-in-uk"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www.wiva.at/project/uphy-i-ii/?lang=en" TargetMode="External"/><Relationship Id="rId886" Type="http://schemas.openxmlformats.org/officeDocument/2006/relationships/hyperlink" Target="https://www.constructionweekonline.in/projects-tenders/hygenco-installs-indias-first-green-hydrogen-demo-plant-in-ujjain" TargetMode="External"/><Relationship Id="rId2" Type="http://schemas.openxmlformats.org/officeDocument/2006/relationships/hyperlink" Target="https://skynrg.com/press-releases/klm-skynrg-and-shv-energy-announce-project-first-european-plant-for-sustainable-aviation-fuel/"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reneweconomy.com.au/south-australia-renewable-hydrogen-export-plan-wins-japanese-backing/" TargetMode="External"/><Relationship Id="rId746" Type="http://schemas.openxmlformats.org/officeDocument/2006/relationships/hyperlink" Target="https://www.axios.com/2022/03/10/plug-power-taps-abb-for-300m-hydrogen-plants" TargetMode="External"/><Relationship Id="rId1071" Type="http://schemas.openxmlformats.org/officeDocument/2006/relationships/hyperlink" Target="https://direct.argusmedia.com/newsandanalysis/Article/2485013" TargetMode="External"/><Relationship Id="rId1169" Type="http://schemas.openxmlformats.org/officeDocument/2006/relationships/hyperlink" Target="https://www.hydrogeninsight.com/industrial/clean-hydrogen-fertiglobe-ships-world-first-certified-green-ammonia-to-india-to-make-unilever-washing-powder/2-1-1556234"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www.hydrogeninsight.com/industrial/pioneer-heineken-and-siemens-launch-joint-venture-to-decarbonise-eu-fertiliser-production-with-green-hydrogen/2-1-1479482" TargetMode="External"/><Relationship Id="rId1029" Type="http://schemas.openxmlformats.org/officeDocument/2006/relationships/hyperlink" Target="https://climate.ec.europa.eu/eu-action/funding-climate-action/innovation-fund/large-scale-calls/projects-selected-grant-preparation_en" TargetMode="External"/><Relationship Id="rId1236" Type="http://schemas.openxmlformats.org/officeDocument/2006/relationships/hyperlink" Target="https://energynews.biz/saudi-arabias-aramco-sets-sights-on-hydrogen/" TargetMode="External"/><Relationship Id="rId82" Type="http://schemas.openxmlformats.org/officeDocument/2006/relationships/hyperlink" Target="https://www.focus.de/wissen/technik/mobilitaet/antriebe/tid-23218/wunderkraftstoff-schadstofffrei-in-die-zukunft_aid_652598.html" TargetMode="External"/><Relationship Id="rId606" Type="http://schemas.openxmlformats.org/officeDocument/2006/relationships/hyperlink" Target="https://www.aquaventus.org/" TargetMode="External"/><Relationship Id="rId813" Type="http://schemas.openxmlformats.org/officeDocument/2006/relationships/hyperlink" Target="https://www.reuters.com/business/energy/portugals-galp-moves-green-hydrogen-refinery-eyes-12-bln-investment-2021-06-14/" TargetMode="External"/><Relationship Id="rId1303" Type="http://schemas.openxmlformats.org/officeDocument/2006/relationships/hyperlink" Target="https://direct.argusmedia.com/newsandanalysis/article/2601930"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fuelcellsworks.com/news/sinopec-to-launch-first-green-hydrogen-project-in-2022/" TargetMode="External"/><Relationship Id="rId670" Type="http://schemas.openxmlformats.org/officeDocument/2006/relationships/hyperlink" Target="https://www.salzgitter-ag.com/en/newsroom/press-releases/details/green-light-for-green-steel-19904.html" TargetMode="External"/><Relationship Id="rId1093" Type="http://schemas.openxmlformats.org/officeDocument/2006/relationships/hyperlink" Target="https://www.afrik21.africa/en/mauritania-british-oil-company-bp-is-eyeing-the-green-hydrogen-market/"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blog.topsoe.com/haldor-topsoe-and-aquamarine-enters-into-a-memorandum-of-understanding-with-the-purpose-of-building-a-green-ammonia-facility-based-on-soec-electrolysis?hsLang=en-us" TargetMode="External"/><Relationship Id="rId768" Type="http://schemas.openxmlformats.org/officeDocument/2006/relationships/hyperlink" Target="https://infrastructurepipeline.org/project/h2tas-bell-bay-hydrogen-plant" TargetMode="External"/><Relationship Id="rId975" Type="http://schemas.openxmlformats.org/officeDocument/2006/relationships/hyperlink" Target="https://indho.cl/en/projects/pv-h2-kalisaya/" TargetMode="External"/><Relationship Id="rId1160" Type="http://schemas.openxmlformats.org/officeDocument/2006/relationships/hyperlink" Target="https://renewablesnow.com/news/eurus-gets-permits-for-20-mw-electrolyser-project-in-the-netherlands-836724/" TargetMode="External"/><Relationship Id="rId628" Type="http://schemas.openxmlformats.org/officeDocument/2006/relationships/hyperlink" Target="https://hy2gen.com/" TargetMode="External"/><Relationship Id="rId835" Type="http://schemas.openxmlformats.org/officeDocument/2006/relationships/hyperlink" Target="https://www.ammoniaenergy.org/articles/ammonia-exports-from-brazil-taking-shape/" TargetMode="External"/><Relationship Id="rId1258" Type="http://schemas.openxmlformats.org/officeDocument/2006/relationships/hyperlink" Target="https://world-nuclear-news.org/Articles/Eletronuclear-plans-clean-hydrogen-production" TargetMode="External"/><Relationship Id="rId1020" Type="http://schemas.openxmlformats.org/officeDocument/2006/relationships/hyperlink" Target="https://www.both2nia.com/application/files/6816/7949/3478/Pre-study_on_transition_to_hydrogen_economy_specifically_in_Northern_Ostrobothnia_final_16_3.pdf" TargetMode="External"/><Relationship Id="rId1118" Type="http://schemas.openxmlformats.org/officeDocument/2006/relationships/hyperlink" Target="https://direct.argusmedia.com/newsandanalysis/Article/2497352" TargetMode="External"/><Relationship Id="rId1325" Type="http://schemas.openxmlformats.org/officeDocument/2006/relationships/hyperlink" Target="https://winpowersa.com/cgi-sys/suspendedpage.cgi" TargetMode="External"/><Relationship Id="rId902" Type="http://schemas.openxmlformats.org/officeDocument/2006/relationships/hyperlink" Target="https://www.h2-view.com/story/sse-siemens-partner-to-convert-100mw-of-scottish-wind-energy-into-green-hydrogen/" TargetMode="External"/><Relationship Id="rId31" Type="http://schemas.openxmlformats.org/officeDocument/2006/relationships/hyperlink" Target="http://h2v59-concertation.net/comprendre-projet/"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85" Type="http://schemas.openxmlformats.org/officeDocument/2006/relationships/hyperlink" Target="https://h2v.net/projet/projet-h2v-idf/" TargetMode="External"/><Relationship Id="rId692" Type="http://schemas.openxmlformats.org/officeDocument/2006/relationships/hyperlink" Target="https://www.edp.com/en/innovation/flexnconfu-power-to-increase-the-flexibility-of-thermal-plants"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renewablesnow.com/news/amea-power-inks-mou-for-large-scale-green-ammonia-production-in-egypt-781715/" TargetMode="External"/><Relationship Id="rId997" Type="http://schemas.openxmlformats.org/officeDocument/2006/relationships/hyperlink" Target="https://vighy.france-hydrogene.org/projets/vhya-lorraine/" TargetMode="External"/><Relationship Id="rId1182" Type="http://schemas.openxmlformats.org/officeDocument/2006/relationships/hyperlink" Target="https://www.argusmedia.com/en/news/2371492-indias-jindal-stainless-hygenco-plan-green-h2-plant"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everwindfuels.com/projects/point_tupper" TargetMode="External"/><Relationship Id="rId1042" Type="http://schemas.openxmlformats.org/officeDocument/2006/relationships/hyperlink" Target="https://direct.argusmedia.com/newsandanalysis/Article/2474693" TargetMode="External"/><Relationship Id="rId717" Type="http://schemas.openxmlformats.org/officeDocument/2006/relationships/hyperlink" Target="https://research.csiro.au/hyresource/swinburne-university-of-technology-victorian-hydrogen-hub-csiro-hydrogen-refuelling-station/" TargetMode="External"/><Relationship Id="rId924" Type="http://schemas.openxmlformats.org/officeDocument/2006/relationships/hyperlink" Target="https://energynews.biz/power2x-and-soto-solar-to-build-1-2-gw-pv-and-green-hydrogen-plant-in-spain/" TargetMode="External"/><Relationship Id="rId1347" Type="http://schemas.openxmlformats.org/officeDocument/2006/relationships/hyperlink" Target="https://direct.argusmedia.com/newsandanalysis/Article/2554152" TargetMode="External"/><Relationship Id="rId53" Type="http://schemas.openxmlformats.org/officeDocument/2006/relationships/hyperlink" Target="https://www.entsog.eu/power-green-hydrogen-mallorca" TargetMode="External"/><Relationship Id="rId1207" Type="http://schemas.openxmlformats.org/officeDocument/2006/relationships/hyperlink" Target="https://www.kraftanlagen.com/en/green-hydrogen-from-bavari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libertysteelgroup.com/news/liberty-develop-hydrogen-steel-making-plant/" TargetMode="External"/><Relationship Id="rId227" Type="http://schemas.openxmlformats.org/officeDocument/2006/relationships/hyperlink" Target="https://slideplayer.com/slide/4218317/" TargetMode="External"/><Relationship Id="rId781" Type="http://schemas.openxmlformats.org/officeDocument/2006/relationships/hyperlink" Target="https://mfgt.hu/en/Akvamarin" TargetMode="External"/><Relationship Id="rId879" Type="http://schemas.openxmlformats.org/officeDocument/2006/relationships/hyperlink" Target="https://exploracionyproduccion.ancap.com.uy/innovaportal/file/14868/1/energy-opportunities-offshore-uruguay---s-ferro-image-2022-houston.pdf"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energycapitalpower.com/cwp-massive-renewables-projects-in-africa/" TargetMode="External"/><Relationship Id="rId739" Type="http://schemas.openxmlformats.org/officeDocument/2006/relationships/hyperlink" Target="https://research.csiro.au/hyresource/abel-energy-bell-bay-powerfuels-project/" TargetMode="External"/><Relationship Id="rId1064" Type="http://schemas.openxmlformats.org/officeDocument/2006/relationships/hyperlink" Target="https://www.gegha.com.au/" TargetMode="External"/><Relationship Id="rId1271" Type="http://schemas.openxmlformats.org/officeDocument/2006/relationships/hyperlink" Target="https://renewablesnow.com/news/cepsa-picks-nucera-siemens-electrolysers-for-400-mw-project-in-spain-857525/" TargetMode="External"/><Relationship Id="rId501" Type="http://schemas.openxmlformats.org/officeDocument/2006/relationships/hyperlink" Target="https://noticiaslogisticaytransporte.com/nuevas-tendencias/01/03/2021/fm-logistic-y-h2b2-podran-en-marcha-una-estacion-de-servicio-de-hidrogeno/163313.html" TargetMode="External"/><Relationship Id="rId946" Type="http://schemas.openxmlformats.org/officeDocument/2006/relationships/hyperlink" Target="https://www.eolasmagazine.ie/indaver-is-ready-to-contribute-to-a-new-hydrogen-economy/" TargetMode="External"/><Relationship Id="rId1131" Type="http://schemas.openxmlformats.org/officeDocument/2006/relationships/hyperlink" Target="https://www.manufacturingtodayindia.com/sectors/jakson-greens-ambitious-rs-2400-cr-green-ammonia-plant-to-transform-deendayal-port-authority" TargetMode="External"/><Relationship Id="rId1229" Type="http://schemas.openxmlformats.org/officeDocument/2006/relationships/hyperlink" Target="https://direct.argusmedia.com/newsandanalysis/Article/2476003" TargetMode="External"/><Relationship Id="rId75" Type="http://schemas.openxmlformats.org/officeDocument/2006/relationships/hyperlink" Target="https://www.supergen-bioenergy.net/wp-content/uploads/2019/06/Bioenergy-and-waste-gasification-report-2019.pdf" TargetMode="External"/><Relationship Id="rId806" Type="http://schemas.openxmlformats.org/officeDocument/2006/relationships/hyperlink" Target="https://www.seafuel.eu/h2-station/" TargetMode="External"/><Relationship Id="rId291" Type="http://schemas.openxmlformats.org/officeDocument/2006/relationships/hyperlink" Target="https://fuelcellsworks.com/news/sun-metals-to-build-queensland-first-renewable-hydrogen-plant/"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www.oilreviewafrica.com/exploration/industry/sonangol-works-on-producing-green-hydrogen"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pglobal.com/platts/en/market-insights/latest-news/electric-power/052821-germany-shortlists-62-hydrogen-projects-with-2-gw-capacity-for-ipcei-state-aid" TargetMode="External"/><Relationship Id="rId663" Type="http://schemas.openxmlformats.org/officeDocument/2006/relationships/hyperlink" Target="http://www.fuelcellchina.com/Industry_information_details/130.html" TargetMode="External"/><Relationship Id="rId870"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1086" Type="http://schemas.openxmlformats.org/officeDocument/2006/relationships/hyperlink" Target="https://www.hydrogeninsight.com/production/chinas-largest-green-hydrogen-project-a-4bn-640mw-ammonia-methanol-facility-begins-construction/2-1-1525815" TargetMode="External"/><Relationship Id="rId1293" Type="http://schemas.openxmlformats.org/officeDocument/2006/relationships/hyperlink" Target="https://epbr.com.br/white-martins-anuncia-segunda-planta-de-hidrogenio-verde-para-atender-clientes-do-sudeste/"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cooperativeresearch.org.au/ceo-appointed-to-lead-the-kwinana-energy-transformation-hub-keth/" TargetMode="External"/><Relationship Id="rId968" Type="http://schemas.openxmlformats.org/officeDocument/2006/relationships/hyperlink" Target="https://fuelcellsworks.com/news/port-of-grays-harbor-commission-approves-leasing-option-to-invenergy-for-potential-green-hydrogen-project/?mc_cid=850deae301&amp;mc_eid=da4624d261" TargetMode="External"/><Relationship Id="rId1153" Type="http://schemas.openxmlformats.org/officeDocument/2006/relationships/hyperlink" Target="https://www.miningweekly.com/article/hydrogen-plant-buildout-plan-under-way-at-metals-smelter-in-rustenburg-2023-11-01"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power-eng.com/gas/national-grid-in-jv-to-build-new-york-green-hydrogen-storage-delivery-project/" TargetMode="External"/><Relationship Id="rId828" Type="http://schemas.openxmlformats.org/officeDocument/2006/relationships/hyperlink" Target="https://www.horisontenergi.no/horisont-energi-equinor-and-var-energi-enter-cooperation-agreement-for-barents-blue-ammonia-plant/" TargetMode="External"/><Relationship Id="rId1013"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1360" Type="http://schemas.openxmlformats.org/officeDocument/2006/relationships/printerSettings" Target="../printerSettings/printerSettings4.bin"/><Relationship Id="rId1220" Type="http://schemas.openxmlformats.org/officeDocument/2006/relationships/hyperlink" Target="https://www.power-technology.com/news/serbia-2-18bn-renewables-investment-china/?cf-view" TargetMode="External"/><Relationship Id="rId1318" Type="http://schemas.openxmlformats.org/officeDocument/2006/relationships/hyperlink" Target="https://www.fjordbase.no/nyhet/hyds-enters-as-new-owner-in-hyfuel-in-floro" TargetMode="External"/><Relationship Id="rId24" Type="http://schemas.openxmlformats.org/officeDocument/2006/relationships/hyperlink" Target="https://hydrogenenergysupplychain.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Normal="100" workbookViewId="0"/>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7"/>
      <c r="B4" s="7"/>
      <c r="C4" s="7"/>
      <c r="D4" s="7"/>
      <c r="E4" s="7"/>
      <c r="F4" s="7"/>
      <c r="G4" s="7"/>
      <c r="H4" s="7"/>
      <c r="I4" s="7"/>
      <c r="J4" s="7"/>
      <c r="K4" s="7"/>
      <c r="L4" s="7"/>
      <c r="M4" s="7"/>
      <c r="N4" s="7"/>
      <c r="O4" s="7"/>
      <c r="P4" s="7"/>
      <c r="Q4" s="7"/>
      <c r="R4" s="7"/>
      <c r="S4" s="7"/>
      <c r="T4" s="7"/>
      <c r="U4" s="7"/>
      <c r="V4" s="7"/>
      <c r="W4" s="7"/>
      <c r="X4" s="7"/>
      <c r="Y4" s="7"/>
      <c r="Z4" s="7"/>
    </row>
    <row r="5" spans="1:26" x14ac:dyDescent="0.25">
      <c r="A5" s="7"/>
      <c r="Q5" s="7"/>
      <c r="R5" s="7"/>
      <c r="S5" s="7"/>
      <c r="T5" s="7"/>
      <c r="U5" s="7"/>
      <c r="V5" s="7"/>
      <c r="W5" s="7"/>
      <c r="X5" s="7"/>
      <c r="Y5" s="7"/>
      <c r="Z5" s="7"/>
    </row>
    <row r="6" spans="1:26" x14ac:dyDescent="0.25">
      <c r="A6" s="7"/>
      <c r="B6" s="8"/>
      <c r="C6" s="8"/>
      <c r="D6" s="8"/>
      <c r="E6" s="8"/>
      <c r="F6" s="8"/>
      <c r="G6" s="8"/>
      <c r="H6" s="8"/>
      <c r="I6" s="8"/>
      <c r="J6" s="8"/>
      <c r="K6" s="8"/>
      <c r="L6" s="8"/>
      <c r="M6" s="8"/>
      <c r="N6" s="8"/>
      <c r="O6" s="8"/>
      <c r="P6" s="8"/>
      <c r="Q6" s="7"/>
      <c r="R6" s="7"/>
      <c r="S6" s="7"/>
      <c r="T6" s="7"/>
      <c r="U6" s="7"/>
      <c r="V6" s="7"/>
      <c r="W6" s="7"/>
      <c r="X6" s="7"/>
      <c r="Y6" s="7"/>
      <c r="Z6" s="7"/>
    </row>
    <row r="7" spans="1:26" x14ac:dyDescent="0.25">
      <c r="A7" s="7"/>
      <c r="B7" s="9"/>
      <c r="C7" s="9"/>
      <c r="D7" s="9"/>
      <c r="E7" s="9"/>
      <c r="F7" s="9"/>
      <c r="G7" s="9"/>
      <c r="H7" s="9"/>
      <c r="I7" s="9"/>
      <c r="J7" s="9"/>
      <c r="K7" s="9"/>
      <c r="L7" s="9"/>
      <c r="M7" s="9"/>
      <c r="N7" s="9"/>
      <c r="O7" s="9"/>
      <c r="P7" s="9"/>
      <c r="Q7" s="7"/>
      <c r="R7" s="7"/>
      <c r="S7" s="7"/>
      <c r="T7" s="7"/>
      <c r="U7" s="7"/>
      <c r="V7" s="7"/>
      <c r="W7" s="7"/>
      <c r="X7" s="7"/>
      <c r="Y7" s="7"/>
      <c r="Z7" s="7"/>
    </row>
    <row r="8" spans="1:26" x14ac:dyDescent="0.25">
      <c r="A8" s="7"/>
      <c r="B8" s="9"/>
      <c r="C8" s="9"/>
      <c r="D8" s="9"/>
      <c r="E8" s="9"/>
      <c r="F8" s="9"/>
      <c r="G8" s="9"/>
      <c r="H8" s="9"/>
      <c r="I8" s="9"/>
      <c r="J8" s="9"/>
      <c r="K8" s="9"/>
      <c r="L8" s="9"/>
      <c r="M8" s="9"/>
      <c r="N8" s="9"/>
      <c r="O8" s="9"/>
      <c r="P8" s="9"/>
      <c r="Q8" s="7"/>
      <c r="R8" s="7"/>
      <c r="S8" s="7"/>
      <c r="T8" s="7"/>
      <c r="U8" s="7"/>
      <c r="V8" s="7"/>
      <c r="W8" s="7"/>
      <c r="X8" s="7"/>
      <c r="Y8" s="7"/>
      <c r="Z8" s="7"/>
    </row>
    <row r="9" spans="1:26" x14ac:dyDescent="0.25">
      <c r="A9" s="7"/>
      <c r="B9" s="9"/>
      <c r="C9" s="9"/>
      <c r="D9" s="9"/>
      <c r="E9" s="9"/>
      <c r="F9" s="9"/>
      <c r="G9" s="9"/>
      <c r="H9" s="9"/>
      <c r="I9" s="9"/>
      <c r="J9" s="9"/>
      <c r="K9" s="9"/>
      <c r="L9" s="9"/>
      <c r="M9" s="9"/>
      <c r="N9" s="9"/>
      <c r="O9" s="9"/>
      <c r="P9" s="9"/>
      <c r="Q9" s="7"/>
      <c r="R9" s="7"/>
      <c r="S9" s="7"/>
      <c r="T9" s="7"/>
      <c r="U9" s="7"/>
      <c r="V9" s="7"/>
      <c r="W9" s="7"/>
      <c r="X9" s="7"/>
      <c r="Y9" s="7"/>
      <c r="Z9" s="7"/>
    </row>
    <row r="10" spans="1:26" x14ac:dyDescent="0.25">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x14ac:dyDescent="0.25">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x14ac:dyDescent="0.25">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x14ac:dyDescent="0.25">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x14ac:dyDescent="0.25">
      <c r="A14" s="7"/>
      <c r="Q14" s="7"/>
      <c r="R14" s="7"/>
      <c r="S14" s="7"/>
      <c r="T14" s="7"/>
      <c r="U14" s="7"/>
      <c r="V14" s="7"/>
      <c r="W14" s="7"/>
      <c r="X14" s="7"/>
      <c r="Y14" s="7"/>
      <c r="Z14" s="7"/>
    </row>
    <row r="15" spans="1:26" x14ac:dyDescent="0.25">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x14ac:dyDescent="0.25">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x14ac:dyDescent="0.25">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x14ac:dyDescent="0.25">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x14ac:dyDescent="0.25">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x14ac:dyDescent="0.25">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x14ac:dyDescent="0.25">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ht="15.75" x14ac:dyDescent="0.25">
      <c r="A22" s="7"/>
      <c r="B22" s="12"/>
      <c r="C22" s="7"/>
      <c r="D22" s="7"/>
      <c r="E22" s="7"/>
      <c r="Q22" s="7"/>
      <c r="R22" s="7"/>
      <c r="S22" s="7"/>
      <c r="T22" s="7"/>
      <c r="U22" s="7"/>
      <c r="V22" s="7"/>
      <c r="W22" s="7"/>
      <c r="X22" s="7"/>
      <c r="Y22" s="7"/>
      <c r="Z22" s="7"/>
    </row>
    <row r="23" spans="1:26" ht="15.75" x14ac:dyDescent="0.25">
      <c r="A23" s="7"/>
      <c r="B23" s="12"/>
      <c r="C23" s="13"/>
      <c r="D23" s="13"/>
      <c r="E23" s="13"/>
      <c r="F23" s="13"/>
      <c r="J23" s="14"/>
      <c r="K23" s="14"/>
      <c r="L23" s="14"/>
      <c r="M23" s="14"/>
      <c r="N23" s="14"/>
      <c r="O23" s="14"/>
      <c r="P23" s="14"/>
      <c r="Q23" s="7"/>
      <c r="R23" s="7"/>
      <c r="S23" s="7"/>
      <c r="T23" s="7"/>
      <c r="U23" s="7"/>
      <c r="V23" s="7"/>
      <c r="W23" s="7"/>
      <c r="X23" s="7"/>
      <c r="Y23" s="7"/>
      <c r="Z23" s="7"/>
    </row>
    <row r="24" spans="1:26" x14ac:dyDescent="0.25">
      <c r="A24" s="7"/>
      <c r="Q24" s="7"/>
      <c r="R24" s="7"/>
      <c r="S24" s="7"/>
      <c r="T24" s="7"/>
      <c r="U24" s="7"/>
      <c r="V24" s="7"/>
      <c r="W24" s="7"/>
      <c r="X24" s="7"/>
      <c r="Y24" s="7"/>
      <c r="Z24" s="7"/>
    </row>
    <row r="25" spans="1:26" x14ac:dyDescent="0.25">
      <c r="A25" s="7"/>
      <c r="Q25" s="7"/>
      <c r="R25" s="7"/>
      <c r="S25" s="7"/>
      <c r="T25" s="7"/>
      <c r="U25" s="7"/>
      <c r="V25" s="7"/>
      <c r="W25" s="7"/>
      <c r="X25" s="7"/>
      <c r="Y25" s="7"/>
      <c r="Z25" s="7"/>
    </row>
    <row r="26" spans="1:26" x14ac:dyDescent="0.25"/>
    <row r="27" spans="1:26" x14ac:dyDescent="0.25"/>
    <row r="28" spans="1:26" x14ac:dyDescent="0.25"/>
    <row r="29" spans="1:26" x14ac:dyDescent="0.25"/>
    <row r="30" spans="1:26" x14ac:dyDescent="0.25"/>
    <row r="31" spans="1:26" x14ac:dyDescent="0.25"/>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zoomScale="85" zoomScaleNormal="85" workbookViewId="0">
      <selection activeCell="L34" sqref="L34"/>
    </sheetView>
  </sheetViews>
  <sheetFormatPr defaultColWidth="0" defaultRowHeight="15" customHeight="1" zeroHeight="1" x14ac:dyDescent="0.25"/>
  <cols>
    <col min="1" max="25" width="11.42578125" style="185" customWidth="1"/>
    <col min="26" max="27" width="0" style="185" hidden="1"/>
    <col min="28" max="16383" width="9.42578125" style="185" hidden="1"/>
    <col min="16384" max="16384" width="10.140625" style="185" hidden="1"/>
  </cols>
  <sheetData>
    <row r="1" spans="1:27" x14ac:dyDescent="0.25">
      <c r="C1" s="186"/>
      <c r="D1" s="186"/>
    </row>
    <row r="2" spans="1:27" x14ac:dyDescent="0.25"/>
    <row r="3" spans="1:27" x14ac:dyDescent="0.25"/>
    <row r="4" spans="1:27" x14ac:dyDescent="0.25">
      <c r="A4" s="187"/>
      <c r="B4" s="187"/>
      <c r="C4" s="187"/>
      <c r="D4" s="187"/>
      <c r="E4" s="187"/>
      <c r="F4" s="187"/>
      <c r="G4" s="187"/>
      <c r="H4" s="187"/>
      <c r="I4" s="187"/>
      <c r="J4" s="187"/>
      <c r="K4" s="187"/>
      <c r="L4" s="187"/>
      <c r="M4" s="187"/>
      <c r="N4" s="187"/>
      <c r="O4" s="187"/>
      <c r="P4" s="187"/>
      <c r="Q4" s="187"/>
      <c r="R4" s="187"/>
      <c r="S4" s="187"/>
      <c r="T4" s="187"/>
      <c r="U4" s="187"/>
      <c r="V4" s="187"/>
      <c r="W4" s="187"/>
      <c r="X4" s="187"/>
      <c r="Y4" s="187"/>
      <c r="Z4" s="187"/>
      <c r="AA4" s="187"/>
    </row>
    <row r="5" spans="1:27" x14ac:dyDescent="0.25">
      <c r="A5" s="187"/>
      <c r="B5" s="188" t="s">
        <v>8861</v>
      </c>
      <c r="Q5" s="187"/>
      <c r="R5" s="187"/>
      <c r="S5" s="187"/>
      <c r="T5" s="187"/>
      <c r="U5" s="187"/>
      <c r="V5" s="187"/>
      <c r="W5" s="187"/>
      <c r="X5" s="187"/>
      <c r="Y5" s="187"/>
      <c r="Z5" s="187"/>
      <c r="AA5" s="187"/>
    </row>
    <row r="6" spans="1:27" x14ac:dyDescent="0.25">
      <c r="A6" s="187"/>
      <c r="B6" s="189" t="s">
        <v>8862</v>
      </c>
      <c r="C6" s="190"/>
      <c r="D6" s="190"/>
      <c r="E6" s="190"/>
      <c r="F6" s="190"/>
      <c r="G6" s="190"/>
      <c r="H6" s="190"/>
      <c r="I6" s="190"/>
      <c r="J6" s="190"/>
      <c r="K6" s="190"/>
      <c r="L6" s="190"/>
      <c r="M6" s="190"/>
      <c r="N6" s="190"/>
      <c r="O6" s="190"/>
      <c r="P6" s="190"/>
      <c r="Q6" s="187"/>
      <c r="R6" s="187"/>
      <c r="S6" s="187"/>
      <c r="T6" s="187"/>
      <c r="U6" s="187"/>
      <c r="V6" s="187"/>
      <c r="W6" s="187"/>
      <c r="X6" s="187"/>
      <c r="Y6" s="187"/>
      <c r="Z6" s="187"/>
      <c r="AA6" s="187"/>
    </row>
    <row r="7" spans="1:27" x14ac:dyDescent="0.25">
      <c r="A7" s="187"/>
      <c r="B7" s="191" t="s">
        <v>457</v>
      </c>
      <c r="E7" s="191" t="s">
        <v>8863</v>
      </c>
      <c r="F7" s="192"/>
      <c r="G7" s="192"/>
      <c r="H7" s="192"/>
      <c r="I7" s="192"/>
      <c r="J7" s="192"/>
      <c r="K7" s="192"/>
      <c r="L7" s="192"/>
      <c r="M7" s="192"/>
      <c r="N7" s="192"/>
      <c r="O7" s="192"/>
      <c r="P7" s="192"/>
      <c r="Q7" s="187"/>
      <c r="R7" s="187"/>
      <c r="S7" s="187"/>
      <c r="T7" s="187"/>
      <c r="U7" s="187"/>
      <c r="V7" s="187"/>
      <c r="W7" s="187"/>
      <c r="X7" s="187"/>
      <c r="Y7" s="187"/>
      <c r="Z7" s="187"/>
      <c r="AA7" s="187"/>
    </row>
    <row r="8" spans="1:27" x14ac:dyDescent="0.25">
      <c r="A8" s="187"/>
      <c r="B8" s="191" t="s">
        <v>455</v>
      </c>
      <c r="E8" s="191" t="s">
        <v>8864</v>
      </c>
      <c r="F8" s="192"/>
      <c r="G8" s="192"/>
      <c r="H8" s="192"/>
      <c r="I8" s="192"/>
      <c r="J8" s="192"/>
      <c r="K8" s="192"/>
      <c r="L8" s="192"/>
      <c r="M8" s="192"/>
      <c r="N8" s="192"/>
      <c r="O8" s="192"/>
      <c r="P8" s="192"/>
      <c r="Q8" s="187"/>
      <c r="R8" s="187"/>
      <c r="S8" s="187"/>
      <c r="T8" s="187"/>
      <c r="U8" s="187"/>
      <c r="V8" s="187"/>
      <c r="W8" s="187"/>
      <c r="X8" s="187"/>
      <c r="Y8" s="187"/>
      <c r="Z8" s="187"/>
      <c r="AA8" s="187"/>
    </row>
    <row r="9" spans="1:27" x14ac:dyDescent="0.25">
      <c r="A9" s="187"/>
      <c r="B9" s="191" t="s">
        <v>456</v>
      </c>
      <c r="E9" s="191" t="s">
        <v>8865</v>
      </c>
      <c r="F9" s="192"/>
      <c r="G9" s="192"/>
      <c r="H9" s="192"/>
      <c r="I9" s="192"/>
      <c r="J9" s="192"/>
      <c r="K9" s="192"/>
      <c r="L9" s="192"/>
      <c r="M9" s="192"/>
      <c r="N9" s="192"/>
      <c r="O9" s="192"/>
      <c r="P9" s="192"/>
      <c r="Q9" s="187"/>
      <c r="R9" s="187"/>
      <c r="S9" s="187"/>
      <c r="T9" s="187"/>
      <c r="U9" s="187"/>
      <c r="V9" s="187"/>
      <c r="W9" s="187"/>
      <c r="X9" s="187"/>
      <c r="Y9" s="187"/>
      <c r="Z9" s="187"/>
      <c r="AA9" s="187"/>
    </row>
    <row r="10" spans="1:27" x14ac:dyDescent="0.25">
      <c r="A10" s="187"/>
      <c r="B10" s="191" t="s">
        <v>467</v>
      </c>
      <c r="E10" s="191" t="s">
        <v>8866</v>
      </c>
      <c r="F10" s="190"/>
      <c r="G10" s="190"/>
      <c r="H10" s="190"/>
      <c r="I10" s="190"/>
      <c r="J10" s="190"/>
      <c r="K10" s="190"/>
      <c r="L10" s="190"/>
      <c r="M10" s="190"/>
      <c r="N10" s="190"/>
      <c r="O10" s="190"/>
      <c r="P10" s="190"/>
      <c r="Q10" s="187"/>
      <c r="R10" s="187"/>
      <c r="S10" s="187"/>
      <c r="T10" s="187"/>
      <c r="U10" s="187"/>
      <c r="V10" s="187"/>
      <c r="W10" s="187"/>
      <c r="X10" s="187"/>
      <c r="Y10" s="187"/>
      <c r="Z10" s="187"/>
      <c r="AA10" s="187"/>
    </row>
    <row r="11" spans="1:27" x14ac:dyDescent="0.25">
      <c r="A11" s="187"/>
      <c r="B11" s="190"/>
      <c r="C11" s="190"/>
      <c r="D11" s="190"/>
      <c r="E11" s="190"/>
      <c r="F11" s="190"/>
      <c r="G11" s="190"/>
      <c r="H11" s="190"/>
      <c r="I11" s="190"/>
      <c r="J11" s="190"/>
      <c r="K11" s="190"/>
      <c r="L11" s="190"/>
      <c r="M11" s="190"/>
      <c r="N11" s="190"/>
      <c r="O11" s="190"/>
      <c r="P11" s="190"/>
      <c r="Q11" s="187"/>
      <c r="R11" s="187"/>
      <c r="S11" s="187"/>
      <c r="T11" s="187"/>
      <c r="U11" s="187"/>
      <c r="V11" s="187"/>
      <c r="W11" s="187"/>
      <c r="X11" s="187"/>
      <c r="Y11" s="187"/>
      <c r="Z11" s="187"/>
      <c r="AA11" s="187"/>
    </row>
    <row r="12" spans="1:27" ht="18" x14ac:dyDescent="0.25">
      <c r="A12" s="187"/>
      <c r="B12" s="189" t="s">
        <v>8867</v>
      </c>
      <c r="F12" s="190"/>
      <c r="G12" s="190"/>
      <c r="H12" s="190"/>
      <c r="I12" s="190"/>
      <c r="J12" s="190"/>
      <c r="K12" s="190"/>
      <c r="L12" s="190"/>
      <c r="M12" s="190"/>
      <c r="N12" s="190"/>
      <c r="O12" s="190"/>
      <c r="P12" s="190"/>
      <c r="Q12" s="187"/>
      <c r="R12" s="187"/>
      <c r="S12" s="187"/>
      <c r="T12" s="187"/>
      <c r="U12" s="187"/>
      <c r="V12" s="187"/>
      <c r="W12" s="187"/>
      <c r="X12" s="187"/>
      <c r="Y12" s="187"/>
      <c r="Z12" s="187"/>
      <c r="AA12" s="187"/>
    </row>
    <row r="13" spans="1:27" ht="18" x14ac:dyDescent="0.25">
      <c r="A13" s="187"/>
      <c r="B13" s="191" t="s">
        <v>1260</v>
      </c>
      <c r="E13" s="191" t="s">
        <v>8868</v>
      </c>
      <c r="F13" s="190"/>
      <c r="G13" s="190"/>
      <c r="H13" s="190"/>
      <c r="I13" s="190"/>
      <c r="J13" s="190"/>
      <c r="K13" s="190"/>
      <c r="L13" s="190"/>
      <c r="M13" s="190"/>
      <c r="N13" s="190"/>
      <c r="O13" s="190"/>
      <c r="P13" s="190"/>
      <c r="Q13" s="187"/>
      <c r="R13" s="187"/>
      <c r="S13" s="187"/>
      <c r="T13" s="187"/>
      <c r="U13" s="187"/>
      <c r="V13" s="187"/>
      <c r="W13" s="187"/>
      <c r="X13" s="187"/>
      <c r="Y13" s="187"/>
      <c r="Z13" s="187"/>
      <c r="AA13" s="187"/>
    </row>
    <row r="14" spans="1:27" ht="18" x14ac:dyDescent="0.25">
      <c r="A14" s="187"/>
      <c r="B14" s="191" t="s">
        <v>1261</v>
      </c>
      <c r="E14" s="191" t="s">
        <v>8869</v>
      </c>
      <c r="Q14" s="187"/>
      <c r="R14" s="187"/>
      <c r="S14" s="187"/>
      <c r="T14" s="187"/>
      <c r="U14" s="187"/>
      <c r="V14" s="187"/>
      <c r="W14" s="187"/>
      <c r="X14" s="187"/>
      <c r="Y14" s="187"/>
      <c r="Z14" s="187"/>
      <c r="AA14" s="187"/>
    </row>
    <row r="15" spans="1:27" ht="18" x14ac:dyDescent="0.25">
      <c r="A15" s="187"/>
      <c r="B15" s="191" t="s">
        <v>1262</v>
      </c>
      <c r="E15" s="191" t="s">
        <v>8870</v>
      </c>
      <c r="F15" s="193"/>
      <c r="G15" s="193"/>
      <c r="H15" s="193"/>
      <c r="I15" s="193"/>
      <c r="J15" s="193"/>
      <c r="K15" s="193"/>
      <c r="L15" s="193"/>
      <c r="M15" s="193"/>
      <c r="N15" s="193"/>
      <c r="O15" s="193"/>
      <c r="P15" s="193"/>
      <c r="Q15" s="187"/>
      <c r="R15" s="187"/>
      <c r="S15" s="187"/>
      <c r="T15" s="187"/>
      <c r="U15" s="187"/>
      <c r="V15" s="187"/>
      <c r="W15" s="187"/>
      <c r="X15" s="187"/>
      <c r="Y15" s="187"/>
      <c r="Z15" s="187"/>
      <c r="AA15" s="187"/>
    </row>
    <row r="16" spans="1:27" x14ac:dyDescent="0.25">
      <c r="B16" s="190"/>
      <c r="D16" s="193"/>
      <c r="E16" s="193"/>
      <c r="F16" s="193"/>
      <c r="G16" s="193"/>
      <c r="H16" s="193"/>
      <c r="I16" s="193"/>
      <c r="J16" s="193"/>
      <c r="K16" s="193"/>
      <c r="L16" s="193"/>
      <c r="M16" s="193"/>
      <c r="N16" s="193"/>
      <c r="O16" s="193"/>
      <c r="P16" s="193"/>
      <c r="Q16" s="187"/>
      <c r="R16" s="187"/>
      <c r="S16" s="187"/>
      <c r="T16" s="187"/>
      <c r="U16" s="187"/>
      <c r="V16" s="187"/>
      <c r="W16" s="187"/>
      <c r="X16" s="187"/>
      <c r="Y16" s="187"/>
      <c r="Z16" s="187"/>
      <c r="AA16" s="187"/>
    </row>
    <row r="17" spans="1:27" x14ac:dyDescent="0.25">
      <c r="B17" s="194" t="s">
        <v>1263</v>
      </c>
      <c r="D17" s="193"/>
      <c r="E17" s="193"/>
      <c r="F17" s="193"/>
      <c r="G17" s="193"/>
      <c r="H17" s="193"/>
      <c r="I17" s="193"/>
      <c r="J17" s="193"/>
      <c r="K17" s="193"/>
      <c r="L17" s="193"/>
      <c r="M17" s="193"/>
      <c r="N17" s="193"/>
      <c r="O17" s="193"/>
      <c r="P17" s="193"/>
      <c r="Q17" s="187"/>
      <c r="R17" s="187"/>
      <c r="S17" s="187"/>
      <c r="T17" s="187"/>
      <c r="U17" s="187"/>
      <c r="V17" s="187"/>
      <c r="W17" s="187"/>
      <c r="X17" s="187"/>
      <c r="Y17" s="187"/>
      <c r="Z17" s="187"/>
      <c r="AA17" s="187"/>
    </row>
    <row r="18" spans="1:27" x14ac:dyDescent="0.25">
      <c r="B18" s="195" t="s">
        <v>8871</v>
      </c>
      <c r="D18" s="193"/>
      <c r="E18" s="193"/>
      <c r="F18" s="193"/>
      <c r="G18" s="193"/>
      <c r="H18" s="193"/>
      <c r="I18" s="193"/>
      <c r="J18" s="193"/>
      <c r="K18" s="193"/>
      <c r="L18" s="193"/>
      <c r="M18" s="193"/>
      <c r="N18" s="193"/>
      <c r="O18" s="193"/>
      <c r="P18" s="193"/>
      <c r="Q18" s="187"/>
      <c r="R18" s="187"/>
      <c r="S18" s="187"/>
      <c r="T18" s="187"/>
      <c r="U18" s="187"/>
      <c r="V18" s="187"/>
      <c r="W18" s="187"/>
      <c r="X18" s="187"/>
      <c r="Y18" s="187"/>
      <c r="Z18" s="187"/>
      <c r="AA18" s="187"/>
    </row>
    <row r="19" spans="1:27" x14ac:dyDescent="0.25">
      <c r="D19" s="193"/>
      <c r="E19" s="193"/>
      <c r="F19" s="193"/>
      <c r="G19" s="193"/>
      <c r="H19" s="193"/>
      <c r="I19" s="193"/>
      <c r="J19" s="193"/>
      <c r="K19" s="193"/>
      <c r="L19" s="193"/>
      <c r="M19" s="193"/>
      <c r="N19" s="193"/>
      <c r="O19" s="193"/>
      <c r="P19" s="193"/>
      <c r="Q19" s="187"/>
      <c r="R19" s="187"/>
      <c r="S19" s="187"/>
      <c r="T19" s="187"/>
      <c r="U19" s="187"/>
      <c r="V19" s="187"/>
      <c r="W19" s="187"/>
      <c r="X19" s="187"/>
      <c r="Y19" s="187"/>
      <c r="Z19" s="187"/>
      <c r="AA19" s="187"/>
    </row>
    <row r="20" spans="1:27" x14ac:dyDescent="0.25">
      <c r="B20" s="194" t="s">
        <v>1255</v>
      </c>
      <c r="C20" s="190"/>
      <c r="D20" s="190"/>
      <c r="E20" s="190"/>
      <c r="F20" s="190"/>
      <c r="G20" s="190"/>
      <c r="H20" s="190"/>
      <c r="I20" s="190"/>
      <c r="J20" s="190"/>
      <c r="K20" s="190"/>
      <c r="L20" s="190"/>
      <c r="M20" s="190"/>
      <c r="N20" s="190"/>
      <c r="O20" s="190"/>
      <c r="P20" s="190"/>
      <c r="Q20" s="187"/>
      <c r="R20" s="187"/>
      <c r="S20" s="187"/>
      <c r="T20" s="187"/>
      <c r="U20" s="187"/>
      <c r="V20" s="187"/>
      <c r="W20" s="187"/>
      <c r="X20" s="187"/>
      <c r="Y20" s="187"/>
      <c r="Z20" s="187"/>
      <c r="AA20" s="187"/>
    </row>
    <row r="21" spans="1:27" x14ac:dyDescent="0.25">
      <c r="B21" s="195" t="s">
        <v>8872</v>
      </c>
      <c r="C21" s="190"/>
      <c r="D21" s="190"/>
      <c r="E21" s="190"/>
      <c r="F21" s="190"/>
      <c r="G21" s="190"/>
      <c r="H21" s="190"/>
      <c r="I21" s="190"/>
      <c r="J21" s="190"/>
      <c r="K21" s="190"/>
      <c r="L21" s="190"/>
      <c r="M21" s="190"/>
      <c r="N21" s="190"/>
      <c r="O21" s="190"/>
      <c r="P21" s="190"/>
      <c r="Q21" s="187"/>
      <c r="R21" s="187"/>
      <c r="S21" s="187"/>
      <c r="T21" s="187"/>
      <c r="U21" s="187"/>
      <c r="V21" s="187"/>
      <c r="W21" s="187"/>
      <c r="X21" s="187"/>
      <c r="Y21" s="187"/>
      <c r="Z21" s="187"/>
      <c r="AA21" s="187"/>
    </row>
    <row r="22" spans="1:27" ht="17.25" x14ac:dyDescent="0.25">
      <c r="B22" s="196"/>
      <c r="D22" s="187"/>
      <c r="E22" s="187"/>
      <c r="Q22" s="187"/>
      <c r="R22" s="187"/>
      <c r="S22" s="187"/>
      <c r="T22" s="187"/>
      <c r="U22" s="187"/>
      <c r="V22" s="187"/>
      <c r="W22" s="187"/>
      <c r="X22" s="187"/>
      <c r="Y22" s="187"/>
      <c r="Z22" s="187"/>
      <c r="AA22" s="187"/>
    </row>
    <row r="23" spans="1:27" ht="17.25" x14ac:dyDescent="0.25">
      <c r="B23" s="196"/>
      <c r="C23" s="197"/>
      <c r="D23" s="197"/>
      <c r="E23" s="197"/>
      <c r="F23" s="197"/>
      <c r="J23" s="198"/>
      <c r="K23" s="198"/>
      <c r="L23" s="198"/>
      <c r="M23" s="198"/>
      <c r="N23" s="198"/>
      <c r="O23" s="198"/>
      <c r="P23" s="198"/>
      <c r="Q23" s="187"/>
      <c r="R23" s="187"/>
      <c r="S23" s="187"/>
      <c r="T23" s="187"/>
      <c r="U23" s="187"/>
      <c r="V23" s="187"/>
      <c r="W23" s="187"/>
      <c r="X23" s="187"/>
      <c r="Y23" s="187"/>
      <c r="Z23" s="187"/>
      <c r="AA23" s="187"/>
    </row>
    <row r="24" spans="1:27" x14ac:dyDescent="0.25">
      <c r="A24" s="187"/>
      <c r="B24" s="188" t="s">
        <v>8873</v>
      </c>
      <c r="C24" s="199"/>
      <c r="D24" s="199"/>
      <c r="E24" s="199"/>
      <c r="Q24" s="187"/>
      <c r="R24" s="187"/>
      <c r="S24" s="187"/>
      <c r="T24" s="187"/>
      <c r="U24" s="187"/>
      <c r="V24" s="187"/>
      <c r="W24" s="187"/>
      <c r="X24" s="187"/>
      <c r="Y24" s="187"/>
      <c r="Z24" s="187"/>
      <c r="AA24" s="187"/>
    </row>
    <row r="25" spans="1:27" x14ac:dyDescent="0.25">
      <c r="A25" s="187"/>
      <c r="B25" s="189" t="s">
        <v>8874</v>
      </c>
      <c r="C25" s="199"/>
      <c r="D25" s="199"/>
      <c r="E25" s="199"/>
      <c r="Q25" s="187"/>
      <c r="R25" s="187"/>
      <c r="S25" s="187"/>
      <c r="T25" s="187"/>
      <c r="U25" s="187"/>
      <c r="V25" s="187"/>
      <c r="W25" s="187"/>
      <c r="X25" s="187"/>
      <c r="Y25" s="187"/>
      <c r="Z25" s="187"/>
      <c r="AA25" s="187"/>
    </row>
    <row r="26" spans="1:27" ht="18" x14ac:dyDescent="0.25">
      <c r="B26" s="191" t="s">
        <v>8875</v>
      </c>
      <c r="C26" s="199"/>
      <c r="D26" s="199"/>
      <c r="E26" s="195" t="s">
        <v>4423</v>
      </c>
    </row>
    <row r="27" spans="1:27" ht="18" x14ac:dyDescent="0.25">
      <c r="B27" s="191" t="s">
        <v>8876</v>
      </c>
      <c r="C27" s="199"/>
      <c r="D27" s="199"/>
      <c r="E27" s="195" t="s">
        <v>8877</v>
      </c>
    </row>
    <row r="28" spans="1:27" x14ac:dyDescent="0.25">
      <c r="B28" s="191" t="s">
        <v>596</v>
      </c>
      <c r="C28" s="199"/>
      <c r="D28" s="199"/>
      <c r="E28" s="195" t="s">
        <v>8878</v>
      </c>
    </row>
    <row r="29" spans="1:27" x14ac:dyDescent="0.25">
      <c r="B29" s="191" t="s">
        <v>1270</v>
      </c>
      <c r="C29" s="199"/>
      <c r="D29" s="199"/>
      <c r="E29" s="199"/>
    </row>
    <row r="30" spans="1:27" x14ac:dyDescent="0.25">
      <c r="B30" s="191" t="s">
        <v>1243</v>
      </c>
      <c r="C30" s="199"/>
      <c r="D30" s="199"/>
      <c r="E30" s="199"/>
    </row>
    <row r="31" spans="1:27" x14ac:dyDescent="0.25">
      <c r="B31" s="191" t="s">
        <v>1267</v>
      </c>
      <c r="C31" s="199"/>
      <c r="D31" s="199"/>
      <c r="E31" s="195" t="s">
        <v>8879</v>
      </c>
    </row>
    <row r="32" spans="1:27" x14ac:dyDescent="0.25">
      <c r="B32" s="191"/>
      <c r="C32" s="199"/>
      <c r="D32" s="199"/>
      <c r="E32" s="195"/>
    </row>
    <row r="33" spans="2:5" x14ac:dyDescent="0.25">
      <c r="B33" s="189" t="s">
        <v>8880</v>
      </c>
      <c r="C33" s="199"/>
      <c r="D33" s="199"/>
      <c r="E33" s="199"/>
    </row>
    <row r="34" spans="2:5" x14ac:dyDescent="0.25">
      <c r="B34" s="191" t="s">
        <v>1293</v>
      </c>
      <c r="C34" s="199"/>
      <c r="D34" s="199"/>
      <c r="E34" s="195" t="s">
        <v>8881</v>
      </c>
    </row>
    <row r="35" spans="2:5" x14ac:dyDescent="0.25">
      <c r="B35" s="191" t="s">
        <v>1243</v>
      </c>
      <c r="C35" s="199"/>
      <c r="D35" s="199"/>
      <c r="E35" s="195" t="s">
        <v>8882</v>
      </c>
    </row>
    <row r="36" spans="2:5" x14ac:dyDescent="0.25">
      <c r="B36" s="191" t="s">
        <v>1270</v>
      </c>
      <c r="C36" s="199"/>
      <c r="D36" s="199"/>
      <c r="E36" s="195" t="s">
        <v>8883</v>
      </c>
    </row>
    <row r="37" spans="2:5" x14ac:dyDescent="0.25">
      <c r="B37" s="191" t="s">
        <v>8884</v>
      </c>
      <c r="C37" s="199"/>
      <c r="D37" s="199"/>
      <c r="E37" s="195" t="s">
        <v>8885</v>
      </c>
    </row>
    <row r="38" spans="2:5" x14ac:dyDescent="0.25">
      <c r="B38" s="191" t="s">
        <v>1322</v>
      </c>
      <c r="C38" s="199"/>
      <c r="D38" s="199"/>
      <c r="E38" s="195" t="s">
        <v>8886</v>
      </c>
    </row>
    <row r="39" spans="2:5" x14ac:dyDescent="0.25">
      <c r="B39" s="191" t="s">
        <v>1323</v>
      </c>
      <c r="C39" s="199"/>
      <c r="D39" s="199"/>
      <c r="E39" s="195" t="s">
        <v>8887</v>
      </c>
    </row>
    <row r="40" spans="2:5" x14ac:dyDescent="0.25">
      <c r="B40" s="191" t="s">
        <v>1324</v>
      </c>
      <c r="C40" s="199"/>
      <c r="D40" s="199"/>
      <c r="E40" s="195" t="s">
        <v>8888</v>
      </c>
    </row>
    <row r="41" spans="2:5" x14ac:dyDescent="0.25">
      <c r="B41" s="191" t="s">
        <v>1346</v>
      </c>
      <c r="C41" s="199"/>
      <c r="D41" s="199"/>
      <c r="E41" s="195" t="s">
        <v>8889</v>
      </c>
    </row>
    <row r="42" spans="2:5" x14ac:dyDescent="0.25">
      <c r="B42" s="191" t="s">
        <v>1325</v>
      </c>
      <c r="C42" s="199"/>
      <c r="D42" s="199"/>
      <c r="E42" s="195" t="s">
        <v>8890</v>
      </c>
    </row>
    <row r="43" spans="2:5" x14ac:dyDescent="0.25">
      <c r="B43" s="195" t="s">
        <v>1326</v>
      </c>
      <c r="C43" s="199"/>
      <c r="D43" s="199"/>
      <c r="E43" s="195" t="s">
        <v>8891</v>
      </c>
    </row>
    <row r="44" spans="2:5" x14ac:dyDescent="0.25">
      <c r="B44" s="195" t="s">
        <v>1424</v>
      </c>
      <c r="C44" s="199"/>
      <c r="D44" s="199"/>
      <c r="E44" s="195" t="s">
        <v>8892</v>
      </c>
    </row>
    <row r="45" spans="2:5" x14ac:dyDescent="0.25">
      <c r="B45" s="195" t="s">
        <v>1267</v>
      </c>
      <c r="C45" s="199"/>
      <c r="D45" s="199"/>
      <c r="E45" s="195" t="s">
        <v>8893</v>
      </c>
    </row>
    <row r="46" spans="2:5" ht="18" x14ac:dyDescent="0.35">
      <c r="B46" s="195" t="s">
        <v>8894</v>
      </c>
      <c r="C46" s="199"/>
      <c r="D46" s="199"/>
      <c r="E46" s="195" t="s">
        <v>8895</v>
      </c>
    </row>
    <row r="47" spans="2:5" ht="18" x14ac:dyDescent="0.35">
      <c r="B47" s="195" t="s">
        <v>8896</v>
      </c>
      <c r="C47" s="199"/>
      <c r="D47" s="195" t="s">
        <v>8897</v>
      </c>
      <c r="E47" s="195" t="s">
        <v>8898</v>
      </c>
    </row>
    <row r="48" spans="2:5" x14ac:dyDescent="0.25"/>
    <row r="49" spans="2:12" x14ac:dyDescent="0.25">
      <c r="B49" s="188" t="s">
        <v>8899</v>
      </c>
      <c r="C49" s="199"/>
    </row>
    <row r="50" spans="2:12" x14ac:dyDescent="0.25">
      <c r="B50" s="200" t="s">
        <v>8900</v>
      </c>
      <c r="C50" s="199"/>
    </row>
    <row r="51" spans="2:12" x14ac:dyDescent="0.25">
      <c r="B51" s="195" t="s">
        <v>8901</v>
      </c>
      <c r="C51" s="199"/>
    </row>
    <row r="52" spans="2:12" x14ac:dyDescent="0.25">
      <c r="B52" s="199"/>
      <c r="C52" s="195" t="s">
        <v>8902</v>
      </c>
    </row>
    <row r="53" spans="2:12" x14ac:dyDescent="0.25">
      <c r="B53" s="199"/>
      <c r="C53" s="195" t="s">
        <v>8903</v>
      </c>
    </row>
    <row r="54" spans="2:12" x14ac:dyDescent="0.25">
      <c r="B54" s="199"/>
      <c r="C54" s="195" t="s">
        <v>8904</v>
      </c>
    </row>
    <row r="55" spans="2:12" x14ac:dyDescent="0.25">
      <c r="B55" s="199"/>
      <c r="C55" s="195" t="s">
        <v>8905</v>
      </c>
    </row>
    <row r="56" spans="2:12" x14ac:dyDescent="0.25">
      <c r="B56" s="195" t="s">
        <v>8906</v>
      </c>
      <c r="C56" s="195"/>
      <c r="D56" s="191"/>
      <c r="E56" s="191"/>
      <c r="F56" s="191"/>
      <c r="G56" s="191"/>
      <c r="H56" s="191"/>
      <c r="I56" s="191"/>
      <c r="J56" s="191"/>
      <c r="K56" s="191"/>
      <c r="L56" s="191"/>
    </row>
    <row r="57" spans="2:12" x14ac:dyDescent="0.25">
      <c r="B57" s="195"/>
      <c r="C57" s="195" t="s">
        <v>8907</v>
      </c>
      <c r="D57" s="195"/>
      <c r="E57" s="195"/>
      <c r="F57" s="201">
        <v>0.56999999999999995</v>
      </c>
      <c r="G57" s="195"/>
      <c r="H57" s="191"/>
      <c r="I57" s="191"/>
      <c r="J57" s="191"/>
      <c r="K57" s="191"/>
      <c r="L57" s="191"/>
    </row>
    <row r="58" spans="2:12" x14ac:dyDescent="0.25">
      <c r="B58" s="195"/>
      <c r="C58" s="195" t="s">
        <v>8908</v>
      </c>
      <c r="D58" s="195"/>
      <c r="E58" s="195"/>
      <c r="F58" s="201">
        <v>0.7</v>
      </c>
      <c r="G58" s="195"/>
      <c r="H58" s="191"/>
      <c r="I58" s="191"/>
      <c r="J58" s="191"/>
      <c r="K58" s="191"/>
      <c r="L58" s="191"/>
    </row>
    <row r="59" spans="2:12" x14ac:dyDescent="0.25">
      <c r="B59" s="195"/>
      <c r="C59" s="195" t="s">
        <v>1257</v>
      </c>
      <c r="D59" s="195"/>
      <c r="E59" s="195"/>
      <c r="F59" s="201">
        <v>0.56999999999999995</v>
      </c>
      <c r="G59" s="195"/>
      <c r="H59" s="191"/>
      <c r="I59" s="191"/>
      <c r="J59" s="191"/>
      <c r="K59" s="191"/>
      <c r="L59" s="191"/>
    </row>
    <row r="60" spans="2:12" x14ac:dyDescent="0.25">
      <c r="B60" s="195"/>
      <c r="C60" s="195" t="s">
        <v>1680</v>
      </c>
      <c r="D60" s="195"/>
      <c r="E60" s="195"/>
      <c r="F60" s="201">
        <v>0.8</v>
      </c>
      <c r="G60" s="195"/>
      <c r="H60" s="191"/>
      <c r="I60" s="191"/>
      <c r="J60" s="191"/>
      <c r="K60" s="191"/>
      <c r="L60" s="191"/>
    </row>
    <row r="61" spans="2:12" x14ac:dyDescent="0.25">
      <c r="B61" s="195"/>
      <c r="C61" s="195" t="s">
        <v>2022</v>
      </c>
      <c r="D61" s="195"/>
      <c r="E61" s="195"/>
      <c r="F61" s="201">
        <v>0.56999999999999995</v>
      </c>
      <c r="G61" s="195"/>
      <c r="H61" s="191"/>
      <c r="I61" s="191"/>
      <c r="J61" s="191"/>
      <c r="K61" s="191"/>
      <c r="L61" s="191"/>
    </row>
    <row r="62" spans="2:12" x14ac:dyDescent="0.25">
      <c r="B62" s="195"/>
      <c r="C62" s="195" t="s">
        <v>8909</v>
      </c>
      <c r="D62" s="195"/>
      <c r="E62" s="195"/>
      <c r="F62" s="201">
        <v>0.8</v>
      </c>
      <c r="G62" s="195"/>
      <c r="H62" s="191"/>
      <c r="I62" s="191"/>
      <c r="J62" s="191"/>
      <c r="K62" s="191"/>
      <c r="L62" s="191"/>
    </row>
    <row r="63" spans="2:12" x14ac:dyDescent="0.25">
      <c r="B63" s="195"/>
      <c r="C63" s="195"/>
      <c r="D63" s="195" t="s">
        <v>1391</v>
      </c>
      <c r="E63" s="195"/>
      <c r="F63" s="201">
        <v>0.3</v>
      </c>
      <c r="G63" s="191"/>
      <c r="H63" s="191"/>
      <c r="I63" s="191"/>
      <c r="J63" s="191"/>
      <c r="K63" s="191"/>
      <c r="L63" s="191"/>
    </row>
    <row r="64" spans="2:12" x14ac:dyDescent="0.25">
      <c r="B64" s="195"/>
      <c r="C64" s="195"/>
      <c r="D64" s="195" t="s">
        <v>1392</v>
      </c>
      <c r="E64" s="195"/>
      <c r="F64" s="201">
        <v>0.4</v>
      </c>
      <c r="G64" s="191"/>
      <c r="H64" s="191"/>
      <c r="I64" s="191"/>
      <c r="J64" s="191"/>
      <c r="K64" s="191"/>
      <c r="L64" s="191"/>
    </row>
    <row r="65" spans="2:24" x14ac:dyDescent="0.25">
      <c r="B65" s="195"/>
      <c r="C65" s="195"/>
      <c r="D65" s="195" t="s">
        <v>1393</v>
      </c>
      <c r="E65" s="195"/>
      <c r="F65" s="201">
        <v>0.55000000000000004</v>
      </c>
      <c r="G65" s="191"/>
      <c r="H65" s="191"/>
      <c r="I65" s="191"/>
      <c r="J65" s="191"/>
      <c r="K65" s="191"/>
      <c r="L65" s="191"/>
    </row>
    <row r="66" spans="2:24" x14ac:dyDescent="0.25">
      <c r="B66" s="195"/>
      <c r="C66" s="195"/>
      <c r="D66" s="195" t="s">
        <v>1394</v>
      </c>
      <c r="E66" s="195"/>
      <c r="F66" s="201">
        <v>0.8</v>
      </c>
      <c r="G66" s="191"/>
      <c r="H66" s="191"/>
      <c r="I66" s="191"/>
      <c r="J66" s="191"/>
      <c r="K66" s="191"/>
      <c r="L66" s="191"/>
    </row>
    <row r="67" spans="2:24" x14ac:dyDescent="0.25">
      <c r="B67" s="195"/>
      <c r="C67" s="195"/>
      <c r="D67" s="195" t="s">
        <v>1395</v>
      </c>
      <c r="E67" s="195"/>
      <c r="F67" s="201">
        <v>0.5</v>
      </c>
      <c r="G67" s="191"/>
      <c r="H67" s="191"/>
      <c r="I67" s="191"/>
      <c r="J67" s="191"/>
      <c r="K67" s="191"/>
      <c r="L67" s="191"/>
    </row>
    <row r="68" spans="2:24" x14ac:dyDescent="0.25">
      <c r="B68" s="195"/>
      <c r="C68" s="195"/>
      <c r="D68" s="195" t="s">
        <v>581</v>
      </c>
      <c r="E68" s="195"/>
      <c r="F68" s="201">
        <v>0.5</v>
      </c>
      <c r="G68" s="191"/>
      <c r="H68" s="191"/>
      <c r="I68" s="191"/>
      <c r="J68" s="191"/>
      <c r="K68" s="191"/>
      <c r="L68" s="191"/>
    </row>
    <row r="69" spans="2:24" x14ac:dyDescent="0.25">
      <c r="B69" s="195"/>
      <c r="C69" s="195"/>
      <c r="D69" s="195" t="s">
        <v>2022</v>
      </c>
      <c r="E69" s="195"/>
      <c r="F69" s="201">
        <v>0.5</v>
      </c>
      <c r="G69" s="191"/>
      <c r="H69" s="191"/>
      <c r="I69" s="191"/>
      <c r="J69" s="191"/>
      <c r="K69" s="191"/>
      <c r="L69" s="191"/>
    </row>
    <row r="70" spans="2:24" x14ac:dyDescent="0.25">
      <c r="B70" s="195"/>
      <c r="C70" s="195"/>
      <c r="D70" s="191"/>
      <c r="E70" s="191"/>
      <c r="F70" s="191"/>
      <c r="G70" s="191"/>
      <c r="H70" s="191"/>
      <c r="I70" s="191"/>
      <c r="J70" s="191"/>
      <c r="K70" s="191"/>
      <c r="L70" s="191"/>
    </row>
    <row r="71" spans="2:24" ht="18" customHeight="1" x14ac:dyDescent="0.25">
      <c r="B71" s="210" t="s">
        <v>8910</v>
      </c>
      <c r="C71" s="210"/>
      <c r="D71" s="210"/>
      <c r="E71" s="210"/>
      <c r="F71" s="210"/>
      <c r="G71" s="210"/>
      <c r="H71" s="210"/>
      <c r="I71" s="210"/>
      <c r="J71" s="210"/>
      <c r="K71" s="210"/>
      <c r="L71" s="210"/>
      <c r="M71" s="210"/>
      <c r="N71" s="210"/>
      <c r="O71" s="210"/>
      <c r="P71" s="210"/>
      <c r="Q71" s="210"/>
      <c r="R71" s="210"/>
      <c r="S71" s="210"/>
      <c r="T71" s="210"/>
      <c r="U71" s="210"/>
      <c r="V71" s="210"/>
      <c r="W71" s="210"/>
    </row>
    <row r="72" spans="2:24" x14ac:dyDescent="0.25">
      <c r="B72" s="210"/>
      <c r="C72" s="210"/>
      <c r="D72" s="210"/>
      <c r="E72" s="210"/>
      <c r="F72" s="210"/>
      <c r="G72" s="210"/>
      <c r="H72" s="210"/>
      <c r="I72" s="210"/>
      <c r="J72" s="210"/>
      <c r="K72" s="210"/>
      <c r="L72" s="210"/>
      <c r="M72" s="210"/>
      <c r="N72" s="210"/>
      <c r="O72" s="210"/>
      <c r="P72" s="210"/>
      <c r="Q72" s="210"/>
      <c r="R72" s="210"/>
      <c r="S72" s="210"/>
      <c r="T72" s="210"/>
      <c r="U72" s="210"/>
      <c r="V72" s="210"/>
      <c r="W72" s="210"/>
    </row>
    <row r="73" spans="2:24" x14ac:dyDescent="0.25">
      <c r="B73" s="199"/>
      <c r="C73" s="195" t="s">
        <v>8911</v>
      </c>
    </row>
    <row r="74" spans="2:24" x14ac:dyDescent="0.25">
      <c r="B74" s="199"/>
      <c r="C74" s="195" t="s">
        <v>8912</v>
      </c>
    </row>
    <row r="75" spans="2:24" ht="18" customHeight="1" x14ac:dyDescent="0.25">
      <c r="B75" s="210" t="s">
        <v>8913</v>
      </c>
      <c r="C75" s="210"/>
      <c r="D75" s="210"/>
      <c r="E75" s="210"/>
      <c r="F75" s="210"/>
      <c r="G75" s="210"/>
      <c r="H75" s="210"/>
      <c r="I75" s="210"/>
      <c r="J75" s="210"/>
      <c r="K75" s="210"/>
      <c r="L75" s="210"/>
      <c r="M75" s="210"/>
      <c r="N75" s="210"/>
      <c r="O75" s="210"/>
      <c r="P75" s="210"/>
      <c r="Q75" s="210"/>
      <c r="R75" s="210"/>
      <c r="S75" s="210"/>
      <c r="T75" s="210"/>
      <c r="U75" s="210"/>
      <c r="V75" s="210"/>
      <c r="W75" s="210"/>
      <c r="X75" s="210"/>
    </row>
    <row r="76" spans="2:24" x14ac:dyDescent="0.25">
      <c r="B76" s="210"/>
      <c r="C76" s="210"/>
      <c r="D76" s="210"/>
      <c r="E76" s="210"/>
      <c r="F76" s="210"/>
      <c r="G76" s="210"/>
      <c r="H76" s="210"/>
      <c r="I76" s="210"/>
      <c r="J76" s="210"/>
      <c r="K76" s="210"/>
      <c r="L76" s="210"/>
      <c r="M76" s="210"/>
      <c r="N76" s="210"/>
      <c r="O76" s="210"/>
      <c r="P76" s="210"/>
      <c r="Q76" s="210"/>
      <c r="R76" s="210"/>
      <c r="S76" s="210"/>
      <c r="T76" s="210"/>
      <c r="U76" s="210"/>
      <c r="V76" s="210"/>
      <c r="W76" s="210"/>
      <c r="X76" s="210"/>
    </row>
    <row r="77" spans="2:24" x14ac:dyDescent="0.25"/>
    <row r="78" spans="2:24" x14ac:dyDescent="0.25">
      <c r="B78" s="202" t="s">
        <v>8914</v>
      </c>
    </row>
    <row r="79" spans="2:24" ht="18" x14ac:dyDescent="0.35">
      <c r="B79" s="195" t="s">
        <v>8915</v>
      </c>
    </row>
    <row r="80" spans="2:24" ht="18" x14ac:dyDescent="0.35">
      <c r="B80" s="195" t="s">
        <v>8916</v>
      </c>
    </row>
    <row r="81" spans="2:2" ht="18" x14ac:dyDescent="0.35">
      <c r="B81" s="195" t="s">
        <v>8917</v>
      </c>
    </row>
    <row r="82" spans="2:2" x14ac:dyDescent="0.25">
      <c r="B82" s="195" t="s">
        <v>8918</v>
      </c>
    </row>
    <row r="83" spans="2:2" x14ac:dyDescent="0.25">
      <c r="B83" s="195" t="s">
        <v>8919</v>
      </c>
    </row>
    <row r="84" spans="2:2" ht="18" x14ac:dyDescent="0.35">
      <c r="B84" s="195" t="s">
        <v>8920</v>
      </c>
    </row>
    <row r="85" spans="2:2" ht="18" x14ac:dyDescent="0.35">
      <c r="B85" s="195" t="s">
        <v>8921</v>
      </c>
    </row>
    <row r="86" spans="2:2" ht="18" x14ac:dyDescent="0.35">
      <c r="B86" s="195" t="s">
        <v>8922</v>
      </c>
    </row>
    <row r="87" spans="2:2" ht="18" x14ac:dyDescent="0.35">
      <c r="B87" s="195" t="s">
        <v>8923</v>
      </c>
    </row>
    <row r="88" spans="2:2" ht="18.75" x14ac:dyDescent="0.35">
      <c r="B88" s="195" t="s">
        <v>8924</v>
      </c>
    </row>
    <row r="89" spans="2:2" x14ac:dyDescent="0.25">
      <c r="B89" s="195" t="s">
        <v>8925</v>
      </c>
    </row>
    <row r="90" spans="2:2" x14ac:dyDescent="0.25">
      <c r="B90" s="195" t="s">
        <v>8926</v>
      </c>
    </row>
    <row r="91" spans="2:2" x14ac:dyDescent="0.25">
      <c r="B91" s="195" t="s">
        <v>8927</v>
      </c>
    </row>
    <row r="92" spans="2:2" x14ac:dyDescent="0.25">
      <c r="B92" s="195" t="s">
        <v>8928</v>
      </c>
    </row>
    <row r="93" spans="2:2" ht="17.25" x14ac:dyDescent="0.25">
      <c r="B93" s="195" t="s">
        <v>8929</v>
      </c>
    </row>
    <row r="94" spans="2:2" x14ac:dyDescent="0.25">
      <c r="B94" s="195" t="s">
        <v>8930</v>
      </c>
    </row>
    <row r="95" spans="2:2" ht="17.25" x14ac:dyDescent="0.25">
      <c r="B95" s="195" t="s">
        <v>8931</v>
      </c>
    </row>
    <row r="96" spans="2:2" x14ac:dyDescent="0.25">
      <c r="B96" s="195" t="s">
        <v>8932</v>
      </c>
    </row>
    <row r="97" spans="2:8" x14ac:dyDescent="0.25">
      <c r="B97" s="195" t="s">
        <v>8933</v>
      </c>
    </row>
    <row r="98" spans="2:8" x14ac:dyDescent="0.25">
      <c r="B98" s="195" t="s">
        <v>8934</v>
      </c>
    </row>
    <row r="99" spans="2:8" x14ac:dyDescent="0.25"/>
    <row r="100" spans="2:8" x14ac:dyDescent="0.25">
      <c r="B100" s="202" t="s">
        <v>8935</v>
      </c>
    </row>
    <row r="101" spans="2:8" x14ac:dyDescent="0.25"/>
    <row r="102" spans="2:8" x14ac:dyDescent="0.25">
      <c r="B102" s="203" t="s">
        <v>8936</v>
      </c>
      <c r="C102" s="203"/>
      <c r="D102" s="203"/>
      <c r="E102" s="203"/>
      <c r="F102" s="203"/>
      <c r="G102" s="203"/>
      <c r="H102" s="203"/>
    </row>
    <row r="103" spans="2:8" x14ac:dyDescent="0.25">
      <c r="B103" s="204" t="s">
        <v>8937</v>
      </c>
      <c r="C103" s="205"/>
      <c r="D103" s="205"/>
      <c r="E103" s="205"/>
      <c r="F103" s="205"/>
      <c r="G103" s="205"/>
      <c r="H103" s="205"/>
    </row>
    <row r="104" spans="2:8" x14ac:dyDescent="0.25">
      <c r="B104" s="206" t="s">
        <v>8938</v>
      </c>
      <c r="C104" s="206"/>
      <c r="D104" s="206"/>
      <c r="E104" s="206"/>
      <c r="F104" s="206"/>
      <c r="G104" s="206"/>
      <c r="H104" s="206"/>
    </row>
    <row r="105" spans="2:8" x14ac:dyDescent="0.25">
      <c r="B105" s="207" t="s">
        <v>8939</v>
      </c>
      <c r="C105" s="207"/>
      <c r="D105" s="207"/>
      <c r="E105" s="207"/>
      <c r="F105" s="207"/>
      <c r="G105" s="207"/>
      <c r="H105" s="207"/>
    </row>
    <row r="106" spans="2:8" x14ac:dyDescent="0.25">
      <c r="B106" s="208" t="s">
        <v>8940</v>
      </c>
      <c r="C106" s="208"/>
      <c r="D106" s="208"/>
      <c r="E106" s="208"/>
      <c r="F106" s="208"/>
      <c r="G106" s="208"/>
      <c r="H106" s="208"/>
    </row>
    <row r="107" spans="2:8" x14ac:dyDescent="0.25">
      <c r="B107" s="198"/>
    </row>
    <row r="108" spans="2:8" x14ac:dyDescent="0.25">
      <c r="B108" s="209"/>
    </row>
    <row r="109" spans="2:8" x14ac:dyDescent="0.25"/>
    <row r="110" spans="2:8" x14ac:dyDescent="0.25"/>
    <row r="111" spans="2:8" x14ac:dyDescent="0.25"/>
    <row r="112" spans="2:8" x14ac:dyDescent="0.25"/>
    <row r="113" s="185" customFormat="1" x14ac:dyDescent="0.25"/>
    <row r="114" s="185" customFormat="1" x14ac:dyDescent="0.25"/>
    <row r="115" s="185" customFormat="1" x14ac:dyDescent="0.25"/>
    <row r="116" s="185" customFormat="1" x14ac:dyDescent="0.25"/>
    <row r="117" s="185" customFormat="1" x14ac:dyDescent="0.25"/>
    <row r="118" s="185" customFormat="1" ht="15" customHeight="1" x14ac:dyDescent="0.25"/>
    <row r="119" s="185" customFormat="1" ht="15" customHeight="1" x14ac:dyDescent="0.25"/>
    <row r="120" s="185" customFormat="1" ht="15" customHeight="1" x14ac:dyDescent="0.25"/>
    <row r="121" s="185" customFormat="1" ht="15" customHeight="1" x14ac:dyDescent="0.25"/>
    <row r="122" s="185" customFormat="1" ht="15" customHeight="1" x14ac:dyDescent="0.25"/>
    <row r="123" s="185" customFormat="1" ht="15" customHeight="1" x14ac:dyDescent="0.25"/>
  </sheetData>
  <mergeCells count="2">
    <mergeCell ref="B71:W72"/>
    <mergeCell ref="B75:X76"/>
  </mergeCells>
  <conditionalFormatting sqref="B104">
    <cfRule type="expression" dxfId="996" priority="5" stopIfTrue="1">
      <formula>#REF!="Confidential"</formula>
    </cfRule>
  </conditionalFormatting>
  <conditionalFormatting sqref="B106">
    <cfRule type="expression" dxfId="995" priority="4" stopIfTrue="1">
      <formula>#REF!="Confidential"</formula>
    </cfRule>
  </conditionalFormatting>
  <conditionalFormatting sqref="C104">
    <cfRule type="expression" dxfId="994" priority="3" stopIfTrue="1">
      <formula>#REF!="Confidential"</formula>
    </cfRule>
  </conditionalFormatting>
  <conditionalFormatting sqref="C106:H106">
    <cfRule type="expression" dxfId="993" priority="1" stopIfTrue="1">
      <formula>#REF!="Confidential"</formula>
    </cfRule>
  </conditionalFormatting>
  <conditionalFormatting sqref="D104:H104">
    <cfRule type="expression" dxfId="992"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25FF-5B69-4A3E-81DD-0679973F7217}">
  <sheetPr>
    <tabColor rgb="FF004BFF"/>
  </sheetPr>
  <dimension ref="A1:AO44823"/>
  <sheetViews>
    <sheetView tabSelected="1" zoomScale="85" zoomScaleNormal="85" workbookViewId="0">
      <pane xSplit="3" ySplit="4" topLeftCell="D2221" activePane="bottomRight" state="frozen"/>
      <selection activeCell="AF1770" sqref="AF1770"/>
      <selection pane="topRight" activeCell="AF1770" sqref="AF1770"/>
      <selection pane="bottomLeft" activeCell="AF1770" sqref="AF1770"/>
      <selection pane="bottomRight" activeCell="B2195" sqref="B2195"/>
    </sheetView>
  </sheetViews>
  <sheetFormatPr defaultColWidth="0" defaultRowHeight="12.75" x14ac:dyDescent="0.25"/>
  <cols>
    <col min="1" max="1" width="5.5703125" style="40" customWidth="1"/>
    <col min="2" max="2" width="51.42578125" style="40" customWidth="1"/>
    <col min="3" max="3" width="10.42578125" style="40" customWidth="1"/>
    <col min="4" max="4" width="5.85546875" style="40" customWidth="1"/>
    <col min="5" max="5" width="6.5703125" style="40" customWidth="1"/>
    <col min="6" max="6" width="14.5703125" style="41" customWidth="1"/>
    <col min="7" max="7" width="16.42578125" style="40" customWidth="1"/>
    <col min="8" max="8" width="20" style="40" customWidth="1"/>
    <col min="9" max="10" width="19.5703125" style="40" customWidth="1"/>
    <col min="11" max="11" width="8.5703125" style="40" customWidth="1"/>
    <col min="12" max="25" width="3.5703125" style="40" customWidth="1"/>
    <col min="26" max="26" width="25.42578125" style="40" customWidth="1"/>
    <col min="27" max="27" width="14.42578125" style="45" customWidth="1"/>
    <col min="28" max="29" width="14.42578125" style="46" customWidth="1"/>
    <col min="30" max="30" width="21.42578125" style="46" customWidth="1"/>
    <col min="31" max="31" width="12.5703125" style="46" customWidth="1"/>
    <col min="32" max="34" width="15.28515625" style="43" customWidth="1"/>
    <col min="35" max="35" width="16.42578125" style="123" hidden="1" customWidth="1"/>
    <col min="36" max="36" width="14.42578125" style="41" hidden="1" customWidth="1"/>
    <col min="37" max="16384" width="8.5703125" style="42" hidden="1"/>
  </cols>
  <sheetData>
    <row r="1" spans="1:41" s="35" customFormat="1" ht="63" customHeight="1" x14ac:dyDescent="0.25">
      <c r="A1" s="215" t="s">
        <v>1273</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C1" s="215"/>
      <c r="AD1" s="215"/>
      <c r="AE1" s="215"/>
      <c r="AF1" s="216"/>
      <c r="AG1" s="184"/>
      <c r="AH1" s="184"/>
      <c r="AI1" s="105"/>
      <c r="AJ1" s="105"/>
    </row>
    <row r="2" spans="1:41" s="34" customFormat="1" ht="27.75" customHeight="1" x14ac:dyDescent="0.25">
      <c r="A2" s="217" t="s">
        <v>1438</v>
      </c>
      <c r="B2" s="217" t="s">
        <v>1</v>
      </c>
      <c r="C2" s="217" t="s">
        <v>0</v>
      </c>
      <c r="D2" s="219" t="s">
        <v>592</v>
      </c>
      <c r="E2" s="219" t="s">
        <v>593</v>
      </c>
      <c r="F2" s="64" t="s">
        <v>1244</v>
      </c>
      <c r="G2" s="64" t="s">
        <v>2</v>
      </c>
      <c r="H2" s="65"/>
      <c r="I2" s="65"/>
      <c r="J2" s="66"/>
      <c r="K2" s="67" t="s">
        <v>584</v>
      </c>
      <c r="L2" s="68" t="s">
        <v>1241</v>
      </c>
      <c r="M2" s="69"/>
      <c r="N2" s="69"/>
      <c r="O2" s="69"/>
      <c r="P2" s="69"/>
      <c r="Q2" s="69"/>
      <c r="R2" s="69"/>
      <c r="S2" s="69"/>
      <c r="T2" s="69"/>
      <c r="U2" s="69"/>
      <c r="V2" s="69"/>
      <c r="W2" s="69"/>
      <c r="X2" s="69"/>
      <c r="Y2" s="69"/>
      <c r="Z2" s="70" t="s">
        <v>2159</v>
      </c>
      <c r="AA2" s="221" t="s">
        <v>1272</v>
      </c>
      <c r="AB2" s="222"/>
      <c r="AC2" s="222"/>
      <c r="AD2" s="223"/>
      <c r="AE2" s="224" t="s">
        <v>6514</v>
      </c>
      <c r="AF2" s="70" t="s">
        <v>1330</v>
      </c>
      <c r="AG2" s="211"/>
      <c r="AH2" s="212"/>
      <c r="AI2" s="79"/>
      <c r="AJ2" s="177"/>
    </row>
    <row r="3" spans="1:41" s="34" customFormat="1" ht="75" customHeight="1" x14ac:dyDescent="0.25">
      <c r="A3" s="218"/>
      <c r="B3" s="218"/>
      <c r="C3" s="218"/>
      <c r="D3" s="220"/>
      <c r="E3" s="220"/>
      <c r="F3" s="61"/>
      <c r="G3" s="61"/>
      <c r="H3" s="62" t="s">
        <v>1710</v>
      </c>
      <c r="I3" s="62" t="s">
        <v>1328</v>
      </c>
      <c r="J3" s="62" t="s">
        <v>1389</v>
      </c>
      <c r="K3" s="71"/>
      <c r="L3" s="63" t="s">
        <v>1293</v>
      </c>
      <c r="M3" s="63" t="s">
        <v>1243</v>
      </c>
      <c r="N3" s="63" t="s">
        <v>1270</v>
      </c>
      <c r="O3" s="63" t="s">
        <v>1321</v>
      </c>
      <c r="P3" s="63" t="s">
        <v>1322</v>
      </c>
      <c r="Q3" s="63" t="s">
        <v>1323</v>
      </c>
      <c r="R3" s="63" t="s">
        <v>1324</v>
      </c>
      <c r="S3" s="63" t="s">
        <v>1346</v>
      </c>
      <c r="T3" s="63" t="s">
        <v>1325</v>
      </c>
      <c r="U3" s="63" t="s">
        <v>1326</v>
      </c>
      <c r="V3" s="63" t="s">
        <v>1424</v>
      </c>
      <c r="W3" s="63" t="s">
        <v>1267</v>
      </c>
      <c r="X3" s="63" t="s">
        <v>1329</v>
      </c>
      <c r="Y3" s="63" t="s">
        <v>1327</v>
      </c>
      <c r="Z3" s="71"/>
      <c r="AA3" s="61" t="s">
        <v>454</v>
      </c>
      <c r="AB3" s="61" t="s">
        <v>6513</v>
      </c>
      <c r="AC3" s="61" t="s">
        <v>1271</v>
      </c>
      <c r="AD3" s="61" t="s">
        <v>1622</v>
      </c>
      <c r="AE3" s="225"/>
      <c r="AF3" s="29"/>
      <c r="AG3" s="213" t="s">
        <v>8860</v>
      </c>
      <c r="AH3" s="214"/>
      <c r="AI3" s="120" t="s">
        <v>7288</v>
      </c>
      <c r="AJ3" s="178" t="s">
        <v>6325</v>
      </c>
    </row>
    <row r="4" spans="1:41" s="34" customFormat="1" ht="74.25" customHeight="1" x14ac:dyDescent="0.25">
      <c r="A4" s="55" t="s">
        <v>1438</v>
      </c>
      <c r="B4" s="55" t="s">
        <v>1</v>
      </c>
      <c r="C4" s="55" t="s">
        <v>0</v>
      </c>
      <c r="D4" s="56" t="s">
        <v>592</v>
      </c>
      <c r="E4" s="56" t="s">
        <v>593</v>
      </c>
      <c r="F4" s="57" t="s">
        <v>1244</v>
      </c>
      <c r="G4" s="57" t="s">
        <v>2</v>
      </c>
      <c r="H4" s="57" t="s">
        <v>2269</v>
      </c>
      <c r="I4" s="58" t="s">
        <v>2270</v>
      </c>
      <c r="J4" s="49" t="s">
        <v>2271</v>
      </c>
      <c r="K4" s="57" t="s">
        <v>584</v>
      </c>
      <c r="L4" s="59" t="s">
        <v>2272</v>
      </c>
      <c r="M4" s="59" t="s">
        <v>2273</v>
      </c>
      <c r="N4" s="59" t="s">
        <v>2274</v>
      </c>
      <c r="O4" s="59" t="s">
        <v>2275</v>
      </c>
      <c r="P4" s="59" t="s">
        <v>2276</v>
      </c>
      <c r="Q4" s="59" t="s">
        <v>2277</v>
      </c>
      <c r="R4" s="59" t="s">
        <v>2278</v>
      </c>
      <c r="S4" s="59" t="s">
        <v>2279</v>
      </c>
      <c r="T4" s="59" t="s">
        <v>2280</v>
      </c>
      <c r="U4" s="59" t="s">
        <v>2281</v>
      </c>
      <c r="V4" s="59" t="s">
        <v>2282</v>
      </c>
      <c r="W4" s="59" t="s">
        <v>2283</v>
      </c>
      <c r="X4" s="59" t="s">
        <v>2284</v>
      </c>
      <c r="Y4" s="59" t="s">
        <v>2285</v>
      </c>
      <c r="Z4" s="57" t="s">
        <v>2159</v>
      </c>
      <c r="AA4" s="57" t="s">
        <v>2286</v>
      </c>
      <c r="AB4" s="57" t="s">
        <v>6562</v>
      </c>
      <c r="AC4" s="57" t="s">
        <v>2287</v>
      </c>
      <c r="AD4" s="57" t="s">
        <v>2288</v>
      </c>
      <c r="AE4" s="58" t="s">
        <v>7071</v>
      </c>
      <c r="AF4" s="60" t="s">
        <v>3</v>
      </c>
      <c r="AG4" s="55" t="s">
        <v>3170</v>
      </c>
      <c r="AH4" s="55" t="s">
        <v>3171</v>
      </c>
      <c r="AI4" s="121" t="s">
        <v>7070</v>
      </c>
      <c r="AJ4" s="50" t="s">
        <v>4059</v>
      </c>
    </row>
    <row r="5" spans="1:41" ht="34.5" hidden="1" customHeight="1" x14ac:dyDescent="0.25">
      <c r="B5" s="179" t="s">
        <v>8856</v>
      </c>
      <c r="C5" s="179"/>
      <c r="D5" s="179"/>
      <c r="E5" s="179"/>
      <c r="F5" s="179" t="s">
        <v>1255</v>
      </c>
      <c r="G5" s="179" t="s">
        <v>1261</v>
      </c>
      <c r="H5" s="179"/>
      <c r="I5" s="179"/>
      <c r="J5" s="179"/>
      <c r="K5" s="179"/>
      <c r="L5" s="179"/>
      <c r="M5" s="179"/>
      <c r="N5" s="179"/>
      <c r="O5" s="179"/>
      <c r="P5" s="179"/>
      <c r="Q5" s="179"/>
      <c r="R5" s="179"/>
      <c r="S5" s="179"/>
      <c r="T5" s="179"/>
      <c r="U5" s="179"/>
      <c r="V5" s="179"/>
      <c r="W5" s="179"/>
      <c r="X5" s="179"/>
      <c r="Y5" s="179"/>
      <c r="Z5" s="179" t="s">
        <v>8851</v>
      </c>
      <c r="AA5" s="181"/>
      <c r="AB5" s="181">
        <f>IF(H2ProjectDB689571011[[#This Row],[Dummy_1]]="Electrolysis",
AA5/VLOOKUP(G5,ElectrolysisConvF,3,FALSE),
AC5*10^6/(H2dens*HoursInYear))</f>
        <v>3535952.2382448437</v>
      </c>
      <c r="AC5" s="181">
        <v>2756.76980302521</v>
      </c>
      <c r="AD5" s="179"/>
      <c r="AE5" s="183">
        <f>IF(AND(G5&lt;&gt;"NG w CCUS",G5&lt;&gt;"Oil w CCUS",G5&lt;&gt;"Coal w CCUS"),AB5,AD5*10^3/(HoursInYear*IF(G5="NG w CCUS",0.9105,1.9075)))</f>
        <v>0</v>
      </c>
      <c r="AF5" s="179"/>
      <c r="AG5" s="179"/>
      <c r="AH5" s="179"/>
      <c r="AI5" s="122" t="s">
        <v>7287</v>
      </c>
      <c r="AL5" s="34"/>
      <c r="AM5" s="34"/>
      <c r="AN5" s="34"/>
      <c r="AO5" s="34"/>
    </row>
    <row r="6" spans="1:41" ht="34.5" hidden="1" customHeight="1" x14ac:dyDescent="0.25">
      <c r="B6" s="179" t="s">
        <v>8856</v>
      </c>
      <c r="C6" s="179"/>
      <c r="D6" s="179"/>
      <c r="E6" s="179"/>
      <c r="F6" s="179" t="s">
        <v>1255</v>
      </c>
      <c r="G6" s="179" t="s">
        <v>1255</v>
      </c>
      <c r="H6" s="179" t="s">
        <v>8847</v>
      </c>
      <c r="I6" s="179"/>
      <c r="J6" s="179"/>
      <c r="K6" s="179"/>
      <c r="L6" s="179"/>
      <c r="M6" s="179"/>
      <c r="N6" s="179"/>
      <c r="O6" s="179"/>
      <c r="P6" s="179"/>
      <c r="Q6" s="179"/>
      <c r="R6" s="179"/>
      <c r="S6" s="179"/>
      <c r="T6" s="179"/>
      <c r="U6" s="179"/>
      <c r="V6" s="179"/>
      <c r="W6" s="179"/>
      <c r="X6" s="179"/>
      <c r="Y6" s="179"/>
      <c r="Z6" s="179" t="s">
        <v>8852</v>
      </c>
      <c r="AA6" s="181"/>
      <c r="AB6" s="181">
        <f>IF(H2ProjectDB689571011[[#This Row],[Dummy_1]]="Electrolysis",
AA6/VLOOKUP(G6,ElectrolysisConvF,3,FALSE),
AC6*10^6/(H2dens*HoursInYear))</f>
        <v>625564.8931191857</v>
      </c>
      <c r="AC6" s="181">
        <v>487.71541327144195</v>
      </c>
      <c r="AD6" s="179"/>
      <c r="AE6" s="181">
        <v>0</v>
      </c>
      <c r="AF6" s="179"/>
      <c r="AG6" s="179"/>
      <c r="AH6" s="179"/>
      <c r="AI6" s="122" t="s">
        <v>1255</v>
      </c>
    </row>
    <row r="7" spans="1:41" ht="34.5" hidden="1" customHeight="1" x14ac:dyDescent="0.25">
      <c r="B7" s="179" t="s">
        <v>8856</v>
      </c>
      <c r="C7" s="179"/>
      <c r="D7" s="179"/>
      <c r="E7" s="179"/>
      <c r="F7" s="179" t="s">
        <v>1255</v>
      </c>
      <c r="G7" s="179" t="s">
        <v>1259</v>
      </c>
      <c r="H7" s="179" t="s">
        <v>8847</v>
      </c>
      <c r="I7" s="179"/>
      <c r="J7" s="179"/>
      <c r="K7" s="179"/>
      <c r="L7" s="179"/>
      <c r="M7" s="179"/>
      <c r="N7" s="179"/>
      <c r="O7" s="179"/>
      <c r="P7" s="179"/>
      <c r="Q7" s="179"/>
      <c r="R7" s="179"/>
      <c r="S7" s="179"/>
      <c r="T7" s="179"/>
      <c r="U7" s="179"/>
      <c r="V7" s="179"/>
      <c r="W7" s="179"/>
      <c r="X7" s="179"/>
      <c r="Y7" s="179"/>
      <c r="Z7" s="179" t="s">
        <v>8853</v>
      </c>
      <c r="AA7" s="181">
        <v>17443.883124189444</v>
      </c>
      <c r="AB7" s="181">
        <f>IF(H2ProjectDB689571011[[#This Row],[Dummy_1]]="Electrolysis",
AA7/VLOOKUP(G7,ElectrolysisConvF,3,FALSE),
AC7*10^6/(H2dens*HoursInYear))</f>
        <v>3876418.4720420991</v>
      </c>
      <c r="AC7" s="181">
        <f>AB7*0.089*24*365/10^6</f>
        <v>3022.2108975429019</v>
      </c>
      <c r="AD7" s="179"/>
      <c r="AE7" s="181">
        <f t="shared" ref="AE7:AE11" si="0">IF(AND(G7&lt;&gt;"NG w CCUS",G7&lt;&gt;"Oil w CCUS",G7&lt;&gt;"Coal w CCUS"),AB7,AD7*10^3/(HoursInYear*IF(G7="NG w CCUS",0.9105,1.9075)))</f>
        <v>3876418.4720420991</v>
      </c>
      <c r="AF7" s="179"/>
      <c r="AG7" s="179"/>
      <c r="AH7" s="179"/>
      <c r="AI7" s="122" t="s">
        <v>7286</v>
      </c>
    </row>
    <row r="8" spans="1:41" ht="34.5" hidden="1" customHeight="1" x14ac:dyDescent="0.25">
      <c r="B8" s="179" t="s">
        <v>8857</v>
      </c>
      <c r="C8" s="179"/>
      <c r="D8" s="179"/>
      <c r="E8" s="179"/>
      <c r="F8" s="179" t="s">
        <v>1339</v>
      </c>
      <c r="G8" s="179" t="s">
        <v>455</v>
      </c>
      <c r="H8" s="179"/>
      <c r="I8" s="179"/>
      <c r="J8" s="179"/>
      <c r="K8" s="179"/>
      <c r="L8" s="179"/>
      <c r="M8" s="179"/>
      <c r="N8" s="179"/>
      <c r="O8" s="179"/>
      <c r="P8" s="179"/>
      <c r="Q8" s="179"/>
      <c r="R8" s="179"/>
      <c r="S8" s="179"/>
      <c r="T8" s="179"/>
      <c r="U8" s="179"/>
      <c r="V8" s="179"/>
      <c r="W8" s="179"/>
      <c r="X8" s="179"/>
      <c r="Y8" s="179"/>
      <c r="Z8" s="179" t="s">
        <v>2153</v>
      </c>
      <c r="AA8" s="181">
        <v>6.5413999999999994</v>
      </c>
      <c r="AB8" s="181">
        <f>IF(H2ProjectDB689571011[[#This Row],[Dummy_1]]="Electrolysis",
AA8/VLOOKUP(G8,ElectrolysisConvF,3,FALSE),
AC8*10^6/(H2dens*HoursInYear))</f>
        <v>1257.9615384615383</v>
      </c>
      <c r="AC8" s="181">
        <f t="shared" ref="AC8:AC9" si="1">AB8*0.089*24*365/10^6</f>
        <v>0.98075713384615359</v>
      </c>
      <c r="AD8" s="179"/>
      <c r="AE8" s="181">
        <f t="shared" si="0"/>
        <v>1257.9615384615383</v>
      </c>
      <c r="AF8" s="179"/>
      <c r="AG8" s="179"/>
      <c r="AH8" s="179"/>
      <c r="AI8" s="122" t="s">
        <v>7286</v>
      </c>
    </row>
    <row r="9" spans="1:41" ht="34.5" hidden="1" customHeight="1" x14ac:dyDescent="0.25">
      <c r="B9" s="179" t="s">
        <v>8857</v>
      </c>
      <c r="C9" s="179"/>
      <c r="D9" s="179"/>
      <c r="E9" s="179"/>
      <c r="F9" s="179" t="s">
        <v>1339</v>
      </c>
      <c r="G9" s="179" t="s">
        <v>457</v>
      </c>
      <c r="H9" s="179"/>
      <c r="I9" s="179"/>
      <c r="J9" s="179"/>
      <c r="K9" s="179"/>
      <c r="L9" s="179"/>
      <c r="M9" s="179"/>
      <c r="N9" s="179"/>
      <c r="O9" s="179"/>
      <c r="P9" s="179"/>
      <c r="Q9" s="179"/>
      <c r="R9" s="179"/>
      <c r="S9" s="179"/>
      <c r="T9" s="179"/>
      <c r="U9" s="179"/>
      <c r="V9" s="179"/>
      <c r="W9" s="179"/>
      <c r="X9" s="179"/>
      <c r="Y9" s="179"/>
      <c r="Z9" s="179" t="s">
        <v>8854</v>
      </c>
      <c r="AA9" s="181">
        <v>141.76015428659377</v>
      </c>
      <c r="AB9" s="181">
        <f>IF(H2ProjectDB689571011[[#This Row],[Dummy_1]]="Electrolysis",
AA9/VLOOKUP(G9,ElectrolysisConvF,3,FALSE),
AC9*10^6/(H2dens*HoursInYear))</f>
        <v>30817.424844911689</v>
      </c>
      <c r="AC9" s="181">
        <f t="shared" si="1"/>
        <v>24.026497106086946</v>
      </c>
      <c r="AD9" s="179"/>
      <c r="AE9" s="181">
        <f t="shared" si="0"/>
        <v>30817.424844911689</v>
      </c>
      <c r="AF9" s="179"/>
      <c r="AG9" s="179"/>
      <c r="AH9" s="179"/>
      <c r="AI9" s="122" t="s">
        <v>7286</v>
      </c>
    </row>
    <row r="10" spans="1:41" ht="34.5" hidden="1" customHeight="1" x14ac:dyDescent="0.25">
      <c r="B10" s="180" t="s">
        <v>8858</v>
      </c>
      <c r="C10" s="51"/>
      <c r="D10" s="51"/>
      <c r="E10" s="51"/>
      <c r="F10" s="51" t="s">
        <v>1339</v>
      </c>
      <c r="G10" s="51" t="s">
        <v>8850</v>
      </c>
      <c r="H10" s="51"/>
      <c r="I10" s="51"/>
      <c r="J10" s="51"/>
      <c r="K10" s="51"/>
      <c r="L10" s="51"/>
      <c r="M10" s="51"/>
      <c r="N10" s="51"/>
      <c r="O10" s="51"/>
      <c r="P10" s="51"/>
      <c r="Q10" s="51"/>
      <c r="R10" s="51"/>
      <c r="S10" s="51"/>
      <c r="T10" s="51"/>
      <c r="U10" s="51"/>
      <c r="V10" s="51"/>
      <c r="W10" s="51"/>
      <c r="X10" s="51"/>
      <c r="Y10" s="51"/>
      <c r="Z10" s="51" t="s">
        <v>2504</v>
      </c>
      <c r="AA10" s="182">
        <v>78.393800000000098</v>
      </c>
      <c r="AB10" s="53"/>
      <c r="AC10" s="54"/>
      <c r="AD10" s="53"/>
      <c r="AE10" s="53">
        <f t="shared" si="0"/>
        <v>0</v>
      </c>
      <c r="AF10" s="52"/>
      <c r="AG10" s="52"/>
      <c r="AH10" s="52"/>
      <c r="AI10" s="122" t="s">
        <v>7286</v>
      </c>
    </row>
    <row r="11" spans="1:41" ht="34.5" hidden="1" customHeight="1" x14ac:dyDescent="0.25">
      <c r="B11" s="180" t="s">
        <v>8859</v>
      </c>
      <c r="C11" s="51"/>
      <c r="D11" s="51"/>
      <c r="E11" s="51"/>
      <c r="F11" s="51" t="s">
        <v>1255</v>
      </c>
      <c r="G11" s="51" t="s">
        <v>457</v>
      </c>
      <c r="H11" s="51"/>
      <c r="I11" s="51"/>
      <c r="J11" s="51"/>
      <c r="K11" s="51"/>
      <c r="L11" s="51"/>
      <c r="M11" s="51"/>
      <c r="N11" s="51"/>
      <c r="O11" s="51"/>
      <c r="P11" s="51"/>
      <c r="Q11" s="51"/>
      <c r="R11" s="51"/>
      <c r="S11" s="51"/>
      <c r="T11" s="51"/>
      <c r="U11" s="51"/>
      <c r="V11" s="51"/>
      <c r="W11" s="51"/>
      <c r="X11" s="51"/>
      <c r="Y11" s="51"/>
      <c r="Z11" s="51" t="s">
        <v>8855</v>
      </c>
      <c r="AA11" s="182">
        <v>46.556344043629672</v>
      </c>
      <c r="AB11" s="53"/>
      <c r="AC11" s="54"/>
      <c r="AD11" s="53"/>
      <c r="AE11" s="53">
        <f t="shared" si="0"/>
        <v>0</v>
      </c>
      <c r="AF11" s="52"/>
      <c r="AG11" s="52"/>
      <c r="AH11" s="52"/>
      <c r="AI11" s="122" t="s">
        <v>7286</v>
      </c>
    </row>
    <row r="12" spans="1:41" ht="34.5" hidden="1" customHeight="1" x14ac:dyDescent="0.25">
      <c r="A12" s="40">
        <v>3</v>
      </c>
      <c r="B12" s="44" t="s">
        <v>5919</v>
      </c>
      <c r="C12" s="40" t="s">
        <v>546</v>
      </c>
      <c r="D12" s="44">
        <v>2025</v>
      </c>
      <c r="F12" s="40" t="s">
        <v>5701</v>
      </c>
      <c r="G12" s="40" t="s">
        <v>1259</v>
      </c>
      <c r="H12" s="40" t="s">
        <v>467</v>
      </c>
      <c r="I12" s="40" t="s">
        <v>1269</v>
      </c>
      <c r="J12" s="40" t="s">
        <v>1395</v>
      </c>
      <c r="K12" s="40" t="s">
        <v>578</v>
      </c>
      <c r="Q12" s="40">
        <v>1</v>
      </c>
      <c r="Z12" s="40" t="s">
        <v>1336</v>
      </c>
      <c r="AA12" s="45">
        <v>2.5</v>
      </c>
      <c r="AB12" s="46">
        <f>IF(H2ProjectDB689571011[[#This Row],[Dummy_1]]="Electrolysis",
AA12/VLOOKUP(G12,ElectrolysisConvF,3,FALSE),
AC12*10^6/(H2dens*HoursInYear))</f>
        <v>555.55555555555554</v>
      </c>
      <c r="AC12" s="47">
        <f>AB12*H2dens*HoursInYear/10^6</f>
        <v>0.43313333333333331</v>
      </c>
      <c r="AE12" s="46">
        <f t="shared" ref="AE12:AE75" si="2">AB12</f>
        <v>555.55555555555554</v>
      </c>
      <c r="AF12" s="43" t="s">
        <v>1685</v>
      </c>
      <c r="AG12" s="43">
        <v>51.703312899546397</v>
      </c>
      <c r="AH12" s="43">
        <v>4.1625356287550899</v>
      </c>
      <c r="AI12" s="122" t="s">
        <v>7286</v>
      </c>
      <c r="AJ12" s="41">
        <v>0.5</v>
      </c>
    </row>
    <row r="13" spans="1:41" ht="34.5" hidden="1" customHeight="1" x14ac:dyDescent="0.25">
      <c r="A13" s="40">
        <v>4</v>
      </c>
      <c r="B13" s="40" t="s">
        <v>5920</v>
      </c>
      <c r="C13" s="40" t="s">
        <v>546</v>
      </c>
      <c r="D13" s="44">
        <v>2030</v>
      </c>
      <c r="F13" s="40" t="s">
        <v>2222</v>
      </c>
      <c r="G13" s="40" t="s">
        <v>1259</v>
      </c>
      <c r="H13" s="40" t="s">
        <v>467</v>
      </c>
      <c r="I13" s="40" t="s">
        <v>1269</v>
      </c>
      <c r="J13" s="40" t="s">
        <v>1395</v>
      </c>
      <c r="K13" s="40" t="s">
        <v>578</v>
      </c>
      <c r="Q13" s="40">
        <v>1</v>
      </c>
      <c r="Z13" s="40" t="s">
        <v>1337</v>
      </c>
      <c r="AA13" s="45">
        <v>23.5</v>
      </c>
      <c r="AB13" s="46">
        <f>IF(H2ProjectDB689571011[[#This Row],[Dummy_1]]="Electrolysis",
AA13/VLOOKUP(G13,ElectrolysisConvF,3,FALSE),
AC13*10^6/(H2dens*HoursInYear))</f>
        <v>5222.2222222222226</v>
      </c>
      <c r="AC13" s="47">
        <f>AB13*H2dens*HoursInYear/10^6</f>
        <v>4.0714533333333334</v>
      </c>
      <c r="AE13" s="46">
        <f t="shared" si="2"/>
        <v>5222.2222222222226</v>
      </c>
      <c r="AF13" s="43" t="s">
        <v>1685</v>
      </c>
      <c r="AG13" s="43">
        <v>51.703312899546397</v>
      </c>
      <c r="AH13" s="43">
        <v>4.1625356287550899</v>
      </c>
      <c r="AI13" s="122" t="s">
        <v>7286</v>
      </c>
      <c r="AJ13" s="41">
        <v>0.5</v>
      </c>
    </row>
    <row r="14" spans="1:41" ht="34.5" hidden="1" customHeight="1" x14ac:dyDescent="0.25">
      <c r="A14" s="40">
        <v>5</v>
      </c>
      <c r="B14" s="40" t="s">
        <v>2080</v>
      </c>
      <c r="C14" s="40" t="s">
        <v>546</v>
      </c>
      <c r="D14" s="44">
        <v>2030</v>
      </c>
      <c r="F14" s="40" t="s">
        <v>1331</v>
      </c>
      <c r="G14" s="40" t="s">
        <v>1259</v>
      </c>
      <c r="H14" s="40" t="s">
        <v>467</v>
      </c>
      <c r="I14" s="40" t="s">
        <v>1269</v>
      </c>
      <c r="J14" s="40" t="s">
        <v>1393</v>
      </c>
      <c r="K14" s="40" t="s">
        <v>578</v>
      </c>
      <c r="L14" s="40">
        <v>1</v>
      </c>
      <c r="P14" s="40">
        <v>1</v>
      </c>
      <c r="Z14" s="40" t="s">
        <v>3104</v>
      </c>
      <c r="AA14" s="45">
        <v>4000</v>
      </c>
      <c r="AB14" s="46">
        <f>IF(H2ProjectDB689571011[[#This Row],[Dummy_1]]="Electrolysis",
AA14/VLOOKUP(G14,ElectrolysisConvF,3,FALSE),
AC14*10^6/(H2dens*HoursInYear))</f>
        <v>888888.88888888899</v>
      </c>
      <c r="AC14" s="47">
        <f>AB14*H2dens*HoursInYear/10^6</f>
        <v>693.01333333333332</v>
      </c>
      <c r="AE14" s="46">
        <f t="shared" si="2"/>
        <v>888888.88888888899</v>
      </c>
      <c r="AF14" s="43" t="s">
        <v>701</v>
      </c>
      <c r="AG14" s="43">
        <v>53.465207938353302</v>
      </c>
      <c r="AH14" s="43">
        <v>6.6329845630844</v>
      </c>
      <c r="AI14" s="122" t="s">
        <v>7286</v>
      </c>
      <c r="AJ14" s="41">
        <v>0.55000000000000004</v>
      </c>
    </row>
    <row r="15" spans="1:41" ht="34.5" hidden="1" customHeight="1" x14ac:dyDescent="0.25">
      <c r="A15" s="40">
        <v>6</v>
      </c>
      <c r="B15" s="40" t="s">
        <v>1028</v>
      </c>
      <c r="C15" s="40" t="s">
        <v>531</v>
      </c>
      <c r="D15" s="44">
        <v>2028</v>
      </c>
      <c r="F15" s="40" t="s">
        <v>5701</v>
      </c>
      <c r="G15" s="40" t="s">
        <v>456</v>
      </c>
      <c r="I15" s="40" t="s">
        <v>1269</v>
      </c>
      <c r="J15" s="40" t="s">
        <v>1395</v>
      </c>
      <c r="K15" s="40" t="s">
        <v>1267</v>
      </c>
      <c r="W15" s="40">
        <v>1</v>
      </c>
      <c r="Z15" s="48" t="s">
        <v>4969</v>
      </c>
      <c r="AA15" s="78">
        <f>IF(H2ProjectDB689571011[[#This Row],[Dummy_1]]="Electrolysis",
AB15*VLOOKUP(G15,ElectrolysisConvF,3,FALSE),
"")</f>
        <v>50.263583192242578</v>
      </c>
      <c r="AB15" s="46">
        <f>AC15/(H2dens*HoursInYear/10^6)</f>
        <v>13227.258734800678</v>
      </c>
      <c r="AC15" s="47">
        <f>12.5*0.803*0.045/0.73/0.12/H2ProjectDB689571011[[#This Row],[LOWE_CF]]</f>
        <v>10.3125</v>
      </c>
      <c r="AE15" s="46">
        <f t="shared" si="2"/>
        <v>13227.258734800678</v>
      </c>
      <c r="AF15" s="43" t="s">
        <v>4684</v>
      </c>
      <c r="AG15" s="43">
        <v>65.8405002614236</v>
      </c>
      <c r="AH15" s="43">
        <v>13.1952674023743</v>
      </c>
      <c r="AI15" s="122" t="s">
        <v>7286</v>
      </c>
      <c r="AJ15" s="41">
        <v>0.5</v>
      </c>
    </row>
    <row r="16" spans="1:41" ht="34.5" hidden="1" customHeight="1" x14ac:dyDescent="0.25">
      <c r="A16" s="40">
        <v>7</v>
      </c>
      <c r="B16" s="40" t="s">
        <v>1030</v>
      </c>
      <c r="C16" s="40" t="s">
        <v>531</v>
      </c>
      <c r="D16" s="44">
        <v>2028</v>
      </c>
      <c r="F16" s="40" t="s">
        <v>1331</v>
      </c>
      <c r="G16" s="40" t="s">
        <v>456</v>
      </c>
      <c r="I16" s="40" t="s">
        <v>1269</v>
      </c>
      <c r="J16" s="40" t="s">
        <v>1395</v>
      </c>
      <c r="K16" s="40" t="s">
        <v>1267</v>
      </c>
      <c r="W16" s="40">
        <v>1</v>
      </c>
      <c r="Z16" s="48" t="s">
        <v>4970</v>
      </c>
      <c r="AA16" s="78">
        <f>IF(H2ProjectDB689571011[[#This Row],[Dummy_1]]="Electrolysis",
AB16*VLOOKUP(G16,ElectrolysisConvF,3,FALSE),
"")</f>
        <v>50.263583192242578</v>
      </c>
      <c r="AB16" s="46">
        <f>AC16/(H2dens*HoursInYear/10^6)</f>
        <v>13227.258734800678</v>
      </c>
      <c r="AC16" s="47">
        <f>12.5*0.803*0.045/0.73/0.12/H2ProjectDB689571011[[#This Row],[LOWE_CF]]</f>
        <v>10.3125</v>
      </c>
      <c r="AE16" s="46">
        <f t="shared" si="2"/>
        <v>13227.258734800678</v>
      </c>
      <c r="AF16" s="43" t="s">
        <v>3671</v>
      </c>
      <c r="AG16" s="43">
        <v>65.8405002614236</v>
      </c>
      <c r="AH16" s="43">
        <v>13.1952674023743</v>
      </c>
      <c r="AI16" s="122" t="s">
        <v>7286</v>
      </c>
      <c r="AJ16" s="41">
        <v>0.5</v>
      </c>
    </row>
    <row r="17" spans="1:36" ht="34.35" hidden="1" customHeight="1" x14ac:dyDescent="0.25">
      <c r="A17" s="40">
        <v>8</v>
      </c>
      <c r="B17" s="40" t="s">
        <v>643</v>
      </c>
      <c r="C17" s="40" t="s">
        <v>559</v>
      </c>
      <c r="D17" s="44">
        <v>2021</v>
      </c>
      <c r="F17" s="40" t="s">
        <v>1339</v>
      </c>
      <c r="G17" s="40" t="s">
        <v>457</v>
      </c>
      <c r="I17" s="40" t="s">
        <v>1266</v>
      </c>
      <c r="K17" s="40" t="s">
        <v>578</v>
      </c>
      <c r="O17" s="40">
        <v>1</v>
      </c>
      <c r="Z17" s="40" t="s">
        <v>1340</v>
      </c>
      <c r="AA17" s="45">
        <v>4.5</v>
      </c>
      <c r="AB17" s="46">
        <f>IF(H2ProjectDB689571011[[#This Row],[Dummy_1]]="Electrolysis",
AA17/VLOOKUP(G17,ElectrolysisConvF,3,FALSE),
AC17*10^6/(H2dens*HoursInYear))</f>
        <v>978.26086956521738</v>
      </c>
      <c r="AC17" s="47">
        <f t="shared" ref="AC17:AC31" si="3">AB17*H2dens*HoursInYear/10^6</f>
        <v>0.76269130434782606</v>
      </c>
      <c r="AE17" s="46">
        <f t="shared" si="2"/>
        <v>978.26086956521738</v>
      </c>
      <c r="AF17" s="43" t="s">
        <v>6781</v>
      </c>
      <c r="AG17" s="43">
        <v>65.585455814139095</v>
      </c>
      <c r="AH17" s="43">
        <v>22.157661360981201</v>
      </c>
      <c r="AI17" s="122" t="s">
        <v>7286</v>
      </c>
      <c r="AJ17" s="41">
        <v>0.56999999999999995</v>
      </c>
    </row>
    <row r="18" spans="1:36" ht="34.35" hidden="1" customHeight="1" x14ac:dyDescent="0.25">
      <c r="A18" s="40">
        <v>9</v>
      </c>
      <c r="B18" s="40" t="s">
        <v>644</v>
      </c>
      <c r="C18" s="40" t="s">
        <v>559</v>
      </c>
      <c r="D18" s="44">
        <v>2025</v>
      </c>
      <c r="F18" s="40" t="s">
        <v>5701</v>
      </c>
      <c r="G18" s="40" t="s">
        <v>457</v>
      </c>
      <c r="I18" s="40" t="s">
        <v>1266</v>
      </c>
      <c r="K18" s="40" t="s">
        <v>578</v>
      </c>
      <c r="O18" s="40">
        <v>1</v>
      </c>
      <c r="Z18" s="40" t="s">
        <v>6331</v>
      </c>
      <c r="AA18" s="47">
        <v>500</v>
      </c>
      <c r="AB18" s="46">
        <f>IF(H2ProjectDB689571011[[#This Row],[Dummy_1]]="Electrolysis",
AA18/VLOOKUP(G18,ElectrolysisConvF,3,FALSE),
AC18*10^6/(H2dens*HoursInYear))</f>
        <v>108695.65217391304</v>
      </c>
      <c r="AC18" s="47">
        <f t="shared" si="3"/>
        <v>84.743478260869566</v>
      </c>
      <c r="AE18" s="46">
        <f t="shared" si="2"/>
        <v>108695.65217391304</v>
      </c>
      <c r="AF18" s="43" t="s">
        <v>3164</v>
      </c>
      <c r="AG18" s="43">
        <v>65.585455814139095</v>
      </c>
      <c r="AH18" s="43">
        <v>22.157661360981201</v>
      </c>
      <c r="AI18" s="122" t="s">
        <v>7286</v>
      </c>
      <c r="AJ18" s="41">
        <v>0.56999999999999995</v>
      </c>
    </row>
    <row r="19" spans="1:36" ht="34.35" hidden="1" customHeight="1" x14ac:dyDescent="0.25">
      <c r="A19" s="40">
        <v>10</v>
      </c>
      <c r="B19" s="40" t="s">
        <v>6152</v>
      </c>
      <c r="C19" s="40" t="s">
        <v>1764</v>
      </c>
      <c r="D19" s="44">
        <v>2022</v>
      </c>
      <c r="F19" s="40" t="s">
        <v>1339</v>
      </c>
      <c r="G19" s="40" t="s">
        <v>455</v>
      </c>
      <c r="I19" s="40" t="s">
        <v>1269</v>
      </c>
      <c r="J19" s="40" t="s">
        <v>1391</v>
      </c>
      <c r="K19" s="40" t="s">
        <v>1243</v>
      </c>
      <c r="M19" s="40">
        <v>1</v>
      </c>
      <c r="Z19" s="40" t="s">
        <v>1344</v>
      </c>
      <c r="AA19" s="45">
        <v>20</v>
      </c>
      <c r="AB19" s="46">
        <f>IF(H2ProjectDB689571011[[#This Row],[Dummy_1]]="Electrolysis",
AA19/VLOOKUP(G19,ElectrolysisConvF,3,FALSE),
AC19*10^6/(H2dens*HoursInYear))</f>
        <v>3846.1538461538462</v>
      </c>
      <c r="AC19" s="47">
        <f t="shared" si="3"/>
        <v>2.9986153846153845</v>
      </c>
      <c r="AE19" s="46">
        <f t="shared" si="2"/>
        <v>3846.1538461538462</v>
      </c>
      <c r="AF19" s="43" t="s">
        <v>1664</v>
      </c>
      <c r="AG19" s="43">
        <v>38.672067176184299</v>
      </c>
      <c r="AH19" s="43">
        <v>-4.0530512629734003</v>
      </c>
      <c r="AI19" s="122" t="s">
        <v>7286</v>
      </c>
      <c r="AJ19" s="41">
        <v>0.3</v>
      </c>
    </row>
    <row r="20" spans="1:36" ht="34.5" hidden="1" customHeight="1" x14ac:dyDescent="0.25">
      <c r="A20" s="40">
        <v>11</v>
      </c>
      <c r="B20" s="40" t="s">
        <v>4865</v>
      </c>
      <c r="C20" s="40" t="s">
        <v>1764</v>
      </c>
      <c r="D20" s="40">
        <v>2022</v>
      </c>
      <c r="F20" s="40" t="s">
        <v>1339</v>
      </c>
      <c r="G20" s="40" t="s">
        <v>455</v>
      </c>
      <c r="I20" s="40" t="s">
        <v>1269</v>
      </c>
      <c r="J20" s="40" t="s">
        <v>1391</v>
      </c>
      <c r="K20" s="40" t="s">
        <v>578</v>
      </c>
      <c r="P20" s="40">
        <v>1</v>
      </c>
      <c r="Q20" s="40">
        <v>1</v>
      </c>
      <c r="X20" s="40">
        <v>1</v>
      </c>
      <c r="Z20" s="40" t="s">
        <v>1345</v>
      </c>
      <c r="AA20" s="45">
        <v>2.5</v>
      </c>
      <c r="AB20" s="46">
        <f>IF(H2ProjectDB689571011[[#This Row],[Dummy_1]]="Electrolysis",
AA20/VLOOKUP(G20,ElectrolysisConvF,3,FALSE),
AC20*10^6/(H2dens*HoursInYear))</f>
        <v>480.76923076923077</v>
      </c>
      <c r="AC20" s="47">
        <f t="shared" si="3"/>
        <v>0.37482692307692306</v>
      </c>
      <c r="AE20" s="46">
        <f t="shared" si="2"/>
        <v>480.76923076923077</v>
      </c>
      <c r="AF20" s="43" t="s">
        <v>3504</v>
      </c>
      <c r="AG20" s="43">
        <v>39.718518954158498</v>
      </c>
      <c r="AH20" s="43">
        <v>2.8696017840861598</v>
      </c>
      <c r="AI20" s="122" t="s">
        <v>7286</v>
      </c>
      <c r="AJ20" s="41">
        <v>0.3</v>
      </c>
    </row>
    <row r="21" spans="1:36" ht="34.5" hidden="1" customHeight="1" x14ac:dyDescent="0.25">
      <c r="A21" s="40">
        <v>14</v>
      </c>
      <c r="B21" s="40" t="s">
        <v>8576</v>
      </c>
      <c r="C21" s="40" t="s">
        <v>531</v>
      </c>
      <c r="D21" s="44">
        <v>2025</v>
      </c>
      <c r="F21" s="40" t="s">
        <v>5701</v>
      </c>
      <c r="G21" s="40" t="s">
        <v>1259</v>
      </c>
      <c r="H21" s="40" t="s">
        <v>467</v>
      </c>
      <c r="I21" s="40" t="s">
        <v>1266</v>
      </c>
      <c r="K21" s="40" t="s">
        <v>1242</v>
      </c>
      <c r="N21" s="40">
        <v>1</v>
      </c>
      <c r="Z21" s="40" t="s">
        <v>8577</v>
      </c>
      <c r="AA21" s="45">
        <v>110</v>
      </c>
      <c r="AB21" s="46">
        <f>IF(H2ProjectDB689571011[[#This Row],[Dummy_1]]="Electrolysis",
AA21/VLOOKUP(G21,ElectrolysisConvF,3,FALSE),
AC21*10^6/(H2dens*HoursInYear))</f>
        <v>24444.444444444445</v>
      </c>
      <c r="AC21" s="47">
        <f t="shared" si="3"/>
        <v>19.057866666666669</v>
      </c>
      <c r="AE21" s="46">
        <f t="shared" si="2"/>
        <v>24444.444444444445</v>
      </c>
      <c r="AF21" s="43" t="s">
        <v>800</v>
      </c>
      <c r="AG21" s="43">
        <v>69.3016341598521</v>
      </c>
      <c r="AH21" s="43">
        <v>17.610844385860201</v>
      </c>
      <c r="AI21" s="122" t="s">
        <v>7286</v>
      </c>
      <c r="AJ21" s="41">
        <v>0.56999999999999995</v>
      </c>
    </row>
    <row r="22" spans="1:36" ht="34.35" hidden="1" customHeight="1" x14ac:dyDescent="0.25">
      <c r="A22" s="40">
        <v>15</v>
      </c>
      <c r="B22" s="40" t="s">
        <v>1364</v>
      </c>
      <c r="C22" s="40" t="s">
        <v>536</v>
      </c>
      <c r="D22" s="44">
        <v>2022</v>
      </c>
      <c r="F22" s="40" t="s">
        <v>1540</v>
      </c>
      <c r="G22" s="40" t="s">
        <v>455</v>
      </c>
      <c r="I22" s="40" t="s">
        <v>1528</v>
      </c>
      <c r="K22" s="40" t="s">
        <v>578</v>
      </c>
      <c r="Z22" s="40" t="s">
        <v>1372</v>
      </c>
      <c r="AA22" s="45">
        <v>1</v>
      </c>
      <c r="AB22" s="46">
        <f>IF(H2ProjectDB689571011[[#This Row],[Dummy_1]]="Electrolysis",
AA22/VLOOKUP(G22,ElectrolysisConvF,3,FALSE),
AC22*10^6/(H2dens*HoursInYear))</f>
        <v>192.30769230769232</v>
      </c>
      <c r="AC22" s="47">
        <f t="shared" si="3"/>
        <v>0.14993076923076926</v>
      </c>
      <c r="AE22" s="46">
        <f t="shared" si="2"/>
        <v>192.30769230769232</v>
      </c>
      <c r="AF22" s="43" t="s">
        <v>4485</v>
      </c>
      <c r="AG22" s="43">
        <v>39.818347141717503</v>
      </c>
      <c r="AH22" s="43">
        <v>-105.09084990113899</v>
      </c>
      <c r="AI22" s="122" t="s">
        <v>7286</v>
      </c>
      <c r="AJ22" s="41">
        <v>0.56999999999999995</v>
      </c>
    </row>
    <row r="23" spans="1:36" ht="34.5" hidden="1" customHeight="1" x14ac:dyDescent="0.25">
      <c r="A23" s="40">
        <v>16</v>
      </c>
      <c r="B23" s="40" t="s">
        <v>618</v>
      </c>
      <c r="C23" s="40" t="s">
        <v>538</v>
      </c>
      <c r="D23" s="40">
        <v>2020</v>
      </c>
      <c r="E23" s="40">
        <v>2023</v>
      </c>
      <c r="F23" s="40" t="s">
        <v>1339</v>
      </c>
      <c r="G23" s="40" t="s">
        <v>457</v>
      </c>
      <c r="I23" s="40" t="s">
        <v>1269</v>
      </c>
      <c r="J23" s="40" t="s">
        <v>1391</v>
      </c>
      <c r="K23" s="40" t="s">
        <v>578</v>
      </c>
      <c r="Q23" s="40">
        <v>1</v>
      </c>
      <c r="R23" s="40">
        <v>1</v>
      </c>
      <c r="Z23" s="40" t="s">
        <v>1348</v>
      </c>
      <c r="AA23" s="45">
        <v>10</v>
      </c>
      <c r="AB23" s="46">
        <f>IF(H2ProjectDB689571011[[#This Row],[Dummy_1]]="Electrolysis",
AA23/VLOOKUP(G23,ElectrolysisConvF,3,FALSE),
AC23*10^6/(H2dens*HoursInYear))</f>
        <v>2173.913043478261</v>
      </c>
      <c r="AC23" s="47">
        <f t="shared" si="3"/>
        <v>1.6948695652173913</v>
      </c>
      <c r="AE23" s="46">
        <f t="shared" si="2"/>
        <v>2173.913043478261</v>
      </c>
      <c r="AF23" s="43" t="s">
        <v>623</v>
      </c>
      <c r="AG23" s="43">
        <v>37.4164872362064</v>
      </c>
      <c r="AH23" s="43">
        <v>140.516114027268</v>
      </c>
      <c r="AI23" s="122" t="s">
        <v>7286</v>
      </c>
      <c r="AJ23" s="41">
        <v>0.3</v>
      </c>
    </row>
    <row r="24" spans="1:36" ht="34.5" hidden="1" customHeight="1" x14ac:dyDescent="0.25">
      <c r="A24" s="40">
        <v>17</v>
      </c>
      <c r="B24" s="40" t="s">
        <v>2461</v>
      </c>
      <c r="C24" s="40" t="s">
        <v>555</v>
      </c>
      <c r="D24" s="40">
        <v>2020</v>
      </c>
      <c r="F24" s="40" t="s">
        <v>1339</v>
      </c>
      <c r="G24" s="40" t="s">
        <v>455</v>
      </c>
      <c r="I24" s="40" t="s">
        <v>1269</v>
      </c>
      <c r="J24" s="40" t="s">
        <v>1394</v>
      </c>
      <c r="K24" s="40" t="s">
        <v>578</v>
      </c>
      <c r="Q24" s="40">
        <v>1</v>
      </c>
      <c r="Z24" s="40" t="s">
        <v>1368</v>
      </c>
      <c r="AA24" s="45">
        <v>2</v>
      </c>
      <c r="AB24" s="46">
        <f>IF(H2ProjectDB689571011[[#This Row],[Dummy_1]]="Electrolysis",
AA24/VLOOKUP(G24,ElectrolysisConvF,3,FALSE),
AC24*10^6/(H2dens*HoursInYear))</f>
        <v>384.61538461538464</v>
      </c>
      <c r="AC24" s="47">
        <f t="shared" si="3"/>
        <v>0.29986153846153851</v>
      </c>
      <c r="AE24" s="46">
        <f t="shared" si="2"/>
        <v>384.61538461538464</v>
      </c>
      <c r="AF24" s="43" t="s">
        <v>1129</v>
      </c>
      <c r="AG24" s="43">
        <v>47.421326659784903</v>
      </c>
      <c r="AH24" s="43">
        <v>9.3747114006969401</v>
      </c>
      <c r="AI24" s="122" t="s">
        <v>7286</v>
      </c>
      <c r="AJ24" s="41">
        <v>0.8</v>
      </c>
    </row>
    <row r="25" spans="1:36" ht="34.5" hidden="1" customHeight="1" x14ac:dyDescent="0.25">
      <c r="A25" s="40">
        <v>18</v>
      </c>
      <c r="B25" s="40" t="s">
        <v>1191</v>
      </c>
      <c r="C25" s="40" t="s">
        <v>1305</v>
      </c>
      <c r="D25" s="40">
        <v>2021</v>
      </c>
      <c r="F25" s="40" t="s">
        <v>1339</v>
      </c>
      <c r="G25" s="40" t="s">
        <v>457</v>
      </c>
      <c r="I25" s="40" t="s">
        <v>1266</v>
      </c>
      <c r="K25" s="40" t="s">
        <v>578</v>
      </c>
      <c r="Q25" s="40">
        <v>1</v>
      </c>
      <c r="T25" s="40">
        <v>1</v>
      </c>
      <c r="Z25" s="40" t="s">
        <v>1368</v>
      </c>
      <c r="AA25" s="45">
        <v>2</v>
      </c>
      <c r="AB25" s="46">
        <f>IF(H2ProjectDB689571011[[#This Row],[Dummy_1]]="Electrolysis",
AA25/VLOOKUP(G25,ElectrolysisConvF,3,FALSE),
AC25*10^6/(H2dens*HoursInYear))</f>
        <v>434.78260869565219</v>
      </c>
      <c r="AC25" s="47">
        <f t="shared" si="3"/>
        <v>0.33897391304347824</v>
      </c>
      <c r="AE25" s="46">
        <f t="shared" si="2"/>
        <v>434.78260869565219</v>
      </c>
      <c r="AF25" s="43" t="s">
        <v>1369</v>
      </c>
      <c r="AG25" s="43">
        <v>53.903405294402504</v>
      </c>
      <c r="AH25" s="43">
        <v>12.2831689290693</v>
      </c>
      <c r="AI25" s="122" t="s">
        <v>7286</v>
      </c>
      <c r="AJ25" s="41">
        <v>0.56999999999999995</v>
      </c>
    </row>
    <row r="26" spans="1:36" ht="34.5" hidden="1" customHeight="1" x14ac:dyDescent="0.25">
      <c r="A26" s="40">
        <v>19</v>
      </c>
      <c r="B26" s="40" t="s">
        <v>833</v>
      </c>
      <c r="C26" s="40" t="s">
        <v>1305</v>
      </c>
      <c r="D26" s="40">
        <v>2020</v>
      </c>
      <c r="F26" s="40" t="s">
        <v>1339</v>
      </c>
      <c r="G26" s="40" t="s">
        <v>455</v>
      </c>
      <c r="I26" s="40" t="s">
        <v>1269</v>
      </c>
      <c r="J26" s="40" t="s">
        <v>1394</v>
      </c>
      <c r="K26" s="40" t="s">
        <v>578</v>
      </c>
      <c r="Q26" s="40">
        <v>1</v>
      </c>
      <c r="Z26" s="40" t="s">
        <v>1370</v>
      </c>
      <c r="AA26" s="45">
        <v>1.3</v>
      </c>
      <c r="AB26" s="46">
        <f>IF(H2ProjectDB689571011[[#This Row],[Dummy_1]]="Electrolysis",
AA26/VLOOKUP(G26,ElectrolysisConvF,3,FALSE),
AC26*10^6/(H2dens*HoursInYear))</f>
        <v>250.00000000000003</v>
      </c>
      <c r="AC26" s="47">
        <f t="shared" si="3"/>
        <v>0.19491</v>
      </c>
      <c r="AE26" s="46">
        <f t="shared" si="2"/>
        <v>250.00000000000003</v>
      </c>
      <c r="AF26" s="43" t="s">
        <v>6783</v>
      </c>
      <c r="AG26" s="43">
        <v>48.5855970920068</v>
      </c>
      <c r="AH26" s="43">
        <v>8.9582760218852098</v>
      </c>
      <c r="AI26" s="122" t="s">
        <v>7286</v>
      </c>
      <c r="AJ26" s="41">
        <v>0.8</v>
      </c>
    </row>
    <row r="27" spans="1:36" ht="34.5" hidden="1" customHeight="1" x14ac:dyDescent="0.25">
      <c r="A27" s="40">
        <v>20</v>
      </c>
      <c r="B27" s="40" t="s">
        <v>1237</v>
      </c>
      <c r="C27" s="40" t="s">
        <v>1305</v>
      </c>
      <c r="D27" s="40">
        <v>2020</v>
      </c>
      <c r="F27" s="40" t="s">
        <v>1339</v>
      </c>
      <c r="G27" s="40" t="s">
        <v>455</v>
      </c>
      <c r="I27" s="40" t="s">
        <v>1269</v>
      </c>
      <c r="J27" s="40" t="s">
        <v>1392</v>
      </c>
      <c r="K27" s="40" t="s">
        <v>578</v>
      </c>
      <c r="Q27" s="40">
        <v>1</v>
      </c>
      <c r="Z27" s="40" t="s">
        <v>1371</v>
      </c>
      <c r="AA27" s="45">
        <v>1.125</v>
      </c>
      <c r="AB27" s="46">
        <f>IF(H2ProjectDB689571011[[#This Row],[Dummy_1]]="Electrolysis",
AA27/VLOOKUP(G27,ElectrolysisConvF,3,FALSE),
AC27*10^6/(H2dens*HoursInYear))</f>
        <v>216.34615384615387</v>
      </c>
      <c r="AC27" s="47">
        <f t="shared" si="3"/>
        <v>0.16867211538461541</v>
      </c>
      <c r="AE27" s="46">
        <f t="shared" si="2"/>
        <v>216.34615384615387</v>
      </c>
      <c r="AF27" s="43" t="s">
        <v>1205</v>
      </c>
      <c r="AG27" s="43">
        <v>54.745159170162502</v>
      </c>
      <c r="AH27" s="43">
        <v>8.5751703992152102</v>
      </c>
      <c r="AI27" s="122" t="s">
        <v>7286</v>
      </c>
      <c r="AJ27" s="41">
        <v>0.4</v>
      </c>
    </row>
    <row r="28" spans="1:36" ht="34.5" hidden="1" customHeight="1" x14ac:dyDescent="0.25">
      <c r="A28" s="40">
        <v>22</v>
      </c>
      <c r="B28" s="40" t="s">
        <v>707</v>
      </c>
      <c r="C28" s="40" t="s">
        <v>542</v>
      </c>
      <c r="D28" s="40">
        <v>2019</v>
      </c>
      <c r="F28" s="40" t="s">
        <v>1339</v>
      </c>
      <c r="G28" s="40" t="s">
        <v>455</v>
      </c>
      <c r="I28" s="40" t="s">
        <v>1269</v>
      </c>
      <c r="J28" s="40" t="s">
        <v>1392</v>
      </c>
      <c r="K28" s="40" t="s">
        <v>578</v>
      </c>
      <c r="Q28" s="40">
        <v>1</v>
      </c>
      <c r="R28" s="40">
        <v>1</v>
      </c>
      <c r="S28" s="40">
        <v>1</v>
      </c>
      <c r="U28" s="40">
        <v>1</v>
      </c>
      <c r="Z28" s="40" t="s">
        <v>1372</v>
      </c>
      <c r="AA28" s="45">
        <v>1</v>
      </c>
      <c r="AB28" s="46">
        <f>IF(H2ProjectDB689571011[[#This Row],[Dummy_1]]="Electrolysis",
AA28/VLOOKUP(G28,ElectrolysisConvF,3,FALSE),
AC28*10^6/(H2dens*HoursInYear))</f>
        <v>192.30769230769232</v>
      </c>
      <c r="AC28" s="47">
        <f t="shared" si="3"/>
        <v>0.14993076923076926</v>
      </c>
      <c r="AE28" s="46">
        <f t="shared" si="2"/>
        <v>192.30769230769232</v>
      </c>
      <c r="AF28" s="43" t="s">
        <v>1131</v>
      </c>
      <c r="AG28" s="43">
        <v>59.019990569571803</v>
      </c>
      <c r="AH28" s="43">
        <v>-2.9891360349780398</v>
      </c>
      <c r="AI28" s="122" t="s">
        <v>7286</v>
      </c>
      <c r="AJ28" s="41">
        <v>0.4</v>
      </c>
    </row>
    <row r="29" spans="1:36" ht="34.5" hidden="1" customHeight="1" x14ac:dyDescent="0.25">
      <c r="A29" s="40">
        <v>23</v>
      </c>
      <c r="B29" s="40" t="s">
        <v>1225</v>
      </c>
      <c r="C29" s="31" t="s">
        <v>1305</v>
      </c>
      <c r="D29" s="40">
        <v>2020</v>
      </c>
      <c r="F29" s="40" t="s">
        <v>1339</v>
      </c>
      <c r="G29" s="40" t="s">
        <v>457</v>
      </c>
      <c r="I29" s="40" t="s">
        <v>1269</v>
      </c>
      <c r="J29" s="40" t="s">
        <v>1394</v>
      </c>
      <c r="K29" s="40" t="s">
        <v>578</v>
      </c>
      <c r="R29" s="40">
        <v>1</v>
      </c>
      <c r="Z29" s="40" t="s">
        <v>1370</v>
      </c>
      <c r="AA29" s="45">
        <v>1.3</v>
      </c>
      <c r="AB29" s="46">
        <f>IF(H2ProjectDB689571011[[#This Row],[Dummy_1]]="Electrolysis",
AA29/VLOOKUP(G29,ElectrolysisConvF,3,FALSE),
AC29*10^6/(H2dens*HoursInYear))</f>
        <v>282.60869565217394</v>
      </c>
      <c r="AC29" s="47">
        <f t="shared" si="3"/>
        <v>0.22033304347826088</v>
      </c>
      <c r="AE29" s="46">
        <f t="shared" si="2"/>
        <v>282.60869565217394</v>
      </c>
      <c r="AF29" s="43" t="s">
        <v>2217</v>
      </c>
      <c r="AG29" s="43">
        <v>47.539892415871002</v>
      </c>
      <c r="AH29" s="43">
        <v>7.7123535161505901</v>
      </c>
      <c r="AI29" s="122" t="s">
        <v>7286</v>
      </c>
      <c r="AJ29" s="41">
        <v>0.8</v>
      </c>
    </row>
    <row r="30" spans="1:36" ht="28.35" hidden="1" customHeight="1" x14ac:dyDescent="0.25">
      <c r="A30" s="40">
        <v>24</v>
      </c>
      <c r="B30" s="40" t="s">
        <v>642</v>
      </c>
      <c r="C30" s="40" t="s">
        <v>1305</v>
      </c>
      <c r="D30" s="40">
        <v>2020</v>
      </c>
      <c r="F30" s="40" t="s">
        <v>1339</v>
      </c>
      <c r="G30" s="40" t="s">
        <v>456</v>
      </c>
      <c r="I30" s="40" t="s">
        <v>1266</v>
      </c>
      <c r="K30" s="40" t="s">
        <v>578</v>
      </c>
      <c r="O30" s="40">
        <v>1</v>
      </c>
      <c r="Z30" s="40" t="s">
        <v>6523</v>
      </c>
      <c r="AA30" s="45">
        <v>0.7</v>
      </c>
      <c r="AB30" s="46">
        <v>200</v>
      </c>
      <c r="AC30" s="47">
        <f t="shared" si="3"/>
        <v>0.15592800000000001</v>
      </c>
      <c r="AE30" s="46">
        <f t="shared" si="2"/>
        <v>200</v>
      </c>
      <c r="AF30" s="43" t="s">
        <v>6209</v>
      </c>
      <c r="AG30" s="43">
        <v>52.150372099999998</v>
      </c>
      <c r="AH30" s="43">
        <v>10.359314700000001</v>
      </c>
      <c r="AI30" s="122" t="s">
        <v>7286</v>
      </c>
      <c r="AJ30" s="41">
        <v>0.56999999999999995</v>
      </c>
    </row>
    <row r="31" spans="1:36" ht="32.85" hidden="1" customHeight="1" x14ac:dyDescent="0.25">
      <c r="A31" s="40">
        <v>25</v>
      </c>
      <c r="B31" s="40" t="s">
        <v>1170</v>
      </c>
      <c r="C31" s="40" t="s">
        <v>545</v>
      </c>
      <c r="D31" s="40">
        <v>2020</v>
      </c>
      <c r="F31" s="40" t="s">
        <v>1339</v>
      </c>
      <c r="G31" s="40" t="s">
        <v>1259</v>
      </c>
      <c r="H31" s="40" t="s">
        <v>467</v>
      </c>
      <c r="I31" s="40" t="s">
        <v>1266</v>
      </c>
      <c r="K31" s="40" t="s">
        <v>1242</v>
      </c>
      <c r="N31" s="40">
        <v>1</v>
      </c>
      <c r="Z31" s="40" t="s">
        <v>6524</v>
      </c>
      <c r="AA31" s="45">
        <v>0.25</v>
      </c>
      <c r="AB31" s="46">
        <v>50</v>
      </c>
      <c r="AC31" s="47">
        <f t="shared" si="3"/>
        <v>3.8982000000000003E-2</v>
      </c>
      <c r="AE31" s="46">
        <f t="shared" si="2"/>
        <v>50</v>
      </c>
      <c r="AF31" s="43" t="s">
        <v>1172</v>
      </c>
      <c r="AG31" s="43">
        <v>0</v>
      </c>
      <c r="AH31" s="43">
        <v>0</v>
      </c>
      <c r="AI31" s="122" t="s">
        <v>7286</v>
      </c>
      <c r="AJ31" s="41">
        <v>0.56999999999999995</v>
      </c>
    </row>
    <row r="32" spans="1:36" ht="34.5" hidden="1" customHeight="1" x14ac:dyDescent="0.25">
      <c r="A32" s="40">
        <v>26</v>
      </c>
      <c r="B32" s="40" t="s">
        <v>813</v>
      </c>
      <c r="C32" s="40" t="s">
        <v>531</v>
      </c>
      <c r="D32" s="40">
        <v>2020</v>
      </c>
      <c r="E32" s="40">
        <v>2022</v>
      </c>
      <c r="F32" s="40" t="s">
        <v>1256</v>
      </c>
      <c r="G32" s="40" t="s">
        <v>455</v>
      </c>
      <c r="I32" s="40" t="s">
        <v>1269</v>
      </c>
      <c r="J32" s="40" t="s">
        <v>1395</v>
      </c>
      <c r="K32" s="40" t="s">
        <v>578</v>
      </c>
      <c r="R32" s="40">
        <v>1</v>
      </c>
      <c r="Z32" s="40" t="s">
        <v>1375</v>
      </c>
      <c r="AC32" s="47"/>
      <c r="AE32" s="46">
        <f t="shared" si="2"/>
        <v>0</v>
      </c>
      <c r="AF32" s="43" t="s">
        <v>815</v>
      </c>
      <c r="AG32" s="43">
        <v>0</v>
      </c>
      <c r="AH32" s="43">
        <v>0</v>
      </c>
      <c r="AI32" s="122" t="s">
        <v>7286</v>
      </c>
      <c r="AJ32" s="41">
        <v>0.5</v>
      </c>
    </row>
    <row r="33" spans="1:36" ht="34.5" hidden="1" customHeight="1" x14ac:dyDescent="0.25">
      <c r="A33" s="40">
        <v>27</v>
      </c>
      <c r="B33" s="40" t="s">
        <v>1133</v>
      </c>
      <c r="C33" s="40" t="s">
        <v>538</v>
      </c>
      <c r="D33" s="40">
        <v>2020</v>
      </c>
      <c r="F33" s="40" t="s">
        <v>1339</v>
      </c>
      <c r="G33" s="40" t="s">
        <v>455</v>
      </c>
      <c r="I33" s="40" t="s">
        <v>1266</v>
      </c>
      <c r="K33" s="40" t="s">
        <v>578</v>
      </c>
      <c r="R33" s="40">
        <v>1</v>
      </c>
      <c r="Z33" s="40" t="s">
        <v>6525</v>
      </c>
      <c r="AA33" s="78">
        <f>IF(H2ProjectDB689571011[[#This Row],[Dummy_1]]="Electrolysis",
AB33*VLOOKUP(G33,ElectrolysisConvF,3,FALSE),
"")</f>
        <v>5.1999999999999998E-3</v>
      </c>
      <c r="AB33" s="46">
        <v>1</v>
      </c>
      <c r="AC33" s="47">
        <f t="shared" ref="AC33:AC54" si="4">AB33*H2dens*HoursInYear/10^6</f>
        <v>7.7963999999999996E-4</v>
      </c>
      <c r="AE33" s="46">
        <f t="shared" si="2"/>
        <v>1</v>
      </c>
      <c r="AF33" s="43" t="s">
        <v>1135</v>
      </c>
      <c r="AG33" s="43">
        <v>35.667062892263999</v>
      </c>
      <c r="AH33" s="43">
        <v>139.749492478842</v>
      </c>
      <c r="AI33" s="122" t="s">
        <v>7286</v>
      </c>
      <c r="AJ33" s="41">
        <v>0.56999999999999995</v>
      </c>
    </row>
    <row r="34" spans="1:36" ht="34.5" hidden="1" customHeight="1" x14ac:dyDescent="0.25">
      <c r="A34" s="40">
        <v>28</v>
      </c>
      <c r="B34" s="40" t="s">
        <v>1136</v>
      </c>
      <c r="C34" s="40" t="s">
        <v>538</v>
      </c>
      <c r="D34" s="40">
        <v>2020</v>
      </c>
      <c r="F34" s="40" t="s">
        <v>1339</v>
      </c>
      <c r="G34" s="40" t="s">
        <v>455</v>
      </c>
      <c r="I34" s="40" t="s">
        <v>1266</v>
      </c>
      <c r="K34" s="40" t="s">
        <v>578</v>
      </c>
      <c r="R34" s="40">
        <v>1</v>
      </c>
      <c r="Z34" s="40" t="s">
        <v>6525</v>
      </c>
      <c r="AA34" s="78">
        <f>IF(H2ProjectDB689571011[[#This Row],[Dummy_1]]="Electrolysis",
AB34*VLOOKUP(G34,ElectrolysisConvF,3,FALSE),
"")</f>
        <v>5.1999999999999998E-3</v>
      </c>
      <c r="AB34" s="46">
        <v>1</v>
      </c>
      <c r="AC34" s="47">
        <f t="shared" si="4"/>
        <v>7.7963999999999996E-4</v>
      </c>
      <c r="AE34" s="46">
        <f t="shared" si="2"/>
        <v>1</v>
      </c>
      <c r="AF34" s="43" t="s">
        <v>1137</v>
      </c>
      <c r="AG34" s="43">
        <v>36.730768218157401</v>
      </c>
      <c r="AH34" s="43">
        <v>137.21882413950101</v>
      </c>
      <c r="AI34" s="122" t="s">
        <v>7286</v>
      </c>
      <c r="AJ34" s="41">
        <v>0.56999999999999995</v>
      </c>
    </row>
    <row r="35" spans="1:36" ht="34.5" hidden="1" customHeight="1" x14ac:dyDescent="0.25">
      <c r="A35" s="40">
        <v>29</v>
      </c>
      <c r="B35" s="40" t="s">
        <v>1140</v>
      </c>
      <c r="C35" s="40" t="s">
        <v>538</v>
      </c>
      <c r="D35" s="40">
        <v>2020</v>
      </c>
      <c r="F35" s="40" t="s">
        <v>1339</v>
      </c>
      <c r="G35" s="40" t="s">
        <v>455</v>
      </c>
      <c r="I35" s="40" t="s">
        <v>1266</v>
      </c>
      <c r="K35" s="40" t="s">
        <v>578</v>
      </c>
      <c r="Q35" s="40">
        <v>1</v>
      </c>
      <c r="Z35" s="40" t="s">
        <v>6525</v>
      </c>
      <c r="AA35" s="78">
        <f>IF(H2ProjectDB689571011[[#This Row],[Dummy_1]]="Electrolysis",
AB35*VLOOKUP(G35,ElectrolysisConvF,3,FALSE),
"")</f>
        <v>5.1999999999999998E-3</v>
      </c>
      <c r="AB35" s="46">
        <v>1</v>
      </c>
      <c r="AC35" s="47">
        <f t="shared" si="4"/>
        <v>7.7963999999999996E-4</v>
      </c>
      <c r="AE35" s="46">
        <f t="shared" si="2"/>
        <v>1</v>
      </c>
      <c r="AF35" s="43" t="s">
        <v>1141</v>
      </c>
      <c r="AG35" s="43">
        <v>35.6482195530807</v>
      </c>
      <c r="AH35" s="43">
        <v>136.05088204271101</v>
      </c>
      <c r="AI35" s="122" t="s">
        <v>7286</v>
      </c>
      <c r="AJ35" s="41">
        <v>0.56999999999999995</v>
      </c>
    </row>
    <row r="36" spans="1:36" ht="34.35" hidden="1" customHeight="1" x14ac:dyDescent="0.25">
      <c r="A36" s="40">
        <v>30</v>
      </c>
      <c r="B36" s="40" t="s">
        <v>7</v>
      </c>
      <c r="C36" s="40" t="s">
        <v>540</v>
      </c>
      <c r="D36" s="40">
        <v>2019</v>
      </c>
      <c r="F36" s="40" t="s">
        <v>1339</v>
      </c>
      <c r="G36" s="40" t="s">
        <v>455</v>
      </c>
      <c r="I36" s="40" t="s">
        <v>1266</v>
      </c>
      <c r="K36" s="40" t="s">
        <v>578</v>
      </c>
      <c r="O36" s="40">
        <v>1</v>
      </c>
      <c r="Z36" s="40" t="s">
        <v>1376</v>
      </c>
      <c r="AA36" s="45">
        <v>6</v>
      </c>
      <c r="AB36" s="46">
        <f>IF(H2ProjectDB689571011[[#This Row],[Dummy_1]]="Electrolysis",
AA36/VLOOKUP(G36,ElectrolysisConvF,3,FALSE),
AC36*10^6/(H2dens*HoursInYear))</f>
        <v>1153.8461538461538</v>
      </c>
      <c r="AC36" s="47">
        <f t="shared" si="4"/>
        <v>0.8995846153846152</v>
      </c>
      <c r="AE36" s="46">
        <f t="shared" si="2"/>
        <v>1153.8461538461538</v>
      </c>
      <c r="AF36" s="43" t="s">
        <v>648</v>
      </c>
      <c r="AG36" s="43">
        <v>48.3059078</v>
      </c>
      <c r="AH36" s="43">
        <v>14.286198000000001</v>
      </c>
      <c r="AI36" s="122" t="s">
        <v>7286</v>
      </c>
      <c r="AJ36" s="41">
        <v>0.56999999999999995</v>
      </c>
    </row>
    <row r="37" spans="1:36" ht="34.5" hidden="1" customHeight="1" x14ac:dyDescent="0.25">
      <c r="A37" s="40">
        <v>31</v>
      </c>
      <c r="B37" s="40" t="s">
        <v>797</v>
      </c>
      <c r="C37" s="40" t="s">
        <v>537</v>
      </c>
      <c r="D37" s="40">
        <v>2019</v>
      </c>
      <c r="F37" s="40" t="s">
        <v>1339</v>
      </c>
      <c r="G37" s="40" t="s">
        <v>455</v>
      </c>
      <c r="I37" s="40" t="s">
        <v>1269</v>
      </c>
      <c r="J37" s="40" t="s">
        <v>581</v>
      </c>
      <c r="K37" s="40" t="s">
        <v>578</v>
      </c>
      <c r="Q37" s="40">
        <v>1</v>
      </c>
      <c r="Z37" s="40" t="s">
        <v>1377</v>
      </c>
      <c r="AA37" s="45">
        <v>4</v>
      </c>
      <c r="AB37" s="46">
        <f>IF(H2ProjectDB689571011[[#This Row],[Dummy_1]]="Electrolysis",
AA37/VLOOKUP(G37,ElectrolysisConvF,3,FALSE),
AC37*10^6/(H2dens*HoursInYear))</f>
        <v>769.23076923076928</v>
      </c>
      <c r="AC37" s="47">
        <f t="shared" si="4"/>
        <v>0.59972307692307703</v>
      </c>
      <c r="AE37" s="46">
        <f t="shared" si="2"/>
        <v>769.23076923076928</v>
      </c>
      <c r="AF37" s="43" t="s">
        <v>664</v>
      </c>
      <c r="AG37" s="43">
        <v>0</v>
      </c>
      <c r="AH37" s="43">
        <v>0</v>
      </c>
      <c r="AI37" s="122" t="s">
        <v>7286</v>
      </c>
      <c r="AJ37" s="41">
        <v>0.5</v>
      </c>
    </row>
    <row r="38" spans="1:36" ht="34.5" hidden="1" customHeight="1" x14ac:dyDescent="0.25">
      <c r="A38" s="40">
        <v>33</v>
      </c>
      <c r="B38" s="40" t="s">
        <v>180</v>
      </c>
      <c r="C38" s="40" t="s">
        <v>533</v>
      </c>
      <c r="D38" s="40">
        <v>2019</v>
      </c>
      <c r="F38" s="40" t="s">
        <v>1339</v>
      </c>
      <c r="G38" s="40" t="s">
        <v>455</v>
      </c>
      <c r="I38" s="40" t="s">
        <v>1266</v>
      </c>
      <c r="K38" s="40" t="s">
        <v>578</v>
      </c>
      <c r="S38" s="40">
        <v>1</v>
      </c>
      <c r="Z38" s="40" t="s">
        <v>1345</v>
      </c>
      <c r="AA38" s="45">
        <v>2.5</v>
      </c>
      <c r="AB38" s="46">
        <f>IF(H2ProjectDB689571011[[#This Row],[Dummy_1]]="Electrolysis",
AA38/VLOOKUP(G38,ElectrolysisConvF,3,FALSE),
AC38*10^6/(H2dens*HoursInYear))</f>
        <v>480.76923076923077</v>
      </c>
      <c r="AC38" s="47">
        <f t="shared" si="4"/>
        <v>0.37482692307692306</v>
      </c>
      <c r="AE38" s="46">
        <f t="shared" si="2"/>
        <v>480.76923076923077</v>
      </c>
      <c r="AF38" s="43" t="s">
        <v>753</v>
      </c>
      <c r="AG38" s="43">
        <v>43.857349389356997</v>
      </c>
      <c r="AH38" s="43">
        <v>-79.331124190793901</v>
      </c>
      <c r="AI38" s="122" t="s">
        <v>7286</v>
      </c>
      <c r="AJ38" s="41">
        <v>0.56999999999999995</v>
      </c>
    </row>
    <row r="39" spans="1:36" ht="34.5" hidden="1" customHeight="1" x14ac:dyDescent="0.25">
      <c r="A39" s="40">
        <v>34</v>
      </c>
      <c r="B39" s="40" t="s">
        <v>1231</v>
      </c>
      <c r="C39" s="40" t="s">
        <v>1305</v>
      </c>
      <c r="D39" s="40">
        <v>2019</v>
      </c>
      <c r="F39" s="40" t="s">
        <v>1339</v>
      </c>
      <c r="G39" s="40" t="s">
        <v>1259</v>
      </c>
      <c r="H39" s="40" t="s">
        <v>467</v>
      </c>
      <c r="I39" s="40" t="s">
        <v>1269</v>
      </c>
      <c r="J39" s="40" t="s">
        <v>1395</v>
      </c>
      <c r="K39" s="40" t="s">
        <v>612</v>
      </c>
      <c r="X39" s="40">
        <v>1</v>
      </c>
      <c r="Z39" s="40" t="s">
        <v>1345</v>
      </c>
      <c r="AA39" s="45">
        <v>2.5</v>
      </c>
      <c r="AB39" s="46">
        <f>IF(H2ProjectDB689571011[[#This Row],[Dummy_1]]="Electrolysis",
AA39/VLOOKUP(G39,ElectrolysisConvF,3,FALSE),
AC39*10^6/(H2dens*HoursInYear))</f>
        <v>555.55555555555554</v>
      </c>
      <c r="AC39" s="47">
        <f t="shared" si="4"/>
        <v>0.43313333333333331</v>
      </c>
      <c r="AE39" s="46">
        <f t="shared" si="2"/>
        <v>555.55555555555554</v>
      </c>
      <c r="AF39" s="43" t="s">
        <v>1233</v>
      </c>
      <c r="AG39" s="43">
        <v>49.199696099999997</v>
      </c>
      <c r="AH39" s="43">
        <v>7.6087847000000002</v>
      </c>
      <c r="AI39" s="122" t="s">
        <v>7286</v>
      </c>
      <c r="AJ39" s="41">
        <v>0.5</v>
      </c>
    </row>
    <row r="40" spans="1:36" ht="29.85" hidden="1" customHeight="1" x14ac:dyDescent="0.25">
      <c r="A40" s="40">
        <v>36</v>
      </c>
      <c r="B40" s="40" t="s">
        <v>111</v>
      </c>
      <c r="C40" s="40" t="s">
        <v>1305</v>
      </c>
      <c r="D40" s="40">
        <v>2019</v>
      </c>
      <c r="E40" s="40">
        <v>2021</v>
      </c>
      <c r="F40" s="40" t="s">
        <v>1540</v>
      </c>
      <c r="G40" s="40" t="s">
        <v>455</v>
      </c>
      <c r="I40" s="40" t="s">
        <v>1266</v>
      </c>
      <c r="K40" s="40" t="s">
        <v>1242</v>
      </c>
      <c r="N40" s="40">
        <v>1</v>
      </c>
      <c r="Z40" s="40" t="s">
        <v>6893</v>
      </c>
      <c r="AA40" s="45">
        <v>1</v>
      </c>
      <c r="AB40" s="46">
        <f>IF(H2ProjectDB689571011[[#This Row],[Dummy_1]]="Electrolysis",
AA40/VLOOKUP(G40,ElectrolysisConvF,3,FALSE),
AC40*10^6/(H2dens*HoursInYear))</f>
        <v>192.30769230769232</v>
      </c>
      <c r="AC40" s="47">
        <f t="shared" si="4"/>
        <v>0.14993076923076926</v>
      </c>
      <c r="AE40" s="46">
        <f t="shared" si="2"/>
        <v>192.30769230769232</v>
      </c>
      <c r="AF40" s="43" t="s">
        <v>777</v>
      </c>
      <c r="AG40" s="43">
        <v>0</v>
      </c>
      <c r="AH40" s="43">
        <v>0</v>
      </c>
      <c r="AI40" s="122" t="s">
        <v>7286</v>
      </c>
      <c r="AJ40" s="41">
        <v>0.56999999999999995</v>
      </c>
    </row>
    <row r="41" spans="1:36" ht="34.5" hidden="1" customHeight="1" x14ac:dyDescent="0.25">
      <c r="A41" s="40">
        <v>37</v>
      </c>
      <c r="B41" s="40" t="s">
        <v>1238</v>
      </c>
      <c r="C41" s="40" t="s">
        <v>1305</v>
      </c>
      <c r="D41" s="44">
        <v>2020</v>
      </c>
      <c r="F41" s="40" t="s">
        <v>1339</v>
      </c>
      <c r="G41" s="40" t="s">
        <v>455</v>
      </c>
      <c r="I41" s="40" t="s">
        <v>1269</v>
      </c>
      <c r="J41" s="40" t="s">
        <v>1392</v>
      </c>
      <c r="K41" s="40" t="s">
        <v>578</v>
      </c>
      <c r="R41" s="40">
        <v>1</v>
      </c>
      <c r="Z41" s="40" t="s">
        <v>1372</v>
      </c>
      <c r="AA41" s="45">
        <v>1</v>
      </c>
      <c r="AB41" s="46">
        <f>IF(H2ProjectDB689571011[[#This Row],[Dummy_1]]="Electrolysis",
AA41/VLOOKUP(G41,ElectrolysisConvF,3,FALSE),
AC41*10^6/(H2dens*HoursInYear))</f>
        <v>192.30769230769232</v>
      </c>
      <c r="AC41" s="47">
        <f t="shared" si="4"/>
        <v>0.14993076923076926</v>
      </c>
      <c r="AE41" s="46">
        <f t="shared" si="2"/>
        <v>192.30769230769232</v>
      </c>
      <c r="AF41" s="43" t="s">
        <v>3393</v>
      </c>
      <c r="AG41" s="43">
        <v>54.726706525109599</v>
      </c>
      <c r="AH41" s="43">
        <v>9.3475912846509903</v>
      </c>
      <c r="AI41" s="122" t="s">
        <v>7286</v>
      </c>
      <c r="AJ41" s="41">
        <v>0.4</v>
      </c>
    </row>
    <row r="42" spans="1:36" ht="34.5" hidden="1" customHeight="1" x14ac:dyDescent="0.25">
      <c r="A42" s="40">
        <v>38</v>
      </c>
      <c r="B42" s="40" t="s">
        <v>873</v>
      </c>
      <c r="C42" s="40" t="s">
        <v>556</v>
      </c>
      <c r="D42" s="40">
        <v>2019</v>
      </c>
      <c r="F42" s="40" t="s">
        <v>1339</v>
      </c>
      <c r="G42" s="40" t="s">
        <v>457</v>
      </c>
      <c r="I42" s="40" t="s">
        <v>1528</v>
      </c>
      <c r="K42" s="40" t="s">
        <v>578</v>
      </c>
      <c r="Q42" s="40">
        <v>1</v>
      </c>
      <c r="Z42" s="40" t="s">
        <v>1380</v>
      </c>
      <c r="AA42" s="45">
        <v>1</v>
      </c>
      <c r="AB42" s="46">
        <f>IF(H2ProjectDB689571011[[#This Row],[Dummy_1]]="Electrolysis",
AA42/VLOOKUP(G42,ElectrolysisConvF,3,FALSE),
AC42*10^6/(H2dens*HoursInYear))</f>
        <v>217.39130434782609</v>
      </c>
      <c r="AC42" s="47">
        <f t="shared" si="4"/>
        <v>0.16948695652173912</v>
      </c>
      <c r="AE42" s="46">
        <f t="shared" si="2"/>
        <v>217.39130434782609</v>
      </c>
      <c r="AG42" s="43">
        <v>58.393372846366901</v>
      </c>
      <c r="AH42" s="43">
        <v>24.510686599008299</v>
      </c>
      <c r="AI42" s="122" t="s">
        <v>7286</v>
      </c>
      <c r="AJ42" s="41">
        <v>0.56999999999999995</v>
      </c>
    </row>
    <row r="43" spans="1:36" ht="34.5" hidden="1" customHeight="1" x14ac:dyDescent="0.25">
      <c r="A43" s="40">
        <v>40</v>
      </c>
      <c r="B43" s="40" t="s">
        <v>2474</v>
      </c>
      <c r="C43" s="40" t="s">
        <v>556</v>
      </c>
      <c r="D43" s="40">
        <v>2019</v>
      </c>
      <c r="F43" s="40" t="s">
        <v>1339</v>
      </c>
      <c r="G43" s="40" t="s">
        <v>455</v>
      </c>
      <c r="I43" s="40" t="s">
        <v>1528</v>
      </c>
      <c r="K43" s="40" t="s">
        <v>578</v>
      </c>
      <c r="Q43" s="40">
        <v>1</v>
      </c>
      <c r="Z43" s="40" t="s">
        <v>6526</v>
      </c>
      <c r="AA43" s="78">
        <f>IF(H2ProjectDB689571011[[#This Row],[Dummy_1]]="Electrolysis",
AB43*VLOOKUP(G43,ElectrolysisConvF,3,FALSE),
"")</f>
        <v>0.72799999999999998</v>
      </c>
      <c r="AB43" s="46">
        <v>140</v>
      </c>
      <c r="AC43" s="47">
        <f t="shared" si="4"/>
        <v>0.10914959999999999</v>
      </c>
      <c r="AE43" s="46">
        <f t="shared" si="2"/>
        <v>140</v>
      </c>
      <c r="AF43" s="43" t="s">
        <v>838</v>
      </c>
      <c r="AG43" s="43">
        <v>56.972880256341</v>
      </c>
      <c r="AH43" s="43">
        <v>24.087874718549902</v>
      </c>
      <c r="AI43" s="122" t="s">
        <v>7286</v>
      </c>
      <c r="AJ43" s="41">
        <v>0.56999999999999995</v>
      </c>
    </row>
    <row r="44" spans="1:36" ht="34.5" hidden="1" customHeight="1" x14ac:dyDescent="0.25">
      <c r="A44" s="40">
        <v>41</v>
      </c>
      <c r="B44" s="40" t="s">
        <v>5993</v>
      </c>
      <c r="C44" s="40" t="s">
        <v>530</v>
      </c>
      <c r="D44" s="40">
        <v>2019</v>
      </c>
      <c r="F44" s="40" t="s">
        <v>1339</v>
      </c>
      <c r="G44" s="40" t="s">
        <v>457</v>
      </c>
      <c r="I44" s="40" t="s">
        <v>1266</v>
      </c>
      <c r="K44" s="40" t="s">
        <v>578</v>
      </c>
      <c r="Q44" s="40">
        <v>1</v>
      </c>
      <c r="Z44" s="40" t="s">
        <v>1381</v>
      </c>
      <c r="AA44" s="45">
        <v>0.5</v>
      </c>
      <c r="AB44" s="46">
        <f>IF(H2ProjectDB689571011[[#This Row],[Dummy_1]]="Electrolysis",
AA44/VLOOKUP(G44,ElectrolysisConvF,3,FALSE),
AC44*10^6/(H2dens*HoursInYear))</f>
        <v>108.69565217391305</v>
      </c>
      <c r="AC44" s="47">
        <f t="shared" si="4"/>
        <v>8.4743478260869559E-2</v>
      </c>
      <c r="AE44" s="46">
        <f t="shared" si="2"/>
        <v>108.69565217391305</v>
      </c>
      <c r="AG44" s="43">
        <v>49.880890399999998</v>
      </c>
      <c r="AH44" s="43">
        <v>1.1415922000000001</v>
      </c>
      <c r="AI44" s="122" t="s">
        <v>7286</v>
      </c>
      <c r="AJ44" s="41">
        <v>0.56999999999999995</v>
      </c>
    </row>
    <row r="45" spans="1:36" ht="34.5" hidden="1" customHeight="1" x14ac:dyDescent="0.25">
      <c r="A45" s="40">
        <v>42</v>
      </c>
      <c r="B45" s="40" t="s">
        <v>176</v>
      </c>
      <c r="C45" s="40" t="s">
        <v>542</v>
      </c>
      <c r="D45" s="40">
        <v>2020</v>
      </c>
      <c r="F45" s="40" t="s">
        <v>1339</v>
      </c>
      <c r="G45" s="40" t="s">
        <v>455</v>
      </c>
      <c r="I45" s="40" t="s">
        <v>1266</v>
      </c>
      <c r="K45" s="40" t="s">
        <v>578</v>
      </c>
      <c r="S45" s="40">
        <v>1</v>
      </c>
      <c r="Z45" s="40" t="s">
        <v>1381</v>
      </c>
      <c r="AA45" s="45">
        <v>0.5</v>
      </c>
      <c r="AB45" s="46">
        <f>IF(H2ProjectDB689571011[[#This Row],[Dummy_1]]="Electrolysis",
AA45/VLOOKUP(G45,ElectrolysisConvF,3,FALSE),
AC45*10^6/(H2dens*HoursInYear))</f>
        <v>96.15384615384616</v>
      </c>
      <c r="AC45" s="47">
        <f t="shared" si="4"/>
        <v>7.4965384615384628E-2</v>
      </c>
      <c r="AE45" s="46">
        <f t="shared" si="2"/>
        <v>96.15384615384616</v>
      </c>
      <c r="AF45" s="43" t="s">
        <v>836</v>
      </c>
      <c r="AG45" s="43">
        <v>53.003807799999997</v>
      </c>
      <c r="AH45" s="43">
        <v>-2.2877424999999998</v>
      </c>
      <c r="AI45" s="122" t="s">
        <v>7286</v>
      </c>
      <c r="AJ45" s="41">
        <v>0.56999999999999995</v>
      </c>
    </row>
    <row r="46" spans="1:36" ht="34.5" hidden="1" customHeight="1" x14ac:dyDescent="0.25">
      <c r="A46" s="40">
        <v>43</v>
      </c>
      <c r="B46" s="40" t="s">
        <v>875</v>
      </c>
      <c r="C46" s="40" t="s">
        <v>533</v>
      </c>
      <c r="D46" s="40">
        <v>2019</v>
      </c>
      <c r="F46" s="40" t="s">
        <v>1339</v>
      </c>
      <c r="G46" s="40" t="s">
        <v>457</v>
      </c>
      <c r="I46" s="40" t="s">
        <v>1528</v>
      </c>
      <c r="K46" s="40" t="s">
        <v>578</v>
      </c>
      <c r="Q46" s="40">
        <v>1</v>
      </c>
      <c r="Z46" s="40" t="s">
        <v>1382</v>
      </c>
      <c r="AA46" s="45">
        <v>0.5</v>
      </c>
      <c r="AB46" s="46">
        <f>IF(H2ProjectDB689571011[[#This Row],[Dummy_1]]="Electrolysis",
AA46/VLOOKUP(G46,ElectrolysisConvF,3,FALSE),
AC46*10^6/(H2dens*HoursInYear))</f>
        <v>108.69565217391305</v>
      </c>
      <c r="AC46" s="47">
        <f t="shared" si="4"/>
        <v>8.4743478260869559E-2</v>
      </c>
      <c r="AE46" s="46">
        <f t="shared" si="2"/>
        <v>108.69565217391305</v>
      </c>
      <c r="AF46" s="43" t="s">
        <v>1379</v>
      </c>
      <c r="AG46" s="43">
        <v>0</v>
      </c>
      <c r="AH46" s="43">
        <v>0</v>
      </c>
      <c r="AI46" s="122" t="s">
        <v>7286</v>
      </c>
      <c r="AJ46" s="41">
        <v>0.56999999999999995</v>
      </c>
    </row>
    <row r="47" spans="1:36" ht="34.5" hidden="1" customHeight="1" x14ac:dyDescent="0.25">
      <c r="A47" s="40">
        <v>44</v>
      </c>
      <c r="B47" s="40" t="s">
        <v>5994</v>
      </c>
      <c r="C47" s="40" t="s">
        <v>530</v>
      </c>
      <c r="D47" s="40">
        <v>2019</v>
      </c>
      <c r="F47" s="40" t="s">
        <v>1339</v>
      </c>
      <c r="G47" s="40" t="s">
        <v>455</v>
      </c>
      <c r="I47" s="40" t="s">
        <v>1266</v>
      </c>
      <c r="K47" s="40" t="s">
        <v>578</v>
      </c>
      <c r="Q47" s="40">
        <v>1</v>
      </c>
      <c r="Z47" s="40" t="s">
        <v>5995</v>
      </c>
      <c r="AA47" s="45">
        <v>0.75</v>
      </c>
      <c r="AB47" s="46">
        <f>IF(H2ProjectDB689571011[[#This Row],[Dummy_1]]="Electrolysis",
AA47/VLOOKUP(G47,ElectrolysisConvF,3,FALSE),
AC47*10^6/(H2dens*HoursInYear))</f>
        <v>144.23076923076923</v>
      </c>
      <c r="AC47" s="47">
        <f t="shared" si="4"/>
        <v>0.1124480769230769</v>
      </c>
      <c r="AE47" s="46">
        <f t="shared" si="2"/>
        <v>144.23076923076923</v>
      </c>
      <c r="AF47" s="43" t="s">
        <v>1132</v>
      </c>
      <c r="AG47" s="43">
        <v>43.3113640879766</v>
      </c>
      <c r="AH47" s="43">
        <v>-0.36200530880932702</v>
      </c>
      <c r="AI47" s="122" t="s">
        <v>7286</v>
      </c>
      <c r="AJ47" s="41">
        <v>0.56999999999999995</v>
      </c>
    </row>
    <row r="48" spans="1:36" ht="34.5" hidden="1" customHeight="1" x14ac:dyDescent="0.25">
      <c r="A48" s="40">
        <v>46</v>
      </c>
      <c r="B48" s="40" t="s">
        <v>174</v>
      </c>
      <c r="C48" s="40" t="s">
        <v>555</v>
      </c>
      <c r="D48" s="40">
        <v>2019</v>
      </c>
      <c r="F48" s="40" t="s">
        <v>1339</v>
      </c>
      <c r="G48" s="40" t="s">
        <v>455</v>
      </c>
      <c r="I48" s="40" t="s">
        <v>1266</v>
      </c>
      <c r="K48" s="40" t="s">
        <v>612</v>
      </c>
      <c r="X48" s="40">
        <v>1</v>
      </c>
      <c r="Z48" s="40" t="s">
        <v>1386</v>
      </c>
      <c r="AA48" s="45">
        <v>0.35</v>
      </c>
      <c r="AB48" s="46">
        <f>IF(H2ProjectDB689571011[[#This Row],[Dummy_1]]="Electrolysis",
AA48/VLOOKUP(G48,ElectrolysisConvF,3,FALSE),
AC48*10^6/(H2dens*HoursInYear))</f>
        <v>67.307692307692307</v>
      </c>
      <c r="AC48" s="47">
        <f t="shared" si="4"/>
        <v>5.2475769230769229E-2</v>
      </c>
      <c r="AE48" s="46">
        <f t="shared" si="2"/>
        <v>67.307692307692307</v>
      </c>
      <c r="AF48" s="43" t="s">
        <v>690</v>
      </c>
      <c r="AG48" s="43">
        <v>47.207265885619996</v>
      </c>
      <c r="AH48" s="43">
        <v>7.53450070109119</v>
      </c>
      <c r="AI48" s="122" t="s">
        <v>7286</v>
      </c>
      <c r="AJ48" s="41">
        <v>0.56999999999999995</v>
      </c>
    </row>
    <row r="49" spans="1:36" ht="34.5" hidden="1" customHeight="1" x14ac:dyDescent="0.25">
      <c r="A49" s="40">
        <v>49</v>
      </c>
      <c r="B49" s="40" t="s">
        <v>671</v>
      </c>
      <c r="C49" s="40" t="s">
        <v>534</v>
      </c>
      <c r="D49" s="40">
        <v>2019</v>
      </c>
      <c r="F49" s="40" t="s">
        <v>1339</v>
      </c>
      <c r="G49" s="40" t="s">
        <v>457</v>
      </c>
      <c r="I49" s="40" t="s">
        <v>1528</v>
      </c>
      <c r="K49" s="40" t="s">
        <v>578</v>
      </c>
      <c r="Q49" s="40">
        <v>1</v>
      </c>
      <c r="Z49" s="40" t="s">
        <v>6527</v>
      </c>
      <c r="AA49" s="78">
        <f>IF(H2ProjectDB689571011[[#This Row],[Dummy_1]]="Electrolysis",
AB49*VLOOKUP(G49,ElectrolysisConvF,3,FALSE),
"")</f>
        <v>0.27600000000000002</v>
      </c>
      <c r="AB49" s="46">
        <v>60</v>
      </c>
      <c r="AC49" s="47">
        <f t="shared" si="4"/>
        <v>4.6778400000000005E-2</v>
      </c>
      <c r="AE49" s="46">
        <f t="shared" si="2"/>
        <v>60</v>
      </c>
      <c r="AF49" s="43" t="s">
        <v>670</v>
      </c>
      <c r="AG49" s="43">
        <v>0</v>
      </c>
      <c r="AH49" s="43">
        <v>0</v>
      </c>
      <c r="AI49" s="122" t="s">
        <v>7286</v>
      </c>
      <c r="AJ49" s="41">
        <v>0.56999999999999995</v>
      </c>
    </row>
    <row r="50" spans="1:36" ht="34.5" hidden="1" customHeight="1" x14ac:dyDescent="0.25">
      <c r="A50" s="40">
        <v>50</v>
      </c>
      <c r="B50" s="40" t="s">
        <v>1035</v>
      </c>
      <c r="C50" s="40" t="s">
        <v>559</v>
      </c>
      <c r="D50" s="40">
        <v>2019</v>
      </c>
      <c r="F50" s="40" t="s">
        <v>1339</v>
      </c>
      <c r="G50" s="40" t="s">
        <v>457</v>
      </c>
      <c r="I50" s="40" t="s">
        <v>1269</v>
      </c>
      <c r="J50" s="40" t="s">
        <v>1391</v>
      </c>
      <c r="K50" s="40" t="s">
        <v>578</v>
      </c>
      <c r="S50" s="40">
        <v>1</v>
      </c>
      <c r="Z50" s="40" t="s">
        <v>6527</v>
      </c>
      <c r="AA50" s="78">
        <f>IF(H2ProjectDB689571011[[#This Row],[Dummy_1]]="Electrolysis",
AB50*VLOOKUP(G50,ElectrolysisConvF,3,FALSE),
"")</f>
        <v>0.27600000000000002</v>
      </c>
      <c r="AB50" s="46">
        <v>60</v>
      </c>
      <c r="AC50" s="47">
        <f t="shared" si="4"/>
        <v>4.6778400000000005E-2</v>
      </c>
      <c r="AE50" s="46">
        <f t="shared" si="2"/>
        <v>60</v>
      </c>
      <c r="AG50" s="43">
        <v>58.059269907709798</v>
      </c>
      <c r="AH50" s="43">
        <v>12.816837082624099</v>
      </c>
      <c r="AI50" s="122" t="s">
        <v>7286</v>
      </c>
      <c r="AJ50" s="41">
        <v>0.3</v>
      </c>
    </row>
    <row r="51" spans="1:36" ht="34.5" hidden="1" customHeight="1" x14ac:dyDescent="0.25">
      <c r="A51" s="40">
        <v>51</v>
      </c>
      <c r="B51" s="40" t="s">
        <v>935</v>
      </c>
      <c r="C51" s="40" t="s">
        <v>536</v>
      </c>
      <c r="D51" s="40">
        <v>2019</v>
      </c>
      <c r="F51" s="40" t="s">
        <v>1339</v>
      </c>
      <c r="G51" s="40" t="s">
        <v>1259</v>
      </c>
      <c r="H51" s="40" t="s">
        <v>467</v>
      </c>
      <c r="I51" s="40" t="s">
        <v>1528</v>
      </c>
      <c r="K51" s="40" t="s">
        <v>612</v>
      </c>
      <c r="X51" s="40">
        <v>1</v>
      </c>
      <c r="Z51" s="40" t="s">
        <v>1387</v>
      </c>
      <c r="AA51" s="45">
        <v>0.25</v>
      </c>
      <c r="AB51" s="46">
        <f>IF(H2ProjectDB689571011[[#This Row],[Dummy_1]]="Electrolysis",
AA51/VLOOKUP(G51,ElectrolysisConvF,3,FALSE),
AC51*10^6/(H2dens*HoursInYear))</f>
        <v>55.555555555555557</v>
      </c>
      <c r="AC51" s="47">
        <f t="shared" si="4"/>
        <v>4.3313333333333336E-2</v>
      </c>
      <c r="AE51" s="46">
        <f t="shared" si="2"/>
        <v>55.555555555555557</v>
      </c>
      <c r="AF51" s="43" t="s">
        <v>1388</v>
      </c>
      <c r="AG51" s="43">
        <v>0</v>
      </c>
      <c r="AH51" s="43">
        <v>0</v>
      </c>
      <c r="AI51" s="122" t="s">
        <v>7286</v>
      </c>
      <c r="AJ51" s="41">
        <v>0.56999999999999995</v>
      </c>
    </row>
    <row r="52" spans="1:36" ht="34.5" hidden="1" customHeight="1" x14ac:dyDescent="0.25">
      <c r="A52" s="40">
        <v>52</v>
      </c>
      <c r="B52" s="40" t="s">
        <v>823</v>
      </c>
      <c r="C52" s="40" t="s">
        <v>1305</v>
      </c>
      <c r="D52" s="40">
        <v>2019</v>
      </c>
      <c r="F52" s="40" t="s">
        <v>1339</v>
      </c>
      <c r="G52" s="40" t="s">
        <v>455</v>
      </c>
      <c r="I52" s="40" t="s">
        <v>1266</v>
      </c>
      <c r="K52" s="40" t="s">
        <v>578</v>
      </c>
      <c r="S52" s="40">
        <v>1</v>
      </c>
      <c r="Z52" s="40" t="s">
        <v>1428</v>
      </c>
      <c r="AA52" s="45">
        <v>0.2</v>
      </c>
      <c r="AB52" s="46">
        <f>IF(H2ProjectDB689571011[[#This Row],[Dummy_1]]="Electrolysis",
AA52/VLOOKUP(G52,ElectrolysisConvF,3,FALSE),
AC52*10^6/(H2dens*HoursInYear))</f>
        <v>38.461538461538467</v>
      </c>
      <c r="AC52" s="47">
        <f t="shared" si="4"/>
        <v>2.9986153846153846E-2</v>
      </c>
      <c r="AE52" s="46">
        <f t="shared" si="2"/>
        <v>38.461538461538467</v>
      </c>
      <c r="AF52" s="43" t="s">
        <v>826</v>
      </c>
      <c r="AG52" s="43">
        <v>0</v>
      </c>
      <c r="AH52" s="43">
        <v>0</v>
      </c>
      <c r="AI52" s="122" t="s">
        <v>7286</v>
      </c>
      <c r="AJ52" s="41">
        <v>0.56999999999999995</v>
      </c>
    </row>
    <row r="53" spans="1:36" ht="34.5" hidden="1" customHeight="1" x14ac:dyDescent="0.25">
      <c r="A53" s="40">
        <v>54</v>
      </c>
      <c r="B53" s="40" t="s">
        <v>614</v>
      </c>
      <c r="C53" s="40" t="s">
        <v>535</v>
      </c>
      <c r="D53" s="40">
        <v>2019</v>
      </c>
      <c r="F53" s="40" t="s">
        <v>1339</v>
      </c>
      <c r="G53" s="40" t="s">
        <v>455</v>
      </c>
      <c r="I53" s="40" t="s">
        <v>1266</v>
      </c>
      <c r="K53" s="40" t="s">
        <v>578</v>
      </c>
      <c r="R53" s="40">
        <v>1</v>
      </c>
      <c r="U53" s="40">
        <v>1</v>
      </c>
      <c r="Z53" s="40" t="s">
        <v>1429</v>
      </c>
      <c r="AA53" s="45">
        <v>0.15</v>
      </c>
      <c r="AB53" s="46">
        <f>IF(H2ProjectDB689571011[[#This Row],[Dummy_1]]="Electrolysis",
AA53/VLOOKUP(G53,ElectrolysisConvF,3,FALSE),
AC53*10^6/(H2dens*HoursInYear))</f>
        <v>28.846153846153847</v>
      </c>
      <c r="AC53" s="47">
        <f t="shared" si="4"/>
        <v>2.2489615384615382E-2</v>
      </c>
      <c r="AE53" s="46">
        <f t="shared" si="2"/>
        <v>28.846153846153847</v>
      </c>
      <c r="AF53" s="43" t="s">
        <v>571</v>
      </c>
      <c r="AG53" s="43">
        <v>0</v>
      </c>
      <c r="AH53" s="43">
        <v>0</v>
      </c>
      <c r="AI53" s="122" t="s">
        <v>7286</v>
      </c>
      <c r="AJ53" s="41">
        <v>0.56999999999999995</v>
      </c>
    </row>
    <row r="54" spans="1:36" ht="34.5" hidden="1" customHeight="1" x14ac:dyDescent="0.25">
      <c r="A54" s="40">
        <v>55</v>
      </c>
      <c r="B54" s="40" t="s">
        <v>115</v>
      </c>
      <c r="C54" s="40" t="s">
        <v>561</v>
      </c>
      <c r="D54" s="40">
        <v>2019</v>
      </c>
      <c r="F54" s="40" t="s">
        <v>1339</v>
      </c>
      <c r="G54" s="40" t="s">
        <v>1259</v>
      </c>
      <c r="H54" s="40" t="s">
        <v>467</v>
      </c>
      <c r="I54" s="40" t="s">
        <v>1266</v>
      </c>
      <c r="K54" s="40" t="s">
        <v>612</v>
      </c>
      <c r="X54" s="40">
        <v>1</v>
      </c>
      <c r="Z54" s="40" t="s">
        <v>6528</v>
      </c>
      <c r="AA54" s="78">
        <f>IF(H2ProjectDB689571011[[#This Row],[Dummy_1]]="Electrolysis",
AB54*VLOOKUP(G54,ElectrolysisConvF,3,FALSE),
"")</f>
        <v>8.0999999999999989E-2</v>
      </c>
      <c r="AB54" s="46">
        <v>18</v>
      </c>
      <c r="AC54" s="47">
        <f t="shared" si="4"/>
        <v>1.4033519999999999E-2</v>
      </c>
      <c r="AE54" s="46">
        <f t="shared" si="2"/>
        <v>18</v>
      </c>
      <c r="AF54" s="43" t="s">
        <v>738</v>
      </c>
      <c r="AG54" s="43">
        <v>0</v>
      </c>
      <c r="AH54" s="43">
        <v>0</v>
      </c>
      <c r="AI54" s="122" t="s">
        <v>7286</v>
      </c>
      <c r="AJ54" s="41">
        <v>0.56999999999999995</v>
      </c>
    </row>
    <row r="55" spans="1:36" ht="34.5" hidden="1" customHeight="1" x14ac:dyDescent="0.25">
      <c r="A55" s="40">
        <v>56</v>
      </c>
      <c r="B55" s="40" t="s">
        <v>963</v>
      </c>
      <c r="C55" s="40" t="s">
        <v>538</v>
      </c>
      <c r="D55" s="40">
        <v>2019</v>
      </c>
      <c r="F55" s="40" t="s">
        <v>1540</v>
      </c>
      <c r="G55" s="40" t="s">
        <v>1259</v>
      </c>
      <c r="H55" s="40" t="s">
        <v>467</v>
      </c>
      <c r="I55" s="40" t="s">
        <v>1257</v>
      </c>
      <c r="AC55" s="47"/>
      <c r="AE55" s="46">
        <f t="shared" si="2"/>
        <v>0</v>
      </c>
      <c r="AG55" s="43">
        <v>37.469071689492601</v>
      </c>
      <c r="AH55" s="43">
        <v>138.84103369998101</v>
      </c>
      <c r="AI55" s="122" t="s">
        <v>7286</v>
      </c>
      <c r="AJ55" s="41">
        <v>0.56999999999999995</v>
      </c>
    </row>
    <row r="56" spans="1:36" ht="34.5" hidden="1" customHeight="1" x14ac:dyDescent="0.25">
      <c r="A56" s="40">
        <v>58</v>
      </c>
      <c r="B56" s="40" t="s">
        <v>890</v>
      </c>
      <c r="C56" s="40" t="s">
        <v>532</v>
      </c>
      <c r="D56" s="40">
        <v>2019</v>
      </c>
      <c r="F56" s="40" t="s">
        <v>1540</v>
      </c>
      <c r="G56" s="40" t="s">
        <v>455</v>
      </c>
      <c r="I56" s="40" t="s">
        <v>1528</v>
      </c>
      <c r="K56" s="40" t="s">
        <v>1267</v>
      </c>
      <c r="W56" s="40">
        <v>1</v>
      </c>
      <c r="Z56" s="40" t="s">
        <v>1397</v>
      </c>
      <c r="AA56" s="45">
        <v>2.5000000000000001E-2</v>
      </c>
      <c r="AB56" s="46">
        <f>IF(H2ProjectDB689571011[[#This Row],[Dummy_1]]="Electrolysis",
AA56/VLOOKUP(G56,ElectrolysisConvF,3,FALSE),
AC56*10^6/(H2dens*HoursInYear))</f>
        <v>4.8076923076923084</v>
      </c>
      <c r="AC56" s="47">
        <f t="shared" ref="AC56:AC64" si="5">AB56*H2dens*HoursInYear/10^6</f>
        <v>3.7482692307692308E-3</v>
      </c>
      <c r="AE56" s="46">
        <f t="shared" si="2"/>
        <v>4.8076923076923084</v>
      </c>
      <c r="AF56" s="43" t="s">
        <v>745</v>
      </c>
      <c r="AG56" s="43">
        <v>0</v>
      </c>
      <c r="AH56" s="43">
        <v>0</v>
      </c>
      <c r="AI56" s="122" t="s">
        <v>7286</v>
      </c>
      <c r="AJ56" s="41">
        <v>0.56999999999999995</v>
      </c>
    </row>
    <row r="57" spans="1:36" ht="34.5" hidden="1" customHeight="1" x14ac:dyDescent="0.25">
      <c r="A57" s="40">
        <v>59</v>
      </c>
      <c r="B57" s="40" t="s">
        <v>850</v>
      </c>
      <c r="C57" s="40" t="s">
        <v>1305</v>
      </c>
      <c r="D57" s="44">
        <v>2021</v>
      </c>
      <c r="F57" s="40" t="s">
        <v>1540</v>
      </c>
      <c r="G57" s="40" t="s">
        <v>456</v>
      </c>
      <c r="I57" s="40" t="s">
        <v>1528</v>
      </c>
      <c r="K57" s="40" t="s">
        <v>1267</v>
      </c>
      <c r="W57" s="40">
        <v>1</v>
      </c>
      <c r="Z57" s="40" t="s">
        <v>1430</v>
      </c>
      <c r="AA57" s="45">
        <v>0.01</v>
      </c>
      <c r="AB57" s="46">
        <f>IF(H2ProjectDB689571011[[#This Row],[Dummy_1]]="Electrolysis",
AA57/VLOOKUP(G57,ElectrolysisConvF,3,FALSE),
AC57*10^6/(H2dens*HoursInYear))</f>
        <v>2.6315789473684212</v>
      </c>
      <c r="AC57" s="47">
        <f t="shared" si="5"/>
        <v>2.0516842105263158E-3</v>
      </c>
      <c r="AE57" s="46">
        <f t="shared" si="2"/>
        <v>2.6315789473684212</v>
      </c>
      <c r="AF57" s="43" t="s">
        <v>852</v>
      </c>
      <c r="AG57" s="43">
        <v>49.012525083905999</v>
      </c>
      <c r="AH57" s="43">
        <v>8.4169444693089606</v>
      </c>
      <c r="AI57" s="122" t="s">
        <v>7286</v>
      </c>
      <c r="AJ57" s="41">
        <v>0.56999999999999995</v>
      </c>
    </row>
    <row r="58" spans="1:36" ht="34.5" hidden="1" customHeight="1" x14ac:dyDescent="0.25">
      <c r="A58" s="40">
        <v>60</v>
      </c>
      <c r="B58" s="40" t="s">
        <v>895</v>
      </c>
      <c r="C58" s="40" t="s">
        <v>546</v>
      </c>
      <c r="D58" s="40">
        <v>2019</v>
      </c>
      <c r="F58" s="40" t="s">
        <v>1540</v>
      </c>
      <c r="G58" s="40" t="s">
        <v>455</v>
      </c>
      <c r="I58" s="40" t="s">
        <v>1266</v>
      </c>
      <c r="K58" s="40" t="s">
        <v>578</v>
      </c>
      <c r="S58" s="40">
        <v>1</v>
      </c>
      <c r="Z58" s="40" t="s">
        <v>1431</v>
      </c>
      <c r="AA58" s="45">
        <v>7.0000000000000001E-3</v>
      </c>
      <c r="AB58" s="46">
        <f>IF(H2ProjectDB689571011[[#This Row],[Dummy_1]]="Electrolysis",
AA58/VLOOKUP(G58,ElectrolysisConvF,3,FALSE),
AC58*10^6/(H2dens*HoursInYear))</f>
        <v>1.3461538461538463</v>
      </c>
      <c r="AC58" s="47">
        <f t="shared" si="5"/>
        <v>1.0495153846153847E-3</v>
      </c>
      <c r="AE58" s="46">
        <f t="shared" si="2"/>
        <v>1.3461538461538463</v>
      </c>
      <c r="AF58" s="43" t="s">
        <v>893</v>
      </c>
      <c r="AG58" s="43">
        <v>0</v>
      </c>
      <c r="AH58" s="43">
        <v>0</v>
      </c>
      <c r="AI58" s="122" t="s">
        <v>7286</v>
      </c>
      <c r="AJ58" s="41">
        <v>0.56999999999999995</v>
      </c>
    </row>
    <row r="59" spans="1:36" ht="34.5" hidden="1" customHeight="1" x14ac:dyDescent="0.25">
      <c r="A59" s="40">
        <v>61</v>
      </c>
      <c r="B59" s="40" t="s">
        <v>891</v>
      </c>
      <c r="C59" s="40" t="s">
        <v>532</v>
      </c>
      <c r="D59" s="40">
        <v>2019</v>
      </c>
      <c r="F59" s="40" t="s">
        <v>1540</v>
      </c>
      <c r="G59" s="40" t="s">
        <v>456</v>
      </c>
      <c r="I59" s="40" t="s">
        <v>1528</v>
      </c>
      <c r="K59" s="40" t="s">
        <v>1268</v>
      </c>
      <c r="R59" s="40">
        <v>1</v>
      </c>
      <c r="W59" s="40">
        <v>1</v>
      </c>
      <c r="Z59" s="40" t="s">
        <v>1472</v>
      </c>
      <c r="AA59" s="45">
        <v>6.0000000000000001E-3</v>
      </c>
      <c r="AB59" s="46">
        <f>IF(H2ProjectDB689571011[[#This Row],[Dummy_1]]="Electrolysis",
AA59/VLOOKUP(G59,ElectrolysisConvF,3,FALSE),
AC59*10^6/(H2dens*HoursInYear))</f>
        <v>1.5789473684210527</v>
      </c>
      <c r="AC59" s="47">
        <f t="shared" si="5"/>
        <v>1.2310105263157894E-3</v>
      </c>
      <c r="AE59" s="46">
        <f t="shared" si="2"/>
        <v>1.5789473684210527</v>
      </c>
      <c r="AF59" s="43" t="s">
        <v>1529</v>
      </c>
      <c r="AG59" s="43">
        <v>0</v>
      </c>
      <c r="AH59" s="43">
        <v>0</v>
      </c>
      <c r="AI59" s="122" t="s">
        <v>7286</v>
      </c>
      <c r="AJ59" s="41">
        <v>0.56999999999999995</v>
      </c>
    </row>
    <row r="60" spans="1:36" ht="34.5" hidden="1" customHeight="1" x14ac:dyDescent="0.25">
      <c r="A60" s="40">
        <v>62</v>
      </c>
      <c r="B60" s="40" t="s">
        <v>1156</v>
      </c>
      <c r="C60" s="40" t="s">
        <v>558</v>
      </c>
      <c r="D60" s="40">
        <v>2019</v>
      </c>
      <c r="F60" s="40" t="s">
        <v>1339</v>
      </c>
      <c r="G60" s="40" t="s">
        <v>455</v>
      </c>
      <c r="I60" s="40" t="s">
        <v>1528</v>
      </c>
      <c r="K60" s="40" t="s">
        <v>578</v>
      </c>
      <c r="Q60" s="40">
        <v>1</v>
      </c>
      <c r="Z60" s="40" t="s">
        <v>6530</v>
      </c>
      <c r="AA60" s="78">
        <f>IF(H2ProjectDB689571011[[#This Row],[Dummy_1]]="Electrolysis",
AB60*VLOOKUP(G60,ElectrolysisConvF,3,FALSE),
"")</f>
        <v>5.1999999999999998E-3</v>
      </c>
      <c r="AB60" s="46">
        <v>1</v>
      </c>
      <c r="AC60" s="47">
        <f t="shared" si="5"/>
        <v>7.7963999999999996E-4</v>
      </c>
      <c r="AE60" s="46">
        <f t="shared" si="2"/>
        <v>1</v>
      </c>
      <c r="AF60" s="43" t="s">
        <v>1157</v>
      </c>
      <c r="AG60" s="43">
        <v>0</v>
      </c>
      <c r="AH60" s="43">
        <v>0</v>
      </c>
      <c r="AI60" s="122" t="s">
        <v>7286</v>
      </c>
      <c r="AJ60" s="41">
        <v>0.56999999999999995</v>
      </c>
    </row>
    <row r="61" spans="1:36" ht="34.5" hidden="1" customHeight="1" x14ac:dyDescent="0.25">
      <c r="A61" s="40">
        <v>63</v>
      </c>
      <c r="B61" s="40" t="s">
        <v>711</v>
      </c>
      <c r="C61" s="40" t="s">
        <v>1305</v>
      </c>
      <c r="D61" s="40">
        <v>2018</v>
      </c>
      <c r="F61" s="40" t="s">
        <v>1339</v>
      </c>
      <c r="G61" s="40" t="s">
        <v>455</v>
      </c>
      <c r="I61" s="40" t="s">
        <v>1266</v>
      </c>
      <c r="K61" s="40" t="s">
        <v>612</v>
      </c>
      <c r="X61" s="40">
        <v>1</v>
      </c>
      <c r="Z61" s="40" t="s">
        <v>6531</v>
      </c>
      <c r="AA61" s="45">
        <v>1</v>
      </c>
      <c r="AB61" s="46">
        <f>IF(H2ProjectDB689571011[[#This Row],[Dummy_1]]="Electrolysis",
AA61/VLOOKUP(G61,ElectrolysisConvF,3,FALSE),
AC61*10^6/(H2dens*HoursInYear))</f>
        <v>192.30769230769232</v>
      </c>
      <c r="AC61" s="47">
        <f t="shared" si="5"/>
        <v>0.14993076923076926</v>
      </c>
      <c r="AE61" s="46">
        <f t="shared" si="2"/>
        <v>192.30769230769232</v>
      </c>
      <c r="AF61" s="43" t="s">
        <v>2214</v>
      </c>
      <c r="AG61" s="43">
        <v>0</v>
      </c>
      <c r="AH61" s="43">
        <v>0</v>
      </c>
      <c r="AI61" s="122" t="s">
        <v>7286</v>
      </c>
      <c r="AJ61" s="41">
        <v>0.56999999999999995</v>
      </c>
    </row>
    <row r="62" spans="1:36" ht="34.5" hidden="1" customHeight="1" x14ac:dyDescent="0.25">
      <c r="A62" s="40">
        <v>64</v>
      </c>
      <c r="B62" s="40" t="s">
        <v>139</v>
      </c>
      <c r="C62" s="40" t="s">
        <v>538</v>
      </c>
      <c r="D62" s="40">
        <v>2019</v>
      </c>
      <c r="F62" s="40" t="s">
        <v>1339</v>
      </c>
      <c r="G62" s="40" t="s">
        <v>455</v>
      </c>
      <c r="I62" s="40" t="s">
        <v>1528</v>
      </c>
      <c r="K62" s="40" t="s">
        <v>578</v>
      </c>
      <c r="T62" s="40">
        <v>1</v>
      </c>
      <c r="Z62" s="40" t="s">
        <v>1446</v>
      </c>
      <c r="AA62" s="45">
        <v>1.5</v>
      </c>
      <c r="AB62" s="46">
        <f>IF(H2ProjectDB689571011[[#This Row],[Dummy_1]]="Electrolysis",
AA62/VLOOKUP(G62,ElectrolysisConvF,3,FALSE),
AC62*10^6/(H2dens*HoursInYear))</f>
        <v>288.46153846153845</v>
      </c>
      <c r="AC62" s="47">
        <f t="shared" si="5"/>
        <v>0.2248961538461538</v>
      </c>
      <c r="AE62" s="46">
        <f t="shared" si="2"/>
        <v>288.46153846153845</v>
      </c>
      <c r="AF62" s="43" t="s">
        <v>2133</v>
      </c>
      <c r="AG62" s="43">
        <v>35.615286207775704</v>
      </c>
      <c r="AH62" s="43">
        <v>138.69429685706399</v>
      </c>
      <c r="AI62" s="122" t="s">
        <v>7286</v>
      </c>
      <c r="AJ62" s="41">
        <v>0.56999999999999995</v>
      </c>
    </row>
    <row r="63" spans="1:36" ht="34.5" hidden="1" customHeight="1" x14ac:dyDescent="0.25">
      <c r="A63" s="40">
        <v>65</v>
      </c>
      <c r="B63" s="40" t="s">
        <v>187</v>
      </c>
      <c r="C63" s="40" t="s">
        <v>558</v>
      </c>
      <c r="D63" s="40">
        <v>2019</v>
      </c>
      <c r="F63" s="40" t="s">
        <v>1339</v>
      </c>
      <c r="G63" s="40" t="s">
        <v>1259</v>
      </c>
      <c r="H63" s="40" t="s">
        <v>467</v>
      </c>
      <c r="I63" s="40" t="s">
        <v>1257</v>
      </c>
      <c r="K63" s="40" t="s">
        <v>578</v>
      </c>
      <c r="Q63" s="40">
        <v>1</v>
      </c>
      <c r="R63" s="40">
        <v>1</v>
      </c>
      <c r="Z63" s="40" t="s">
        <v>1375</v>
      </c>
      <c r="AA63" s="45">
        <v>0.05</v>
      </c>
      <c r="AB63" s="46">
        <f>IF(H2ProjectDB689571011[[#This Row],[Dummy_1]]="Electrolysis",
AA63/VLOOKUP(G63,ElectrolysisConvF,3,FALSE),
AC63*10^6/(H2dens*HoursInYear))</f>
        <v>11.111111111111112</v>
      </c>
      <c r="AC63" s="47">
        <f t="shared" si="5"/>
        <v>8.6626666666666675E-3</v>
      </c>
      <c r="AE63" s="46">
        <f t="shared" si="2"/>
        <v>11.111111111111112</v>
      </c>
      <c r="AF63" s="43" t="s">
        <v>2138</v>
      </c>
      <c r="AG63" s="43">
        <v>0</v>
      </c>
      <c r="AH63" s="43">
        <v>0</v>
      </c>
      <c r="AI63" s="122" t="s">
        <v>7286</v>
      </c>
      <c r="AJ63" s="41">
        <v>0.56999999999999995</v>
      </c>
    </row>
    <row r="64" spans="1:36" ht="34.5" hidden="1" customHeight="1" x14ac:dyDescent="0.25">
      <c r="A64" s="40">
        <v>66</v>
      </c>
      <c r="B64" s="40" t="s">
        <v>1151</v>
      </c>
      <c r="C64" s="40" t="s">
        <v>538</v>
      </c>
      <c r="D64" s="40">
        <v>2019</v>
      </c>
      <c r="F64" s="40" t="s">
        <v>1339</v>
      </c>
      <c r="G64" s="40" t="s">
        <v>1259</v>
      </c>
      <c r="H64" s="40" t="s">
        <v>467</v>
      </c>
      <c r="I64" s="40" t="s">
        <v>1269</v>
      </c>
      <c r="J64" s="40" t="s">
        <v>581</v>
      </c>
      <c r="K64" s="40" t="s">
        <v>578</v>
      </c>
      <c r="Q64" s="40">
        <v>1</v>
      </c>
      <c r="Z64" s="40" t="s">
        <v>6515</v>
      </c>
      <c r="AA64" s="78">
        <f>IF(H2ProjectDB689571011[[#This Row],[Dummy_1]]="Electrolysis",
AB64*VLOOKUP(G64,ElectrolysisConvF,3,FALSE),
"")</f>
        <v>4.4999999999999998E-2</v>
      </c>
      <c r="AB64" s="46">
        <v>10</v>
      </c>
      <c r="AC64" s="47">
        <f t="shared" si="5"/>
        <v>7.7963999999999985E-3</v>
      </c>
      <c r="AE64" s="46">
        <f t="shared" si="2"/>
        <v>10</v>
      </c>
      <c r="AF64" s="43" t="s">
        <v>2140</v>
      </c>
      <c r="AG64" s="43">
        <v>0</v>
      </c>
      <c r="AH64" s="43">
        <v>0</v>
      </c>
      <c r="AI64" s="122" t="s">
        <v>7286</v>
      </c>
      <c r="AJ64" s="41">
        <v>0.5</v>
      </c>
    </row>
    <row r="65" spans="1:36" ht="34.5" hidden="1" customHeight="1" x14ac:dyDescent="0.25">
      <c r="A65" s="40">
        <v>67</v>
      </c>
      <c r="B65" s="40" t="s">
        <v>1227</v>
      </c>
      <c r="C65" s="40" t="s">
        <v>1305</v>
      </c>
      <c r="D65" s="40">
        <v>2019</v>
      </c>
      <c r="F65" s="40" t="s">
        <v>1339</v>
      </c>
      <c r="G65" s="40" t="s">
        <v>1259</v>
      </c>
      <c r="H65" s="40" t="s">
        <v>467</v>
      </c>
      <c r="I65" s="40" t="s">
        <v>1269</v>
      </c>
      <c r="J65" s="40" t="s">
        <v>581</v>
      </c>
      <c r="K65" s="40" t="s">
        <v>578</v>
      </c>
      <c r="Q65" s="40">
        <v>1</v>
      </c>
      <c r="AC65" s="47"/>
      <c r="AE65" s="46">
        <f t="shared" si="2"/>
        <v>0</v>
      </c>
      <c r="AF65" s="43" t="s">
        <v>1229</v>
      </c>
      <c r="AG65" s="43">
        <v>0</v>
      </c>
      <c r="AH65" s="43">
        <v>0</v>
      </c>
      <c r="AI65" s="122" t="s">
        <v>7286</v>
      </c>
      <c r="AJ65" s="41">
        <v>0.5</v>
      </c>
    </row>
    <row r="66" spans="1:36" ht="34.5" hidden="1" customHeight="1" x14ac:dyDescent="0.25">
      <c r="A66" s="40">
        <v>68</v>
      </c>
      <c r="B66" s="40" t="s">
        <v>5911</v>
      </c>
      <c r="C66" s="40" t="s">
        <v>1305</v>
      </c>
      <c r="D66" s="40">
        <v>2019</v>
      </c>
      <c r="F66" s="40" t="s">
        <v>1339</v>
      </c>
      <c r="G66" s="40" t="s">
        <v>455</v>
      </c>
      <c r="I66" s="40" t="s">
        <v>1269</v>
      </c>
      <c r="J66" s="40" t="s">
        <v>1392</v>
      </c>
      <c r="K66" s="40" t="s">
        <v>578</v>
      </c>
      <c r="Q66" s="40">
        <v>1</v>
      </c>
      <c r="S66" s="40">
        <v>1</v>
      </c>
      <c r="Z66" s="40" t="s">
        <v>1432</v>
      </c>
      <c r="AA66" s="45">
        <v>2.4</v>
      </c>
      <c r="AB66" s="46">
        <f>IF(H2ProjectDB689571011[[#This Row],[Dummy_1]]="Electrolysis",
AA66/VLOOKUP(G66,ElectrolysisConvF,3,FALSE),
AC66*10^6/(H2dens*HoursInYear))</f>
        <v>461.53846153846155</v>
      </c>
      <c r="AC66" s="47">
        <f t="shared" ref="AC66:AC87" si="6">AB66*H2dens*HoursInYear/10^6</f>
        <v>0.35983384615384612</v>
      </c>
      <c r="AE66" s="46">
        <f t="shared" si="2"/>
        <v>461.53846153846155</v>
      </c>
      <c r="AF66" s="43" t="s">
        <v>2213</v>
      </c>
      <c r="AG66" s="43">
        <v>53.912242085837498</v>
      </c>
      <c r="AH66" s="43">
        <v>9.1319674701737501</v>
      </c>
      <c r="AI66" s="122" t="s">
        <v>7286</v>
      </c>
      <c r="AJ66" s="41">
        <v>0.4</v>
      </c>
    </row>
    <row r="67" spans="1:36" ht="27" hidden="1" customHeight="1" x14ac:dyDescent="0.25">
      <c r="A67" s="40">
        <v>69</v>
      </c>
      <c r="B67" s="40" t="s">
        <v>865</v>
      </c>
      <c r="C67" s="40" t="s">
        <v>1305</v>
      </c>
      <c r="D67" s="40">
        <v>2018</v>
      </c>
      <c r="F67" s="40" t="s">
        <v>1339</v>
      </c>
      <c r="G67" s="40" t="s">
        <v>457</v>
      </c>
      <c r="I67" s="40" t="s">
        <v>1266</v>
      </c>
      <c r="K67" s="40" t="s">
        <v>1268</v>
      </c>
      <c r="M67" s="40">
        <v>1</v>
      </c>
      <c r="N67" s="40">
        <v>1</v>
      </c>
      <c r="P67" s="40">
        <v>1</v>
      </c>
      <c r="Z67" s="40" t="s">
        <v>1368</v>
      </c>
      <c r="AA67" s="45">
        <v>2</v>
      </c>
      <c r="AB67" s="46">
        <f>IF(H2ProjectDB689571011[[#This Row],[Dummy_1]]="Electrolysis",
AA67/VLOOKUP(G67,ElectrolysisConvF,3,FALSE),
AC67*10^6/(H2dens*HoursInYear))</f>
        <v>434.78260869565219</v>
      </c>
      <c r="AC67" s="47">
        <f t="shared" si="6"/>
        <v>0.33897391304347824</v>
      </c>
      <c r="AE67" s="46">
        <f t="shared" si="2"/>
        <v>434.78260869565219</v>
      </c>
      <c r="AF67" s="43" t="s">
        <v>877</v>
      </c>
      <c r="AG67" s="43">
        <v>51.491417577382499</v>
      </c>
      <c r="AH67" s="43">
        <v>6.7239695062062799</v>
      </c>
      <c r="AI67" s="122" t="s">
        <v>7286</v>
      </c>
      <c r="AJ67" s="41">
        <v>0.56999999999999995</v>
      </c>
    </row>
    <row r="68" spans="1:36" ht="34.5" hidden="1" customHeight="1" x14ac:dyDescent="0.25">
      <c r="A68" s="40">
        <v>70</v>
      </c>
      <c r="B68" s="40" t="s">
        <v>2189</v>
      </c>
      <c r="C68" s="40" t="s">
        <v>536</v>
      </c>
      <c r="D68" s="40">
        <v>2018</v>
      </c>
      <c r="F68" s="40" t="s">
        <v>1339</v>
      </c>
      <c r="G68" s="40" t="s">
        <v>455</v>
      </c>
      <c r="I68" s="40" t="s">
        <v>1528</v>
      </c>
      <c r="K68" s="40" t="s">
        <v>578</v>
      </c>
      <c r="Q68" s="40">
        <v>1</v>
      </c>
      <c r="Z68" s="40" t="s">
        <v>1533</v>
      </c>
      <c r="AA68" s="45">
        <v>1.5</v>
      </c>
      <c r="AB68" s="46">
        <f>IF(H2ProjectDB689571011[[#This Row],[Dummy_1]]="Electrolysis",
AA68/VLOOKUP(G68,ElectrolysisConvF,3,FALSE),
AC68*10^6/(H2dens*HoursInYear))</f>
        <v>288.46153846153845</v>
      </c>
      <c r="AC68" s="47">
        <f t="shared" si="6"/>
        <v>0.2248961538461538</v>
      </c>
      <c r="AE68" s="46">
        <f t="shared" si="2"/>
        <v>288.46153846153845</v>
      </c>
      <c r="AF68" s="43" t="s">
        <v>769</v>
      </c>
      <c r="AG68" s="43">
        <v>0</v>
      </c>
      <c r="AH68" s="43">
        <v>0</v>
      </c>
      <c r="AI68" s="122" t="s">
        <v>7286</v>
      </c>
      <c r="AJ68" s="41">
        <v>0.56999999999999995</v>
      </c>
    </row>
    <row r="69" spans="1:36" ht="34.5" hidden="1" customHeight="1" x14ac:dyDescent="0.25">
      <c r="A69" s="40">
        <v>71</v>
      </c>
      <c r="B69" s="40" t="s">
        <v>110</v>
      </c>
      <c r="C69" s="40" t="s">
        <v>545</v>
      </c>
      <c r="D69" s="40">
        <v>2020</v>
      </c>
      <c r="F69" s="40" t="s">
        <v>1339</v>
      </c>
      <c r="G69" s="40" t="s">
        <v>455</v>
      </c>
      <c r="I69" s="40" t="s">
        <v>1269</v>
      </c>
      <c r="J69" s="40" t="s">
        <v>1392</v>
      </c>
      <c r="K69" s="40" t="s">
        <v>578</v>
      </c>
      <c r="Q69" s="40">
        <v>1</v>
      </c>
      <c r="S69" s="40">
        <v>1</v>
      </c>
      <c r="Z69" s="40" t="s">
        <v>1446</v>
      </c>
      <c r="AA69" s="45">
        <v>1.5</v>
      </c>
      <c r="AB69" s="46">
        <f>IF(H2ProjectDB689571011[[#This Row],[Dummy_1]]="Electrolysis",
AA69/VLOOKUP(G69,ElectrolysisConvF,3,FALSE),
AC69*10^6/(H2dens*HoursInYear))</f>
        <v>288.46153846153845</v>
      </c>
      <c r="AC69" s="47">
        <f t="shared" si="6"/>
        <v>0.2248961538461538</v>
      </c>
      <c r="AE69" s="46">
        <f t="shared" si="2"/>
        <v>288.46153846153845</v>
      </c>
      <c r="AF69" s="43" t="s">
        <v>713</v>
      </c>
      <c r="AG69" s="43">
        <v>56.639419207121399</v>
      </c>
      <c r="AH69" s="43">
        <v>9.7984180900851907</v>
      </c>
      <c r="AI69" s="122" t="s">
        <v>7286</v>
      </c>
      <c r="AJ69" s="41">
        <v>0.4</v>
      </c>
    </row>
    <row r="70" spans="1:36" ht="34.5" hidden="1" customHeight="1" x14ac:dyDescent="0.25">
      <c r="A70" s="40">
        <v>72</v>
      </c>
      <c r="B70" s="40" t="s">
        <v>863</v>
      </c>
      <c r="C70" s="40" t="s">
        <v>542</v>
      </c>
      <c r="D70" s="40">
        <v>2018</v>
      </c>
      <c r="F70" s="40" t="s">
        <v>1339</v>
      </c>
      <c r="G70" s="40" t="s">
        <v>457</v>
      </c>
      <c r="I70" s="40" t="s">
        <v>1528</v>
      </c>
      <c r="K70" s="40" t="s">
        <v>578</v>
      </c>
      <c r="T70" s="40">
        <v>1</v>
      </c>
      <c r="U70" s="40">
        <v>1</v>
      </c>
      <c r="Z70" s="40" t="s">
        <v>1447</v>
      </c>
      <c r="AA70" s="45">
        <v>1</v>
      </c>
      <c r="AB70" s="46">
        <f>IF(H2ProjectDB689571011[[#This Row],[Dummy_1]]="Electrolysis",
AA70/VLOOKUP(G70,ElectrolysisConvF,3,FALSE),
AC70*10^6/(H2dens*HoursInYear))</f>
        <v>217.39130434782609</v>
      </c>
      <c r="AC70" s="47">
        <f t="shared" si="6"/>
        <v>0.16948695652173912</v>
      </c>
      <c r="AE70" s="46">
        <f t="shared" si="2"/>
        <v>217.39130434782609</v>
      </c>
      <c r="AF70" s="43" t="s">
        <v>879</v>
      </c>
      <c r="AG70" s="43">
        <v>0</v>
      </c>
      <c r="AH70" s="43">
        <v>0</v>
      </c>
      <c r="AI70" s="122" t="s">
        <v>7286</v>
      </c>
      <c r="AJ70" s="41">
        <v>0.56999999999999995</v>
      </c>
    </row>
    <row r="71" spans="1:36" ht="34.5" hidden="1" customHeight="1" x14ac:dyDescent="0.25">
      <c r="A71" s="40">
        <v>73</v>
      </c>
      <c r="B71" s="40" t="s">
        <v>117</v>
      </c>
      <c r="C71" s="40" t="s">
        <v>562</v>
      </c>
      <c r="D71" s="40">
        <v>2018</v>
      </c>
      <c r="F71" s="40" t="s">
        <v>1339</v>
      </c>
      <c r="G71" s="40" t="s">
        <v>455</v>
      </c>
      <c r="I71" s="40" t="s">
        <v>1528</v>
      </c>
      <c r="K71" s="40" t="s">
        <v>578</v>
      </c>
      <c r="R71" s="40">
        <v>1</v>
      </c>
      <c r="Z71" s="40" t="s">
        <v>1447</v>
      </c>
      <c r="AA71" s="45">
        <v>1</v>
      </c>
      <c r="AB71" s="46">
        <f>IF(H2ProjectDB689571011[[#This Row],[Dummy_1]]="Electrolysis",
AA71/VLOOKUP(G71,ElectrolysisConvF,3,FALSE),
AC71*10^6/(H2dens*HoursInYear))</f>
        <v>192.30769230769232</v>
      </c>
      <c r="AC71" s="47">
        <f t="shared" si="6"/>
        <v>0.14993076923076926</v>
      </c>
      <c r="AE71" s="46">
        <f t="shared" si="2"/>
        <v>192.30769230769232</v>
      </c>
      <c r="AF71" s="43" t="s">
        <v>775</v>
      </c>
      <c r="AG71" s="43">
        <v>0</v>
      </c>
      <c r="AH71" s="43">
        <v>0</v>
      </c>
      <c r="AI71" s="122" t="s">
        <v>7286</v>
      </c>
      <c r="AJ71" s="41">
        <v>0.56999999999999995</v>
      </c>
    </row>
    <row r="72" spans="1:36" ht="34.5" hidden="1" customHeight="1" x14ac:dyDescent="0.25">
      <c r="A72" s="40">
        <v>74</v>
      </c>
      <c r="B72" s="40" t="s">
        <v>123</v>
      </c>
      <c r="C72" s="40" t="s">
        <v>1305</v>
      </c>
      <c r="D72" s="40">
        <v>2020</v>
      </c>
      <c r="F72" s="40" t="s">
        <v>1339</v>
      </c>
      <c r="G72" s="40" t="s">
        <v>455</v>
      </c>
      <c r="I72" s="40" t="s">
        <v>1528</v>
      </c>
      <c r="K72" s="40" t="s">
        <v>578</v>
      </c>
      <c r="Q72" s="40">
        <v>1</v>
      </c>
      <c r="R72" s="40">
        <v>1</v>
      </c>
      <c r="T72" s="40">
        <v>1</v>
      </c>
      <c r="Z72" s="40" t="s">
        <v>5916</v>
      </c>
      <c r="AA72" s="45">
        <v>0.8</v>
      </c>
      <c r="AB72" s="46">
        <f>IF(H2ProjectDB689571011[[#This Row],[Dummy_1]]="Electrolysis",
AA72/VLOOKUP(G72,ElectrolysisConvF,3,FALSE),
AC72*10^6/(H2dens*HoursInYear))</f>
        <v>153.84615384615387</v>
      </c>
      <c r="AC72" s="47">
        <f t="shared" si="6"/>
        <v>0.11994461538461539</v>
      </c>
      <c r="AE72" s="46">
        <f t="shared" si="2"/>
        <v>153.84615384615387</v>
      </c>
      <c r="AF72" s="43" t="s">
        <v>785</v>
      </c>
      <c r="AG72" s="43">
        <v>49.264473299999999</v>
      </c>
      <c r="AH72" s="43">
        <v>9.4017429999999997</v>
      </c>
      <c r="AI72" s="122" t="s">
        <v>7286</v>
      </c>
      <c r="AJ72" s="41">
        <v>0.56999999999999995</v>
      </c>
    </row>
    <row r="73" spans="1:36" ht="34.5" hidden="1" customHeight="1" x14ac:dyDescent="0.25">
      <c r="A73" s="40">
        <v>75</v>
      </c>
      <c r="B73" s="40" t="s">
        <v>170</v>
      </c>
      <c r="C73" s="40" t="s">
        <v>531</v>
      </c>
      <c r="D73" s="40">
        <v>2017</v>
      </c>
      <c r="F73" s="40" t="s">
        <v>1339</v>
      </c>
      <c r="G73" s="40" t="s">
        <v>457</v>
      </c>
      <c r="I73" s="40" t="s">
        <v>1269</v>
      </c>
      <c r="J73" s="40" t="s">
        <v>1391</v>
      </c>
      <c r="K73" s="40" t="s">
        <v>578</v>
      </c>
      <c r="Q73" s="40">
        <v>1</v>
      </c>
      <c r="Z73" s="40" t="s">
        <v>5921</v>
      </c>
      <c r="AA73" s="45">
        <v>0.7</v>
      </c>
      <c r="AB73" s="46">
        <f>IF(H2ProjectDB689571011[[#This Row],[Dummy_1]]="Electrolysis",
AA73/VLOOKUP(G73,ElectrolysisConvF,3,FALSE),
AC73*10^6/(H2dens*HoursInYear))</f>
        <v>152.17391304347825</v>
      </c>
      <c r="AC73" s="47">
        <f t="shared" si="6"/>
        <v>0.1186408695652174</v>
      </c>
      <c r="AE73" s="46">
        <f t="shared" si="2"/>
        <v>152.17391304347825</v>
      </c>
      <c r="AF73" s="43" t="s">
        <v>931</v>
      </c>
      <c r="AG73" s="43">
        <v>63.343272472188701</v>
      </c>
      <c r="AH73" s="43">
        <v>10.3733299991462</v>
      </c>
      <c r="AI73" s="122" t="s">
        <v>7286</v>
      </c>
      <c r="AJ73" s="41">
        <v>0.3</v>
      </c>
    </row>
    <row r="74" spans="1:36" ht="34.5" hidden="1" customHeight="1" x14ac:dyDescent="0.25">
      <c r="A74" s="40">
        <v>76</v>
      </c>
      <c r="B74" s="40" t="s">
        <v>7369</v>
      </c>
      <c r="C74" s="40" t="s">
        <v>540</v>
      </c>
      <c r="D74" s="40">
        <v>2018</v>
      </c>
      <c r="F74" s="40" t="s">
        <v>1339</v>
      </c>
      <c r="G74" s="40" t="s">
        <v>457</v>
      </c>
      <c r="I74" s="40" t="s">
        <v>1269</v>
      </c>
      <c r="J74" s="40" t="s">
        <v>1391</v>
      </c>
      <c r="K74" s="40" t="s">
        <v>612</v>
      </c>
      <c r="X74" s="40">
        <v>1</v>
      </c>
      <c r="Z74" s="40" t="s">
        <v>1534</v>
      </c>
      <c r="AA74" s="45">
        <v>0.6</v>
      </c>
      <c r="AB74" s="46">
        <f>IF(H2ProjectDB689571011[[#This Row],[Dummy_1]]="Electrolysis",
AA74/VLOOKUP(G74,ElectrolysisConvF,3,FALSE),
AC74*10^6/(H2dens*HoursInYear))</f>
        <v>130.43478260869566</v>
      </c>
      <c r="AC74" s="47">
        <f t="shared" si="6"/>
        <v>0.10169217391304347</v>
      </c>
      <c r="AE74" s="46">
        <f t="shared" si="2"/>
        <v>130.43478260869566</v>
      </c>
      <c r="AF74" s="43" t="s">
        <v>759</v>
      </c>
      <c r="AG74" s="43">
        <v>47.990274079520901</v>
      </c>
      <c r="AH74" s="43">
        <v>13.553817826757401</v>
      </c>
      <c r="AI74" s="122" t="s">
        <v>7286</v>
      </c>
      <c r="AJ74" s="41">
        <v>0.3</v>
      </c>
    </row>
    <row r="75" spans="1:36" ht="34.5" hidden="1" customHeight="1" x14ac:dyDescent="0.25">
      <c r="A75" s="40">
        <v>77</v>
      </c>
      <c r="B75" s="40" t="s">
        <v>708</v>
      </c>
      <c r="C75" s="40" t="s">
        <v>542</v>
      </c>
      <c r="D75" s="40">
        <v>2017</v>
      </c>
      <c r="F75" s="40" t="s">
        <v>1339</v>
      </c>
      <c r="G75" s="40" t="s">
        <v>455</v>
      </c>
      <c r="I75" s="40" t="s">
        <v>1269</v>
      </c>
      <c r="J75" s="40" t="s">
        <v>1392</v>
      </c>
      <c r="K75" s="40" t="s">
        <v>578</v>
      </c>
      <c r="Q75" s="40">
        <v>1</v>
      </c>
      <c r="R75" s="40">
        <v>1</v>
      </c>
      <c r="S75" s="40">
        <v>1</v>
      </c>
      <c r="Z75" s="40" t="s">
        <v>5932</v>
      </c>
      <c r="AA75" s="45">
        <v>0.7</v>
      </c>
      <c r="AB75" s="46">
        <f>IF(H2ProjectDB689571011[[#This Row],[Dummy_1]]="Electrolysis",
AA75/VLOOKUP(G75,ElectrolysisConvF,3,FALSE),
AC75*10^6/(H2dens*HoursInYear))</f>
        <v>134.61538461538461</v>
      </c>
      <c r="AC75" s="47">
        <f t="shared" si="6"/>
        <v>0.10495153846153846</v>
      </c>
      <c r="AE75" s="46">
        <f t="shared" si="2"/>
        <v>134.61538461538461</v>
      </c>
      <c r="AF75" s="43" t="s">
        <v>710</v>
      </c>
      <c r="AG75" s="43">
        <v>59.164915096930102</v>
      </c>
      <c r="AH75" s="43">
        <v>-2.78835603880386</v>
      </c>
      <c r="AI75" s="122" t="s">
        <v>7286</v>
      </c>
      <c r="AJ75" s="41">
        <v>0.4</v>
      </c>
    </row>
    <row r="76" spans="1:36" ht="34.5" hidden="1" customHeight="1" x14ac:dyDescent="0.25">
      <c r="A76" s="40">
        <v>80</v>
      </c>
      <c r="B76" s="40" t="s">
        <v>843</v>
      </c>
      <c r="C76" s="40" t="s">
        <v>1305</v>
      </c>
      <c r="D76" s="40">
        <v>2018</v>
      </c>
      <c r="F76" s="40" t="s">
        <v>1339</v>
      </c>
      <c r="G76" s="40" t="s">
        <v>455</v>
      </c>
      <c r="I76" s="40" t="s">
        <v>1269</v>
      </c>
      <c r="J76" s="40" t="s">
        <v>1392</v>
      </c>
      <c r="K76" s="40" t="s">
        <v>578</v>
      </c>
      <c r="S76" s="40">
        <v>1</v>
      </c>
      <c r="Z76" s="40" t="s">
        <v>1434</v>
      </c>
      <c r="AA76" s="45">
        <v>0.22500000000000001</v>
      </c>
      <c r="AB76" s="46">
        <f>IF(H2ProjectDB689571011[[#This Row],[Dummy_1]]="Electrolysis",
AA76/VLOOKUP(G76,ElectrolysisConvF,3,FALSE),
AC76*10^6/(H2dens*HoursInYear))</f>
        <v>43.269230769230774</v>
      </c>
      <c r="AC76" s="47">
        <f t="shared" si="6"/>
        <v>3.3734423076923079E-2</v>
      </c>
      <c r="AE76" s="46">
        <f t="shared" ref="AE76:AE88" si="7">AB76</f>
        <v>43.269230769230774</v>
      </c>
      <c r="AF76" s="43" t="s">
        <v>844</v>
      </c>
      <c r="AG76" s="43">
        <v>54.726706525109599</v>
      </c>
      <c r="AH76" s="43">
        <v>9.3475912846509903</v>
      </c>
      <c r="AI76" s="122" t="s">
        <v>7286</v>
      </c>
      <c r="AJ76" s="41">
        <v>0.4</v>
      </c>
    </row>
    <row r="77" spans="1:36" ht="34.5" hidden="1" customHeight="1" x14ac:dyDescent="0.25">
      <c r="A77" s="40">
        <v>82</v>
      </c>
      <c r="B77" s="40" t="s">
        <v>712</v>
      </c>
      <c r="C77" s="40" t="s">
        <v>541</v>
      </c>
      <c r="D77" s="40">
        <v>2018</v>
      </c>
      <c r="F77" s="40" t="s">
        <v>1339</v>
      </c>
      <c r="G77" s="40" t="s">
        <v>455</v>
      </c>
      <c r="I77" s="40" t="s">
        <v>1266</v>
      </c>
      <c r="K77" s="40" t="s">
        <v>612</v>
      </c>
      <c r="X77" s="40">
        <v>1</v>
      </c>
      <c r="Z77" s="40" t="s">
        <v>1440</v>
      </c>
      <c r="AA77" s="45">
        <v>0.2</v>
      </c>
      <c r="AB77" s="46">
        <f>IF(H2ProjectDB689571011[[#This Row],[Dummy_1]]="Electrolysis",
AA77/VLOOKUP(G77,ElectrolysisConvF,3,FALSE),
AC77*10^6/(H2dens*HoursInYear))</f>
        <v>38.461538461538467</v>
      </c>
      <c r="AC77" s="47">
        <f t="shared" si="6"/>
        <v>2.9986153846153846E-2</v>
      </c>
      <c r="AE77" s="46">
        <f t="shared" si="7"/>
        <v>38.461538461538467</v>
      </c>
      <c r="AF77" s="43" t="s">
        <v>690</v>
      </c>
      <c r="AG77" s="43">
        <v>0</v>
      </c>
      <c r="AH77" s="43">
        <v>0</v>
      </c>
      <c r="AI77" s="122" t="s">
        <v>7286</v>
      </c>
      <c r="AJ77" s="41">
        <v>0.56999999999999995</v>
      </c>
    </row>
    <row r="78" spans="1:36" ht="34.5" hidden="1" customHeight="1" x14ac:dyDescent="0.25">
      <c r="A78" s="40">
        <v>83</v>
      </c>
      <c r="B78" s="40" t="s">
        <v>5996</v>
      </c>
      <c r="C78" s="40" t="s">
        <v>530</v>
      </c>
      <c r="D78" s="40">
        <v>2018</v>
      </c>
      <c r="F78" s="40" t="s">
        <v>1339</v>
      </c>
      <c r="G78" s="40" t="s">
        <v>455</v>
      </c>
      <c r="I78" s="40" t="s">
        <v>1528</v>
      </c>
      <c r="K78" s="40" t="s">
        <v>578</v>
      </c>
      <c r="Q78" s="40">
        <v>1</v>
      </c>
      <c r="Z78" s="40" t="s">
        <v>6532</v>
      </c>
      <c r="AA78" s="78">
        <f>IF(H2ProjectDB689571011[[#This Row],[Dummy_1]]="Electrolysis",
AB78*VLOOKUP(G78,ElectrolysisConvF,3,FALSE),
"")</f>
        <v>0.19239999999999999</v>
      </c>
      <c r="AB78" s="46">
        <v>37</v>
      </c>
      <c r="AC78" s="47">
        <f t="shared" si="6"/>
        <v>2.8846679999999996E-2</v>
      </c>
      <c r="AE78" s="46">
        <f t="shared" si="7"/>
        <v>37</v>
      </c>
      <c r="AF78" s="43" t="s">
        <v>748</v>
      </c>
      <c r="AG78" s="43">
        <v>48.749400699435597</v>
      </c>
      <c r="AH78" s="43">
        <v>2.3501081970516</v>
      </c>
      <c r="AI78" s="122" t="s">
        <v>7286</v>
      </c>
      <c r="AJ78" s="41">
        <v>0.56999999999999995</v>
      </c>
    </row>
    <row r="79" spans="1:36" ht="34.5" hidden="1" customHeight="1" x14ac:dyDescent="0.25">
      <c r="A79" s="40">
        <v>85</v>
      </c>
      <c r="B79" s="40" t="s">
        <v>194</v>
      </c>
      <c r="C79" s="40" t="s">
        <v>537</v>
      </c>
      <c r="D79" s="40">
        <v>2018</v>
      </c>
      <c r="F79" s="40" t="s">
        <v>1339</v>
      </c>
      <c r="G79" s="40" t="s">
        <v>1259</v>
      </c>
      <c r="H79" s="40" t="s">
        <v>467</v>
      </c>
      <c r="I79" s="40" t="s">
        <v>1269</v>
      </c>
      <c r="J79" s="40" t="s">
        <v>1391</v>
      </c>
      <c r="K79" s="40" t="s">
        <v>578</v>
      </c>
      <c r="Q79" s="40">
        <v>1</v>
      </c>
      <c r="Z79" s="40" t="s">
        <v>6533</v>
      </c>
      <c r="AA79" s="78">
        <f>IF(H2ProjectDB689571011[[#This Row],[Dummy_1]]="Electrolysis",
AB79*VLOOKUP(G79,ElectrolysisConvF,3,FALSE),
"")</f>
        <v>0.11249999999999999</v>
      </c>
      <c r="AB79" s="46">
        <v>25</v>
      </c>
      <c r="AC79" s="47">
        <f t="shared" si="6"/>
        <v>1.9491000000000001E-2</v>
      </c>
      <c r="AE79" s="46">
        <f t="shared" si="7"/>
        <v>25</v>
      </c>
      <c r="AG79" s="43">
        <v>31.250684507842902</v>
      </c>
      <c r="AH79" s="43">
        <v>121.436499513046</v>
      </c>
      <c r="AI79" s="122" t="s">
        <v>7286</v>
      </c>
      <c r="AJ79" s="41">
        <v>0.3</v>
      </c>
    </row>
    <row r="80" spans="1:36" ht="34.5" hidden="1" customHeight="1" x14ac:dyDescent="0.25">
      <c r="A80" s="40">
        <v>87</v>
      </c>
      <c r="B80" s="40" t="s">
        <v>822</v>
      </c>
      <c r="C80" s="40" t="s">
        <v>1305</v>
      </c>
      <c r="D80" s="40">
        <v>2018</v>
      </c>
      <c r="F80" s="40" t="s">
        <v>1339</v>
      </c>
      <c r="G80" s="40" t="s">
        <v>455</v>
      </c>
      <c r="I80" s="40" t="s">
        <v>1528</v>
      </c>
      <c r="K80" s="40" t="s">
        <v>612</v>
      </c>
      <c r="X80" s="40">
        <v>1</v>
      </c>
      <c r="Z80" s="40" t="s">
        <v>1398</v>
      </c>
      <c r="AA80" s="45">
        <v>0.05</v>
      </c>
      <c r="AB80" s="46">
        <f>IF(H2ProjectDB689571011[[#This Row],[Dummy_1]]="Electrolysis",
AA80/VLOOKUP(G80,ElectrolysisConvF,3,FALSE),
AC80*10^6/(H2dens*HoursInYear))</f>
        <v>9.6153846153846168</v>
      </c>
      <c r="AC80" s="47">
        <f t="shared" si="6"/>
        <v>7.4965384615384616E-3</v>
      </c>
      <c r="AE80" s="46">
        <f t="shared" si="7"/>
        <v>9.6153846153846168</v>
      </c>
      <c r="AG80" s="43">
        <v>0</v>
      </c>
      <c r="AH80" s="43">
        <v>0</v>
      </c>
      <c r="AI80" s="122" t="s">
        <v>7286</v>
      </c>
      <c r="AJ80" s="41">
        <v>0.56999999999999995</v>
      </c>
    </row>
    <row r="81" spans="1:36" ht="34.5" hidden="1" customHeight="1" x14ac:dyDescent="0.25">
      <c r="A81" s="40">
        <v>88</v>
      </c>
      <c r="B81" s="40" t="s">
        <v>141</v>
      </c>
      <c r="C81" s="40" t="s">
        <v>1764</v>
      </c>
      <c r="D81" s="40">
        <v>2018</v>
      </c>
      <c r="F81" s="40" t="s">
        <v>1339</v>
      </c>
      <c r="G81" s="40" t="s">
        <v>456</v>
      </c>
      <c r="I81" s="40" t="s">
        <v>1528</v>
      </c>
      <c r="K81" s="40" t="s">
        <v>612</v>
      </c>
      <c r="X81" s="40">
        <v>1</v>
      </c>
      <c r="Z81" s="40" t="s">
        <v>1537</v>
      </c>
      <c r="AA81" s="78">
        <f>IF(H2ProjectDB689571011[[#This Row],[Dummy_1]]="Electrolysis",
AB81*VLOOKUP(G81,ElectrolysisConvF,3,FALSE),
"")</f>
        <v>3.3440000000000004E-2</v>
      </c>
      <c r="AB81" s="46">
        <v>8.8000000000000007</v>
      </c>
      <c r="AC81" s="47">
        <f t="shared" si="6"/>
        <v>6.8608320000000007E-3</v>
      </c>
      <c r="AE81" s="46">
        <f t="shared" si="7"/>
        <v>8.8000000000000007</v>
      </c>
      <c r="AF81" s="43" t="s">
        <v>763</v>
      </c>
      <c r="AG81" s="43">
        <v>0</v>
      </c>
      <c r="AH81" s="43">
        <v>0</v>
      </c>
      <c r="AI81" s="122" t="s">
        <v>7286</v>
      </c>
      <c r="AJ81" s="41">
        <v>0.56999999999999995</v>
      </c>
    </row>
    <row r="82" spans="1:36" ht="34.5" hidden="1" customHeight="1" x14ac:dyDescent="0.25">
      <c r="A82" s="40">
        <v>89</v>
      </c>
      <c r="B82" s="40" t="s">
        <v>146</v>
      </c>
      <c r="C82" s="40" t="s">
        <v>541</v>
      </c>
      <c r="D82" s="40">
        <v>2018</v>
      </c>
      <c r="F82" s="40" t="s">
        <v>1339</v>
      </c>
      <c r="G82" s="40" t="s">
        <v>456</v>
      </c>
      <c r="I82" s="40" t="s">
        <v>1528</v>
      </c>
      <c r="K82" s="40" t="s">
        <v>578</v>
      </c>
      <c r="R82" s="40">
        <v>1</v>
      </c>
      <c r="Z82" s="40" t="s">
        <v>6558</v>
      </c>
      <c r="AA82" s="78">
        <f>IF(H2ProjectDB689571011[[#This Row],[Dummy_1]]="Electrolysis",
AB82*VLOOKUP(G82,ElectrolysisConvF,3,FALSE),
"")</f>
        <v>3.7999999999999999E-2</v>
      </c>
      <c r="AB82" s="46">
        <v>10</v>
      </c>
      <c r="AC82" s="47">
        <f t="shared" si="6"/>
        <v>7.7963999999999985E-3</v>
      </c>
      <c r="AE82" s="46">
        <f t="shared" si="7"/>
        <v>10</v>
      </c>
      <c r="AF82" s="43" t="s">
        <v>761</v>
      </c>
      <c r="AG82" s="43">
        <v>0</v>
      </c>
      <c r="AH82" s="43">
        <v>0</v>
      </c>
      <c r="AI82" s="122" t="s">
        <v>7286</v>
      </c>
      <c r="AJ82" s="41">
        <v>0.56999999999999995</v>
      </c>
    </row>
    <row r="83" spans="1:36" ht="34.5" hidden="1" customHeight="1" x14ac:dyDescent="0.25">
      <c r="A83" s="40">
        <v>90</v>
      </c>
      <c r="B83" s="40" t="s">
        <v>163</v>
      </c>
      <c r="C83" s="40" t="s">
        <v>538</v>
      </c>
      <c r="D83" s="40">
        <v>2018</v>
      </c>
      <c r="F83" s="40" t="s">
        <v>1339</v>
      </c>
      <c r="G83" s="40" t="s">
        <v>455</v>
      </c>
      <c r="I83" s="40" t="s">
        <v>1528</v>
      </c>
      <c r="K83" s="40" t="s">
        <v>578</v>
      </c>
      <c r="R83" s="40">
        <v>1</v>
      </c>
      <c r="Z83" s="40" t="s">
        <v>1397</v>
      </c>
      <c r="AA83" s="45">
        <v>2.5000000000000001E-2</v>
      </c>
      <c r="AB83" s="46">
        <f>IF(H2ProjectDB689571011[[#This Row],[Dummy_1]]="Electrolysis",
AA83/VLOOKUP(G83,ElectrolysisConvF,3,FALSE),
AC83*10^6/(H2dens*HoursInYear))</f>
        <v>4.8076923076923084</v>
      </c>
      <c r="AC83" s="47">
        <f t="shared" si="6"/>
        <v>3.7482692307692308E-3</v>
      </c>
      <c r="AE83" s="46">
        <f t="shared" si="7"/>
        <v>4.8076923076923084</v>
      </c>
      <c r="AF83" s="43" t="s">
        <v>764</v>
      </c>
      <c r="AG83" s="43">
        <v>0</v>
      </c>
      <c r="AH83" s="43">
        <v>0</v>
      </c>
      <c r="AI83" s="122" t="s">
        <v>7286</v>
      </c>
      <c r="AJ83" s="41">
        <v>0.56999999999999995</v>
      </c>
    </row>
    <row r="84" spans="1:36" ht="34.5" hidden="1" customHeight="1" x14ac:dyDescent="0.25">
      <c r="A84" s="40">
        <v>92</v>
      </c>
      <c r="B84" s="40" t="s">
        <v>107</v>
      </c>
      <c r="C84" s="40" t="s">
        <v>1305</v>
      </c>
      <c r="D84" s="40">
        <v>2018</v>
      </c>
      <c r="F84" s="40" t="s">
        <v>1339</v>
      </c>
      <c r="G84" s="40" t="s">
        <v>457</v>
      </c>
      <c r="I84" s="40" t="s">
        <v>1266</v>
      </c>
      <c r="K84" s="40" t="s">
        <v>612</v>
      </c>
      <c r="X84" s="40">
        <v>1</v>
      </c>
      <c r="Z84" s="40" t="s">
        <v>6877</v>
      </c>
      <c r="AA84" s="78">
        <f>IF(H2ProjectDB689571011[[#This Row],[Dummy_1]]="Electrolysis",
AB84*VLOOKUP(G84,ElectrolysisConvF,3,FALSE),
"")</f>
        <v>1.84E-2</v>
      </c>
      <c r="AB84" s="46">
        <v>4</v>
      </c>
      <c r="AC84" s="47">
        <f t="shared" si="6"/>
        <v>3.1185599999999998E-3</v>
      </c>
      <c r="AE84" s="46">
        <f t="shared" si="7"/>
        <v>4</v>
      </c>
      <c r="AF84" s="43" t="s">
        <v>714</v>
      </c>
      <c r="AG84" s="43">
        <v>0</v>
      </c>
      <c r="AH84" s="43">
        <v>0</v>
      </c>
      <c r="AI84" s="122" t="s">
        <v>7286</v>
      </c>
      <c r="AJ84" s="41">
        <v>0.56999999999999995</v>
      </c>
    </row>
    <row r="85" spans="1:36" ht="34.5" hidden="1" customHeight="1" x14ac:dyDescent="0.25">
      <c r="A85" s="40">
        <v>93</v>
      </c>
      <c r="B85" s="40" t="s">
        <v>166</v>
      </c>
      <c r="C85" s="40" t="s">
        <v>538</v>
      </c>
      <c r="D85" s="40">
        <v>2018</v>
      </c>
      <c r="F85" s="40" t="s">
        <v>1339</v>
      </c>
      <c r="G85" s="40" t="s">
        <v>455</v>
      </c>
      <c r="I85" s="40" t="s">
        <v>1528</v>
      </c>
      <c r="K85" s="40" t="s">
        <v>578</v>
      </c>
      <c r="R85" s="40">
        <v>1</v>
      </c>
      <c r="Z85" s="40" t="s">
        <v>6530</v>
      </c>
      <c r="AA85" s="78">
        <f>IF(H2ProjectDB689571011[[#This Row],[Dummy_1]]="Electrolysis",
AB85*VLOOKUP(G85,ElectrolysisConvF,3,FALSE),
"")</f>
        <v>5.1999999999999998E-3</v>
      </c>
      <c r="AB85" s="46">
        <v>1</v>
      </c>
      <c r="AC85" s="47">
        <f t="shared" si="6"/>
        <v>7.7963999999999996E-4</v>
      </c>
      <c r="AE85" s="46">
        <f t="shared" si="7"/>
        <v>1</v>
      </c>
      <c r="AF85" s="43" t="s">
        <v>1123</v>
      </c>
      <c r="AG85" s="43">
        <v>0</v>
      </c>
      <c r="AH85" s="43">
        <v>0</v>
      </c>
      <c r="AI85" s="122" t="s">
        <v>7286</v>
      </c>
      <c r="AJ85" s="41">
        <v>0.56999999999999995</v>
      </c>
    </row>
    <row r="86" spans="1:36" ht="34.5" hidden="1" customHeight="1" x14ac:dyDescent="0.25">
      <c r="A86" s="40">
        <v>94</v>
      </c>
      <c r="B86" s="40" t="s">
        <v>165</v>
      </c>
      <c r="C86" s="40" t="s">
        <v>538</v>
      </c>
      <c r="D86" s="40">
        <v>2018</v>
      </c>
      <c r="F86" s="40" t="s">
        <v>1339</v>
      </c>
      <c r="G86" s="40" t="s">
        <v>455</v>
      </c>
      <c r="I86" s="40" t="s">
        <v>1528</v>
      </c>
      <c r="K86" s="40" t="s">
        <v>578</v>
      </c>
      <c r="T86" s="40">
        <v>1</v>
      </c>
      <c r="Z86" s="40" t="s">
        <v>6530</v>
      </c>
      <c r="AA86" s="78">
        <f>IF(H2ProjectDB689571011[[#This Row],[Dummy_1]]="Electrolysis",
AB86*VLOOKUP(G86,ElectrolysisConvF,3,FALSE),
"")</f>
        <v>5.1999999999999998E-3</v>
      </c>
      <c r="AB86" s="46">
        <v>1</v>
      </c>
      <c r="AC86" s="47">
        <f t="shared" si="6"/>
        <v>7.7963999999999996E-4</v>
      </c>
      <c r="AE86" s="46">
        <f t="shared" si="7"/>
        <v>1</v>
      </c>
      <c r="AG86" s="43">
        <v>0</v>
      </c>
      <c r="AH86" s="43">
        <v>0</v>
      </c>
      <c r="AI86" s="122" t="s">
        <v>7286</v>
      </c>
      <c r="AJ86" s="41">
        <v>0.56999999999999995</v>
      </c>
    </row>
    <row r="87" spans="1:36" ht="34.5" hidden="1" customHeight="1" x14ac:dyDescent="0.25">
      <c r="A87" s="40">
        <v>95</v>
      </c>
      <c r="B87" s="40" t="s">
        <v>727</v>
      </c>
      <c r="C87" s="40" t="s">
        <v>1305</v>
      </c>
      <c r="D87" s="40">
        <v>2018</v>
      </c>
      <c r="F87" s="40" t="s">
        <v>1339</v>
      </c>
      <c r="G87" s="40" t="s">
        <v>1259</v>
      </c>
      <c r="H87" s="40" t="s">
        <v>467</v>
      </c>
      <c r="I87" s="40" t="s">
        <v>1528</v>
      </c>
      <c r="K87" s="40" t="s">
        <v>612</v>
      </c>
      <c r="X87" s="40">
        <v>1</v>
      </c>
      <c r="Z87" s="40" t="s">
        <v>6534</v>
      </c>
      <c r="AA87" s="78">
        <f>IF(H2ProjectDB689571011[[#This Row],[Dummy_1]]="Electrolysis",
AB87*VLOOKUP(G87,ElectrolysisConvF,3,FALSE),
"")</f>
        <v>1.1249999999999999E-3</v>
      </c>
      <c r="AB87" s="46">
        <v>0.25</v>
      </c>
      <c r="AC87" s="47">
        <f t="shared" si="6"/>
        <v>1.9490999999999999E-4</v>
      </c>
      <c r="AE87" s="46">
        <f t="shared" si="7"/>
        <v>0.25</v>
      </c>
      <c r="AF87" s="43" t="s">
        <v>729</v>
      </c>
      <c r="AG87" s="43">
        <v>0</v>
      </c>
      <c r="AH87" s="43">
        <v>0</v>
      </c>
      <c r="AI87" s="122" t="s">
        <v>7286</v>
      </c>
      <c r="AJ87" s="41">
        <v>0.56999999999999995</v>
      </c>
    </row>
    <row r="88" spans="1:36" ht="34.5" hidden="1" customHeight="1" x14ac:dyDescent="0.25">
      <c r="A88" s="40">
        <v>96</v>
      </c>
      <c r="B88" s="40" t="s">
        <v>173</v>
      </c>
      <c r="C88" s="40" t="s">
        <v>559</v>
      </c>
      <c r="D88" s="40">
        <v>2018</v>
      </c>
      <c r="F88" s="40" t="s">
        <v>1339</v>
      </c>
      <c r="G88" s="40" t="s">
        <v>455</v>
      </c>
      <c r="I88" s="40" t="s">
        <v>1528</v>
      </c>
      <c r="K88" s="40" t="s">
        <v>578</v>
      </c>
      <c r="Q88" s="40">
        <v>1</v>
      </c>
      <c r="AC88" s="47"/>
      <c r="AE88" s="46">
        <f t="shared" si="7"/>
        <v>0</v>
      </c>
      <c r="AF88" s="43" t="s">
        <v>768</v>
      </c>
      <c r="AG88" s="43">
        <v>0</v>
      </c>
      <c r="AH88" s="43">
        <v>0</v>
      </c>
      <c r="AI88" s="122" t="s">
        <v>7286</v>
      </c>
      <c r="AJ88" s="41">
        <v>0.56999999999999995</v>
      </c>
    </row>
    <row r="89" spans="1:36" ht="34.5" hidden="1" customHeight="1" x14ac:dyDescent="0.25">
      <c r="A89" s="40">
        <v>97</v>
      </c>
      <c r="B89" s="40" t="s">
        <v>5066</v>
      </c>
      <c r="C89" s="40" t="s">
        <v>542</v>
      </c>
      <c r="D89" s="40">
        <v>2035</v>
      </c>
      <c r="F89" s="40" t="s">
        <v>2222</v>
      </c>
      <c r="G89" s="40" t="s">
        <v>1261</v>
      </c>
      <c r="H89" s="40" t="s">
        <v>5708</v>
      </c>
      <c r="K89" s="40" t="s">
        <v>578</v>
      </c>
      <c r="L89" s="40">
        <v>1</v>
      </c>
      <c r="P89" s="40">
        <v>1</v>
      </c>
      <c r="Q89" s="40">
        <v>1</v>
      </c>
      <c r="S89" s="40">
        <v>1</v>
      </c>
      <c r="Z89" s="40" t="s">
        <v>5067</v>
      </c>
      <c r="AB89" s="46">
        <f>IF(H2ProjectDB689571011[[#This Row],[Dummy_1]]="Electrolysis",
AA89/VLOOKUP(G89,ElectrolysisConvF,3,FALSE),
AC89*10^6/(H2dens*HoursInYear))</f>
        <v>3890730.3370786519</v>
      </c>
      <c r="AC89" s="47">
        <f>12150*HoursInYear*0.95*3.6/120/1000</f>
        <v>3033.3690000000001</v>
      </c>
      <c r="AD89" s="46">
        <v>15000000</v>
      </c>
      <c r="AE89" s="46">
        <f>IF(AND(G89&lt;&gt;"NG w CCUS",G89&lt;&gt;"Oil w CCUS",G89&lt;&gt;"Coal w CCUS"),AB89,AD89*10^3/(HoursInYear*IF(G89="NG w CCUS",0.9105,1.9075)))</f>
        <v>1880646.6415412277</v>
      </c>
      <c r="AF89" s="43" t="s">
        <v>3199</v>
      </c>
      <c r="AG89" s="43">
        <v>54.576689924060098</v>
      </c>
      <c r="AH89" s="43">
        <v>-1.2523930531871099</v>
      </c>
      <c r="AI89" s="122" t="s">
        <v>7287</v>
      </c>
      <c r="AJ89" s="41">
        <v>0.9</v>
      </c>
    </row>
    <row r="90" spans="1:36" ht="34.5" hidden="1" customHeight="1" x14ac:dyDescent="0.25">
      <c r="A90" s="40">
        <v>111</v>
      </c>
      <c r="B90" s="40" t="s">
        <v>2933</v>
      </c>
      <c r="C90" s="40" t="s">
        <v>542</v>
      </c>
      <c r="D90" s="44">
        <v>2027</v>
      </c>
      <c r="F90" s="40" t="s">
        <v>1331</v>
      </c>
      <c r="G90" s="40" t="s">
        <v>1261</v>
      </c>
      <c r="H90" s="40" t="s">
        <v>5708</v>
      </c>
      <c r="K90" s="40" t="s">
        <v>578</v>
      </c>
      <c r="L90" s="40">
        <v>1</v>
      </c>
      <c r="P90" s="40">
        <v>1</v>
      </c>
      <c r="Q90" s="40">
        <v>1</v>
      </c>
      <c r="R90" s="40">
        <v>1</v>
      </c>
      <c r="S90" s="40">
        <v>1</v>
      </c>
      <c r="Z90" s="40" t="s">
        <v>6827</v>
      </c>
      <c r="AB90" s="46">
        <f>AC90/365/24/0.089*10^6</f>
        <v>115437.89441280592</v>
      </c>
      <c r="AC90" s="47">
        <f>3*3.6/0.12</f>
        <v>90.000000000000014</v>
      </c>
      <c r="AD90" s="118">
        <f>0.65*10^6</f>
        <v>650000</v>
      </c>
      <c r="AE90" s="46">
        <f>IF(AND(G90&lt;&gt;"NG w CCUS",G90&lt;&gt;"Oil w CCUS",G90&lt;&gt;"Coal w CCUS"),AB90,AD90*10^3/(HoursInYear*IF(G90="NG w CCUS",0.9105,1.9075)))</f>
        <v>81494.687800119864</v>
      </c>
      <c r="AF90" s="43" t="s">
        <v>2142</v>
      </c>
      <c r="AG90" s="43">
        <v>53.277031209918</v>
      </c>
      <c r="AH90" s="43">
        <v>-2.8418691477882398</v>
      </c>
      <c r="AI90" s="122" t="s">
        <v>7287</v>
      </c>
      <c r="AJ90" s="41">
        <v>0.9</v>
      </c>
    </row>
    <row r="91" spans="1:36" ht="34.5" hidden="1" customHeight="1" x14ac:dyDescent="0.25">
      <c r="A91" s="40">
        <v>113</v>
      </c>
      <c r="B91" s="40" t="s">
        <v>2317</v>
      </c>
      <c r="C91" s="40" t="s">
        <v>537</v>
      </c>
      <c r="D91" s="44">
        <v>2035</v>
      </c>
      <c r="F91" s="40" t="s">
        <v>2222</v>
      </c>
      <c r="G91" s="40" t="s">
        <v>1259</v>
      </c>
      <c r="H91" s="40" t="s">
        <v>467</v>
      </c>
      <c r="I91" s="40" t="s">
        <v>1269</v>
      </c>
      <c r="J91" s="40" t="s">
        <v>1395</v>
      </c>
      <c r="K91" s="40" t="s">
        <v>578</v>
      </c>
      <c r="Z91" s="40" t="s">
        <v>4971</v>
      </c>
      <c r="AA91" s="78">
        <f>IF(H2ProjectDB689571011[[#This Row],[Dummy_1]]="Electrolysis",
AB91*VLOOKUP(G91,ElectrolysisConvF,3,FALSE),
"")</f>
        <v>11543.789441280591</v>
      </c>
      <c r="AB91" s="46">
        <f>AC91/(H2dens*HoursInYear/10^6)</f>
        <v>2565286.5425067982</v>
      </c>
      <c r="AC91" s="47">
        <f>1000/H2ProjectDB689571011[[#This Row],[LOWE_CF]]</f>
        <v>2000</v>
      </c>
      <c r="AF91" s="43" t="s">
        <v>2319</v>
      </c>
      <c r="AG91" s="43">
        <v>45.668288846730803</v>
      </c>
      <c r="AH91" s="43">
        <v>122.84638008563</v>
      </c>
      <c r="AI91" s="122" t="s">
        <v>7286</v>
      </c>
      <c r="AJ91" s="41">
        <v>0.5</v>
      </c>
    </row>
    <row r="92" spans="1:36" ht="34.5" hidden="1" customHeight="1" x14ac:dyDescent="0.25">
      <c r="A92" s="40">
        <v>115</v>
      </c>
      <c r="B92" s="40" t="s">
        <v>108</v>
      </c>
      <c r="C92" s="40" t="s">
        <v>1305</v>
      </c>
      <c r="D92" s="40">
        <v>2017</v>
      </c>
      <c r="F92" s="40" t="s">
        <v>1339</v>
      </c>
      <c r="G92" s="40" t="s">
        <v>457</v>
      </c>
      <c r="I92" s="40" t="s">
        <v>1528</v>
      </c>
      <c r="K92" s="40" t="s">
        <v>578</v>
      </c>
      <c r="R92" s="40">
        <v>1</v>
      </c>
      <c r="T92" s="40">
        <v>1</v>
      </c>
      <c r="Z92" s="40" t="s">
        <v>1437</v>
      </c>
      <c r="AA92" s="45">
        <v>6.25E-2</v>
      </c>
      <c r="AB92" s="46">
        <f>IF(H2ProjectDB689571011[[#This Row],[Dummy_1]]="Electrolysis",
AA92/VLOOKUP(G92,ElectrolysisConvF,3,FALSE),
AC92*10^6/(H2dens*HoursInYear))</f>
        <v>13.586956521739131</v>
      </c>
      <c r="AC92" s="47">
        <f t="shared" ref="AC92:AC99" si="8">AB92*H2dens*HoursInYear/10^6</f>
        <v>1.0592934782608695E-2</v>
      </c>
      <c r="AE92" s="46">
        <f t="shared" ref="AE92:AE155" si="9">AB92</f>
        <v>13.586956521739131</v>
      </c>
      <c r="AF92" s="43" t="s">
        <v>788</v>
      </c>
      <c r="AG92" s="43">
        <v>0</v>
      </c>
      <c r="AH92" s="43">
        <v>0</v>
      </c>
      <c r="AI92" s="122" t="s">
        <v>7286</v>
      </c>
      <c r="AJ92" s="41">
        <v>0.56999999999999995</v>
      </c>
    </row>
    <row r="93" spans="1:36" ht="34.5" hidden="1" customHeight="1" x14ac:dyDescent="0.25">
      <c r="A93" s="40">
        <v>119</v>
      </c>
      <c r="B93" s="40" t="s">
        <v>192</v>
      </c>
      <c r="C93" s="40" t="s">
        <v>530</v>
      </c>
      <c r="D93" s="40">
        <v>2017</v>
      </c>
      <c r="F93" s="40" t="s">
        <v>1339</v>
      </c>
      <c r="G93" s="40" t="s">
        <v>455</v>
      </c>
      <c r="I93" s="40" t="s">
        <v>1528</v>
      </c>
      <c r="K93" s="40" t="s">
        <v>578</v>
      </c>
      <c r="Q93" s="40">
        <v>1</v>
      </c>
      <c r="R93" s="40">
        <v>1</v>
      </c>
      <c r="Z93" s="40" t="s">
        <v>6535</v>
      </c>
      <c r="AA93" s="78">
        <f>IF(H2ProjectDB689571011[[#This Row],[Dummy_1]]="Electrolysis",
AB93*VLOOKUP(G93,ElectrolysisConvF,3,FALSE),
"")</f>
        <v>4.6799999999999994E-2</v>
      </c>
      <c r="AB93" s="46">
        <v>9</v>
      </c>
      <c r="AC93" s="47">
        <f t="shared" si="8"/>
        <v>7.0167599999999995E-3</v>
      </c>
      <c r="AE93" s="46">
        <f t="shared" si="9"/>
        <v>9</v>
      </c>
      <c r="AF93" s="43" t="s">
        <v>1538</v>
      </c>
      <c r="AG93" s="43">
        <v>0</v>
      </c>
      <c r="AH93" s="43">
        <v>0</v>
      </c>
      <c r="AI93" s="122" t="s">
        <v>7286</v>
      </c>
      <c r="AJ93" s="41">
        <v>0.56999999999999995</v>
      </c>
    </row>
    <row r="94" spans="1:36" ht="34.5" hidden="1" customHeight="1" x14ac:dyDescent="0.25">
      <c r="A94" s="40">
        <v>120</v>
      </c>
      <c r="B94" s="40" t="s">
        <v>142</v>
      </c>
      <c r="C94" s="40" t="s">
        <v>545</v>
      </c>
      <c r="D94" s="40">
        <v>2017</v>
      </c>
      <c r="E94" s="40">
        <v>2020</v>
      </c>
      <c r="F94" s="40" t="s">
        <v>1540</v>
      </c>
      <c r="G94" s="40" t="s">
        <v>456</v>
      </c>
      <c r="I94" s="40" t="s">
        <v>1528</v>
      </c>
      <c r="K94" s="40" t="s">
        <v>612</v>
      </c>
      <c r="X94" s="40">
        <v>1</v>
      </c>
      <c r="Z94" s="40" t="s">
        <v>6529</v>
      </c>
      <c r="AA94" s="78">
        <f>IF(H2ProjectDB689571011[[#This Row],[Dummy_1]]="Electrolysis",
AB94*VLOOKUP(G94,ElectrolysisConvF,3,FALSE),
"")</f>
        <v>3.7999999999999999E-2</v>
      </c>
      <c r="AB94" s="46">
        <v>10</v>
      </c>
      <c r="AC94" s="47">
        <f t="shared" si="8"/>
        <v>7.7963999999999985E-3</v>
      </c>
      <c r="AE94" s="46">
        <f t="shared" si="9"/>
        <v>10</v>
      </c>
      <c r="AF94" s="43" t="s">
        <v>732</v>
      </c>
      <c r="AG94" s="43">
        <v>55.820936758163597</v>
      </c>
      <c r="AH94" s="43">
        <v>12.5403704877297</v>
      </c>
      <c r="AI94" s="122" t="s">
        <v>7286</v>
      </c>
      <c r="AJ94" s="41">
        <v>0.56999999999999995</v>
      </c>
    </row>
    <row r="95" spans="1:36" ht="34.5" hidden="1" customHeight="1" x14ac:dyDescent="0.25">
      <c r="A95" s="40">
        <v>121</v>
      </c>
      <c r="B95" s="40" t="s">
        <v>161</v>
      </c>
      <c r="C95" s="40" t="s">
        <v>538</v>
      </c>
      <c r="D95" s="40">
        <v>2017</v>
      </c>
      <c r="F95" s="40" t="s">
        <v>1339</v>
      </c>
      <c r="G95" s="40" t="s">
        <v>455</v>
      </c>
      <c r="I95" s="40" t="s">
        <v>1528</v>
      </c>
      <c r="K95" s="40" t="s">
        <v>578</v>
      </c>
      <c r="R95" s="40">
        <v>1</v>
      </c>
      <c r="Z95" s="40" t="s">
        <v>6525</v>
      </c>
      <c r="AA95" s="78">
        <f>IF(H2ProjectDB689571011[[#This Row],[Dummy_1]]="Electrolysis",
AB95*VLOOKUP(G95,ElectrolysisConvF,3,FALSE),
"")</f>
        <v>5.1999999999999998E-3</v>
      </c>
      <c r="AB95" s="46">
        <v>1</v>
      </c>
      <c r="AC95" s="47">
        <f t="shared" si="8"/>
        <v>7.7963999999999996E-4</v>
      </c>
      <c r="AE95" s="46">
        <f t="shared" si="9"/>
        <v>1</v>
      </c>
      <c r="AF95" s="43" t="s">
        <v>716</v>
      </c>
      <c r="AG95" s="43">
        <v>0</v>
      </c>
      <c r="AH95" s="43">
        <v>0</v>
      </c>
      <c r="AI95" s="122" t="s">
        <v>7286</v>
      </c>
      <c r="AJ95" s="41">
        <v>0.56999999999999995</v>
      </c>
    </row>
    <row r="96" spans="1:36" ht="34.5" hidden="1" customHeight="1" x14ac:dyDescent="0.25">
      <c r="A96" s="40">
        <v>122</v>
      </c>
      <c r="B96" s="40" t="s">
        <v>1148</v>
      </c>
      <c r="C96" s="40" t="s">
        <v>538</v>
      </c>
      <c r="D96" s="40">
        <v>2017</v>
      </c>
      <c r="F96" s="40" t="s">
        <v>1339</v>
      </c>
      <c r="G96" s="40" t="s">
        <v>455</v>
      </c>
      <c r="I96" s="40" t="s">
        <v>1528</v>
      </c>
      <c r="K96" s="40" t="s">
        <v>578</v>
      </c>
      <c r="Q96" s="40">
        <v>1</v>
      </c>
      <c r="Z96" s="40" t="s">
        <v>6525</v>
      </c>
      <c r="AA96" s="78">
        <f>IF(H2ProjectDB689571011[[#This Row],[Dummy_1]]="Electrolysis",
AB96*VLOOKUP(G96,ElectrolysisConvF,3,FALSE),
"")</f>
        <v>5.1999999999999998E-3</v>
      </c>
      <c r="AB96" s="46">
        <v>1</v>
      </c>
      <c r="AC96" s="47">
        <f t="shared" si="8"/>
        <v>7.7963999999999996E-4</v>
      </c>
      <c r="AE96" s="46">
        <f t="shared" si="9"/>
        <v>1</v>
      </c>
      <c r="AF96" s="43" t="s">
        <v>1150</v>
      </c>
      <c r="AG96" s="43">
        <v>0</v>
      </c>
      <c r="AH96" s="43">
        <v>0</v>
      </c>
      <c r="AI96" s="122" t="s">
        <v>7286</v>
      </c>
      <c r="AJ96" s="41">
        <v>0.56999999999999995</v>
      </c>
    </row>
    <row r="97" spans="1:36" ht="34.5" hidden="1" customHeight="1" x14ac:dyDescent="0.25">
      <c r="A97" s="40">
        <v>123</v>
      </c>
      <c r="B97" s="40" t="s">
        <v>1153</v>
      </c>
      <c r="C97" s="40" t="s">
        <v>538</v>
      </c>
      <c r="D97" s="40">
        <v>2017</v>
      </c>
      <c r="F97" s="40" t="s">
        <v>1339</v>
      </c>
      <c r="G97" s="40" t="s">
        <v>455</v>
      </c>
      <c r="I97" s="40" t="s">
        <v>1528</v>
      </c>
      <c r="K97" s="40" t="s">
        <v>578</v>
      </c>
      <c r="Q97" s="40">
        <v>1</v>
      </c>
      <c r="Z97" s="40" t="s">
        <v>6525</v>
      </c>
      <c r="AA97" s="78">
        <f>IF(H2ProjectDB689571011[[#This Row],[Dummy_1]]="Electrolysis",
AB97*VLOOKUP(G97,ElectrolysisConvF,3,FALSE),
"")</f>
        <v>5.1999999999999998E-3</v>
      </c>
      <c r="AB97" s="46">
        <v>1</v>
      </c>
      <c r="AC97" s="47">
        <f t="shared" si="8"/>
        <v>7.7963999999999996E-4</v>
      </c>
      <c r="AE97" s="46">
        <f t="shared" si="9"/>
        <v>1</v>
      </c>
      <c r="AF97" s="43" t="s">
        <v>1155</v>
      </c>
      <c r="AG97" s="43">
        <v>0</v>
      </c>
      <c r="AH97" s="43">
        <v>0</v>
      </c>
      <c r="AI97" s="122" t="s">
        <v>7286</v>
      </c>
      <c r="AJ97" s="41">
        <v>0.56999999999999995</v>
      </c>
    </row>
    <row r="98" spans="1:36" ht="34.5" hidden="1" customHeight="1" x14ac:dyDescent="0.25">
      <c r="A98" s="40">
        <v>124</v>
      </c>
      <c r="B98" s="40" t="s">
        <v>1176</v>
      </c>
      <c r="C98" s="40" t="s">
        <v>1177</v>
      </c>
      <c r="D98" s="40">
        <v>2017</v>
      </c>
      <c r="F98" s="40" t="s">
        <v>1339</v>
      </c>
      <c r="G98" s="40" t="s">
        <v>455</v>
      </c>
      <c r="I98" s="40" t="s">
        <v>1269</v>
      </c>
      <c r="J98" s="40" t="s">
        <v>1395</v>
      </c>
      <c r="K98" s="40" t="s">
        <v>578</v>
      </c>
      <c r="Q98" s="40">
        <v>1</v>
      </c>
      <c r="Z98" s="40" t="s">
        <v>6525</v>
      </c>
      <c r="AA98" s="78">
        <f>IF(H2ProjectDB689571011[[#This Row],[Dummy_1]]="Electrolysis",
AB98*VLOOKUP(G98,ElectrolysisConvF,3,FALSE),
"")</f>
        <v>5.1999999999999998E-3</v>
      </c>
      <c r="AB98" s="46">
        <v>1</v>
      </c>
      <c r="AC98" s="47">
        <f t="shared" si="8"/>
        <v>7.7963999999999996E-4</v>
      </c>
      <c r="AE98" s="46">
        <f t="shared" si="9"/>
        <v>1</v>
      </c>
      <c r="AG98" s="43">
        <v>10.421097841238399</v>
      </c>
      <c r="AH98" s="43">
        <v>-85.420968863396098</v>
      </c>
      <c r="AI98" s="122" t="s">
        <v>7286</v>
      </c>
      <c r="AJ98" s="41">
        <v>0.5</v>
      </c>
    </row>
    <row r="99" spans="1:36" ht="34.5" hidden="1" customHeight="1" x14ac:dyDescent="0.25">
      <c r="A99" s="40">
        <v>125</v>
      </c>
      <c r="B99" s="40" t="s">
        <v>791</v>
      </c>
      <c r="C99" s="40" t="s">
        <v>560</v>
      </c>
      <c r="D99" s="40">
        <v>2017</v>
      </c>
      <c r="F99" s="40" t="s">
        <v>1339</v>
      </c>
      <c r="G99" s="40" t="s">
        <v>1259</v>
      </c>
      <c r="H99" s="40" t="s">
        <v>467</v>
      </c>
      <c r="I99" s="40" t="s">
        <v>1269</v>
      </c>
      <c r="J99" s="40" t="s">
        <v>1395</v>
      </c>
      <c r="K99" s="40" t="s">
        <v>578</v>
      </c>
      <c r="R99" s="40">
        <v>1</v>
      </c>
      <c r="Z99" s="40" t="s">
        <v>1375</v>
      </c>
      <c r="AA99" s="45">
        <v>0.05</v>
      </c>
      <c r="AB99" s="46">
        <f>IF(H2ProjectDB689571011[[#This Row],[Dummy_1]]="Electrolysis",
AA99/VLOOKUP(G99,ElectrolysisConvF,3,FALSE),
AC99*10^6/(H2dens*HoursInYear))</f>
        <v>11.111111111111112</v>
      </c>
      <c r="AC99" s="47">
        <f t="shared" si="8"/>
        <v>8.6626666666666675E-3</v>
      </c>
      <c r="AE99" s="46">
        <f t="shared" si="9"/>
        <v>11.111111111111112</v>
      </c>
      <c r="AF99" s="43" t="s">
        <v>792</v>
      </c>
      <c r="AG99" s="43">
        <v>-21.224727008393099</v>
      </c>
      <c r="AH99" s="43">
        <v>-68.251789961099803</v>
      </c>
      <c r="AI99" s="122" t="s">
        <v>7286</v>
      </c>
      <c r="AJ99" s="41">
        <v>0.5</v>
      </c>
    </row>
    <row r="100" spans="1:36" ht="34.5" hidden="1" customHeight="1" x14ac:dyDescent="0.25">
      <c r="A100" s="40">
        <v>126</v>
      </c>
      <c r="B100" s="40" t="s">
        <v>155</v>
      </c>
      <c r="C100" s="40" t="s">
        <v>1305</v>
      </c>
      <c r="D100" s="40">
        <v>2017</v>
      </c>
      <c r="F100" s="40" t="s">
        <v>1540</v>
      </c>
      <c r="G100" s="40" t="s">
        <v>455</v>
      </c>
      <c r="I100" s="40" t="s">
        <v>1528</v>
      </c>
      <c r="K100" s="40" t="s">
        <v>578</v>
      </c>
      <c r="R100" s="40">
        <v>1</v>
      </c>
      <c r="AC100" s="47"/>
      <c r="AE100" s="46">
        <f t="shared" si="9"/>
        <v>0</v>
      </c>
      <c r="AG100" s="43">
        <v>0</v>
      </c>
      <c r="AH100" s="43">
        <v>0</v>
      </c>
      <c r="AI100" s="122" t="s">
        <v>7286</v>
      </c>
      <c r="AJ100" s="41">
        <v>0.56999999999999995</v>
      </c>
    </row>
    <row r="101" spans="1:36" ht="34.5" hidden="1" customHeight="1" x14ac:dyDescent="0.25">
      <c r="A101" s="40">
        <v>127</v>
      </c>
      <c r="B101" s="40" t="s">
        <v>104</v>
      </c>
      <c r="C101" s="40" t="s">
        <v>1305</v>
      </c>
      <c r="D101" s="40">
        <v>2016</v>
      </c>
      <c r="F101" s="40" t="s">
        <v>1339</v>
      </c>
      <c r="G101" s="40" t="s">
        <v>455</v>
      </c>
      <c r="I101" s="40" t="s">
        <v>1266</v>
      </c>
      <c r="K101" s="40" t="s">
        <v>578</v>
      </c>
      <c r="R101" s="40">
        <v>1</v>
      </c>
      <c r="S101" s="40">
        <v>1</v>
      </c>
      <c r="T101" s="40">
        <v>1</v>
      </c>
      <c r="Z101" s="40" t="s">
        <v>1439</v>
      </c>
      <c r="AA101" s="45">
        <v>1.25</v>
      </c>
      <c r="AB101" s="46">
        <f>IF(H2ProjectDB689571011[[#This Row],[Dummy_1]]="Electrolysis",
AA101/VLOOKUP(G101,ElectrolysisConvF,3,FALSE),
AC101*10^6/(H2dens*HoursInYear))</f>
        <v>240.38461538461539</v>
      </c>
      <c r="AC101" s="47">
        <f t="shared" ref="AC101:AC119" si="10">AB101*H2dens*HoursInYear/10^6</f>
        <v>0.18741346153846153</v>
      </c>
      <c r="AE101" s="46">
        <f t="shared" si="9"/>
        <v>240.38461538461539</v>
      </c>
      <c r="AF101" s="43" t="s">
        <v>2215</v>
      </c>
      <c r="AG101" s="43">
        <v>0</v>
      </c>
      <c r="AH101" s="43">
        <v>0</v>
      </c>
      <c r="AI101" s="122" t="s">
        <v>7286</v>
      </c>
      <c r="AJ101" s="41">
        <v>0.56999999999999995</v>
      </c>
    </row>
    <row r="102" spans="1:36" ht="34.5" hidden="1" customHeight="1" x14ac:dyDescent="0.25">
      <c r="A102" s="40">
        <v>130</v>
      </c>
      <c r="B102" s="40" t="s">
        <v>924</v>
      </c>
      <c r="C102" s="40" t="s">
        <v>1305</v>
      </c>
      <c r="D102" s="44"/>
      <c r="F102" s="40" t="s">
        <v>1331</v>
      </c>
      <c r="G102" s="40" t="s">
        <v>455</v>
      </c>
      <c r="I102" s="40" t="s">
        <v>1528</v>
      </c>
      <c r="K102" s="40" t="s">
        <v>578</v>
      </c>
      <c r="L102" s="40">
        <v>1</v>
      </c>
      <c r="P102" s="40">
        <v>1</v>
      </c>
      <c r="R102" s="40">
        <v>1</v>
      </c>
      <c r="Z102" s="40" t="s">
        <v>1527</v>
      </c>
      <c r="AA102" s="45">
        <v>120</v>
      </c>
      <c r="AB102" s="46">
        <f>IF(H2ProjectDB689571011[[#This Row],[Dummy_1]]="Electrolysis",
AA102/VLOOKUP(G102,ElectrolysisConvF,3,FALSE),
AC102*10^6/(H2dens*HoursInYear))</f>
        <v>23076.923076923078</v>
      </c>
      <c r="AC102" s="47">
        <f t="shared" si="10"/>
        <v>17.991692307692308</v>
      </c>
      <c r="AE102" s="46">
        <f t="shared" si="9"/>
        <v>23076.923076923078</v>
      </c>
      <c r="AF102" s="43" t="s">
        <v>925</v>
      </c>
      <c r="AG102" s="43">
        <v>51.437776271929998</v>
      </c>
      <c r="AH102" s="43">
        <v>12.046691721068999</v>
      </c>
      <c r="AI102" s="122" t="s">
        <v>7286</v>
      </c>
      <c r="AJ102" s="41">
        <v>0.56999999999999995</v>
      </c>
    </row>
    <row r="103" spans="1:36" ht="34.5" hidden="1" customHeight="1" x14ac:dyDescent="0.25">
      <c r="A103" s="40">
        <v>134</v>
      </c>
      <c r="B103" s="40" t="s">
        <v>140</v>
      </c>
      <c r="C103" s="40" t="s">
        <v>1305</v>
      </c>
      <c r="D103" s="40">
        <v>2016</v>
      </c>
      <c r="F103" s="40" t="s">
        <v>1339</v>
      </c>
      <c r="G103" s="40" t="s">
        <v>455</v>
      </c>
      <c r="I103" s="40" t="s">
        <v>1528</v>
      </c>
      <c r="K103" s="40" t="s">
        <v>578</v>
      </c>
      <c r="S103" s="40">
        <v>1</v>
      </c>
      <c r="Z103" s="40" t="s">
        <v>1440</v>
      </c>
      <c r="AA103" s="45">
        <v>0.2</v>
      </c>
      <c r="AB103" s="46">
        <f>IF(H2ProjectDB689571011[[#This Row],[Dummy_1]]="Electrolysis",
AA103/VLOOKUP(G103,ElectrolysisConvF,3,FALSE),
AC103*10^6/(H2dens*HoursInYear))</f>
        <v>38.461538461538467</v>
      </c>
      <c r="AC103" s="47">
        <f t="shared" si="10"/>
        <v>2.9986153846153846E-2</v>
      </c>
      <c r="AE103" s="46">
        <f t="shared" si="9"/>
        <v>38.461538461538467</v>
      </c>
      <c r="AF103" s="43" t="s">
        <v>1441</v>
      </c>
      <c r="AG103" s="43">
        <v>0</v>
      </c>
      <c r="AH103" s="43">
        <v>0</v>
      </c>
      <c r="AI103" s="122" t="s">
        <v>7286</v>
      </c>
      <c r="AJ103" s="41">
        <v>0.56999999999999995</v>
      </c>
    </row>
    <row r="104" spans="1:36" ht="34.5" hidden="1" customHeight="1" x14ac:dyDescent="0.25">
      <c r="A104" s="40">
        <v>135</v>
      </c>
      <c r="B104" s="40" t="s">
        <v>102</v>
      </c>
      <c r="C104" s="40" t="s">
        <v>1305</v>
      </c>
      <c r="D104" s="40">
        <v>2016</v>
      </c>
      <c r="F104" s="40" t="s">
        <v>1339</v>
      </c>
      <c r="G104" s="40" t="s">
        <v>455</v>
      </c>
      <c r="I104" s="40" t="s">
        <v>1266</v>
      </c>
      <c r="K104" s="40" t="s">
        <v>578</v>
      </c>
      <c r="Q104" s="40">
        <v>1</v>
      </c>
      <c r="Z104" s="40" t="s">
        <v>1442</v>
      </c>
      <c r="AA104" s="45">
        <v>0.185</v>
      </c>
      <c r="AB104" s="46">
        <f>IF(H2ProjectDB689571011[[#This Row],[Dummy_1]]="Electrolysis",
AA104/VLOOKUP(G104,ElectrolysisConvF,3,FALSE),
AC104*10^6/(H2dens*HoursInYear))</f>
        <v>35.57692307692308</v>
      </c>
      <c r="AC104" s="47">
        <f t="shared" si="10"/>
        <v>2.773719230769231E-2</v>
      </c>
      <c r="AE104" s="46">
        <f t="shared" si="9"/>
        <v>35.57692307692308</v>
      </c>
      <c r="AF104" s="43" t="s">
        <v>1443</v>
      </c>
      <c r="AG104" s="43">
        <v>53.561426979059299</v>
      </c>
      <c r="AH104" s="43">
        <v>9.9772599773758497</v>
      </c>
      <c r="AI104" s="122" t="s">
        <v>7286</v>
      </c>
      <c r="AJ104" s="41">
        <v>0.56999999999999995</v>
      </c>
    </row>
    <row r="105" spans="1:36" ht="34.5" hidden="1" customHeight="1" x14ac:dyDescent="0.25">
      <c r="A105" s="40">
        <v>136</v>
      </c>
      <c r="B105" s="40" t="s">
        <v>186</v>
      </c>
      <c r="C105" s="40" t="s">
        <v>1305</v>
      </c>
      <c r="D105" s="40">
        <v>2016</v>
      </c>
      <c r="E105" s="40">
        <v>2017</v>
      </c>
      <c r="F105" s="40" t="s">
        <v>1540</v>
      </c>
      <c r="G105" s="40" t="s">
        <v>455</v>
      </c>
      <c r="I105" s="40" t="s">
        <v>1269</v>
      </c>
      <c r="J105" s="40" t="s">
        <v>1391</v>
      </c>
      <c r="K105" s="40" t="s">
        <v>578</v>
      </c>
      <c r="R105" s="40">
        <v>1</v>
      </c>
      <c r="S105" s="40">
        <v>1</v>
      </c>
      <c r="Z105" s="40" t="s">
        <v>1444</v>
      </c>
      <c r="AA105" s="45">
        <v>7.4999999999999997E-2</v>
      </c>
      <c r="AB105" s="46">
        <f>IF(H2ProjectDB689571011[[#This Row],[Dummy_1]]="Electrolysis",
AA105/VLOOKUP(G105,ElectrolysisConvF,3,FALSE),
AC105*10^6/(H2dens*HoursInYear))</f>
        <v>14.423076923076923</v>
      </c>
      <c r="AC105" s="47">
        <f t="shared" si="10"/>
        <v>1.1244807692307691E-2</v>
      </c>
      <c r="AE105" s="46">
        <f t="shared" si="9"/>
        <v>14.423076923076923</v>
      </c>
      <c r="AF105" s="43" t="s">
        <v>1445</v>
      </c>
      <c r="AG105" s="43">
        <v>50.059843142296401</v>
      </c>
      <c r="AH105" s="43">
        <v>12.1911371937966</v>
      </c>
      <c r="AI105" s="122" t="s">
        <v>7286</v>
      </c>
      <c r="AJ105" s="41">
        <v>0.3</v>
      </c>
    </row>
    <row r="106" spans="1:36" ht="34.5" hidden="1" customHeight="1" x14ac:dyDescent="0.25">
      <c r="A106" s="40">
        <v>137</v>
      </c>
      <c r="B106" s="40" t="s">
        <v>178</v>
      </c>
      <c r="C106" s="40" t="s">
        <v>536</v>
      </c>
      <c r="D106" s="40">
        <v>2016</v>
      </c>
      <c r="F106" s="40" t="s">
        <v>1540</v>
      </c>
      <c r="G106" s="40" t="s">
        <v>456</v>
      </c>
      <c r="I106" s="40" t="s">
        <v>1528</v>
      </c>
      <c r="K106" s="40" t="s">
        <v>578</v>
      </c>
      <c r="R106" s="40">
        <v>1</v>
      </c>
      <c r="Z106" s="40" t="s">
        <v>1477</v>
      </c>
      <c r="AA106" s="45">
        <v>0.05</v>
      </c>
      <c r="AB106" s="46">
        <f>IF(H2ProjectDB689571011[[#This Row],[Dummy_1]]="Electrolysis",
AA106/VLOOKUP(G106,ElectrolysisConvF,3,FALSE),
AC106*10^6/(H2dens*HoursInYear))</f>
        <v>13.157894736842106</v>
      </c>
      <c r="AC106" s="47">
        <f t="shared" si="10"/>
        <v>1.0258421052631578E-2</v>
      </c>
      <c r="AE106" s="46">
        <f t="shared" si="9"/>
        <v>13.157894736842106</v>
      </c>
      <c r="AF106" s="43" t="s">
        <v>933</v>
      </c>
      <c r="AG106" s="43">
        <v>0</v>
      </c>
      <c r="AH106" s="43">
        <v>0</v>
      </c>
      <c r="AI106" s="122" t="s">
        <v>7286</v>
      </c>
      <c r="AJ106" s="41">
        <v>0.56999999999999995</v>
      </c>
    </row>
    <row r="107" spans="1:36" ht="34.5" hidden="1" customHeight="1" x14ac:dyDescent="0.25">
      <c r="A107" s="40">
        <v>138</v>
      </c>
      <c r="B107" s="40" t="s">
        <v>904</v>
      </c>
      <c r="C107" s="40" t="s">
        <v>531</v>
      </c>
      <c r="D107" s="40">
        <v>2016</v>
      </c>
      <c r="F107" s="40" t="s">
        <v>1339</v>
      </c>
      <c r="G107" s="40" t="s">
        <v>455</v>
      </c>
      <c r="I107" s="40" t="s">
        <v>1528</v>
      </c>
      <c r="K107" s="40" t="s">
        <v>578</v>
      </c>
      <c r="R107" s="40">
        <v>1</v>
      </c>
      <c r="Z107" s="40" t="s">
        <v>6888</v>
      </c>
      <c r="AA107" s="78">
        <f>IF(H2ProjectDB689571011[[#This Row],[Dummy_1]]="Electrolysis",
AB107*VLOOKUP(G107,ElectrolysisConvF,3,FALSE),
"")</f>
        <v>1.04E-2</v>
      </c>
      <c r="AB107" s="46">
        <v>2</v>
      </c>
      <c r="AC107" s="47">
        <f t="shared" si="10"/>
        <v>1.5592799999999999E-3</v>
      </c>
      <c r="AE107" s="46">
        <f t="shared" si="9"/>
        <v>2</v>
      </c>
      <c r="AF107" s="43" t="s">
        <v>906</v>
      </c>
      <c r="AG107" s="43">
        <v>0</v>
      </c>
      <c r="AH107" s="43">
        <v>0</v>
      </c>
      <c r="AI107" s="122" t="s">
        <v>7286</v>
      </c>
      <c r="AJ107" s="41">
        <v>0.56999999999999995</v>
      </c>
    </row>
    <row r="108" spans="1:36" ht="34.5" hidden="1" customHeight="1" x14ac:dyDescent="0.25">
      <c r="A108" s="40">
        <v>139</v>
      </c>
      <c r="B108" s="40" t="s">
        <v>1143</v>
      </c>
      <c r="C108" s="40" t="s">
        <v>538</v>
      </c>
      <c r="D108" s="40">
        <v>2016</v>
      </c>
      <c r="F108" s="40" t="s">
        <v>1339</v>
      </c>
      <c r="G108" s="40" t="s">
        <v>455</v>
      </c>
      <c r="I108" s="40" t="s">
        <v>1266</v>
      </c>
      <c r="K108" s="40" t="s">
        <v>578</v>
      </c>
      <c r="R108" s="40">
        <v>1</v>
      </c>
      <c r="Z108" s="40" t="s">
        <v>6530</v>
      </c>
      <c r="AA108" s="78">
        <f>IF(H2ProjectDB689571011[[#This Row],[Dummy_1]]="Electrolysis",
AB108*VLOOKUP(G108,ElectrolysisConvF,3,FALSE),
"")</f>
        <v>5.1999999999999998E-3</v>
      </c>
      <c r="AB108" s="46">
        <v>1</v>
      </c>
      <c r="AC108" s="47">
        <f t="shared" si="10"/>
        <v>7.7963999999999996E-4</v>
      </c>
      <c r="AE108" s="46">
        <f t="shared" si="9"/>
        <v>1</v>
      </c>
      <c r="AF108" s="43" t="s">
        <v>1142</v>
      </c>
      <c r="AG108" s="43">
        <v>0</v>
      </c>
      <c r="AH108" s="43">
        <v>0</v>
      </c>
      <c r="AI108" s="122" t="s">
        <v>7286</v>
      </c>
      <c r="AJ108" s="41">
        <v>0.56999999999999995</v>
      </c>
    </row>
    <row r="109" spans="1:36" ht="34.5" hidden="1" customHeight="1" x14ac:dyDescent="0.25">
      <c r="A109" s="40">
        <v>140</v>
      </c>
      <c r="B109" s="40" t="s">
        <v>1145</v>
      </c>
      <c r="C109" s="40" t="s">
        <v>538</v>
      </c>
      <c r="D109" s="40">
        <v>2016</v>
      </c>
      <c r="F109" s="40" t="s">
        <v>1339</v>
      </c>
      <c r="G109" s="40" t="s">
        <v>455</v>
      </c>
      <c r="I109" s="40" t="s">
        <v>1266</v>
      </c>
      <c r="K109" s="40" t="s">
        <v>578</v>
      </c>
      <c r="R109" s="40">
        <v>1</v>
      </c>
      <c r="Z109" s="40" t="s">
        <v>6530</v>
      </c>
      <c r="AA109" s="78">
        <f>IF(H2ProjectDB689571011[[#This Row],[Dummy_1]]="Electrolysis",
AB109*VLOOKUP(G109,ElectrolysisConvF,3,FALSE),
"")</f>
        <v>5.1999999999999998E-3</v>
      </c>
      <c r="AB109" s="46">
        <v>1</v>
      </c>
      <c r="AC109" s="47">
        <f t="shared" si="10"/>
        <v>7.7963999999999996E-4</v>
      </c>
      <c r="AE109" s="46">
        <f t="shared" si="9"/>
        <v>1</v>
      </c>
      <c r="AF109" s="43" t="s">
        <v>1146</v>
      </c>
      <c r="AG109" s="43">
        <v>0</v>
      </c>
      <c r="AH109" s="43">
        <v>0</v>
      </c>
      <c r="AI109" s="122" t="s">
        <v>7286</v>
      </c>
      <c r="AJ109" s="41">
        <v>0.56999999999999995</v>
      </c>
    </row>
    <row r="110" spans="1:36" ht="34.5" hidden="1" customHeight="1" x14ac:dyDescent="0.25">
      <c r="A110" s="40">
        <v>142</v>
      </c>
      <c r="B110" s="40" t="s">
        <v>1239</v>
      </c>
      <c r="C110" s="40" t="s">
        <v>1305</v>
      </c>
      <c r="D110" s="40">
        <v>2015</v>
      </c>
      <c r="E110" s="40">
        <v>2023</v>
      </c>
      <c r="F110" s="40" t="s">
        <v>1540</v>
      </c>
      <c r="G110" s="40" t="s">
        <v>455</v>
      </c>
      <c r="I110" s="40" t="s">
        <v>1269</v>
      </c>
      <c r="J110" s="40" t="s">
        <v>1392</v>
      </c>
      <c r="K110" s="40" t="s">
        <v>578</v>
      </c>
      <c r="Q110" s="40">
        <v>1</v>
      </c>
      <c r="Z110" s="40" t="s">
        <v>1446</v>
      </c>
      <c r="AA110" s="45">
        <v>1.5</v>
      </c>
      <c r="AB110" s="46">
        <f>IF(H2ProjectDB689571011[[#This Row],[Dummy_1]]="Electrolysis",
AA110/VLOOKUP(G110,ElectrolysisConvF,3,FALSE),
AC110*10^6/(H2dens*HoursInYear))</f>
        <v>288.46153846153845</v>
      </c>
      <c r="AC110" s="47">
        <f t="shared" si="10"/>
        <v>0.2248961538461538</v>
      </c>
      <c r="AE110" s="46">
        <f t="shared" si="9"/>
        <v>288.46153846153845</v>
      </c>
      <c r="AF110" s="43" t="s">
        <v>6583</v>
      </c>
      <c r="AG110" s="43">
        <v>53.466845918539903</v>
      </c>
      <c r="AH110" s="43">
        <v>10.1383459731675</v>
      </c>
      <c r="AI110" s="122" t="s">
        <v>7286</v>
      </c>
      <c r="AJ110" s="41">
        <v>0.4</v>
      </c>
    </row>
    <row r="111" spans="1:36" ht="34.5" hidden="1" customHeight="1" x14ac:dyDescent="0.25">
      <c r="A111" s="40">
        <v>143</v>
      </c>
      <c r="B111" s="40" t="s">
        <v>153</v>
      </c>
      <c r="C111" s="40" t="s">
        <v>1305</v>
      </c>
      <c r="D111" s="40">
        <v>2015</v>
      </c>
      <c r="F111" s="40" t="s">
        <v>1339</v>
      </c>
      <c r="G111" s="40" t="s">
        <v>457</v>
      </c>
      <c r="I111" s="40" t="s">
        <v>1269</v>
      </c>
      <c r="J111" s="40" t="s">
        <v>1392</v>
      </c>
      <c r="K111" s="40" t="s">
        <v>578</v>
      </c>
      <c r="R111" s="40">
        <v>1</v>
      </c>
      <c r="Z111" s="40" t="s">
        <v>6878</v>
      </c>
      <c r="AA111" s="45">
        <v>1</v>
      </c>
      <c r="AB111" s="46">
        <f>IF(H2ProjectDB689571011[[#This Row],[Dummy_1]]="Electrolysis",
AA111/VLOOKUP(G111,ElectrolysisConvF,3,FALSE),
AC111*10^6/(H2dens*HoursInYear))</f>
        <v>217.39130434782609</v>
      </c>
      <c r="AC111" s="47">
        <f t="shared" si="10"/>
        <v>0.16948695652173912</v>
      </c>
      <c r="AE111" s="46">
        <f t="shared" si="9"/>
        <v>217.39130434782609</v>
      </c>
      <c r="AF111" s="43" t="s">
        <v>2216</v>
      </c>
      <c r="AG111" s="43">
        <v>53.711921246169602</v>
      </c>
      <c r="AH111" s="43">
        <v>13.291637463613799</v>
      </c>
      <c r="AI111" s="122" t="s">
        <v>7286</v>
      </c>
      <c r="AJ111" s="41">
        <v>0.4</v>
      </c>
    </row>
    <row r="112" spans="1:36" ht="34.5" hidden="1" customHeight="1" x14ac:dyDescent="0.25">
      <c r="A112" s="40">
        <v>146</v>
      </c>
      <c r="B112" s="40" t="s">
        <v>1448</v>
      </c>
      <c r="C112" s="40" t="s">
        <v>545</v>
      </c>
      <c r="D112" s="40">
        <v>2015</v>
      </c>
      <c r="F112" s="40" t="s">
        <v>1339</v>
      </c>
      <c r="G112" s="40" t="s">
        <v>457</v>
      </c>
      <c r="I112" s="40" t="s">
        <v>1528</v>
      </c>
      <c r="K112" s="40" t="s">
        <v>612</v>
      </c>
      <c r="X112" s="40">
        <v>1</v>
      </c>
      <c r="Z112" s="40" t="s">
        <v>6536</v>
      </c>
      <c r="AA112" s="45">
        <v>0.5</v>
      </c>
      <c r="AB112" s="46">
        <f>IF(H2ProjectDB689571011[[#This Row],[Dummy_1]]="Electrolysis",
AA112/VLOOKUP(G112,ElectrolysisConvF,3,FALSE),
AC112*10^6/(H2dens*HoursInYear))</f>
        <v>108.69565217391305</v>
      </c>
      <c r="AC112" s="47">
        <f t="shared" si="10"/>
        <v>8.4743478260869559E-2</v>
      </c>
      <c r="AE112" s="46">
        <f t="shared" si="9"/>
        <v>108.69565217391305</v>
      </c>
      <c r="AF112" s="43" t="s">
        <v>6584</v>
      </c>
      <c r="AG112" s="43">
        <v>0</v>
      </c>
      <c r="AH112" s="43">
        <v>0</v>
      </c>
      <c r="AI112" s="122" t="s">
        <v>7286</v>
      </c>
      <c r="AJ112" s="41">
        <v>0.56999999999999995</v>
      </c>
    </row>
    <row r="113" spans="1:36" ht="34.5" hidden="1" customHeight="1" x14ac:dyDescent="0.25">
      <c r="A113" s="40">
        <v>147</v>
      </c>
      <c r="B113" s="40" t="s">
        <v>118</v>
      </c>
      <c r="C113" s="40" t="s">
        <v>533</v>
      </c>
      <c r="D113" s="40">
        <v>2015</v>
      </c>
      <c r="E113" s="40">
        <v>2023</v>
      </c>
      <c r="F113" s="40" t="s">
        <v>1540</v>
      </c>
      <c r="G113" s="40" t="s">
        <v>457</v>
      </c>
      <c r="I113" s="40" t="s">
        <v>1528</v>
      </c>
      <c r="K113" s="40" t="s">
        <v>578</v>
      </c>
      <c r="R113" s="40">
        <v>1</v>
      </c>
      <c r="Z113" s="40" t="s">
        <v>6527</v>
      </c>
      <c r="AA113" s="78">
        <f>IF(H2ProjectDB689571011[[#This Row],[Dummy_1]]="Electrolysis",
AB113*VLOOKUP(G113,ElectrolysisConvF,3,FALSE),
"")</f>
        <v>0.27600000000000002</v>
      </c>
      <c r="AB113" s="46">
        <v>60</v>
      </c>
      <c r="AC113" s="47">
        <f t="shared" si="10"/>
        <v>4.6778400000000005E-2</v>
      </c>
      <c r="AE113" s="46">
        <f t="shared" si="9"/>
        <v>60</v>
      </c>
      <c r="AF113" s="43" t="s">
        <v>772</v>
      </c>
      <c r="AG113" s="43">
        <v>0</v>
      </c>
      <c r="AH113" s="43">
        <v>0</v>
      </c>
      <c r="AI113" s="122" t="s">
        <v>7286</v>
      </c>
      <c r="AJ113" s="41">
        <v>0.56999999999999995</v>
      </c>
    </row>
    <row r="114" spans="1:36" ht="34.5" hidden="1" customHeight="1" x14ac:dyDescent="0.25">
      <c r="A114" s="40">
        <v>148</v>
      </c>
      <c r="B114" s="40" t="s">
        <v>13</v>
      </c>
      <c r="C114" s="40" t="s">
        <v>548</v>
      </c>
      <c r="D114" s="40">
        <v>2015</v>
      </c>
      <c r="F114" s="40" t="s">
        <v>1339</v>
      </c>
      <c r="G114" s="40" t="s">
        <v>457</v>
      </c>
      <c r="I114" s="40" t="s">
        <v>1269</v>
      </c>
      <c r="J114" s="40" t="s">
        <v>1392</v>
      </c>
      <c r="K114" s="40" t="s">
        <v>578</v>
      </c>
      <c r="Q114" s="40">
        <v>1</v>
      </c>
      <c r="Z114" s="40" t="s">
        <v>6537</v>
      </c>
      <c r="AA114" s="45">
        <v>0.3</v>
      </c>
      <c r="AB114" s="46">
        <f>IF(H2ProjectDB689571011[[#This Row],[Dummy_1]]="Electrolysis",
AA114/VLOOKUP(G114,ElectrolysisConvF,3,FALSE),
AC114*10^6/(H2dens*HoursInYear))</f>
        <v>65.217391304347828</v>
      </c>
      <c r="AC114" s="47">
        <f t="shared" si="10"/>
        <v>5.0846086956521735E-2</v>
      </c>
      <c r="AE114" s="46">
        <f t="shared" si="9"/>
        <v>65.217391304347828</v>
      </c>
      <c r="AF114" s="43" t="s">
        <v>743</v>
      </c>
      <c r="AG114" s="43">
        <v>50.731274859455503</v>
      </c>
      <c r="AH114" s="43">
        <v>4.2192673806246797</v>
      </c>
      <c r="AI114" s="122" t="s">
        <v>7286</v>
      </c>
      <c r="AJ114" s="41">
        <v>0.4</v>
      </c>
    </row>
    <row r="115" spans="1:36" ht="34.5" hidden="1" customHeight="1" x14ac:dyDescent="0.25">
      <c r="A115" s="40">
        <v>149</v>
      </c>
      <c r="B115" s="40" t="s">
        <v>105</v>
      </c>
      <c r="C115" s="40" t="s">
        <v>555</v>
      </c>
      <c r="D115" s="40">
        <v>2015</v>
      </c>
      <c r="F115" s="40" t="s">
        <v>1540</v>
      </c>
      <c r="G115" s="40" t="s">
        <v>455</v>
      </c>
      <c r="I115" s="40" t="s">
        <v>1528</v>
      </c>
      <c r="K115" s="40" t="s">
        <v>578</v>
      </c>
      <c r="S115" s="40">
        <v>1</v>
      </c>
      <c r="Z115" s="40" t="s">
        <v>1541</v>
      </c>
      <c r="AA115" s="45">
        <v>0.7</v>
      </c>
      <c r="AB115" s="46">
        <f>IF(H2ProjectDB689571011[[#This Row],[Dummy_1]]="Electrolysis",
AA115/VLOOKUP(G115,ElectrolysisConvF,3,FALSE),
AC115*10^6/(H2dens*HoursInYear))</f>
        <v>134.61538461538461</v>
      </c>
      <c r="AC115" s="47">
        <f t="shared" si="10"/>
        <v>0.10495153846153846</v>
      </c>
      <c r="AE115" s="46">
        <f t="shared" si="9"/>
        <v>134.61538461538461</v>
      </c>
      <c r="AF115" s="43" t="s">
        <v>909</v>
      </c>
      <c r="AG115" s="43">
        <v>0</v>
      </c>
      <c r="AH115" s="43">
        <v>0</v>
      </c>
      <c r="AI115" s="122" t="s">
        <v>7286</v>
      </c>
      <c r="AJ115" s="41">
        <v>0.56999999999999995</v>
      </c>
    </row>
    <row r="116" spans="1:36" ht="34.5" hidden="1" customHeight="1" x14ac:dyDescent="0.25">
      <c r="A116" s="40">
        <v>151</v>
      </c>
      <c r="B116" s="40" t="s">
        <v>80</v>
      </c>
      <c r="C116" s="40" t="s">
        <v>1305</v>
      </c>
      <c r="D116" s="40">
        <v>2015</v>
      </c>
      <c r="E116" s="40">
        <v>2017</v>
      </c>
      <c r="F116" s="40" t="s">
        <v>1540</v>
      </c>
      <c r="G116" s="40" t="s">
        <v>455</v>
      </c>
      <c r="I116" s="40" t="s">
        <v>1266</v>
      </c>
      <c r="K116" s="40" t="s">
        <v>578</v>
      </c>
      <c r="R116" s="40">
        <v>1</v>
      </c>
      <c r="S116" s="40">
        <v>1</v>
      </c>
      <c r="T116" s="40">
        <v>1</v>
      </c>
      <c r="Z116" s="40" t="s">
        <v>1429</v>
      </c>
      <c r="AA116" s="45">
        <v>0.15</v>
      </c>
      <c r="AB116" s="46">
        <f>IF(H2ProjectDB689571011[[#This Row],[Dummy_1]]="Electrolysis",
AA116/VLOOKUP(G116,ElectrolysisConvF,3,FALSE),
AC116*10^6/(H2dens*HoursInYear))</f>
        <v>28.846153846153847</v>
      </c>
      <c r="AC116" s="47">
        <f t="shared" si="10"/>
        <v>2.2489615384615382E-2</v>
      </c>
      <c r="AE116" s="46">
        <f t="shared" si="9"/>
        <v>28.846153846153847</v>
      </c>
      <c r="AF116" s="43" t="s">
        <v>735</v>
      </c>
      <c r="AG116" s="43">
        <v>0</v>
      </c>
      <c r="AH116" s="43">
        <v>0</v>
      </c>
      <c r="AI116" s="122" t="s">
        <v>7286</v>
      </c>
      <c r="AJ116" s="41">
        <v>0.56999999999999995</v>
      </c>
    </row>
    <row r="117" spans="1:36" ht="34.5" hidden="1" customHeight="1" x14ac:dyDescent="0.25">
      <c r="A117" s="40">
        <v>155</v>
      </c>
      <c r="B117" s="40" t="s">
        <v>739</v>
      </c>
      <c r="C117" s="40" t="s">
        <v>559</v>
      </c>
      <c r="D117" s="40">
        <v>2015</v>
      </c>
      <c r="F117" s="40" t="s">
        <v>1540</v>
      </c>
      <c r="G117" s="40" t="s">
        <v>455</v>
      </c>
      <c r="I117" s="40" t="s">
        <v>1528</v>
      </c>
      <c r="K117" s="40" t="s">
        <v>612</v>
      </c>
      <c r="X117" s="40">
        <v>1</v>
      </c>
      <c r="Z117" s="40" t="s">
        <v>6539</v>
      </c>
      <c r="AA117" s="78">
        <f>IF(H2ProjectDB689571011[[#This Row],[Dummy_1]]="Electrolysis",
AB117*VLOOKUP(G117,ElectrolysisConvF,3,FALSE),
"")</f>
        <v>0.14560000000000001</v>
      </c>
      <c r="AB117" s="46">
        <v>28</v>
      </c>
      <c r="AC117" s="47">
        <f t="shared" si="10"/>
        <v>2.1829919999999999E-2</v>
      </c>
      <c r="AE117" s="46">
        <f t="shared" si="9"/>
        <v>28</v>
      </c>
      <c r="AF117" s="43" t="s">
        <v>741</v>
      </c>
      <c r="AG117" s="43">
        <v>0</v>
      </c>
      <c r="AH117" s="43">
        <v>0</v>
      </c>
      <c r="AI117" s="122" t="s">
        <v>7286</v>
      </c>
      <c r="AJ117" s="41">
        <v>0.56999999999999995</v>
      </c>
    </row>
    <row r="118" spans="1:36" ht="34.5" hidden="1" customHeight="1" x14ac:dyDescent="0.25">
      <c r="A118" s="40">
        <v>163</v>
      </c>
      <c r="B118" s="40" t="s">
        <v>824</v>
      </c>
      <c r="C118" s="40" t="s">
        <v>1305</v>
      </c>
      <c r="D118" s="40">
        <v>2015</v>
      </c>
      <c r="F118" s="40" t="s">
        <v>1339</v>
      </c>
      <c r="G118" s="40" t="s">
        <v>455</v>
      </c>
      <c r="I118" s="40" t="s">
        <v>1266</v>
      </c>
      <c r="K118" s="40" t="s">
        <v>578</v>
      </c>
      <c r="R118" s="40">
        <v>1</v>
      </c>
      <c r="Z118" s="40" t="s">
        <v>1449</v>
      </c>
      <c r="AA118" s="45">
        <v>0.02</v>
      </c>
      <c r="AB118" s="46">
        <f>IF(H2ProjectDB689571011[[#This Row],[Dummy_1]]="Electrolysis",
AA118/VLOOKUP(G118,ElectrolysisConvF,3,FALSE),
AC118*10^6/(H2dens*HoursInYear))</f>
        <v>3.8461538461538463</v>
      </c>
      <c r="AC118" s="47">
        <f t="shared" si="10"/>
        <v>2.9986153846153847E-3</v>
      </c>
      <c r="AE118" s="46">
        <f t="shared" si="9"/>
        <v>3.8461538461538463</v>
      </c>
      <c r="AF118" s="43" t="s">
        <v>826</v>
      </c>
      <c r="AG118" s="43">
        <v>0</v>
      </c>
      <c r="AH118" s="43">
        <v>0</v>
      </c>
      <c r="AI118" s="122" t="s">
        <v>7286</v>
      </c>
      <c r="AJ118" s="41">
        <v>0.56999999999999995</v>
      </c>
    </row>
    <row r="119" spans="1:36" ht="34.5" hidden="1" customHeight="1" x14ac:dyDescent="0.25">
      <c r="A119" s="40">
        <v>164</v>
      </c>
      <c r="B119" s="40" t="s">
        <v>159</v>
      </c>
      <c r="C119" s="40" t="s">
        <v>538</v>
      </c>
      <c r="D119" s="40">
        <v>2015</v>
      </c>
      <c r="E119" s="40">
        <v>2021</v>
      </c>
      <c r="F119" s="40" t="s">
        <v>1540</v>
      </c>
      <c r="G119" s="40" t="s">
        <v>455</v>
      </c>
      <c r="I119" s="40" t="s">
        <v>1269</v>
      </c>
      <c r="J119" s="40" t="s">
        <v>1391</v>
      </c>
      <c r="K119" s="40" t="s">
        <v>578</v>
      </c>
      <c r="U119" s="40">
        <v>1</v>
      </c>
      <c r="Z119" s="40" t="s">
        <v>6525</v>
      </c>
      <c r="AA119" s="78">
        <f>IF(H2ProjectDB689571011[[#This Row],[Dummy_1]]="Electrolysis",
AB119*VLOOKUP(G119,ElectrolysisConvF,3,FALSE),
"")</f>
        <v>5.1999999999999998E-3</v>
      </c>
      <c r="AB119" s="46">
        <v>1</v>
      </c>
      <c r="AC119" s="47">
        <f t="shared" si="10"/>
        <v>7.7963999999999996E-4</v>
      </c>
      <c r="AE119" s="46">
        <f t="shared" si="9"/>
        <v>1</v>
      </c>
      <c r="AF119" s="43" t="s">
        <v>719</v>
      </c>
      <c r="AG119" s="43">
        <v>35.517109410169901</v>
      </c>
      <c r="AH119" s="43">
        <v>139.75873479248</v>
      </c>
      <c r="AI119" s="122" t="s">
        <v>7286</v>
      </c>
      <c r="AJ119" s="41">
        <v>0.3</v>
      </c>
    </row>
    <row r="120" spans="1:36" ht="34.5" hidden="1" customHeight="1" x14ac:dyDescent="0.25">
      <c r="A120" s="40">
        <v>165</v>
      </c>
      <c r="B120" s="40" t="s">
        <v>100</v>
      </c>
      <c r="C120" s="40" t="s">
        <v>1305</v>
      </c>
      <c r="D120" s="40">
        <v>2015</v>
      </c>
      <c r="E120" s="40">
        <v>2020</v>
      </c>
      <c r="F120" s="40" t="s">
        <v>1540</v>
      </c>
      <c r="G120" s="40" t="s">
        <v>455</v>
      </c>
      <c r="I120" s="40" t="s">
        <v>1528</v>
      </c>
      <c r="K120" s="40" t="s">
        <v>612</v>
      </c>
      <c r="R120" s="40">
        <v>1</v>
      </c>
      <c r="X120" s="40">
        <v>1</v>
      </c>
      <c r="AC120" s="47"/>
      <c r="AE120" s="46">
        <f t="shared" si="9"/>
        <v>0</v>
      </c>
      <c r="AF120" s="43" t="s">
        <v>6585</v>
      </c>
      <c r="AG120" s="43">
        <v>0</v>
      </c>
      <c r="AH120" s="43">
        <v>0</v>
      </c>
      <c r="AI120" s="122" t="s">
        <v>7286</v>
      </c>
      <c r="AJ120" s="41">
        <v>0.56999999999999995</v>
      </c>
    </row>
    <row r="121" spans="1:36" ht="34.5" hidden="1" customHeight="1" x14ac:dyDescent="0.25">
      <c r="A121" s="40">
        <v>167</v>
      </c>
      <c r="B121" s="40" t="s">
        <v>7708</v>
      </c>
      <c r="C121" s="40" t="s">
        <v>545</v>
      </c>
      <c r="D121" s="40">
        <v>2015</v>
      </c>
      <c r="E121" s="40">
        <v>2018</v>
      </c>
      <c r="F121" s="40" t="s">
        <v>1540</v>
      </c>
      <c r="G121" s="40" t="s">
        <v>456</v>
      </c>
      <c r="I121" s="40" t="s">
        <v>1528</v>
      </c>
      <c r="K121" s="40" t="s">
        <v>1267</v>
      </c>
      <c r="W121" s="40">
        <v>1</v>
      </c>
      <c r="AC121" s="47"/>
      <c r="AE121" s="46">
        <f t="shared" si="9"/>
        <v>0</v>
      </c>
      <c r="AF121" s="43" t="s">
        <v>6586</v>
      </c>
      <c r="AG121" s="43">
        <v>0</v>
      </c>
      <c r="AH121" s="43">
        <v>0</v>
      </c>
      <c r="AI121" s="122" t="s">
        <v>7286</v>
      </c>
      <c r="AJ121" s="41">
        <v>0.56999999999999995</v>
      </c>
    </row>
    <row r="122" spans="1:36" ht="34.5" hidden="1" customHeight="1" x14ac:dyDescent="0.25">
      <c r="A122" s="40">
        <v>169</v>
      </c>
      <c r="B122" s="40" t="s">
        <v>2538</v>
      </c>
      <c r="C122" s="40" t="s">
        <v>541</v>
      </c>
      <c r="D122" s="40">
        <v>2014</v>
      </c>
      <c r="F122" s="40" t="s">
        <v>1339</v>
      </c>
      <c r="G122" s="40" t="s">
        <v>457</v>
      </c>
      <c r="I122" s="40" t="s">
        <v>1528</v>
      </c>
      <c r="K122" s="40" t="s">
        <v>578</v>
      </c>
      <c r="Q122" s="40">
        <v>1</v>
      </c>
      <c r="Z122" s="40" t="s">
        <v>6879</v>
      </c>
      <c r="AA122" s="45">
        <v>1.5</v>
      </c>
      <c r="AB122" s="46">
        <f>IF(H2ProjectDB689571011[[#This Row],[Dummy_1]]="Electrolysis",
AA122/VLOOKUP(G122,ElectrolysisConvF,3,FALSE),
AC122*10^6/(H2dens*HoursInYear))</f>
        <v>326.08695652173913</v>
      </c>
      <c r="AC122" s="47">
        <f>AB122*H2dens*HoursInYear/10^6</f>
        <v>0.25423043478260865</v>
      </c>
      <c r="AE122" s="46">
        <f t="shared" si="9"/>
        <v>326.08695652173913</v>
      </c>
      <c r="AF122" s="43" t="s">
        <v>2541</v>
      </c>
      <c r="AG122" s="43">
        <v>46.474098538431598</v>
      </c>
      <c r="AH122" s="43">
        <v>11.3171937080776</v>
      </c>
      <c r="AI122" s="122" t="s">
        <v>7286</v>
      </c>
      <c r="AJ122" s="41">
        <v>0.56999999999999995</v>
      </c>
    </row>
    <row r="123" spans="1:36" ht="34.5" hidden="1" customHeight="1" x14ac:dyDescent="0.25">
      <c r="A123" s="40">
        <v>173</v>
      </c>
      <c r="B123" s="40" t="s">
        <v>97</v>
      </c>
      <c r="C123" s="40" t="s">
        <v>1305</v>
      </c>
      <c r="D123" s="40">
        <v>2014</v>
      </c>
      <c r="F123" s="40" t="s">
        <v>1339</v>
      </c>
      <c r="G123" s="40" t="s">
        <v>457</v>
      </c>
      <c r="I123" s="40" t="s">
        <v>1269</v>
      </c>
      <c r="J123" s="40" t="s">
        <v>1392</v>
      </c>
      <c r="K123" s="40" t="s">
        <v>578</v>
      </c>
      <c r="Q123" s="40">
        <v>1</v>
      </c>
      <c r="Z123" s="40" t="s">
        <v>6536</v>
      </c>
      <c r="AA123" s="45">
        <v>0.5</v>
      </c>
      <c r="AB123" s="46">
        <f>IF(H2ProjectDB689571011[[#This Row],[Dummy_1]]="Electrolysis",
AA123/VLOOKUP(G123,ElectrolysisConvF,3,FALSE),
AC123*10^6/(H2dens*HoursInYear))</f>
        <v>108.69565217391305</v>
      </c>
      <c r="AC123" s="47">
        <f>AB123*H2dens*HoursInYear/10^6</f>
        <v>8.4743478260869559E-2</v>
      </c>
      <c r="AE123" s="46">
        <f t="shared" si="9"/>
        <v>108.69565217391305</v>
      </c>
      <c r="AF123" s="43" t="s">
        <v>786</v>
      </c>
      <c r="AG123" s="43">
        <v>52.369992135889902</v>
      </c>
      <c r="AH123" s="43">
        <v>13.5242988316558</v>
      </c>
      <c r="AI123" s="122" t="s">
        <v>7286</v>
      </c>
      <c r="AJ123" s="41">
        <v>0.4</v>
      </c>
    </row>
    <row r="124" spans="1:36" ht="34.5" hidden="1" customHeight="1" x14ac:dyDescent="0.25">
      <c r="A124" s="40">
        <v>198</v>
      </c>
      <c r="B124" s="40" t="s">
        <v>103</v>
      </c>
      <c r="C124" s="40" t="s">
        <v>1305</v>
      </c>
      <c r="D124" s="40">
        <v>2014</v>
      </c>
      <c r="F124" s="40" t="s">
        <v>1339</v>
      </c>
      <c r="G124" s="40" t="s">
        <v>455</v>
      </c>
      <c r="I124" s="40" t="s">
        <v>1528</v>
      </c>
      <c r="K124" s="40" t="s">
        <v>578</v>
      </c>
      <c r="R124" s="40">
        <v>1</v>
      </c>
      <c r="S124" s="40">
        <v>1</v>
      </c>
      <c r="Z124" s="40" t="s">
        <v>6877</v>
      </c>
      <c r="AA124" s="78">
        <f>IF(H2ProjectDB689571011[[#This Row],[Dummy_1]]="Electrolysis",
AB124*VLOOKUP(G124,ElectrolysisConvF,3,FALSE),
"")</f>
        <v>2.0799999999999999E-2</v>
      </c>
      <c r="AB124" s="46">
        <v>4</v>
      </c>
      <c r="AC124" s="47">
        <f>AB124*H2dens*HoursInYear/10^6</f>
        <v>3.1185599999999998E-3</v>
      </c>
      <c r="AE124" s="46">
        <f t="shared" si="9"/>
        <v>4</v>
      </c>
      <c r="AF124" s="43" t="s">
        <v>1450</v>
      </c>
      <c r="AG124" s="43">
        <v>0</v>
      </c>
      <c r="AH124" s="43">
        <v>0</v>
      </c>
      <c r="AI124" s="122" t="s">
        <v>7286</v>
      </c>
      <c r="AJ124" s="41">
        <v>0.56999999999999995</v>
      </c>
    </row>
    <row r="125" spans="1:36" ht="34.5" hidden="1" customHeight="1" x14ac:dyDescent="0.25">
      <c r="A125" s="40">
        <v>199</v>
      </c>
      <c r="B125" s="40" t="s">
        <v>726</v>
      </c>
      <c r="C125" s="40" t="s">
        <v>1305</v>
      </c>
      <c r="D125" s="40">
        <v>2014</v>
      </c>
      <c r="F125" s="40" t="s">
        <v>1339</v>
      </c>
      <c r="G125" s="40" t="s">
        <v>1259</v>
      </c>
      <c r="I125" s="40" t="s">
        <v>1528</v>
      </c>
      <c r="K125" s="40" t="s">
        <v>612</v>
      </c>
      <c r="X125" s="40">
        <v>1</v>
      </c>
      <c r="AC125" s="47"/>
      <c r="AE125" s="46">
        <f t="shared" si="9"/>
        <v>0</v>
      </c>
      <c r="AF125" s="43" t="s">
        <v>730</v>
      </c>
      <c r="AG125" s="43">
        <v>0</v>
      </c>
      <c r="AH125" s="43">
        <v>0</v>
      </c>
      <c r="AI125" s="122" t="s">
        <v>7286</v>
      </c>
      <c r="AJ125" s="41">
        <v>0.56999999999999995</v>
      </c>
    </row>
    <row r="126" spans="1:36" ht="34.5" hidden="1" customHeight="1" x14ac:dyDescent="0.25">
      <c r="A126" s="40">
        <v>200</v>
      </c>
      <c r="B126" s="40" t="s">
        <v>84</v>
      </c>
      <c r="C126" s="40" t="s">
        <v>1305</v>
      </c>
      <c r="D126" s="40">
        <v>2013</v>
      </c>
      <c r="F126" s="40" t="s">
        <v>1339</v>
      </c>
      <c r="G126" s="40" t="s">
        <v>457</v>
      </c>
      <c r="I126" s="40" t="s">
        <v>1266</v>
      </c>
      <c r="K126" s="40" t="s">
        <v>612</v>
      </c>
      <c r="X126" s="40">
        <v>1</v>
      </c>
      <c r="Y126" s="40">
        <v>1</v>
      </c>
      <c r="Z126" s="40" t="s">
        <v>5908</v>
      </c>
      <c r="AA126" s="45">
        <v>6.3</v>
      </c>
      <c r="AB126" s="46">
        <f>IF(H2ProjectDB689571011[[#This Row],[Dummy_1]]="Electrolysis",
AA126/VLOOKUP(G126,ElectrolysisConvF,3,FALSE),
AC126*10^6/(H2dens*HoursInYear))</f>
        <v>1369.5652173913043</v>
      </c>
      <c r="AC126" s="47">
        <f>AB126*H2dens*HoursInYear/10^6</f>
        <v>1.0677678260869565</v>
      </c>
      <c r="AE126" s="46">
        <f t="shared" si="9"/>
        <v>1369.5652173913043</v>
      </c>
      <c r="AF126" s="43" t="s">
        <v>6587</v>
      </c>
      <c r="AG126" s="43">
        <v>52.851870099999999</v>
      </c>
      <c r="AH126" s="43">
        <v>7.6764178999999997</v>
      </c>
      <c r="AI126" s="122" t="s">
        <v>7286</v>
      </c>
      <c r="AJ126" s="41">
        <v>0.56999999999999995</v>
      </c>
    </row>
    <row r="127" spans="1:36" ht="34.5" hidden="1" customHeight="1" x14ac:dyDescent="0.25">
      <c r="A127" s="40">
        <v>201</v>
      </c>
      <c r="B127" s="40" t="s">
        <v>1451</v>
      </c>
      <c r="C127" s="40" t="s">
        <v>545</v>
      </c>
      <c r="D127" s="40">
        <v>2013</v>
      </c>
      <c r="F127" s="40" t="s">
        <v>1339</v>
      </c>
      <c r="G127" s="40" t="s">
        <v>457</v>
      </c>
      <c r="I127" s="40" t="s">
        <v>1266</v>
      </c>
      <c r="K127" s="40" t="s">
        <v>578</v>
      </c>
      <c r="Q127" s="40">
        <v>1</v>
      </c>
      <c r="Z127" s="40" t="s">
        <v>1452</v>
      </c>
      <c r="AA127" s="78">
        <f>IF(H2ProjectDB689571011[[#This Row],[Dummy_1]]="Electrolysis",
AB127*VLOOKUP(G127,ElectrolysisConvF,3,FALSE),
"")</f>
        <v>0.43071161048689133</v>
      </c>
      <c r="AB127" s="46">
        <f>AC127/(H2dens*HoursInYear/10^6)</f>
        <v>93.63295880149812</v>
      </c>
      <c r="AC127" s="47">
        <f>200*365/10^6</f>
        <v>7.2999999999999995E-2</v>
      </c>
      <c r="AD127" s="78"/>
      <c r="AE127" s="46">
        <f t="shared" si="9"/>
        <v>93.63295880149812</v>
      </c>
      <c r="AF127" s="30" t="s">
        <v>948</v>
      </c>
      <c r="AG127" s="43">
        <v>0</v>
      </c>
      <c r="AH127" s="43">
        <v>0</v>
      </c>
      <c r="AI127" s="122" t="s">
        <v>7286</v>
      </c>
      <c r="AJ127" s="41">
        <v>0.56999999999999995</v>
      </c>
    </row>
    <row r="128" spans="1:36" ht="34.5" hidden="1" customHeight="1" x14ac:dyDescent="0.25">
      <c r="A128" s="40">
        <v>202</v>
      </c>
      <c r="B128" s="40" t="s">
        <v>5912</v>
      </c>
      <c r="C128" s="40" t="s">
        <v>1305</v>
      </c>
      <c r="D128" s="40">
        <v>2013</v>
      </c>
      <c r="F128" s="40" t="s">
        <v>1339</v>
      </c>
      <c r="G128" s="40" t="s">
        <v>457</v>
      </c>
      <c r="I128" s="40" t="s">
        <v>1269</v>
      </c>
      <c r="J128" s="40" t="s">
        <v>1392</v>
      </c>
      <c r="K128" s="40" t="s">
        <v>578</v>
      </c>
      <c r="S128" s="40">
        <v>1</v>
      </c>
      <c r="Z128" s="40" t="s">
        <v>1368</v>
      </c>
      <c r="AA128" s="45">
        <v>2</v>
      </c>
      <c r="AB128" s="46">
        <f>IF(H2ProjectDB689571011[[#This Row],[Dummy_1]]="Electrolysis",
AA128/VLOOKUP(G128,ElectrolysisConvF,3,FALSE),
AC128*10^6/(H2dens*HoursInYear))</f>
        <v>434.78260869565219</v>
      </c>
      <c r="AC128" s="47">
        <f t="shared" ref="AC128:AC135" si="11">AB128*H2dens*HoursInYear/10^6</f>
        <v>0.33897391304347824</v>
      </c>
      <c r="AE128" s="46">
        <f t="shared" si="9"/>
        <v>434.78260869565219</v>
      </c>
      <c r="AF128" s="43" t="s">
        <v>2214</v>
      </c>
      <c r="AG128" s="43">
        <v>53.200310541388497</v>
      </c>
      <c r="AH128" s="43">
        <v>12.235112418016501</v>
      </c>
      <c r="AI128" s="122" t="s">
        <v>7286</v>
      </c>
      <c r="AJ128" s="41">
        <v>0.4</v>
      </c>
    </row>
    <row r="129" spans="1:36" ht="34.5" hidden="1" customHeight="1" x14ac:dyDescent="0.25">
      <c r="A129" s="40">
        <v>203</v>
      </c>
      <c r="B129" s="40" t="s">
        <v>68</v>
      </c>
      <c r="C129" s="40" t="s">
        <v>1305</v>
      </c>
      <c r="D129" s="40">
        <v>2013</v>
      </c>
      <c r="F129" s="40" t="s">
        <v>1339</v>
      </c>
      <c r="G129" s="40" t="s">
        <v>455</v>
      </c>
      <c r="I129" s="40" t="s">
        <v>1528</v>
      </c>
      <c r="K129" s="40" t="s">
        <v>578</v>
      </c>
      <c r="S129" s="40">
        <v>1</v>
      </c>
      <c r="Z129" s="40" t="s">
        <v>6531</v>
      </c>
      <c r="AA129" s="45">
        <v>1</v>
      </c>
      <c r="AB129" s="46">
        <f>IF(H2ProjectDB689571011[[#This Row],[Dummy_1]]="Electrolysis",
AA129/VLOOKUP(G129,ElectrolysisConvF,3,FALSE),
AC129*10^6/(H2dens*HoursInYear))</f>
        <v>192.30769230769232</v>
      </c>
      <c r="AC129" s="47">
        <f t="shared" si="11"/>
        <v>0.14993076923076926</v>
      </c>
      <c r="AE129" s="46">
        <f t="shared" si="9"/>
        <v>192.30769230769232</v>
      </c>
      <c r="AF129" s="43" t="s">
        <v>1455</v>
      </c>
      <c r="AG129" s="43">
        <v>0</v>
      </c>
      <c r="AH129" s="43">
        <v>0</v>
      </c>
      <c r="AI129" s="122" t="s">
        <v>7286</v>
      </c>
      <c r="AJ129" s="41">
        <v>0.56999999999999995</v>
      </c>
    </row>
    <row r="130" spans="1:36" ht="34.5" hidden="1" customHeight="1" x14ac:dyDescent="0.25">
      <c r="A130" s="40">
        <v>204</v>
      </c>
      <c r="B130" s="40" t="s">
        <v>169</v>
      </c>
      <c r="C130" s="40" t="s">
        <v>531</v>
      </c>
      <c r="D130" s="40">
        <v>2013</v>
      </c>
      <c r="F130" s="40" t="s">
        <v>1339</v>
      </c>
      <c r="G130" s="40" t="s">
        <v>457</v>
      </c>
      <c r="I130" s="40" t="s">
        <v>1528</v>
      </c>
      <c r="K130" s="40" t="s">
        <v>578</v>
      </c>
      <c r="Q130" s="40">
        <v>1</v>
      </c>
      <c r="Z130" s="40" t="s">
        <v>6540</v>
      </c>
      <c r="AA130" s="45">
        <v>0.6</v>
      </c>
      <c r="AB130" s="46">
        <f>IF(H2ProjectDB689571011[[#This Row],[Dummy_1]]="Electrolysis",
AA130/VLOOKUP(G130,ElectrolysisConvF,3,FALSE),
AC130*10^6/(H2dens*HoursInYear))</f>
        <v>130.43478260869566</v>
      </c>
      <c r="AC130" s="47">
        <f t="shared" si="11"/>
        <v>0.10169217391304347</v>
      </c>
      <c r="AE130" s="46">
        <f t="shared" si="9"/>
        <v>130.43478260869566</v>
      </c>
      <c r="AG130" s="43">
        <v>0</v>
      </c>
      <c r="AH130" s="43">
        <v>0</v>
      </c>
      <c r="AI130" s="122" t="s">
        <v>7286</v>
      </c>
      <c r="AJ130" s="41">
        <v>0.56999999999999995</v>
      </c>
    </row>
    <row r="131" spans="1:36" ht="34.15" hidden="1" customHeight="1" x14ac:dyDescent="0.25">
      <c r="A131" s="40">
        <v>205</v>
      </c>
      <c r="B131" s="40" t="s">
        <v>1702</v>
      </c>
      <c r="C131" s="40" t="s">
        <v>545</v>
      </c>
      <c r="D131" s="44">
        <v>2024</v>
      </c>
      <c r="F131" s="40" t="s">
        <v>5701</v>
      </c>
      <c r="G131" s="40" t="s">
        <v>457</v>
      </c>
      <c r="I131" s="40" t="s">
        <v>1266</v>
      </c>
      <c r="K131" s="40" t="s">
        <v>578</v>
      </c>
      <c r="L131" s="40">
        <v>1</v>
      </c>
      <c r="Q131" s="40">
        <v>1</v>
      </c>
      <c r="Z131" s="40" t="s">
        <v>1495</v>
      </c>
      <c r="AA131" s="45">
        <v>20</v>
      </c>
      <c r="AB131" s="46">
        <f>IF(H2ProjectDB689571011[[#This Row],[Dummy_1]]="Electrolysis",
AA131/VLOOKUP(G131,ElectrolysisConvF,3,FALSE),
AC131*10^6/(H2dens*HoursInYear))</f>
        <v>4347.826086956522</v>
      </c>
      <c r="AC131" s="47">
        <f t="shared" si="11"/>
        <v>3.3897391304347826</v>
      </c>
      <c r="AE131" s="46">
        <f t="shared" si="9"/>
        <v>4347.826086956522</v>
      </c>
      <c r="AF131" s="43" t="s">
        <v>628</v>
      </c>
      <c r="AG131" s="43">
        <v>55.591385038418998</v>
      </c>
      <c r="AH131" s="43">
        <v>9.7526436745635507</v>
      </c>
      <c r="AI131" s="122" t="s">
        <v>7286</v>
      </c>
      <c r="AJ131" s="41">
        <v>0.56999999999999995</v>
      </c>
    </row>
    <row r="132" spans="1:36" ht="34.5" hidden="1" customHeight="1" x14ac:dyDescent="0.25">
      <c r="A132" s="40">
        <v>207</v>
      </c>
      <c r="B132" s="40" t="s">
        <v>21</v>
      </c>
      <c r="C132" s="40" t="s">
        <v>1305</v>
      </c>
      <c r="D132" s="40">
        <v>2013</v>
      </c>
      <c r="E132" s="40">
        <v>2015</v>
      </c>
      <c r="F132" s="40" t="s">
        <v>1540</v>
      </c>
      <c r="G132" s="40" t="s">
        <v>455</v>
      </c>
      <c r="I132" s="40" t="s">
        <v>1266</v>
      </c>
      <c r="K132" s="40" t="s">
        <v>612</v>
      </c>
      <c r="X132" s="40">
        <v>1</v>
      </c>
      <c r="Z132" s="40" t="s">
        <v>6541</v>
      </c>
      <c r="AA132" s="78">
        <f>IF(H2ProjectDB689571011[[#This Row],[Dummy_1]]="Electrolysis",
AB132*VLOOKUP(G132,ElectrolysisConvF,3,FALSE),
"")</f>
        <v>0.26</v>
      </c>
      <c r="AB132" s="46">
        <v>50</v>
      </c>
      <c r="AC132" s="47">
        <f t="shared" si="11"/>
        <v>3.8982000000000003E-2</v>
      </c>
      <c r="AE132" s="46">
        <f t="shared" si="9"/>
        <v>50</v>
      </c>
      <c r="AF132" s="43" t="s">
        <v>910</v>
      </c>
      <c r="AG132" s="43">
        <v>0</v>
      </c>
      <c r="AH132" s="43">
        <v>0</v>
      </c>
      <c r="AI132" s="122" t="s">
        <v>7286</v>
      </c>
      <c r="AJ132" s="41">
        <v>0.56999999999999995</v>
      </c>
    </row>
    <row r="133" spans="1:36" ht="34.5" hidden="1" customHeight="1" x14ac:dyDescent="0.25">
      <c r="A133" s="40">
        <v>211</v>
      </c>
      <c r="B133" s="40" t="s">
        <v>120</v>
      </c>
      <c r="C133" s="40" t="s">
        <v>535</v>
      </c>
      <c r="D133" s="40">
        <v>2013</v>
      </c>
      <c r="F133" s="40" t="s">
        <v>1339</v>
      </c>
      <c r="G133" s="40" t="s">
        <v>457</v>
      </c>
      <c r="I133" s="40" t="s">
        <v>1528</v>
      </c>
      <c r="K133" s="40" t="s">
        <v>578</v>
      </c>
      <c r="R133" s="40">
        <v>1</v>
      </c>
      <c r="Z133" s="40" t="s">
        <v>6542</v>
      </c>
      <c r="AA133" s="45">
        <v>0.2</v>
      </c>
      <c r="AB133" s="46">
        <f>IF(H2ProjectDB689571011[[#This Row],[Dummy_1]]="Electrolysis",
AA133/VLOOKUP(G133,ElectrolysisConvF,3,FALSE),
AC133*10^6/(H2dens*HoursInYear))</f>
        <v>43.478260869565219</v>
      </c>
      <c r="AC133" s="47">
        <f t="shared" si="11"/>
        <v>3.3897391304347824E-2</v>
      </c>
      <c r="AE133" s="46">
        <f t="shared" si="9"/>
        <v>43.478260869565219</v>
      </c>
      <c r="AF133" s="43" t="s">
        <v>6588</v>
      </c>
      <c r="AG133" s="43">
        <v>0</v>
      </c>
      <c r="AH133" s="43">
        <v>0</v>
      </c>
      <c r="AI133" s="122" t="s">
        <v>7286</v>
      </c>
      <c r="AJ133" s="41">
        <v>0.56999999999999995</v>
      </c>
    </row>
    <row r="134" spans="1:36" ht="34.5" hidden="1" customHeight="1" x14ac:dyDescent="0.25">
      <c r="A134" s="40">
        <v>213</v>
      </c>
      <c r="B134" s="40" t="s">
        <v>96</v>
      </c>
      <c r="C134" s="40" t="s">
        <v>1305</v>
      </c>
      <c r="D134" s="40">
        <v>2013</v>
      </c>
      <c r="F134" s="40" t="s">
        <v>1339</v>
      </c>
      <c r="G134" s="40" t="s">
        <v>455</v>
      </c>
      <c r="I134" s="40" t="s">
        <v>1266</v>
      </c>
      <c r="K134" s="40" t="s">
        <v>612</v>
      </c>
      <c r="X134" s="40">
        <v>1</v>
      </c>
      <c r="Z134" s="40" t="s">
        <v>1459</v>
      </c>
      <c r="AA134" s="45">
        <v>0.18</v>
      </c>
      <c r="AB134" s="46">
        <f>IF(H2ProjectDB689571011[[#This Row],[Dummy_1]]="Electrolysis",
AA134/VLOOKUP(G134,ElectrolysisConvF,3,FALSE),
AC134*10^6/(H2dens*HoursInYear))</f>
        <v>34.615384615384613</v>
      </c>
      <c r="AC134" s="47">
        <f t="shared" si="11"/>
        <v>2.6987538461538459E-2</v>
      </c>
      <c r="AE134" s="46">
        <f t="shared" si="9"/>
        <v>34.615384615384613</v>
      </c>
      <c r="AF134" s="43" t="s">
        <v>6589</v>
      </c>
      <c r="AG134" s="43">
        <v>0</v>
      </c>
      <c r="AH134" s="43">
        <v>0</v>
      </c>
      <c r="AI134" s="122" t="s">
        <v>7286</v>
      </c>
      <c r="AJ134" s="41">
        <v>0.56999999999999995</v>
      </c>
    </row>
    <row r="135" spans="1:36" ht="34.5" hidden="1" customHeight="1" x14ac:dyDescent="0.25">
      <c r="A135" s="40">
        <v>221</v>
      </c>
      <c r="B135" s="40" t="s">
        <v>39</v>
      </c>
      <c r="C135" s="40" t="s">
        <v>1305</v>
      </c>
      <c r="D135" s="40">
        <v>2013</v>
      </c>
      <c r="F135" s="40" t="s">
        <v>1339</v>
      </c>
      <c r="G135" s="40" t="s">
        <v>455</v>
      </c>
      <c r="I135" s="40" t="s">
        <v>1269</v>
      </c>
      <c r="J135" s="40" t="s">
        <v>1391</v>
      </c>
      <c r="K135" s="40" t="s">
        <v>578</v>
      </c>
      <c r="Q135" s="40">
        <v>1</v>
      </c>
      <c r="Z135" s="40" t="s">
        <v>1460</v>
      </c>
      <c r="AA135" s="45">
        <v>0.04</v>
      </c>
      <c r="AB135" s="46">
        <f>IF(H2ProjectDB689571011[[#This Row],[Dummy_1]]="Electrolysis",
AA135/VLOOKUP(G135,ElectrolysisConvF,3,FALSE),
AC135*10^6/(H2dens*HoursInYear))</f>
        <v>7.6923076923076925</v>
      </c>
      <c r="AC135" s="47">
        <f t="shared" si="11"/>
        <v>5.9972307692307695E-3</v>
      </c>
      <c r="AE135" s="46">
        <f t="shared" si="9"/>
        <v>7.6923076923076925</v>
      </c>
      <c r="AF135" s="43" t="s">
        <v>720</v>
      </c>
      <c r="AG135" s="43">
        <v>53.823259727884697</v>
      </c>
      <c r="AH135" s="43">
        <v>9.2894355188740096</v>
      </c>
      <c r="AI135" s="122" t="s">
        <v>7286</v>
      </c>
      <c r="AJ135" s="41">
        <v>0.3</v>
      </c>
    </row>
    <row r="136" spans="1:36" ht="34.5" hidden="1" customHeight="1" x14ac:dyDescent="0.25">
      <c r="A136" s="40">
        <v>222</v>
      </c>
      <c r="B136" s="40" t="s">
        <v>157</v>
      </c>
      <c r="C136" s="40" t="s">
        <v>539</v>
      </c>
      <c r="D136" s="40">
        <v>2005</v>
      </c>
      <c r="F136" s="40" t="s">
        <v>1339</v>
      </c>
      <c r="G136" s="40" t="s">
        <v>457</v>
      </c>
      <c r="I136" s="40" t="s">
        <v>1257</v>
      </c>
      <c r="K136" s="40" t="s">
        <v>578</v>
      </c>
      <c r="AC136" s="47"/>
      <c r="AE136" s="46">
        <f t="shared" si="9"/>
        <v>0</v>
      </c>
      <c r="AF136" s="43" t="s">
        <v>2143</v>
      </c>
      <c r="AG136" s="43">
        <v>0</v>
      </c>
      <c r="AH136" s="43">
        <v>0</v>
      </c>
      <c r="AI136" s="122" t="s">
        <v>7286</v>
      </c>
      <c r="AJ136" s="41">
        <v>0.56999999999999995</v>
      </c>
    </row>
    <row r="137" spans="1:36" ht="34.5" hidden="1" customHeight="1" x14ac:dyDescent="0.25">
      <c r="A137" s="40">
        <v>223</v>
      </c>
      <c r="B137" s="40" t="s">
        <v>896</v>
      </c>
      <c r="C137" s="40" t="s">
        <v>1764</v>
      </c>
      <c r="D137" s="40">
        <v>2013</v>
      </c>
      <c r="F137" s="40" t="s">
        <v>1540</v>
      </c>
      <c r="G137" s="40" t="s">
        <v>455</v>
      </c>
      <c r="I137" s="40" t="s">
        <v>1528</v>
      </c>
      <c r="K137" s="40" t="s">
        <v>578</v>
      </c>
      <c r="R137" s="40">
        <v>1</v>
      </c>
      <c r="Z137" s="40" t="s">
        <v>6894</v>
      </c>
      <c r="AA137" s="78">
        <f>IF(H2ProjectDB689571011[[#This Row],[Dummy_1]]="Electrolysis",
AB137*VLOOKUP(G137,ElectrolysisConvF,3,FALSE),
"")</f>
        <v>3.1199999999999999E-3</v>
      </c>
      <c r="AB137" s="46">
        <v>0.6</v>
      </c>
      <c r="AC137" s="47">
        <f t="shared" ref="AC137:AC146" si="12">AB137*H2dens*HoursInYear/10^6</f>
        <v>4.6778400000000001E-4</v>
      </c>
      <c r="AE137" s="46">
        <f t="shared" si="9"/>
        <v>0.6</v>
      </c>
      <c r="AF137" s="43" t="s">
        <v>898</v>
      </c>
      <c r="AG137" s="43">
        <v>0</v>
      </c>
      <c r="AH137" s="43">
        <v>0</v>
      </c>
      <c r="AI137" s="122" t="s">
        <v>7286</v>
      </c>
      <c r="AJ137" s="41">
        <v>0.56999999999999995</v>
      </c>
    </row>
    <row r="138" spans="1:36" ht="34.5" hidden="1" customHeight="1" x14ac:dyDescent="0.25">
      <c r="A138" s="40">
        <v>225</v>
      </c>
      <c r="B138" s="40" t="s">
        <v>1347</v>
      </c>
      <c r="C138" s="40" t="s">
        <v>1305</v>
      </c>
      <c r="D138" s="40">
        <v>2021</v>
      </c>
      <c r="F138" s="40" t="s">
        <v>1339</v>
      </c>
      <c r="G138" s="40" t="s">
        <v>455</v>
      </c>
      <c r="I138" s="40" t="s">
        <v>1266</v>
      </c>
      <c r="K138" s="40" t="s">
        <v>578</v>
      </c>
      <c r="L138" s="40">
        <v>1</v>
      </c>
      <c r="P138" s="40">
        <v>1</v>
      </c>
      <c r="Z138" s="40" t="s">
        <v>1348</v>
      </c>
      <c r="AA138" s="45">
        <v>10</v>
      </c>
      <c r="AB138" s="46">
        <f>IF(H2ProjectDB689571011[[#This Row],[Dummy_1]]="Electrolysis",
AA138/VLOOKUP(G138,ElectrolysisConvF,3,FALSE),
AC138*10^6/(H2dens*HoursInYear))</f>
        <v>1923.0769230769231</v>
      </c>
      <c r="AC138" s="47">
        <f t="shared" si="12"/>
        <v>1.4993076923076922</v>
      </c>
      <c r="AE138" s="46">
        <f t="shared" si="9"/>
        <v>1923.0769230769231</v>
      </c>
      <c r="AF138" s="43" t="s">
        <v>591</v>
      </c>
      <c r="AG138" s="43">
        <v>50.860561556485102</v>
      </c>
      <c r="AH138" s="43">
        <v>6.9805816155065097</v>
      </c>
      <c r="AI138" s="122" t="s">
        <v>7286</v>
      </c>
      <c r="AJ138" s="41">
        <v>0.56999999999999995</v>
      </c>
    </row>
    <row r="139" spans="1:36" ht="34.5" hidden="1" customHeight="1" x14ac:dyDescent="0.25">
      <c r="A139" s="40">
        <v>227</v>
      </c>
      <c r="B139" s="40" t="s">
        <v>179</v>
      </c>
      <c r="C139" s="40" t="s">
        <v>1305</v>
      </c>
      <c r="D139" s="40">
        <v>2017</v>
      </c>
      <c r="F139" s="40" t="s">
        <v>1339</v>
      </c>
      <c r="G139" s="40" t="s">
        <v>455</v>
      </c>
      <c r="I139" s="40" t="s">
        <v>1266</v>
      </c>
      <c r="K139" s="40" t="s">
        <v>578</v>
      </c>
      <c r="L139" s="40">
        <v>1</v>
      </c>
      <c r="Z139" s="40" t="s">
        <v>1436</v>
      </c>
      <c r="AA139" s="45">
        <v>5</v>
      </c>
      <c r="AB139" s="46">
        <f>IF(H2ProjectDB689571011[[#This Row],[Dummy_1]]="Electrolysis",
AA139/VLOOKUP(G139,ElectrolysisConvF,3,FALSE),
AC139*10^6/(H2dens*HoursInYear))</f>
        <v>961.53846153846155</v>
      </c>
      <c r="AC139" s="47">
        <f t="shared" si="12"/>
        <v>0.74965384615384612</v>
      </c>
      <c r="AE139" s="46">
        <f t="shared" si="9"/>
        <v>961.53846153846155</v>
      </c>
      <c r="AF139" s="43" t="s">
        <v>2212</v>
      </c>
      <c r="AG139" s="43">
        <v>53.514269766157099</v>
      </c>
      <c r="AH139" s="43">
        <v>9.95004694091784</v>
      </c>
      <c r="AI139" s="122" t="s">
        <v>7286</v>
      </c>
      <c r="AJ139" s="41">
        <v>0.56999999999999995</v>
      </c>
    </row>
    <row r="140" spans="1:36" ht="34.5" hidden="1" customHeight="1" x14ac:dyDescent="0.25">
      <c r="A140" s="40">
        <v>235</v>
      </c>
      <c r="B140" s="40" t="s">
        <v>37</v>
      </c>
      <c r="C140" s="40" t="s">
        <v>1305</v>
      </c>
      <c r="D140" s="40">
        <v>2012</v>
      </c>
      <c r="F140" s="40" t="s">
        <v>1339</v>
      </c>
      <c r="G140" s="40" t="s">
        <v>457</v>
      </c>
      <c r="I140" s="40" t="s">
        <v>1528</v>
      </c>
      <c r="K140" s="40" t="s">
        <v>578</v>
      </c>
      <c r="Q140" s="40">
        <v>1</v>
      </c>
      <c r="R140" s="40">
        <v>1</v>
      </c>
      <c r="T140" s="40">
        <v>1</v>
      </c>
      <c r="Z140" s="40" t="s">
        <v>1461</v>
      </c>
      <c r="AA140" s="45">
        <v>0.16500000000000001</v>
      </c>
      <c r="AB140" s="46">
        <f>IF(H2ProjectDB689571011[[#This Row],[Dummy_1]]="Electrolysis",
AA140/VLOOKUP(G140,ElectrolysisConvF,3,FALSE),
AC140*10^6/(H2dens*HoursInYear))</f>
        <v>35.869565217391305</v>
      </c>
      <c r="AC140" s="47">
        <f t="shared" si="12"/>
        <v>2.7965347826086954E-2</v>
      </c>
      <c r="AE140" s="46">
        <f t="shared" si="9"/>
        <v>35.869565217391305</v>
      </c>
      <c r="AF140" s="43" t="s">
        <v>6590</v>
      </c>
      <c r="AG140" s="43">
        <v>51.600305572209699</v>
      </c>
      <c r="AH140" s="43">
        <v>7.1383828014204003</v>
      </c>
      <c r="AI140" s="122" t="s">
        <v>7286</v>
      </c>
      <c r="AJ140" s="41">
        <v>0.56999999999999995</v>
      </c>
    </row>
    <row r="141" spans="1:36" ht="34.5" hidden="1" customHeight="1" x14ac:dyDescent="0.25">
      <c r="A141" s="40">
        <v>236</v>
      </c>
      <c r="B141" s="40" t="s">
        <v>36</v>
      </c>
      <c r="C141" s="40" t="s">
        <v>1305</v>
      </c>
      <c r="D141" s="40">
        <v>2012</v>
      </c>
      <c r="F141" s="40" t="s">
        <v>1339</v>
      </c>
      <c r="G141" s="40" t="s">
        <v>457</v>
      </c>
      <c r="I141" s="40" t="s">
        <v>1528</v>
      </c>
      <c r="K141" s="40" t="s">
        <v>578</v>
      </c>
      <c r="R141" s="40">
        <v>1</v>
      </c>
      <c r="Z141" s="40" t="s">
        <v>1462</v>
      </c>
      <c r="AA141" s="45">
        <v>0.14000000000000001</v>
      </c>
      <c r="AB141" s="46">
        <f>IF(H2ProjectDB689571011[[#This Row],[Dummy_1]]="Electrolysis",
AA141/VLOOKUP(G141,ElectrolysisConvF,3,FALSE),
AC141*10^6/(H2dens*HoursInYear))</f>
        <v>30.434782608695656</v>
      </c>
      <c r="AC141" s="47">
        <f t="shared" si="12"/>
        <v>2.3728173913043479E-2</v>
      </c>
      <c r="AE141" s="46">
        <f t="shared" si="9"/>
        <v>30.434782608695656</v>
      </c>
      <c r="AF141" s="43" t="s">
        <v>1463</v>
      </c>
      <c r="AG141" s="43">
        <v>0</v>
      </c>
      <c r="AH141" s="43">
        <v>0</v>
      </c>
      <c r="AI141" s="122" t="s">
        <v>7286</v>
      </c>
      <c r="AJ141" s="41">
        <v>0.56999999999999995</v>
      </c>
    </row>
    <row r="142" spans="1:36" ht="34.5" hidden="1" customHeight="1" x14ac:dyDescent="0.25">
      <c r="A142" s="40">
        <v>239</v>
      </c>
      <c r="B142" s="40" t="s">
        <v>152</v>
      </c>
      <c r="C142" s="40" t="s">
        <v>1305</v>
      </c>
      <c r="D142" s="40">
        <v>2012</v>
      </c>
      <c r="F142" s="40" t="s">
        <v>1339</v>
      </c>
      <c r="G142" s="40" t="s">
        <v>457</v>
      </c>
      <c r="I142" s="40" t="s">
        <v>1528</v>
      </c>
      <c r="K142" s="40" t="s">
        <v>578</v>
      </c>
      <c r="Q142" s="40">
        <v>1</v>
      </c>
      <c r="Z142" s="40" t="s">
        <v>6543</v>
      </c>
      <c r="AA142" s="45">
        <v>0.12</v>
      </c>
      <c r="AB142" s="46">
        <f>IF(H2ProjectDB689571011[[#This Row],[Dummy_1]]="Electrolysis",
AA142/VLOOKUP(G142,ElectrolysisConvF,3,FALSE),
AC142*10^6/(H2dens*HoursInYear))</f>
        <v>26.086956521739129</v>
      </c>
      <c r="AC142" s="47">
        <f t="shared" si="12"/>
        <v>2.0338434782608696E-2</v>
      </c>
      <c r="AE142" s="46">
        <f t="shared" si="9"/>
        <v>26.086956521739129</v>
      </c>
      <c r="AG142" s="43">
        <v>0</v>
      </c>
      <c r="AH142" s="43">
        <v>0</v>
      </c>
      <c r="AI142" s="122" t="s">
        <v>7286</v>
      </c>
      <c r="AJ142" s="41">
        <v>0.56999999999999995</v>
      </c>
    </row>
    <row r="143" spans="1:36" ht="34.5" hidden="1" customHeight="1" x14ac:dyDescent="0.25">
      <c r="A143" s="40">
        <v>240</v>
      </c>
      <c r="B143" s="40" t="s">
        <v>29</v>
      </c>
      <c r="C143" s="40" t="s">
        <v>1305</v>
      </c>
      <c r="D143" s="40">
        <v>2012</v>
      </c>
      <c r="F143" s="40" t="s">
        <v>1339</v>
      </c>
      <c r="G143" s="40" t="s">
        <v>1259</v>
      </c>
      <c r="H143" s="40" t="s">
        <v>467</v>
      </c>
      <c r="I143" s="40" t="s">
        <v>1528</v>
      </c>
      <c r="K143" s="40" t="s">
        <v>578</v>
      </c>
      <c r="S143" s="40">
        <v>1</v>
      </c>
      <c r="Z143" s="40" t="s">
        <v>6544</v>
      </c>
      <c r="AA143" s="78">
        <f>IF(H2ProjectDB689571011[[#This Row],[Dummy_1]]="Electrolysis",
AB143*VLOOKUP(G143,ElectrolysisConvF,3,FALSE),
"")</f>
        <v>0.10799999999999998</v>
      </c>
      <c r="AB143" s="46">
        <v>24</v>
      </c>
      <c r="AC143" s="47">
        <f t="shared" si="12"/>
        <v>1.871136E-2</v>
      </c>
      <c r="AE143" s="46">
        <f t="shared" si="9"/>
        <v>24</v>
      </c>
      <c r="AF143" s="43" t="s">
        <v>1464</v>
      </c>
      <c r="AG143" s="43">
        <v>0</v>
      </c>
      <c r="AH143" s="43">
        <v>0</v>
      </c>
      <c r="AI143" s="122" t="s">
        <v>7286</v>
      </c>
      <c r="AJ143" s="41">
        <v>0.56999999999999995</v>
      </c>
    </row>
    <row r="144" spans="1:36" ht="34.5" hidden="1" customHeight="1" x14ac:dyDescent="0.25">
      <c r="A144" s="40">
        <v>241</v>
      </c>
      <c r="B144" s="40" t="s">
        <v>189</v>
      </c>
      <c r="C144" s="40" t="s">
        <v>554</v>
      </c>
      <c r="D144" s="40">
        <v>2012</v>
      </c>
      <c r="F144" s="40" t="s">
        <v>1339</v>
      </c>
      <c r="G144" s="40" t="s">
        <v>1259</v>
      </c>
      <c r="H144" s="40" t="s">
        <v>467</v>
      </c>
      <c r="I144" s="40" t="s">
        <v>1528</v>
      </c>
      <c r="K144" s="40" t="s">
        <v>578</v>
      </c>
      <c r="R144" s="40">
        <v>1</v>
      </c>
      <c r="Z144" s="40" t="s">
        <v>1544</v>
      </c>
      <c r="AA144" s="45">
        <v>0.1</v>
      </c>
      <c r="AB144" s="46">
        <f>IF(H2ProjectDB689571011[[#This Row],[Dummy_1]]="Electrolysis",
AA144/VLOOKUP(G144,ElectrolysisConvF,3,FALSE),
AC144*10^6/(H2dens*HoursInYear))</f>
        <v>22.222222222222225</v>
      </c>
      <c r="AC144" s="47">
        <f t="shared" si="12"/>
        <v>1.7325333333333335E-2</v>
      </c>
      <c r="AE144" s="46">
        <f t="shared" si="9"/>
        <v>22.222222222222225</v>
      </c>
      <c r="AF144" s="43" t="s">
        <v>781</v>
      </c>
      <c r="AG144" s="43">
        <v>0</v>
      </c>
      <c r="AH144" s="43">
        <v>0</v>
      </c>
      <c r="AI144" s="122" t="s">
        <v>7286</v>
      </c>
      <c r="AJ144" s="41">
        <v>0.56999999999999995</v>
      </c>
    </row>
    <row r="145" spans="1:36" ht="34.5" hidden="1" customHeight="1" x14ac:dyDescent="0.25">
      <c r="A145" s="40">
        <v>246</v>
      </c>
      <c r="B145" s="40" t="s">
        <v>54</v>
      </c>
      <c r="C145" s="40" t="s">
        <v>542</v>
      </c>
      <c r="D145" s="40">
        <v>2012</v>
      </c>
      <c r="F145" s="40" t="s">
        <v>1339</v>
      </c>
      <c r="G145" s="40" t="s">
        <v>457</v>
      </c>
      <c r="I145" s="40" t="s">
        <v>1528</v>
      </c>
      <c r="K145" s="40" t="s">
        <v>578</v>
      </c>
      <c r="Q145" s="40">
        <v>1</v>
      </c>
      <c r="R145" s="40">
        <v>1</v>
      </c>
      <c r="S145" s="40">
        <v>1</v>
      </c>
      <c r="Z145" s="40" t="s">
        <v>1465</v>
      </c>
      <c r="AA145" s="45">
        <v>0.03</v>
      </c>
      <c r="AB145" s="46">
        <f>IF(H2ProjectDB689571011[[#This Row],[Dummy_1]]="Electrolysis",
AA145/VLOOKUP(G145,ElectrolysisConvF,3,FALSE),
AC145*10^6/(H2dens*HoursInYear))</f>
        <v>6.5217391304347823</v>
      </c>
      <c r="AC145" s="47">
        <f t="shared" si="12"/>
        <v>5.0846086956521739E-3</v>
      </c>
      <c r="AE145" s="46">
        <f t="shared" si="9"/>
        <v>6.5217391304347823</v>
      </c>
      <c r="AF145" s="43" t="s">
        <v>1466</v>
      </c>
      <c r="AG145" s="43">
        <v>0</v>
      </c>
      <c r="AH145" s="43">
        <v>0</v>
      </c>
      <c r="AI145" s="122" t="s">
        <v>7286</v>
      </c>
      <c r="AJ145" s="41">
        <v>0.56999999999999995</v>
      </c>
    </row>
    <row r="146" spans="1:36" ht="34.5" hidden="1" customHeight="1" x14ac:dyDescent="0.25">
      <c r="A146" s="40">
        <v>249</v>
      </c>
      <c r="B146" s="40" t="s">
        <v>32</v>
      </c>
      <c r="C146" s="40" t="s">
        <v>540</v>
      </c>
      <c r="D146" s="40">
        <v>2012</v>
      </c>
      <c r="F146" s="40" t="s">
        <v>1540</v>
      </c>
      <c r="G146" s="40" t="s">
        <v>455</v>
      </c>
      <c r="I146" s="40" t="s">
        <v>1257</v>
      </c>
      <c r="K146" s="40" t="s">
        <v>578</v>
      </c>
      <c r="R146" s="40">
        <v>1</v>
      </c>
      <c r="U146" s="40">
        <v>1</v>
      </c>
      <c r="Z146" s="40" t="s">
        <v>6895</v>
      </c>
      <c r="AA146" s="78">
        <f>IF(H2ProjectDB689571011[[#This Row],[Dummy_1]]="Electrolysis",
AB146*VLOOKUP(G146,ElectrolysisConvF,3,FALSE),
"")</f>
        <v>8.8399999999999989E-3</v>
      </c>
      <c r="AB146" s="46">
        <v>1.7</v>
      </c>
      <c r="AC146" s="47">
        <f t="shared" si="12"/>
        <v>1.3253879999999998E-3</v>
      </c>
      <c r="AE146" s="46">
        <f t="shared" si="9"/>
        <v>1.7</v>
      </c>
      <c r="AF146" s="43" t="s">
        <v>1547</v>
      </c>
      <c r="AG146" s="43">
        <v>0</v>
      </c>
      <c r="AH146" s="43">
        <v>0</v>
      </c>
      <c r="AI146" s="122" t="s">
        <v>7286</v>
      </c>
      <c r="AJ146" s="41">
        <v>0.56999999999999995</v>
      </c>
    </row>
    <row r="147" spans="1:36" ht="34.5" hidden="1" customHeight="1" x14ac:dyDescent="0.25">
      <c r="A147" s="40">
        <v>250</v>
      </c>
      <c r="B147" s="40" t="s">
        <v>966</v>
      </c>
      <c r="C147" s="40" t="s">
        <v>562</v>
      </c>
      <c r="D147" s="40">
        <v>2012</v>
      </c>
      <c r="F147" s="40" t="s">
        <v>1540</v>
      </c>
      <c r="G147" s="40" t="s">
        <v>1259</v>
      </c>
      <c r="H147" s="40" t="s">
        <v>467</v>
      </c>
      <c r="I147" s="40" t="s">
        <v>1528</v>
      </c>
      <c r="K147" s="40" t="s">
        <v>612</v>
      </c>
      <c r="X147" s="40">
        <v>1</v>
      </c>
      <c r="AC147" s="47"/>
      <c r="AE147" s="46">
        <f t="shared" si="9"/>
        <v>0</v>
      </c>
      <c r="AF147" s="43" t="s">
        <v>1546</v>
      </c>
      <c r="AG147" s="43">
        <v>0</v>
      </c>
      <c r="AH147" s="43">
        <v>0</v>
      </c>
      <c r="AI147" s="122" t="s">
        <v>7286</v>
      </c>
      <c r="AJ147" s="41">
        <v>0.56999999999999995</v>
      </c>
    </row>
    <row r="148" spans="1:36" ht="34.5" hidden="1" customHeight="1" x14ac:dyDescent="0.25">
      <c r="A148" s="40">
        <v>251</v>
      </c>
      <c r="B148" s="40" t="s">
        <v>22</v>
      </c>
      <c r="C148" s="40" t="s">
        <v>550</v>
      </c>
      <c r="D148" s="40">
        <v>2012</v>
      </c>
      <c r="F148" s="40" t="s">
        <v>1339</v>
      </c>
      <c r="G148" s="40" t="s">
        <v>1259</v>
      </c>
      <c r="H148" s="40" t="s">
        <v>467</v>
      </c>
      <c r="I148" s="40" t="s">
        <v>1269</v>
      </c>
      <c r="J148" s="40" t="s">
        <v>1395</v>
      </c>
      <c r="K148" s="40" t="s">
        <v>1242</v>
      </c>
      <c r="N148" s="40">
        <v>1</v>
      </c>
      <c r="Z148" s="40" t="s">
        <v>1548</v>
      </c>
      <c r="AA148" s="45">
        <v>6</v>
      </c>
      <c r="AB148" s="46">
        <f>IF(H2ProjectDB689571011[[#This Row],[Dummy_1]]="Electrolysis",
AA148/VLOOKUP(G148,ElectrolysisConvF,3,FALSE),
AC148*10^6/(H2dens*HoursInYear))</f>
        <v>1333.3333333333335</v>
      </c>
      <c r="AC148" s="47">
        <f t="shared" ref="AC148:AC159" si="13">AB148*H2dens*HoursInYear/10^6</f>
        <v>1.03952</v>
      </c>
      <c r="AE148" s="46">
        <f t="shared" si="9"/>
        <v>1333.3333333333335</v>
      </c>
      <c r="AF148" s="43" t="s">
        <v>725</v>
      </c>
      <c r="AG148" s="43">
        <v>63.844239000000002</v>
      </c>
      <c r="AH148" s="43">
        <v>-22.431749799999999</v>
      </c>
      <c r="AI148" s="122" t="s">
        <v>7286</v>
      </c>
      <c r="AJ148" s="41">
        <v>0.5</v>
      </c>
    </row>
    <row r="149" spans="1:36" ht="34.5" hidden="1" customHeight="1" x14ac:dyDescent="0.25">
      <c r="A149" s="40">
        <v>254</v>
      </c>
      <c r="B149" s="40" t="s">
        <v>41</v>
      </c>
      <c r="C149" s="40" t="s">
        <v>1305</v>
      </c>
      <c r="D149" s="40">
        <v>2011</v>
      </c>
      <c r="F149" s="40" t="s">
        <v>1339</v>
      </c>
      <c r="G149" s="40" t="s">
        <v>457</v>
      </c>
      <c r="I149" s="40" t="s">
        <v>1528</v>
      </c>
      <c r="K149" s="40" t="s">
        <v>578</v>
      </c>
      <c r="Q149" s="40">
        <v>1</v>
      </c>
      <c r="Z149" s="40" t="s">
        <v>6540</v>
      </c>
      <c r="AA149" s="45">
        <v>0.6</v>
      </c>
      <c r="AB149" s="46">
        <f>IF(H2ProjectDB689571011[[#This Row],[Dummy_1]]="Electrolysis",
AA149/VLOOKUP(G149,ElectrolysisConvF,3,FALSE),
AC149*10^6/(H2dens*HoursInYear))</f>
        <v>130.43478260869566</v>
      </c>
      <c r="AC149" s="47">
        <f t="shared" si="13"/>
        <v>0.10169217391304347</v>
      </c>
      <c r="AE149" s="46">
        <f t="shared" si="9"/>
        <v>130.43478260869566</v>
      </c>
      <c r="AF149" s="43" t="s">
        <v>1467</v>
      </c>
      <c r="AG149" s="43">
        <v>53.545916265451503</v>
      </c>
      <c r="AH149" s="43">
        <v>10.002516762696199</v>
      </c>
      <c r="AI149" s="122" t="s">
        <v>7286</v>
      </c>
      <c r="AJ149" s="41">
        <v>0.56999999999999995</v>
      </c>
    </row>
    <row r="150" spans="1:36" ht="34.5" hidden="1" customHeight="1" x14ac:dyDescent="0.25">
      <c r="A150" s="40">
        <v>258</v>
      </c>
      <c r="B150" s="40" t="s">
        <v>47</v>
      </c>
      <c r="C150" s="40" t="s">
        <v>1305</v>
      </c>
      <c r="D150" s="40">
        <v>2011</v>
      </c>
      <c r="F150" s="40" t="s">
        <v>1339</v>
      </c>
      <c r="G150" s="40" t="s">
        <v>457</v>
      </c>
      <c r="I150" s="40" t="s">
        <v>1528</v>
      </c>
      <c r="K150" s="40" t="s">
        <v>578</v>
      </c>
      <c r="Q150" s="40">
        <v>1</v>
      </c>
      <c r="R150" s="40">
        <v>1</v>
      </c>
      <c r="S150" s="40">
        <v>1</v>
      </c>
      <c r="U150" s="40">
        <v>1</v>
      </c>
      <c r="Z150" s="40" t="s">
        <v>6546</v>
      </c>
      <c r="AA150" s="45">
        <v>0.5</v>
      </c>
      <c r="AB150" s="46">
        <f>IF(H2ProjectDB689571011[[#This Row],[Dummy_1]]="Electrolysis",
AA150/VLOOKUP(G150,ElectrolysisConvF,3,FALSE),
AC150*10^6/(H2dens*HoursInYear))</f>
        <v>108.69565217391305</v>
      </c>
      <c r="AC150" s="47">
        <f t="shared" si="13"/>
        <v>8.4743478260869559E-2</v>
      </c>
      <c r="AE150" s="46">
        <f t="shared" si="9"/>
        <v>108.69565217391305</v>
      </c>
      <c r="AF150" s="43" t="s">
        <v>1468</v>
      </c>
      <c r="AG150" s="43">
        <v>0</v>
      </c>
      <c r="AH150" s="43">
        <v>0</v>
      </c>
      <c r="AI150" s="122" t="s">
        <v>7286</v>
      </c>
      <c r="AJ150" s="41">
        <v>0.56999999999999995</v>
      </c>
    </row>
    <row r="151" spans="1:36" ht="34.5" hidden="1" customHeight="1" x14ac:dyDescent="0.25">
      <c r="A151" s="40">
        <v>259</v>
      </c>
      <c r="B151" s="40" t="s">
        <v>28</v>
      </c>
      <c r="C151" s="40" t="s">
        <v>1305</v>
      </c>
      <c r="D151" s="40">
        <v>2011</v>
      </c>
      <c r="F151" s="40" t="s">
        <v>1339</v>
      </c>
      <c r="G151" s="40" t="s">
        <v>457</v>
      </c>
      <c r="I151" s="40" t="s">
        <v>1528</v>
      </c>
      <c r="K151" s="40" t="s">
        <v>578</v>
      </c>
      <c r="Q151" s="40">
        <v>1</v>
      </c>
      <c r="Z151" s="40" t="s">
        <v>6547</v>
      </c>
      <c r="AA151" s="45">
        <v>0.3</v>
      </c>
      <c r="AB151" s="46">
        <f>IF(H2ProjectDB689571011[[#This Row],[Dummy_1]]="Electrolysis",
AA151/VLOOKUP(G151,ElectrolysisConvF,3,FALSE),
AC151*10^6/(H2dens*HoursInYear))</f>
        <v>65.217391304347828</v>
      </c>
      <c r="AC151" s="47">
        <f t="shared" si="13"/>
        <v>5.0846086956521735E-2</v>
      </c>
      <c r="AE151" s="46">
        <f t="shared" si="9"/>
        <v>65.217391304347828</v>
      </c>
      <c r="AF151" s="43" t="s">
        <v>1469</v>
      </c>
      <c r="AG151" s="43">
        <v>0</v>
      </c>
      <c r="AH151" s="43">
        <v>0</v>
      </c>
      <c r="AI151" s="122" t="s">
        <v>7286</v>
      </c>
      <c r="AJ151" s="41">
        <v>0.56999999999999995</v>
      </c>
    </row>
    <row r="152" spans="1:36" ht="34.5" hidden="1" customHeight="1" x14ac:dyDescent="0.25">
      <c r="A152" s="40">
        <v>270</v>
      </c>
      <c r="B152" s="40" t="s">
        <v>76</v>
      </c>
      <c r="C152" s="40" t="s">
        <v>533</v>
      </c>
      <c r="D152" s="40">
        <v>2011</v>
      </c>
      <c r="F152" s="40" t="s">
        <v>1339</v>
      </c>
      <c r="G152" s="40" t="s">
        <v>457</v>
      </c>
      <c r="I152" s="40" t="s">
        <v>1528</v>
      </c>
      <c r="K152" s="40" t="s">
        <v>578</v>
      </c>
      <c r="R152" s="40">
        <v>1</v>
      </c>
      <c r="Z152" s="40" t="s">
        <v>6880</v>
      </c>
      <c r="AA152" s="78">
        <f>IF(H2ProjectDB689571011[[#This Row],[Dummy_1]]="Electrolysis",
AB152*VLOOKUP(G152,ElectrolysisConvF,3,FALSE),
"")</f>
        <v>0.1242</v>
      </c>
      <c r="AB152" s="46">
        <v>27</v>
      </c>
      <c r="AC152" s="47">
        <f t="shared" si="13"/>
        <v>2.1050279999999998E-2</v>
      </c>
      <c r="AE152" s="46">
        <f t="shared" si="9"/>
        <v>27</v>
      </c>
      <c r="AF152" s="43" t="s">
        <v>771</v>
      </c>
      <c r="AG152" s="43">
        <v>0</v>
      </c>
      <c r="AH152" s="43">
        <v>0</v>
      </c>
      <c r="AI152" s="122" t="s">
        <v>7286</v>
      </c>
      <c r="AJ152" s="41">
        <v>0.56999999999999995</v>
      </c>
    </row>
    <row r="153" spans="1:36" ht="34.5" hidden="1" customHeight="1" x14ac:dyDescent="0.25">
      <c r="A153" s="40">
        <v>275</v>
      </c>
      <c r="B153" s="40" t="s">
        <v>53</v>
      </c>
      <c r="C153" s="40" t="s">
        <v>553</v>
      </c>
      <c r="D153" s="40">
        <v>2011</v>
      </c>
      <c r="F153" s="40" t="s">
        <v>1339</v>
      </c>
      <c r="G153" s="40" t="s">
        <v>1259</v>
      </c>
      <c r="H153" s="40" t="s">
        <v>467</v>
      </c>
      <c r="I153" s="40" t="s">
        <v>1528</v>
      </c>
      <c r="K153" s="40" t="s">
        <v>578</v>
      </c>
      <c r="R153" s="40">
        <v>1</v>
      </c>
      <c r="Z153" s="40" t="s">
        <v>6902</v>
      </c>
      <c r="AA153" s="78">
        <f>IF(H2ProjectDB689571011[[#This Row],[Dummy_1]]="Electrolysis",
AB153*VLOOKUP(G153,ElectrolysisConvF,3,FALSE),
"")</f>
        <v>4.9499999999999995E-2</v>
      </c>
      <c r="AB153" s="46">
        <v>11</v>
      </c>
      <c r="AC153" s="47">
        <f t="shared" si="13"/>
        <v>8.5760399999999983E-3</v>
      </c>
      <c r="AE153" s="46">
        <f t="shared" si="9"/>
        <v>11</v>
      </c>
      <c r="AG153" s="43">
        <v>0</v>
      </c>
      <c r="AH153" s="43">
        <v>0</v>
      </c>
      <c r="AI153" s="122" t="s">
        <v>7286</v>
      </c>
      <c r="AJ153" s="41">
        <v>0.56999999999999995</v>
      </c>
    </row>
    <row r="154" spans="1:36" ht="34.5" hidden="1" customHeight="1" x14ac:dyDescent="0.25">
      <c r="A154" s="40">
        <v>279</v>
      </c>
      <c r="B154" s="40" t="s">
        <v>24</v>
      </c>
      <c r="C154" s="40" t="s">
        <v>546</v>
      </c>
      <c r="D154" s="40">
        <v>2011</v>
      </c>
      <c r="F154" s="40" t="s">
        <v>1339</v>
      </c>
      <c r="G154" s="40" t="s">
        <v>455</v>
      </c>
      <c r="I154" s="40" t="s">
        <v>1528</v>
      </c>
      <c r="K154" s="40" t="s">
        <v>578</v>
      </c>
      <c r="S154" s="40">
        <v>1</v>
      </c>
      <c r="T154" s="40">
        <v>1</v>
      </c>
      <c r="Z154" s="40" t="s">
        <v>1470</v>
      </c>
      <c r="AA154" s="45">
        <v>0.01</v>
      </c>
      <c r="AB154" s="46">
        <f>IF(H2ProjectDB689571011[[#This Row],[Dummy_1]]="Electrolysis",
AA154/VLOOKUP(G154,ElectrolysisConvF,3,FALSE),
AC154*10^6/(H2dens*HoursInYear))</f>
        <v>1.9230769230769231</v>
      </c>
      <c r="AC154" s="47">
        <f t="shared" si="13"/>
        <v>1.4993076923076924E-3</v>
      </c>
      <c r="AE154" s="46">
        <f t="shared" si="9"/>
        <v>1.9230769230769231</v>
      </c>
      <c r="AF154" s="43" t="s">
        <v>1471</v>
      </c>
      <c r="AG154" s="43">
        <v>0</v>
      </c>
      <c r="AH154" s="43">
        <v>0</v>
      </c>
      <c r="AI154" s="122" t="s">
        <v>7286</v>
      </c>
      <c r="AJ154" s="41">
        <v>0.56999999999999995</v>
      </c>
    </row>
    <row r="155" spans="1:36" ht="34.5" hidden="1" customHeight="1" x14ac:dyDescent="0.25">
      <c r="A155" s="40">
        <v>282</v>
      </c>
      <c r="B155" s="40" t="s">
        <v>43</v>
      </c>
      <c r="C155" s="40" t="s">
        <v>533</v>
      </c>
      <c r="D155" s="40">
        <v>2010</v>
      </c>
      <c r="F155" s="40" t="s">
        <v>1339</v>
      </c>
      <c r="G155" s="40" t="s">
        <v>457</v>
      </c>
      <c r="I155" s="40" t="s">
        <v>1528</v>
      </c>
      <c r="K155" s="40" t="s">
        <v>578</v>
      </c>
      <c r="Q155" s="40">
        <v>1</v>
      </c>
      <c r="R155" s="40">
        <v>1</v>
      </c>
      <c r="Z155" s="40" t="s">
        <v>6547</v>
      </c>
      <c r="AA155" s="45">
        <v>0.3</v>
      </c>
      <c r="AB155" s="46">
        <f>IF(H2ProjectDB689571011[[#This Row],[Dummy_1]]="Electrolysis",
AA155/VLOOKUP(G155,ElectrolysisConvF,3,FALSE),
AC155*10^6/(H2dens*HoursInYear))</f>
        <v>65.217391304347828</v>
      </c>
      <c r="AC155" s="47">
        <f t="shared" si="13"/>
        <v>5.0846086956521735E-2</v>
      </c>
      <c r="AE155" s="46">
        <f t="shared" si="9"/>
        <v>65.217391304347828</v>
      </c>
      <c r="AF155" s="43" t="s">
        <v>1549</v>
      </c>
      <c r="AG155" s="43">
        <v>0</v>
      </c>
      <c r="AH155" s="43">
        <v>0</v>
      </c>
      <c r="AI155" s="122" t="s">
        <v>7286</v>
      </c>
      <c r="AJ155" s="41">
        <v>0.56999999999999995</v>
      </c>
    </row>
    <row r="156" spans="1:36" ht="34.5" hidden="1" customHeight="1" x14ac:dyDescent="0.25">
      <c r="A156" s="40">
        <v>286</v>
      </c>
      <c r="B156" s="40" t="s">
        <v>38</v>
      </c>
      <c r="C156" s="40" t="s">
        <v>545</v>
      </c>
      <c r="D156" s="40">
        <v>2010</v>
      </c>
      <c r="F156" s="40" t="s">
        <v>1339</v>
      </c>
      <c r="G156" s="40" t="s">
        <v>457</v>
      </c>
      <c r="I156" s="40" t="s">
        <v>1528</v>
      </c>
      <c r="K156" s="40" t="s">
        <v>578</v>
      </c>
      <c r="Q156" s="40">
        <v>1</v>
      </c>
      <c r="R156" s="40">
        <v>1</v>
      </c>
      <c r="S156" s="40">
        <v>1</v>
      </c>
      <c r="Z156" s="40" t="s">
        <v>6881</v>
      </c>
      <c r="AA156" s="78">
        <f>IF(H2ProjectDB689571011[[#This Row],[Dummy_1]]="Electrolysis",
AB156*VLOOKUP(G156,ElectrolysisConvF,3,FALSE),
"")</f>
        <v>8.7400000000000005E-2</v>
      </c>
      <c r="AB156" s="46">
        <v>19</v>
      </c>
      <c r="AC156" s="47">
        <f t="shared" si="13"/>
        <v>1.4813159999999999E-2</v>
      </c>
      <c r="AE156" s="46">
        <f t="shared" ref="AE156:AE219" si="14">AB156</f>
        <v>19</v>
      </c>
      <c r="AF156" s="43" t="s">
        <v>780</v>
      </c>
      <c r="AG156" s="43">
        <v>0</v>
      </c>
      <c r="AH156" s="43">
        <v>0</v>
      </c>
      <c r="AI156" s="122" t="s">
        <v>7286</v>
      </c>
      <c r="AJ156" s="41">
        <v>0.56999999999999995</v>
      </c>
    </row>
    <row r="157" spans="1:36" ht="34.5" hidden="1" customHeight="1" x14ac:dyDescent="0.25">
      <c r="A157" s="40">
        <v>288</v>
      </c>
      <c r="B157" s="40" t="s">
        <v>62</v>
      </c>
      <c r="C157" s="40" t="s">
        <v>1764</v>
      </c>
      <c r="D157" s="40">
        <v>2010</v>
      </c>
      <c r="F157" s="40" t="s">
        <v>1540</v>
      </c>
      <c r="G157" s="40" t="s">
        <v>457</v>
      </c>
      <c r="I157" s="40" t="s">
        <v>1528</v>
      </c>
      <c r="K157" s="40" t="s">
        <v>578</v>
      </c>
      <c r="Q157" s="40">
        <v>1</v>
      </c>
      <c r="Z157" s="40" t="s">
        <v>1550</v>
      </c>
      <c r="AA157" s="45">
        <v>6.5000000000000002E-2</v>
      </c>
      <c r="AB157" s="46">
        <f>IF(H2ProjectDB689571011[[#This Row],[Dummy_1]]="Electrolysis",
AA157/VLOOKUP(G157,ElectrolysisConvF,3,FALSE),
AC157*10^6/(H2dens*HoursInYear))</f>
        <v>14.130434782608697</v>
      </c>
      <c r="AC157" s="47">
        <f t="shared" si="13"/>
        <v>1.1016652173913044E-2</v>
      </c>
      <c r="AE157" s="46">
        <f t="shared" si="14"/>
        <v>14.130434782608697</v>
      </c>
      <c r="AF157" s="43" t="s">
        <v>724</v>
      </c>
      <c r="AG157" s="43">
        <v>0</v>
      </c>
      <c r="AH157" s="43">
        <v>0</v>
      </c>
      <c r="AI157" s="122" t="s">
        <v>7286</v>
      </c>
      <c r="AJ157" s="41">
        <v>0.56999999999999995</v>
      </c>
    </row>
    <row r="158" spans="1:36" ht="34.5" hidden="1" customHeight="1" x14ac:dyDescent="0.25">
      <c r="A158" s="40">
        <v>295</v>
      </c>
      <c r="B158" s="40" t="s">
        <v>880</v>
      </c>
      <c r="C158" s="40" t="s">
        <v>554</v>
      </c>
      <c r="D158" s="40">
        <v>2010</v>
      </c>
      <c r="F158" s="40" t="s">
        <v>1540</v>
      </c>
      <c r="G158" s="40" t="s">
        <v>1259</v>
      </c>
      <c r="H158" s="40" t="s">
        <v>467</v>
      </c>
      <c r="I158" s="40" t="s">
        <v>1528</v>
      </c>
      <c r="K158" s="40" t="s">
        <v>578</v>
      </c>
      <c r="R158" s="40">
        <v>1</v>
      </c>
      <c r="Z158" s="40" t="s">
        <v>1551</v>
      </c>
      <c r="AA158" s="45">
        <v>0.22</v>
      </c>
      <c r="AB158" s="46">
        <f>IF(H2ProjectDB689571011[[#This Row],[Dummy_1]]="Electrolysis",
AA158/VLOOKUP(G158,ElectrolysisConvF,3,FALSE),
AC158*10^6/(H2dens*HoursInYear))</f>
        <v>48.888888888888893</v>
      </c>
      <c r="AC158" s="47">
        <f t="shared" si="13"/>
        <v>3.8115733333333332E-2</v>
      </c>
      <c r="AE158" s="46">
        <f t="shared" si="14"/>
        <v>48.888888888888893</v>
      </c>
      <c r="AF158" s="43" t="s">
        <v>882</v>
      </c>
      <c r="AG158" s="43">
        <v>0</v>
      </c>
      <c r="AH158" s="43">
        <v>0</v>
      </c>
      <c r="AI158" s="122" t="s">
        <v>7286</v>
      </c>
      <c r="AJ158" s="41">
        <v>0.56999999999999995</v>
      </c>
    </row>
    <row r="159" spans="1:36" ht="34.5" hidden="1" customHeight="1" x14ac:dyDescent="0.25">
      <c r="A159" s="40">
        <v>296</v>
      </c>
      <c r="B159" s="40" t="s">
        <v>46</v>
      </c>
      <c r="C159" s="40" t="s">
        <v>536</v>
      </c>
      <c r="D159" s="40">
        <v>2010</v>
      </c>
      <c r="F159" s="40" t="s">
        <v>1540</v>
      </c>
      <c r="G159" s="40" t="s">
        <v>455</v>
      </c>
      <c r="I159" s="40" t="s">
        <v>1528</v>
      </c>
      <c r="K159" s="40" t="s">
        <v>578</v>
      </c>
      <c r="R159" s="40">
        <v>1</v>
      </c>
      <c r="Z159" s="40" t="s">
        <v>1552</v>
      </c>
      <c r="AA159" s="45">
        <v>7.0000000000000001E-3</v>
      </c>
      <c r="AB159" s="46">
        <f>IF(H2ProjectDB689571011[[#This Row],[Dummy_1]]="Electrolysis",
AA159/VLOOKUP(G159,ElectrolysisConvF,3,FALSE),
AC159*10^6/(H2dens*HoursInYear))</f>
        <v>1.3461538461538463</v>
      </c>
      <c r="AC159" s="47">
        <f t="shared" si="13"/>
        <v>1.0495153846153847E-3</v>
      </c>
      <c r="AE159" s="46">
        <f t="shared" si="14"/>
        <v>1.3461538461538463</v>
      </c>
      <c r="AF159" s="43" t="s">
        <v>1553</v>
      </c>
      <c r="AG159" s="43">
        <v>0</v>
      </c>
      <c r="AH159" s="43">
        <v>0</v>
      </c>
      <c r="AI159" s="122" t="s">
        <v>7286</v>
      </c>
      <c r="AJ159" s="41">
        <v>0.56999999999999995</v>
      </c>
    </row>
    <row r="160" spans="1:36" ht="34.5" hidden="1" customHeight="1" x14ac:dyDescent="0.25">
      <c r="A160" s="40">
        <v>299</v>
      </c>
      <c r="B160" s="40" t="s">
        <v>148</v>
      </c>
      <c r="C160" s="40" t="s">
        <v>545</v>
      </c>
      <c r="D160" s="40">
        <v>2010</v>
      </c>
      <c r="F160" s="40" t="s">
        <v>1339</v>
      </c>
      <c r="G160" s="40" t="s">
        <v>457</v>
      </c>
      <c r="I160" s="40" t="s">
        <v>1528</v>
      </c>
      <c r="K160" s="40" t="s">
        <v>578</v>
      </c>
      <c r="R160" s="40">
        <v>1</v>
      </c>
      <c r="AC160" s="47"/>
      <c r="AE160" s="46">
        <f t="shared" si="14"/>
        <v>0</v>
      </c>
      <c r="AG160" s="43">
        <v>0</v>
      </c>
      <c r="AH160" s="43">
        <v>0</v>
      </c>
      <c r="AI160" s="122" t="s">
        <v>7286</v>
      </c>
      <c r="AJ160" s="41">
        <v>0.56999999999999995</v>
      </c>
    </row>
    <row r="161" spans="1:36" ht="34.5" hidden="1" customHeight="1" x14ac:dyDescent="0.25">
      <c r="A161" s="40">
        <v>302</v>
      </c>
      <c r="B161" s="40" t="s">
        <v>188</v>
      </c>
      <c r="C161" s="40" t="s">
        <v>539</v>
      </c>
      <c r="D161" s="40">
        <v>2012</v>
      </c>
      <c r="F161" s="40" t="s">
        <v>1339</v>
      </c>
      <c r="G161" s="40" t="s">
        <v>455</v>
      </c>
      <c r="I161" s="40" t="s">
        <v>1528</v>
      </c>
      <c r="K161" s="40" t="s">
        <v>578</v>
      </c>
      <c r="R161" s="40">
        <v>1</v>
      </c>
      <c r="Z161" s="40" t="s">
        <v>6545</v>
      </c>
      <c r="AA161" s="78">
        <f>IF(H2ProjectDB689571011[[#This Row],[Dummy_1]]="Electrolysis",
AB161*VLOOKUP(G161,ElectrolysisConvF,3,FALSE),
"")</f>
        <v>1.04E-2</v>
      </c>
      <c r="AB161" s="46">
        <v>2</v>
      </c>
      <c r="AC161" s="47">
        <f t="shared" ref="AC161:AC186" si="15">AB161*H2dens*HoursInYear/10^6</f>
        <v>1.5592799999999999E-3</v>
      </c>
      <c r="AE161" s="46">
        <f t="shared" si="14"/>
        <v>2</v>
      </c>
      <c r="AF161" s="43" t="s">
        <v>960</v>
      </c>
      <c r="AG161" s="43">
        <v>0</v>
      </c>
      <c r="AH161" s="43">
        <v>0</v>
      </c>
      <c r="AI161" s="122" t="s">
        <v>7286</v>
      </c>
      <c r="AJ161" s="41">
        <v>0.56999999999999995</v>
      </c>
    </row>
    <row r="162" spans="1:36" ht="34.5" hidden="1" customHeight="1" x14ac:dyDescent="0.25">
      <c r="A162" s="40">
        <v>303</v>
      </c>
      <c r="B162" s="40" t="s">
        <v>49</v>
      </c>
      <c r="C162" s="40" t="s">
        <v>563</v>
      </c>
      <c r="D162" s="40">
        <v>2009</v>
      </c>
      <c r="F162" s="40" t="s">
        <v>1339</v>
      </c>
      <c r="G162" s="40" t="s">
        <v>457</v>
      </c>
      <c r="I162" s="40" t="s">
        <v>1269</v>
      </c>
      <c r="J162" s="40" t="s">
        <v>1392</v>
      </c>
      <c r="K162" s="40" t="s">
        <v>578</v>
      </c>
      <c r="R162" s="40">
        <v>1</v>
      </c>
      <c r="Z162" s="40" t="s">
        <v>6882</v>
      </c>
      <c r="AA162" s="78">
        <f>IF(H2ProjectDB689571011[[#This Row],[Dummy_1]]="Electrolysis",
AB162*VLOOKUP(G162,ElectrolysisConvF,3,FALSE),
"")</f>
        <v>0.82799999999999996</v>
      </c>
      <c r="AB162" s="46">
        <v>180</v>
      </c>
      <c r="AC162" s="47">
        <f t="shared" si="15"/>
        <v>0.14033519999999999</v>
      </c>
      <c r="AE162" s="46">
        <f t="shared" si="14"/>
        <v>180</v>
      </c>
      <c r="AF162" s="43" t="s">
        <v>694</v>
      </c>
      <c r="AG162" s="43">
        <v>-45.866278434811299</v>
      </c>
      <c r="AH162" s="43">
        <v>-67.489124911970407</v>
      </c>
      <c r="AI162" s="122" t="s">
        <v>7286</v>
      </c>
      <c r="AJ162" s="41">
        <v>0.4</v>
      </c>
    </row>
    <row r="163" spans="1:36" ht="34.5" hidden="1" customHeight="1" x14ac:dyDescent="0.25">
      <c r="A163" s="40">
        <v>305</v>
      </c>
      <c r="B163" s="40" t="s">
        <v>949</v>
      </c>
      <c r="C163" s="40" t="s">
        <v>950</v>
      </c>
      <c r="D163" s="40">
        <v>2009</v>
      </c>
      <c r="F163" s="40" t="s">
        <v>1339</v>
      </c>
      <c r="G163" s="40" t="s">
        <v>1259</v>
      </c>
      <c r="H163" s="40" t="s">
        <v>467</v>
      </c>
      <c r="I163" s="40" t="s">
        <v>1528</v>
      </c>
      <c r="K163" s="40" t="s">
        <v>578</v>
      </c>
      <c r="R163" s="40">
        <v>1</v>
      </c>
      <c r="Z163" s="40" t="s">
        <v>1440</v>
      </c>
      <c r="AA163" s="45">
        <v>0.2</v>
      </c>
      <c r="AB163" s="46">
        <f>IF(H2ProjectDB689571011[[#This Row],[Dummy_1]]="Electrolysis",
AA163/VLOOKUP(G163,ElectrolysisConvF,3,FALSE),
AC163*10^6/(H2dens*HoursInYear))</f>
        <v>44.44444444444445</v>
      </c>
      <c r="AC163" s="47">
        <f t="shared" si="15"/>
        <v>3.465066666666667E-2</v>
      </c>
      <c r="AE163" s="46">
        <f t="shared" si="14"/>
        <v>44.44444444444445</v>
      </c>
      <c r="AF163" s="43" t="s">
        <v>953</v>
      </c>
      <c r="AG163" s="43">
        <v>0</v>
      </c>
      <c r="AH163" s="43">
        <v>0</v>
      </c>
      <c r="AI163" s="122" t="s">
        <v>7286</v>
      </c>
      <c r="AJ163" s="41">
        <v>0.56999999999999995</v>
      </c>
    </row>
    <row r="164" spans="1:36" ht="34.5" hidden="1" customHeight="1" x14ac:dyDescent="0.25">
      <c r="A164" s="40">
        <v>306</v>
      </c>
      <c r="B164" s="40" t="s">
        <v>175</v>
      </c>
      <c r="C164" s="40" t="s">
        <v>553</v>
      </c>
      <c r="D164" s="40">
        <v>2009</v>
      </c>
      <c r="E164" s="40">
        <v>2023</v>
      </c>
      <c r="F164" s="40" t="s">
        <v>1540</v>
      </c>
      <c r="G164" s="40" t="s">
        <v>457</v>
      </c>
      <c r="I164" s="40" t="s">
        <v>1528</v>
      </c>
      <c r="K164" s="40" t="s">
        <v>578</v>
      </c>
      <c r="Q164" s="40">
        <v>1</v>
      </c>
      <c r="Z164" s="40" t="s">
        <v>6883</v>
      </c>
      <c r="AA164" s="45">
        <v>0.16</v>
      </c>
      <c r="AB164" s="46">
        <f>IF(H2ProjectDB689571011[[#This Row],[Dummy_1]]="Electrolysis",
AA164/VLOOKUP(G164,ElectrolysisConvF,3,FALSE),
AC164*10^6/(H2dens*HoursInYear))</f>
        <v>34.782608695652172</v>
      </c>
      <c r="AC164" s="47">
        <f t="shared" si="15"/>
        <v>2.711791304347826E-2</v>
      </c>
      <c r="AE164" s="46">
        <f t="shared" si="14"/>
        <v>34.782608695652172</v>
      </c>
      <c r="AG164" s="43">
        <v>0</v>
      </c>
      <c r="AH164" s="43">
        <v>0</v>
      </c>
      <c r="AI164" s="122" t="s">
        <v>7286</v>
      </c>
      <c r="AJ164" s="41">
        <v>0.56999999999999995</v>
      </c>
    </row>
    <row r="165" spans="1:36" ht="34.5" hidden="1" customHeight="1" x14ac:dyDescent="0.25">
      <c r="A165" s="40">
        <v>309</v>
      </c>
      <c r="B165" s="40" t="s">
        <v>149</v>
      </c>
      <c r="C165" s="40" t="s">
        <v>530</v>
      </c>
      <c r="D165" s="40">
        <v>2009</v>
      </c>
      <c r="F165" s="40" t="s">
        <v>1540</v>
      </c>
      <c r="G165" s="40" t="s">
        <v>457</v>
      </c>
      <c r="I165" s="40" t="s">
        <v>1528</v>
      </c>
      <c r="K165" s="40" t="s">
        <v>612</v>
      </c>
      <c r="Y165" s="40">
        <v>1</v>
      </c>
      <c r="Z165" s="40" t="s">
        <v>1554</v>
      </c>
      <c r="AA165" s="45">
        <v>0.08</v>
      </c>
      <c r="AB165" s="46">
        <f>IF(H2ProjectDB689571011[[#This Row],[Dummy_1]]="Electrolysis",
AA165/VLOOKUP(G165,ElectrolysisConvF,3,FALSE),
AC165*10^6/(H2dens*HoursInYear))</f>
        <v>17.391304347826086</v>
      </c>
      <c r="AC165" s="47">
        <f t="shared" si="15"/>
        <v>1.355895652173913E-2</v>
      </c>
      <c r="AE165" s="46">
        <f t="shared" si="14"/>
        <v>17.391304347826086</v>
      </c>
      <c r="AG165" s="43">
        <v>51.035664427962999</v>
      </c>
      <c r="AH165" s="43">
        <v>2.3774355500407598</v>
      </c>
      <c r="AI165" s="122" t="s">
        <v>7286</v>
      </c>
      <c r="AJ165" s="41">
        <v>0.56999999999999995</v>
      </c>
    </row>
    <row r="166" spans="1:36" ht="34.5" hidden="1" customHeight="1" x14ac:dyDescent="0.25">
      <c r="A166" s="40">
        <v>312</v>
      </c>
      <c r="B166" s="40" t="s">
        <v>77</v>
      </c>
      <c r="C166" s="40" t="s">
        <v>1305</v>
      </c>
      <c r="D166" s="40">
        <v>2009</v>
      </c>
      <c r="F166" s="40" t="s">
        <v>1339</v>
      </c>
      <c r="G166" s="40" t="s">
        <v>457</v>
      </c>
      <c r="I166" s="40" t="s">
        <v>1266</v>
      </c>
      <c r="K166" s="40" t="s">
        <v>578</v>
      </c>
      <c r="R166" s="40">
        <v>1</v>
      </c>
      <c r="Z166" s="40" t="s">
        <v>1472</v>
      </c>
      <c r="AA166" s="45">
        <v>6.0000000000000001E-3</v>
      </c>
      <c r="AB166" s="46">
        <f>IF(H2ProjectDB689571011[[#This Row],[Dummy_1]]="Electrolysis",
AA166/VLOOKUP(G166,ElectrolysisConvF,3,FALSE),
AC166*10^6/(H2dens*HoursInYear))</f>
        <v>1.3043478260869565</v>
      </c>
      <c r="AC166" s="47">
        <f t="shared" si="15"/>
        <v>1.0169217391304346E-3</v>
      </c>
      <c r="AE166" s="46">
        <f t="shared" si="14"/>
        <v>1.3043478260869565</v>
      </c>
      <c r="AF166" s="43" t="s">
        <v>1473</v>
      </c>
      <c r="AG166" s="43">
        <v>0</v>
      </c>
      <c r="AH166" s="43">
        <v>0</v>
      </c>
      <c r="AI166" s="122" t="s">
        <v>7286</v>
      </c>
      <c r="AJ166" s="41">
        <v>0.56999999999999995</v>
      </c>
    </row>
    <row r="167" spans="1:36" ht="34.5" hidden="1" customHeight="1" x14ac:dyDescent="0.25">
      <c r="A167" s="40">
        <v>313</v>
      </c>
      <c r="B167" s="40" t="s">
        <v>116</v>
      </c>
      <c r="C167" s="40" t="s">
        <v>536</v>
      </c>
      <c r="D167" s="40">
        <v>2009</v>
      </c>
      <c r="F167" s="40" t="s">
        <v>1540</v>
      </c>
      <c r="G167" s="40" t="s">
        <v>455</v>
      </c>
      <c r="I167" s="40" t="s">
        <v>1528</v>
      </c>
      <c r="P167" s="40">
        <v>1</v>
      </c>
      <c r="Z167" s="40" t="s">
        <v>1502</v>
      </c>
      <c r="AA167" s="45">
        <v>5.0000000000000001E-3</v>
      </c>
      <c r="AB167" s="46">
        <f>IF(H2ProjectDB689571011[[#This Row],[Dummy_1]]="Electrolysis",
AA167/VLOOKUP(G167,ElectrolysisConvF,3,FALSE),
AC167*10^6/(H2dens*HoursInYear))</f>
        <v>0.96153846153846156</v>
      </c>
      <c r="AC167" s="47">
        <f t="shared" si="15"/>
        <v>7.4965384615384618E-4</v>
      </c>
      <c r="AE167" s="46">
        <f t="shared" si="14"/>
        <v>0.96153846153846156</v>
      </c>
      <c r="AF167" s="43" t="s">
        <v>1555</v>
      </c>
      <c r="AG167" s="43">
        <v>0</v>
      </c>
      <c r="AH167" s="43">
        <v>0</v>
      </c>
      <c r="AI167" s="122" t="s">
        <v>7286</v>
      </c>
      <c r="AJ167" s="41">
        <v>0.56999999999999995</v>
      </c>
    </row>
    <row r="168" spans="1:36" ht="34.5" hidden="1" customHeight="1" x14ac:dyDescent="0.25">
      <c r="A168" s="40">
        <v>314</v>
      </c>
      <c r="B168" s="40" t="s">
        <v>883</v>
      </c>
      <c r="C168" s="40" t="s">
        <v>554</v>
      </c>
      <c r="D168" s="40">
        <v>2009</v>
      </c>
      <c r="F168" s="40" t="s">
        <v>1540</v>
      </c>
      <c r="G168" s="40" t="s">
        <v>455</v>
      </c>
      <c r="I168" s="40" t="s">
        <v>1528</v>
      </c>
      <c r="K168" s="40" t="s">
        <v>578</v>
      </c>
      <c r="R168" s="40">
        <v>1</v>
      </c>
      <c r="Z168" s="40" t="s">
        <v>1556</v>
      </c>
      <c r="AA168" s="45">
        <v>4.0000000000000001E-3</v>
      </c>
      <c r="AB168" s="46">
        <f>IF(H2ProjectDB689571011[[#This Row],[Dummy_1]]="Electrolysis",
AA168/VLOOKUP(G168,ElectrolysisConvF,3,FALSE),
AC168*10^6/(H2dens*HoursInYear))</f>
        <v>0.76923076923076927</v>
      </c>
      <c r="AC168" s="47">
        <f t="shared" si="15"/>
        <v>5.9972307692307699E-4</v>
      </c>
      <c r="AE168" s="46">
        <f t="shared" si="14"/>
        <v>0.76923076923076927</v>
      </c>
      <c r="AF168" s="43" t="s">
        <v>885</v>
      </c>
      <c r="AG168" s="43">
        <v>0</v>
      </c>
      <c r="AH168" s="43">
        <v>0</v>
      </c>
      <c r="AI168" s="122" t="s">
        <v>7286</v>
      </c>
      <c r="AJ168" s="41">
        <v>0.56999999999999995</v>
      </c>
    </row>
    <row r="169" spans="1:36" ht="34.5" hidden="1" customHeight="1" x14ac:dyDescent="0.25">
      <c r="A169" s="40">
        <v>315</v>
      </c>
      <c r="B169" s="40" t="s">
        <v>168</v>
      </c>
      <c r="C169" s="40" t="s">
        <v>549</v>
      </c>
      <c r="D169" s="40">
        <v>2009</v>
      </c>
      <c r="F169" s="40" t="s">
        <v>1540</v>
      </c>
      <c r="G169" s="40" t="s">
        <v>455</v>
      </c>
      <c r="I169" s="40" t="s">
        <v>1528</v>
      </c>
      <c r="K169" s="40" t="s">
        <v>578</v>
      </c>
      <c r="R169" s="40">
        <v>1</v>
      </c>
      <c r="Z169" s="40" t="s">
        <v>1557</v>
      </c>
      <c r="AA169" s="45">
        <v>2.5000000000000001E-3</v>
      </c>
      <c r="AB169" s="46">
        <f>IF(H2ProjectDB689571011[[#This Row],[Dummy_1]]="Electrolysis",
AA169/VLOOKUP(G169,ElectrolysisConvF,3,FALSE),
AC169*10^6/(H2dens*HoursInYear))</f>
        <v>0.48076923076923078</v>
      </c>
      <c r="AC169" s="47">
        <f t="shared" si="15"/>
        <v>3.7482692307692309E-4</v>
      </c>
      <c r="AE169" s="46">
        <f t="shared" si="14"/>
        <v>0.48076923076923078</v>
      </c>
      <c r="AF169" s="43" t="s">
        <v>918</v>
      </c>
      <c r="AG169" s="43">
        <v>0</v>
      </c>
      <c r="AH169" s="43">
        <v>0</v>
      </c>
      <c r="AI169" s="122" t="s">
        <v>7286</v>
      </c>
      <c r="AJ169" s="41">
        <v>0.56999999999999995</v>
      </c>
    </row>
    <row r="170" spans="1:36" ht="34.5" hidden="1" customHeight="1" x14ac:dyDescent="0.25">
      <c r="A170" s="40">
        <v>333</v>
      </c>
      <c r="B170" s="40" t="s">
        <v>19</v>
      </c>
      <c r="C170" s="40" t="s">
        <v>542</v>
      </c>
      <c r="D170" s="40">
        <v>2008</v>
      </c>
      <c r="F170" s="40" t="s">
        <v>1339</v>
      </c>
      <c r="G170" s="40" t="s">
        <v>457</v>
      </c>
      <c r="I170" s="40" t="s">
        <v>1528</v>
      </c>
      <c r="K170" s="40" t="s">
        <v>578</v>
      </c>
      <c r="Q170" s="40">
        <v>1</v>
      </c>
      <c r="R170" s="40">
        <v>1</v>
      </c>
      <c r="Z170" s="40" t="s">
        <v>6529</v>
      </c>
      <c r="AA170" s="78">
        <f>IF(H2ProjectDB689571011[[#This Row],[Dummy_1]]="Electrolysis",
AB170*VLOOKUP(G170,ElectrolysisConvF,3,FALSE),
"")</f>
        <v>4.5999999999999999E-2</v>
      </c>
      <c r="AB170" s="46">
        <v>10</v>
      </c>
      <c r="AC170" s="47">
        <f t="shared" si="15"/>
        <v>7.7963999999999985E-3</v>
      </c>
      <c r="AE170" s="46">
        <f t="shared" si="14"/>
        <v>10</v>
      </c>
      <c r="AF170" s="43" t="s">
        <v>1474</v>
      </c>
      <c r="AG170" s="43">
        <v>0</v>
      </c>
      <c r="AH170" s="43">
        <v>0</v>
      </c>
      <c r="AI170" s="122" t="s">
        <v>7286</v>
      </c>
      <c r="AJ170" s="41">
        <v>0.56999999999999995</v>
      </c>
    </row>
    <row r="171" spans="1:36" ht="34.5" hidden="1" customHeight="1" x14ac:dyDescent="0.25">
      <c r="A171" s="40">
        <v>340</v>
      </c>
      <c r="B171" s="40" t="s">
        <v>177</v>
      </c>
      <c r="C171" s="40" t="s">
        <v>536</v>
      </c>
      <c r="D171" s="40">
        <v>2008</v>
      </c>
      <c r="F171" s="40" t="s">
        <v>1540</v>
      </c>
      <c r="G171" s="40" t="s">
        <v>455</v>
      </c>
      <c r="I171" s="40" t="s">
        <v>1528</v>
      </c>
      <c r="K171" s="40" t="s">
        <v>578</v>
      </c>
      <c r="P171" s="40">
        <v>1</v>
      </c>
      <c r="Z171" s="40" t="s">
        <v>6896</v>
      </c>
      <c r="AA171" s="78">
        <f>IF(H2ProjectDB689571011[[#This Row],[Dummy_1]]="Electrolysis",
AB171*VLOOKUP(G171,ElectrolysisConvF,3,FALSE),
"")</f>
        <v>3.6400000000000002E-2</v>
      </c>
      <c r="AB171" s="46">
        <v>7</v>
      </c>
      <c r="AC171" s="47">
        <f t="shared" si="15"/>
        <v>5.4574799999999998E-3</v>
      </c>
      <c r="AE171" s="46">
        <f t="shared" si="14"/>
        <v>7</v>
      </c>
      <c r="AG171" s="43">
        <v>0</v>
      </c>
      <c r="AH171" s="43">
        <v>0</v>
      </c>
      <c r="AI171" s="122" t="s">
        <v>7286</v>
      </c>
      <c r="AJ171" s="41">
        <v>0.56999999999999995</v>
      </c>
    </row>
    <row r="172" spans="1:36" ht="34.5" hidden="1" customHeight="1" x14ac:dyDescent="0.25">
      <c r="A172" s="40">
        <v>341</v>
      </c>
      <c r="B172" s="40" t="s">
        <v>51</v>
      </c>
      <c r="C172" s="40" t="s">
        <v>553</v>
      </c>
      <c r="D172" s="40">
        <v>2008</v>
      </c>
      <c r="F172" s="40" t="s">
        <v>1540</v>
      </c>
      <c r="G172" s="40" t="s">
        <v>455</v>
      </c>
      <c r="I172" s="40" t="s">
        <v>1528</v>
      </c>
      <c r="K172" s="40" t="s">
        <v>578</v>
      </c>
      <c r="Q172" s="40">
        <v>1</v>
      </c>
      <c r="Z172" s="40" t="s">
        <v>1552</v>
      </c>
      <c r="AA172" s="45">
        <v>7.0000000000000001E-3</v>
      </c>
      <c r="AB172" s="46">
        <f>IF(H2ProjectDB689571011[[#This Row],[Dummy_1]]="Electrolysis",
AA172/VLOOKUP(G172,ElectrolysisConvF,3,FALSE),
AC172*10^6/(H2dens*HoursInYear))</f>
        <v>1.3461538461538463</v>
      </c>
      <c r="AC172" s="47">
        <f t="shared" si="15"/>
        <v>1.0495153846153847E-3</v>
      </c>
      <c r="AE172" s="46">
        <f t="shared" si="14"/>
        <v>1.3461538461538463</v>
      </c>
      <c r="AF172" s="43" t="s">
        <v>1558</v>
      </c>
      <c r="AG172" s="43">
        <v>0</v>
      </c>
      <c r="AH172" s="43">
        <v>0</v>
      </c>
      <c r="AI172" s="122" t="s">
        <v>7286</v>
      </c>
      <c r="AJ172" s="41">
        <v>0.56999999999999995</v>
      </c>
    </row>
    <row r="173" spans="1:36" ht="34.5" hidden="1" customHeight="1" x14ac:dyDescent="0.25">
      <c r="A173" s="40">
        <v>342</v>
      </c>
      <c r="B173" s="40" t="s">
        <v>85</v>
      </c>
      <c r="C173" s="40" t="s">
        <v>554</v>
      </c>
      <c r="D173" s="40">
        <v>2008</v>
      </c>
      <c r="F173" s="40" t="s">
        <v>1540</v>
      </c>
      <c r="G173" s="40" t="s">
        <v>455</v>
      </c>
      <c r="I173" s="40" t="s">
        <v>1528</v>
      </c>
      <c r="K173" s="40" t="s">
        <v>578</v>
      </c>
      <c r="Q173" s="40">
        <v>1</v>
      </c>
      <c r="Z173" s="40" t="s">
        <v>6554</v>
      </c>
      <c r="AA173" s="78">
        <f>IF(H2ProjectDB689571011[[#This Row],[Dummy_1]]="Electrolysis",
AB173*VLOOKUP(G173,ElectrolysisConvF,3,FALSE),
"")</f>
        <v>3.6399999999999996E-3</v>
      </c>
      <c r="AB173" s="46">
        <v>0.7</v>
      </c>
      <c r="AC173" s="47">
        <f t="shared" si="15"/>
        <v>5.4574799999999998E-4</v>
      </c>
      <c r="AE173" s="46">
        <f t="shared" si="14"/>
        <v>0.7</v>
      </c>
      <c r="AF173" s="43" t="s">
        <v>1559</v>
      </c>
      <c r="AG173" s="43">
        <v>0</v>
      </c>
      <c r="AH173" s="43">
        <v>0</v>
      </c>
      <c r="AI173" s="122" t="s">
        <v>7286</v>
      </c>
      <c r="AJ173" s="41">
        <v>0.56999999999999995</v>
      </c>
    </row>
    <row r="174" spans="1:36" ht="34.5" hidden="1" customHeight="1" x14ac:dyDescent="0.25">
      <c r="A174" s="40">
        <v>343</v>
      </c>
      <c r="B174" s="40" t="s">
        <v>57</v>
      </c>
      <c r="C174" s="40" t="s">
        <v>549</v>
      </c>
      <c r="D174" s="40">
        <v>2008</v>
      </c>
      <c r="F174" s="40" t="s">
        <v>1540</v>
      </c>
      <c r="G174" s="40" t="s">
        <v>455</v>
      </c>
      <c r="I174" s="40" t="s">
        <v>1528</v>
      </c>
      <c r="K174" s="40" t="s">
        <v>578</v>
      </c>
      <c r="Q174" s="40">
        <v>1</v>
      </c>
      <c r="R174" s="40">
        <v>1</v>
      </c>
      <c r="Z174" s="40" t="s">
        <v>6897</v>
      </c>
      <c r="AA174" s="78">
        <f>IF(H2ProjectDB689571011[[#This Row],[Dummy_1]]="Electrolysis",
AB174*VLOOKUP(G174,ElectrolysisConvF,3,FALSE),
"")</f>
        <v>4.6799999999999994E-4</v>
      </c>
      <c r="AB174" s="46">
        <v>0.09</v>
      </c>
      <c r="AC174" s="47">
        <f t="shared" si="15"/>
        <v>7.0167599999999995E-5</v>
      </c>
      <c r="AE174" s="46">
        <f t="shared" si="14"/>
        <v>0.09</v>
      </c>
      <c r="AF174" s="43" t="s">
        <v>1560</v>
      </c>
      <c r="AG174" s="43">
        <v>0</v>
      </c>
      <c r="AH174" s="43">
        <v>0</v>
      </c>
      <c r="AI174" s="122" t="s">
        <v>7286</v>
      </c>
      <c r="AJ174" s="41">
        <v>0.56999999999999995</v>
      </c>
    </row>
    <row r="175" spans="1:36" ht="34.5" hidden="1" customHeight="1" x14ac:dyDescent="0.25">
      <c r="A175" s="40">
        <v>356</v>
      </c>
      <c r="B175" s="40" t="s">
        <v>78</v>
      </c>
      <c r="C175" s="40" t="s">
        <v>1764</v>
      </c>
      <c r="D175" s="40">
        <v>2007</v>
      </c>
      <c r="F175" s="40" t="s">
        <v>1540</v>
      </c>
      <c r="G175" s="40" t="s">
        <v>457</v>
      </c>
      <c r="I175" s="40" t="s">
        <v>1528</v>
      </c>
      <c r="K175" s="40" t="s">
        <v>578</v>
      </c>
      <c r="Q175" s="40">
        <v>1</v>
      </c>
      <c r="Z175" s="40" t="s">
        <v>1561</v>
      </c>
      <c r="AA175" s="45">
        <v>5.5E-2</v>
      </c>
      <c r="AB175" s="46">
        <f>IF(H2ProjectDB689571011[[#This Row],[Dummy_1]]="Electrolysis",
AA175/VLOOKUP(G175,ElectrolysisConvF,3,FALSE),
AC175*10^6/(H2dens*HoursInYear))</f>
        <v>11.956521739130435</v>
      </c>
      <c r="AC175" s="47">
        <f t="shared" si="15"/>
        <v>9.3217826086956519E-3</v>
      </c>
      <c r="AE175" s="46">
        <f t="shared" si="14"/>
        <v>11.956521739130435</v>
      </c>
      <c r="AF175" s="43" t="s">
        <v>1562</v>
      </c>
      <c r="AG175" s="43">
        <v>0</v>
      </c>
      <c r="AH175" s="43">
        <v>0</v>
      </c>
      <c r="AI175" s="122" t="s">
        <v>7286</v>
      </c>
      <c r="AJ175" s="41">
        <v>0.56999999999999995</v>
      </c>
    </row>
    <row r="176" spans="1:36" ht="34.5" hidden="1" customHeight="1" x14ac:dyDescent="0.25">
      <c r="A176" s="40">
        <v>362</v>
      </c>
      <c r="B176" s="40" t="s">
        <v>35</v>
      </c>
      <c r="C176" s="40" t="s">
        <v>541</v>
      </c>
      <c r="D176" s="40">
        <v>2007</v>
      </c>
      <c r="F176" s="40" t="s">
        <v>1540</v>
      </c>
      <c r="G176" s="40" t="s">
        <v>457</v>
      </c>
      <c r="I176" s="40" t="s">
        <v>1528</v>
      </c>
      <c r="K176" s="40" t="s">
        <v>578</v>
      </c>
      <c r="R176" s="40">
        <v>1</v>
      </c>
      <c r="Z176" s="40" t="s">
        <v>1552</v>
      </c>
      <c r="AA176" s="45">
        <v>7.0000000000000001E-3</v>
      </c>
      <c r="AB176" s="46">
        <f>IF(H2ProjectDB689571011[[#This Row],[Dummy_1]]="Electrolysis",
AA176/VLOOKUP(G176,ElectrolysisConvF,3,FALSE),
AC176*10^6/(H2dens*HoursInYear))</f>
        <v>1.5217391304347827</v>
      </c>
      <c r="AC176" s="47">
        <f t="shared" si="15"/>
        <v>1.186408695652174E-3</v>
      </c>
      <c r="AE176" s="46">
        <f t="shared" si="14"/>
        <v>1.5217391304347827</v>
      </c>
      <c r="AF176" s="43" t="s">
        <v>1563</v>
      </c>
      <c r="AG176" s="43">
        <v>0</v>
      </c>
      <c r="AH176" s="43">
        <v>0</v>
      </c>
      <c r="AI176" s="122" t="s">
        <v>7286</v>
      </c>
      <c r="AJ176" s="41">
        <v>0.56999999999999995</v>
      </c>
    </row>
    <row r="177" spans="1:36" ht="34.5" hidden="1" customHeight="1" x14ac:dyDescent="0.25">
      <c r="A177" s="40">
        <v>363</v>
      </c>
      <c r="B177" s="40" t="s">
        <v>125</v>
      </c>
      <c r="C177" s="40" t="s">
        <v>553</v>
      </c>
      <c r="D177" s="40">
        <v>2007</v>
      </c>
      <c r="F177" s="40" t="s">
        <v>1540</v>
      </c>
      <c r="G177" s="40" t="s">
        <v>455</v>
      </c>
      <c r="I177" s="40" t="s">
        <v>1528</v>
      </c>
      <c r="K177" s="40" t="s">
        <v>578</v>
      </c>
      <c r="R177" s="40">
        <v>1</v>
      </c>
      <c r="Z177" s="40" t="s">
        <v>6554</v>
      </c>
      <c r="AA177" s="78">
        <f>IF(H2ProjectDB689571011[[#This Row],[Dummy_1]]="Electrolysis",
AB177*VLOOKUP(G177,ElectrolysisConvF,3,FALSE),
"")</f>
        <v>3.6399999999999996E-3</v>
      </c>
      <c r="AB177" s="46">
        <v>0.7</v>
      </c>
      <c r="AC177" s="47">
        <f t="shared" si="15"/>
        <v>5.4574799999999998E-4</v>
      </c>
      <c r="AE177" s="46">
        <f t="shared" si="14"/>
        <v>0.7</v>
      </c>
      <c r="AF177" s="43" t="s">
        <v>790</v>
      </c>
      <c r="AG177" s="43">
        <v>0</v>
      </c>
      <c r="AH177" s="43">
        <v>0</v>
      </c>
      <c r="AI177" s="122" t="s">
        <v>7286</v>
      </c>
      <c r="AJ177" s="41">
        <v>0.56999999999999995</v>
      </c>
    </row>
    <row r="178" spans="1:36" ht="34.5" hidden="1" customHeight="1" x14ac:dyDescent="0.25">
      <c r="A178" s="40">
        <v>366</v>
      </c>
      <c r="B178" s="40" t="s">
        <v>130</v>
      </c>
      <c r="C178" s="40" t="s">
        <v>1764</v>
      </c>
      <c r="D178" s="40">
        <v>2006</v>
      </c>
      <c r="F178" s="40" t="s">
        <v>1540</v>
      </c>
      <c r="G178" s="40" t="s">
        <v>457</v>
      </c>
      <c r="I178" s="40" t="s">
        <v>1528</v>
      </c>
      <c r="K178" s="40" t="s">
        <v>578</v>
      </c>
      <c r="Q178" s="40">
        <v>1</v>
      </c>
      <c r="Z178" s="40" t="s">
        <v>6547</v>
      </c>
      <c r="AA178" s="45">
        <v>0.3</v>
      </c>
      <c r="AB178" s="46">
        <f>IF(H2ProjectDB689571011[[#This Row],[Dummy_1]]="Electrolysis",
AA178/VLOOKUP(G178,ElectrolysisConvF,3,FALSE),
AC178*10^6/(H2dens*HoursInYear))</f>
        <v>65.217391304347828</v>
      </c>
      <c r="AC178" s="47">
        <f t="shared" si="15"/>
        <v>5.0846086956521735E-2</v>
      </c>
      <c r="AE178" s="46">
        <f t="shared" si="14"/>
        <v>65.217391304347828</v>
      </c>
      <c r="AF178" s="43" t="s">
        <v>1564</v>
      </c>
      <c r="AG178" s="43">
        <v>0</v>
      </c>
      <c r="AH178" s="43">
        <v>0</v>
      </c>
      <c r="AI178" s="122" t="s">
        <v>7286</v>
      </c>
      <c r="AJ178" s="41">
        <v>0.56999999999999995</v>
      </c>
    </row>
    <row r="179" spans="1:36" ht="34.5" hidden="1" customHeight="1" x14ac:dyDescent="0.25">
      <c r="A179" s="40">
        <v>387</v>
      </c>
      <c r="B179" s="40" t="s">
        <v>190</v>
      </c>
      <c r="C179" s="40" t="s">
        <v>539</v>
      </c>
      <c r="D179" s="40">
        <v>2013</v>
      </c>
      <c r="F179" s="40" t="s">
        <v>1540</v>
      </c>
      <c r="G179" s="40" t="s">
        <v>1259</v>
      </c>
      <c r="H179" s="40" t="s">
        <v>467</v>
      </c>
      <c r="I179" s="40" t="s">
        <v>1528</v>
      </c>
      <c r="K179" s="40" t="s">
        <v>578</v>
      </c>
      <c r="R179" s="40">
        <v>1</v>
      </c>
      <c r="Z179" s="40" t="s">
        <v>1502</v>
      </c>
      <c r="AA179" s="45">
        <v>5.0000000000000001E-3</v>
      </c>
      <c r="AB179" s="46">
        <f>IF(H2ProjectDB689571011[[#This Row],[Dummy_1]]="Electrolysis",
AA179/VLOOKUP(G179,ElectrolysisConvF,3,FALSE),
AC179*10^6/(H2dens*HoursInYear))</f>
        <v>1.1111111111111112</v>
      </c>
      <c r="AC179" s="47">
        <f t="shared" si="15"/>
        <v>8.6626666666666662E-4</v>
      </c>
      <c r="AE179" s="46">
        <f t="shared" si="14"/>
        <v>1.1111111111111112</v>
      </c>
      <c r="AG179" s="43">
        <v>0</v>
      </c>
      <c r="AH179" s="43">
        <v>0</v>
      </c>
      <c r="AI179" s="122" t="s">
        <v>7286</v>
      </c>
      <c r="AJ179" s="41">
        <v>0.56999999999999995</v>
      </c>
    </row>
    <row r="180" spans="1:36" ht="34.5" hidden="1" customHeight="1" x14ac:dyDescent="0.25">
      <c r="A180" s="40">
        <v>405</v>
      </c>
      <c r="B180" s="40" t="s">
        <v>158</v>
      </c>
      <c r="C180" s="40" t="s">
        <v>539</v>
      </c>
      <c r="D180" s="40">
        <v>2014</v>
      </c>
      <c r="F180" s="40" t="s">
        <v>1339</v>
      </c>
      <c r="G180" s="40" t="s">
        <v>457</v>
      </c>
      <c r="I180" s="40" t="s">
        <v>1528</v>
      </c>
      <c r="K180" s="40" t="s">
        <v>578</v>
      </c>
      <c r="R180" s="40">
        <v>1</v>
      </c>
      <c r="Z180" s="40" t="s">
        <v>6884</v>
      </c>
      <c r="AA180" s="78">
        <f>IF(H2ProjectDB689571011[[#This Row],[Dummy_1]]="Electrolysis",
AB180*VLOOKUP(G180,ElectrolysisConvF,3,FALSE),
"")</f>
        <v>2.0423999999999998</v>
      </c>
      <c r="AB180" s="46">
        <v>444</v>
      </c>
      <c r="AC180" s="47">
        <f t="shared" si="15"/>
        <v>0.34616015999999999</v>
      </c>
      <c r="AE180" s="46">
        <f t="shared" si="14"/>
        <v>444</v>
      </c>
      <c r="AF180" s="43" t="s">
        <v>946</v>
      </c>
      <c r="AG180" s="43">
        <v>0</v>
      </c>
      <c r="AH180" s="43">
        <v>0</v>
      </c>
      <c r="AI180" s="122" t="s">
        <v>7286</v>
      </c>
      <c r="AJ180" s="41">
        <v>0.56999999999999995</v>
      </c>
    </row>
    <row r="181" spans="1:36" ht="34.5" hidden="1" customHeight="1" x14ac:dyDescent="0.25">
      <c r="A181" s="40">
        <v>427</v>
      </c>
      <c r="B181" s="40" t="s">
        <v>42</v>
      </c>
      <c r="C181" s="40" t="s">
        <v>542</v>
      </c>
      <c r="D181" s="40">
        <v>2004</v>
      </c>
      <c r="F181" s="40" t="s">
        <v>1339</v>
      </c>
      <c r="G181" s="40" t="s">
        <v>457</v>
      </c>
      <c r="I181" s="40" t="s">
        <v>1528</v>
      </c>
      <c r="K181" s="40" t="s">
        <v>578</v>
      </c>
      <c r="R181" s="40">
        <v>1</v>
      </c>
      <c r="T181" s="40">
        <v>1</v>
      </c>
      <c r="Z181" s="40" t="s">
        <v>1475</v>
      </c>
      <c r="AA181" s="45">
        <v>3.4000000000000002E-2</v>
      </c>
      <c r="AB181" s="46">
        <f>IF(H2ProjectDB689571011[[#This Row],[Dummy_1]]="Electrolysis",
AA181/VLOOKUP(G181,ElectrolysisConvF,3,FALSE),
AC181*10^6/(H2dens*HoursInYear))</f>
        <v>7.3913043478260878</v>
      </c>
      <c r="AC181" s="47">
        <f t="shared" si="15"/>
        <v>5.7625565217391305E-3</v>
      </c>
      <c r="AE181" s="46">
        <f t="shared" si="14"/>
        <v>7.3913043478260878</v>
      </c>
      <c r="AF181" s="43" t="s">
        <v>1476</v>
      </c>
      <c r="AG181" s="43">
        <v>0</v>
      </c>
      <c r="AH181" s="43">
        <v>0</v>
      </c>
      <c r="AI181" s="122" t="s">
        <v>7286</v>
      </c>
      <c r="AJ181" s="41">
        <v>0.56999999999999995</v>
      </c>
    </row>
    <row r="182" spans="1:36" ht="34.5" hidden="1" customHeight="1" x14ac:dyDescent="0.25">
      <c r="A182" s="40">
        <v>433</v>
      </c>
      <c r="B182" s="40" t="s">
        <v>172</v>
      </c>
      <c r="C182" s="40" t="s">
        <v>1761</v>
      </c>
      <c r="D182" s="40">
        <v>2003</v>
      </c>
      <c r="F182" s="40" t="s">
        <v>1540</v>
      </c>
      <c r="G182" s="40" t="s">
        <v>457</v>
      </c>
      <c r="I182" s="40" t="s">
        <v>1528</v>
      </c>
      <c r="K182" s="40" t="s">
        <v>578</v>
      </c>
      <c r="Q182" s="40">
        <v>1</v>
      </c>
      <c r="Z182" s="40" t="s">
        <v>6547</v>
      </c>
      <c r="AA182" s="45">
        <v>0.3</v>
      </c>
      <c r="AB182" s="46">
        <f>IF(H2ProjectDB689571011[[#This Row],[Dummy_1]]="Electrolysis",
AA182/VLOOKUP(G182,ElectrolysisConvF,3,FALSE),
AC182*10^6/(H2dens*HoursInYear))</f>
        <v>65.217391304347828</v>
      </c>
      <c r="AC182" s="47">
        <f t="shared" si="15"/>
        <v>5.0846086956521735E-2</v>
      </c>
      <c r="AE182" s="46">
        <f t="shared" si="14"/>
        <v>65.217391304347828</v>
      </c>
      <c r="AG182" s="43">
        <v>0</v>
      </c>
      <c r="AH182" s="43">
        <v>0</v>
      </c>
      <c r="AI182" s="122" t="s">
        <v>7286</v>
      </c>
      <c r="AJ182" s="41">
        <v>0.56999999999999995</v>
      </c>
    </row>
    <row r="183" spans="1:36" ht="34.5" hidden="1" customHeight="1" x14ac:dyDescent="0.25">
      <c r="A183" s="40">
        <v>437</v>
      </c>
      <c r="B183" s="40" t="s">
        <v>98</v>
      </c>
      <c r="C183" s="40" t="s">
        <v>1305</v>
      </c>
      <c r="D183" s="40">
        <v>2017</v>
      </c>
      <c r="F183" s="40" t="s">
        <v>1339</v>
      </c>
      <c r="G183" s="40" t="s">
        <v>455</v>
      </c>
      <c r="I183" s="40" t="s">
        <v>1269</v>
      </c>
      <c r="J183" s="40" t="s">
        <v>1392</v>
      </c>
      <c r="K183" s="40" t="s">
        <v>578</v>
      </c>
      <c r="P183" s="40">
        <v>1</v>
      </c>
      <c r="Q183" s="40">
        <v>1</v>
      </c>
      <c r="S183" s="40">
        <v>1</v>
      </c>
      <c r="Z183" s="40" t="s">
        <v>1376</v>
      </c>
      <c r="AA183" s="45">
        <v>6</v>
      </c>
      <c r="AB183" s="46">
        <f>IF(H2ProjectDB689571011[[#This Row],[Dummy_1]]="Electrolysis",
AA183/VLOOKUP(G183,ElectrolysisConvF,3,FALSE),
AC183*10^6/(H2dens*HoursInYear))</f>
        <v>1153.8461538461538</v>
      </c>
      <c r="AC183" s="47">
        <f t="shared" si="15"/>
        <v>0.8995846153846152</v>
      </c>
      <c r="AE183" s="46">
        <f t="shared" si="14"/>
        <v>1153.8461538461538</v>
      </c>
      <c r="AF183" s="43" t="s">
        <v>2211</v>
      </c>
      <c r="AG183" s="43">
        <v>49.996210727502103</v>
      </c>
      <c r="AH183" s="43">
        <v>8.2452690176300898</v>
      </c>
      <c r="AI183" s="122" t="s">
        <v>7286</v>
      </c>
      <c r="AJ183" s="41">
        <v>0.4</v>
      </c>
    </row>
    <row r="184" spans="1:36" ht="34.5" hidden="1" customHeight="1" x14ac:dyDescent="0.25">
      <c r="A184" s="40">
        <v>449</v>
      </c>
      <c r="B184" s="40" t="s">
        <v>60</v>
      </c>
      <c r="C184" s="40" t="s">
        <v>541</v>
      </c>
      <c r="D184" s="40">
        <v>2016</v>
      </c>
      <c r="E184" s="40">
        <v>2023</v>
      </c>
      <c r="F184" s="40" t="s">
        <v>1540</v>
      </c>
      <c r="G184" s="40" t="s">
        <v>457</v>
      </c>
      <c r="I184" s="40" t="s">
        <v>1528</v>
      </c>
      <c r="K184" s="40" t="s">
        <v>578</v>
      </c>
      <c r="P184" s="40">
        <v>1</v>
      </c>
      <c r="Q184" s="40">
        <v>1</v>
      </c>
      <c r="R184" s="40">
        <v>1</v>
      </c>
      <c r="S184" s="40">
        <v>1</v>
      </c>
      <c r="Z184" s="40" t="s">
        <v>1433</v>
      </c>
      <c r="AA184" s="45">
        <v>1.2</v>
      </c>
      <c r="AB184" s="46">
        <f>IF(H2ProjectDB689571011[[#This Row],[Dummy_1]]="Electrolysis",
AA184/VLOOKUP(G184,ElectrolysisConvF,3,FALSE),
AC184*10^6/(H2dens*HoursInYear))</f>
        <v>260.86956521739131</v>
      </c>
      <c r="AC184" s="47">
        <f t="shared" si="15"/>
        <v>0.20338434782608694</v>
      </c>
      <c r="AE184" s="46">
        <f t="shared" si="14"/>
        <v>260.86956521739131</v>
      </c>
      <c r="AF184" s="43" t="s">
        <v>1005</v>
      </c>
      <c r="AG184" s="43">
        <v>41.363128000000003</v>
      </c>
      <c r="AH184" s="43">
        <v>15.312347000000001</v>
      </c>
      <c r="AI184" s="122" t="s">
        <v>7286</v>
      </c>
      <c r="AJ184" s="41">
        <v>0.56999999999999995</v>
      </c>
    </row>
    <row r="185" spans="1:36" ht="34.5" hidden="1" customHeight="1" x14ac:dyDescent="0.25">
      <c r="A185" s="40">
        <v>452</v>
      </c>
      <c r="B185" s="40" t="s">
        <v>121</v>
      </c>
      <c r="C185" s="40" t="s">
        <v>538</v>
      </c>
      <c r="D185" s="40">
        <v>2003</v>
      </c>
      <c r="F185" s="40" t="s">
        <v>1540</v>
      </c>
      <c r="G185" s="40" t="s">
        <v>457</v>
      </c>
      <c r="I185" s="40" t="s">
        <v>1528</v>
      </c>
      <c r="K185" s="40" t="s">
        <v>578</v>
      </c>
      <c r="P185" s="40">
        <v>1</v>
      </c>
      <c r="Z185" s="40" t="s">
        <v>1435</v>
      </c>
      <c r="AA185" s="78">
        <f>IF(H2ProjectDB689571011[[#This Row],[Dummy_1]]="Electrolysis",
AB185*VLOOKUP(G185,ElectrolysisConvF,3,FALSE),
"")</f>
        <v>1.84E-2</v>
      </c>
      <c r="AB185" s="46">
        <v>4</v>
      </c>
      <c r="AC185" s="47">
        <f t="shared" si="15"/>
        <v>3.1185599999999998E-3</v>
      </c>
      <c r="AE185" s="46">
        <f t="shared" si="14"/>
        <v>4</v>
      </c>
      <c r="AF185" s="43" t="s">
        <v>1565</v>
      </c>
      <c r="AG185" s="43">
        <v>0</v>
      </c>
      <c r="AH185" s="43">
        <v>0</v>
      </c>
      <c r="AI185" s="122" t="s">
        <v>7286</v>
      </c>
      <c r="AJ185" s="41">
        <v>0.56999999999999995</v>
      </c>
    </row>
    <row r="186" spans="1:36" ht="34.5" hidden="1" customHeight="1" x14ac:dyDescent="0.25">
      <c r="A186" s="40">
        <v>453</v>
      </c>
      <c r="B186" s="40" t="s">
        <v>191</v>
      </c>
      <c r="C186" s="40" t="s">
        <v>539</v>
      </c>
      <c r="D186" s="40">
        <v>2015</v>
      </c>
      <c r="F186" s="40" t="s">
        <v>1339</v>
      </c>
      <c r="G186" s="40" t="s">
        <v>1259</v>
      </c>
      <c r="H186" s="40" t="s">
        <v>467</v>
      </c>
      <c r="I186" s="40" t="s">
        <v>1269</v>
      </c>
      <c r="J186" s="40" t="s">
        <v>1391</v>
      </c>
      <c r="K186" s="40" t="s">
        <v>578</v>
      </c>
      <c r="Q186" s="40">
        <v>1</v>
      </c>
      <c r="R186" s="40">
        <v>1</v>
      </c>
      <c r="Z186" s="40" t="s">
        <v>1542</v>
      </c>
      <c r="AA186" s="45">
        <v>0.12</v>
      </c>
      <c r="AB186" s="46">
        <f>IF(H2ProjectDB689571011[[#This Row],[Dummy_1]]="Electrolysis",
AA186/VLOOKUP(G186,ElectrolysisConvF,3,FALSE),
AC186*10^6/(H2dens*HoursInYear))</f>
        <v>26.666666666666668</v>
      </c>
      <c r="AC186" s="47">
        <f t="shared" si="15"/>
        <v>2.0790400000000001E-2</v>
      </c>
      <c r="AE186" s="46">
        <f t="shared" si="14"/>
        <v>26.666666666666668</v>
      </c>
      <c r="AF186" s="43" t="s">
        <v>779</v>
      </c>
      <c r="AG186" s="43">
        <v>28.429275931613301</v>
      </c>
      <c r="AH186" s="43">
        <v>77.148388716726501</v>
      </c>
      <c r="AI186" s="122" t="s">
        <v>7286</v>
      </c>
      <c r="AJ186" s="41">
        <v>0.3</v>
      </c>
    </row>
    <row r="187" spans="1:36" ht="34.5" hidden="1" customHeight="1" x14ac:dyDescent="0.25">
      <c r="A187" s="40">
        <v>461</v>
      </c>
      <c r="B187" s="40" t="s">
        <v>937</v>
      </c>
      <c r="C187" s="40" t="s">
        <v>539</v>
      </c>
      <c r="D187" s="40">
        <v>2015</v>
      </c>
      <c r="F187" s="40" t="s">
        <v>1339</v>
      </c>
      <c r="G187" s="40" t="s">
        <v>1259</v>
      </c>
      <c r="H187" s="40" t="s">
        <v>467</v>
      </c>
      <c r="I187" s="40" t="s">
        <v>1269</v>
      </c>
      <c r="J187" s="40" t="s">
        <v>1391</v>
      </c>
      <c r="K187" s="40" t="s">
        <v>578</v>
      </c>
      <c r="Q187" s="40">
        <v>1</v>
      </c>
      <c r="AC187" s="47"/>
      <c r="AE187" s="46">
        <f t="shared" si="14"/>
        <v>0</v>
      </c>
      <c r="AG187" s="43">
        <v>28.6298657132545</v>
      </c>
      <c r="AH187" s="43">
        <v>77.176914065643203</v>
      </c>
      <c r="AI187" s="122" t="s">
        <v>7286</v>
      </c>
      <c r="AJ187" s="41">
        <v>0.3</v>
      </c>
    </row>
    <row r="188" spans="1:36" ht="34.5" hidden="1" customHeight="1" x14ac:dyDescent="0.25">
      <c r="A188" s="40">
        <v>472</v>
      </c>
      <c r="B188" s="40" t="s">
        <v>150</v>
      </c>
      <c r="C188" s="40" t="s">
        <v>530</v>
      </c>
      <c r="D188" s="40">
        <v>2017</v>
      </c>
      <c r="F188" s="40" t="s">
        <v>1339</v>
      </c>
      <c r="G188" s="40" t="s">
        <v>457</v>
      </c>
      <c r="I188" s="40" t="s">
        <v>1528</v>
      </c>
      <c r="K188" s="40" t="s">
        <v>578</v>
      </c>
      <c r="Q188" s="40">
        <v>1</v>
      </c>
      <c r="Z188" s="40" t="s">
        <v>6522</v>
      </c>
      <c r="AA188" s="78">
        <f>IF(H2ProjectDB689571011[[#This Row],[Dummy_1]]="Electrolysis",
AB188*VLOOKUP(G188,ElectrolysisConvF,3,FALSE),
"")</f>
        <v>0.13800000000000001</v>
      </c>
      <c r="AB188" s="46">
        <v>30</v>
      </c>
      <c r="AC188" s="47">
        <f t="shared" ref="AC188:AC200" si="16">AB188*H2dens*HoursInYear/10^6</f>
        <v>2.3389200000000002E-2</v>
      </c>
      <c r="AE188" s="46">
        <f t="shared" si="14"/>
        <v>30</v>
      </c>
      <c r="AF188" s="43" t="s">
        <v>795</v>
      </c>
      <c r="AG188" s="43">
        <v>49.106455657352498</v>
      </c>
      <c r="AH188" s="43">
        <v>7.07085164977362</v>
      </c>
      <c r="AI188" s="122" t="s">
        <v>7286</v>
      </c>
      <c r="AJ188" s="41">
        <v>0.56999999999999995</v>
      </c>
    </row>
    <row r="189" spans="1:36" ht="34.5" hidden="1" customHeight="1" x14ac:dyDescent="0.25">
      <c r="A189" s="40">
        <v>477</v>
      </c>
      <c r="B189" s="40" t="s">
        <v>147</v>
      </c>
      <c r="C189" s="40" t="s">
        <v>537</v>
      </c>
      <c r="D189" s="40">
        <v>2017</v>
      </c>
      <c r="F189" s="40" t="s">
        <v>1339</v>
      </c>
      <c r="G189" s="40" t="s">
        <v>457</v>
      </c>
      <c r="I189" s="40" t="s">
        <v>1528</v>
      </c>
      <c r="K189" s="40" t="s">
        <v>578</v>
      </c>
      <c r="P189" s="40">
        <v>1</v>
      </c>
      <c r="R189" s="40">
        <v>1</v>
      </c>
      <c r="Z189" s="40" t="s">
        <v>6538</v>
      </c>
      <c r="AA189" s="78">
        <f>IF(H2ProjectDB689571011[[#This Row],[Dummy_1]]="Electrolysis",
AB189*VLOOKUP(G189,ElectrolysisConvF,3,FALSE),
"")</f>
        <v>9.1999999999999998E-2</v>
      </c>
      <c r="AB189" s="46">
        <v>20</v>
      </c>
      <c r="AC189" s="47">
        <f t="shared" si="16"/>
        <v>1.5592799999999997E-2</v>
      </c>
      <c r="AE189" s="46">
        <f t="shared" si="14"/>
        <v>20</v>
      </c>
      <c r="AG189" s="43">
        <v>0</v>
      </c>
      <c r="AH189" s="43">
        <v>0</v>
      </c>
      <c r="AI189" s="122" t="s">
        <v>7286</v>
      </c>
      <c r="AJ189" s="41">
        <v>0.56999999999999995</v>
      </c>
    </row>
    <row r="190" spans="1:36" ht="34.5" hidden="1" customHeight="1" x14ac:dyDescent="0.25">
      <c r="A190" s="40">
        <v>487</v>
      </c>
      <c r="B190" s="40" t="s">
        <v>63</v>
      </c>
      <c r="C190" s="40" t="s">
        <v>533</v>
      </c>
      <c r="D190" s="40">
        <v>2001</v>
      </c>
      <c r="F190" s="40" t="s">
        <v>1540</v>
      </c>
      <c r="G190" s="40" t="s">
        <v>457</v>
      </c>
      <c r="I190" s="40" t="s">
        <v>1528</v>
      </c>
      <c r="K190" s="40" t="s">
        <v>578</v>
      </c>
      <c r="Q190" s="40">
        <v>1</v>
      </c>
      <c r="Z190" s="40" t="s">
        <v>6548</v>
      </c>
      <c r="AA190" s="45">
        <v>5.0000000000000001E-3</v>
      </c>
      <c r="AB190" s="46">
        <f>IF(H2ProjectDB689571011[[#This Row],[Dummy_1]]="Electrolysis",
AA190/VLOOKUP(G190,ElectrolysisConvF,3,FALSE),
AC190*10^6/(H2dens*HoursInYear))</f>
        <v>1.0869565217391304</v>
      </c>
      <c r="AC190" s="47">
        <f t="shared" si="16"/>
        <v>8.4743478260869561E-4</v>
      </c>
      <c r="AE190" s="46">
        <f t="shared" si="14"/>
        <v>1.0869565217391304</v>
      </c>
      <c r="AF190" s="43" t="s">
        <v>1566</v>
      </c>
      <c r="AG190" s="43">
        <v>0</v>
      </c>
      <c r="AH190" s="43">
        <v>0</v>
      </c>
      <c r="AI190" s="122" t="s">
        <v>7286</v>
      </c>
      <c r="AJ190" s="41">
        <v>0.56999999999999995</v>
      </c>
    </row>
    <row r="191" spans="1:36" ht="34.5" hidden="1" customHeight="1" x14ac:dyDescent="0.25">
      <c r="A191" s="40">
        <v>491</v>
      </c>
      <c r="B191" s="40" t="s">
        <v>167</v>
      </c>
      <c r="C191" s="40" t="s">
        <v>557</v>
      </c>
      <c r="D191" s="40">
        <v>2018</v>
      </c>
      <c r="F191" s="40" t="s">
        <v>1339</v>
      </c>
      <c r="G191" s="40" t="s">
        <v>457</v>
      </c>
      <c r="I191" s="40" t="s">
        <v>1528</v>
      </c>
      <c r="K191" s="40" t="s">
        <v>578</v>
      </c>
      <c r="R191" s="40">
        <v>1</v>
      </c>
      <c r="Z191" s="40" t="s">
        <v>1535</v>
      </c>
      <c r="AA191" s="45">
        <v>0.114</v>
      </c>
      <c r="AB191" s="46">
        <f>IF(H2ProjectDB689571011[[#This Row],[Dummy_1]]="Electrolysis",
AA191/VLOOKUP(G191,ElectrolysisConvF,3,FALSE),
AC191*10^6/(H2dens*HoursInYear))</f>
        <v>24.782608695652176</v>
      </c>
      <c r="AC191" s="47">
        <f t="shared" si="16"/>
        <v>1.9321513043478261E-2</v>
      </c>
      <c r="AE191" s="46">
        <f t="shared" si="14"/>
        <v>24.782608695652176</v>
      </c>
      <c r="AG191" s="43">
        <v>34.009063602990501</v>
      </c>
      <c r="AH191" s="43">
        <v>35.702567413094002</v>
      </c>
      <c r="AI191" s="122" t="s">
        <v>7286</v>
      </c>
      <c r="AJ191" s="41">
        <v>0.56999999999999995</v>
      </c>
    </row>
    <row r="192" spans="1:36" ht="34.5" hidden="1" customHeight="1" x14ac:dyDescent="0.25">
      <c r="A192" s="40">
        <v>492</v>
      </c>
      <c r="B192" s="40" t="s">
        <v>151</v>
      </c>
      <c r="C192" s="40" t="s">
        <v>530</v>
      </c>
      <c r="D192" s="40">
        <v>2018</v>
      </c>
      <c r="F192" s="40" t="s">
        <v>1339</v>
      </c>
      <c r="G192" s="40" t="s">
        <v>457</v>
      </c>
      <c r="I192" s="40" t="s">
        <v>1528</v>
      </c>
      <c r="K192" s="40" t="s">
        <v>578</v>
      </c>
      <c r="P192" s="40">
        <v>1</v>
      </c>
      <c r="Z192" s="40" t="s">
        <v>6549</v>
      </c>
      <c r="AA192" s="78">
        <f>IF(H2ProjectDB689571011[[#This Row],[Dummy_1]]="Electrolysis",
AB192*VLOOKUP(G192,ElectrolysisConvF,3,FALSE),
"")</f>
        <v>5.5199999999999999E-2</v>
      </c>
      <c r="AB192" s="46">
        <v>12</v>
      </c>
      <c r="AC192" s="47">
        <f t="shared" si="16"/>
        <v>9.3556799999999999E-3</v>
      </c>
      <c r="AE192" s="46">
        <f t="shared" si="14"/>
        <v>12</v>
      </c>
      <c r="AG192" s="43">
        <v>45.191995343853698</v>
      </c>
      <c r="AH192" s="43">
        <v>5.74991692516054</v>
      </c>
      <c r="AI192" s="122" t="s">
        <v>7286</v>
      </c>
      <c r="AJ192" s="41">
        <v>0.56999999999999995</v>
      </c>
    </row>
    <row r="193" spans="1:36" ht="34.5" hidden="1" customHeight="1" x14ac:dyDescent="0.25">
      <c r="A193" s="40">
        <v>494</v>
      </c>
      <c r="B193" s="40" t="s">
        <v>34</v>
      </c>
      <c r="C193" s="40" t="s">
        <v>531</v>
      </c>
      <c r="D193" s="40">
        <v>2000</v>
      </c>
      <c r="F193" s="40" t="s">
        <v>1339</v>
      </c>
      <c r="G193" s="40" t="s">
        <v>457</v>
      </c>
      <c r="I193" s="40" t="s">
        <v>1266</v>
      </c>
      <c r="K193" s="40" t="s">
        <v>578</v>
      </c>
      <c r="R193" s="40">
        <v>1</v>
      </c>
      <c r="Z193" s="40" t="s">
        <v>1477</v>
      </c>
      <c r="AA193" s="45">
        <v>0.05</v>
      </c>
      <c r="AB193" s="46">
        <f>IF(H2ProjectDB689571011[[#This Row],[Dummy_1]]="Electrolysis",
AA193/VLOOKUP(G193,ElectrolysisConvF,3,FALSE),
AC193*10^6/(H2dens*HoursInYear))</f>
        <v>10.869565217391305</v>
      </c>
      <c r="AC193" s="47">
        <f t="shared" si="16"/>
        <v>8.4743478260869559E-3</v>
      </c>
      <c r="AE193" s="46">
        <f t="shared" si="14"/>
        <v>10.869565217391305</v>
      </c>
      <c r="AF193" s="43" t="s">
        <v>1478</v>
      </c>
      <c r="AG193" s="43">
        <v>58.3414030079865</v>
      </c>
      <c r="AH193" s="43">
        <v>8.5805937179915492</v>
      </c>
      <c r="AI193" s="122" t="s">
        <v>7286</v>
      </c>
      <c r="AJ193" s="41">
        <v>0.56999999999999995</v>
      </c>
    </row>
    <row r="194" spans="1:36" ht="34.5" hidden="1" customHeight="1" x14ac:dyDescent="0.25">
      <c r="A194" s="40">
        <v>497</v>
      </c>
      <c r="B194" s="40" t="s">
        <v>858</v>
      </c>
      <c r="C194" s="40" t="s">
        <v>1305</v>
      </c>
      <c r="D194" s="40">
        <v>2019</v>
      </c>
      <c r="F194" s="40" t="s">
        <v>1540</v>
      </c>
      <c r="G194" s="40" t="s">
        <v>456</v>
      </c>
      <c r="I194" s="40" t="s">
        <v>1528</v>
      </c>
      <c r="K194" s="40" t="s">
        <v>578</v>
      </c>
      <c r="P194" s="40">
        <v>1</v>
      </c>
      <c r="Z194" s="40" t="s">
        <v>6550</v>
      </c>
      <c r="AA194" s="45">
        <v>0.18</v>
      </c>
      <c r="AB194" s="46">
        <f>IF(H2ProjectDB689571011[[#This Row],[Dummy_1]]="Electrolysis",
AA194/VLOOKUP(G194,ElectrolysisConvF,3,FALSE),
AC194*10^6/(H2dens*HoursInYear))</f>
        <v>47.368421052631575</v>
      </c>
      <c r="AC194" s="47">
        <f t="shared" si="16"/>
        <v>3.6930315789473679E-2</v>
      </c>
      <c r="AE194" s="46">
        <f t="shared" si="14"/>
        <v>47.368421052631575</v>
      </c>
      <c r="AF194" s="43" t="s">
        <v>857</v>
      </c>
      <c r="AG194" s="43">
        <v>0</v>
      </c>
      <c r="AH194" s="43">
        <v>0</v>
      </c>
      <c r="AI194" s="122" t="s">
        <v>7286</v>
      </c>
      <c r="AJ194" s="41">
        <v>0.56999999999999995</v>
      </c>
    </row>
    <row r="195" spans="1:36" ht="34.5" hidden="1" customHeight="1" x14ac:dyDescent="0.25">
      <c r="A195" s="40">
        <v>498</v>
      </c>
      <c r="B195" s="40" t="s">
        <v>969</v>
      </c>
      <c r="C195" s="40" t="s">
        <v>545</v>
      </c>
      <c r="D195" s="40">
        <v>2014</v>
      </c>
      <c r="E195" s="40">
        <v>2017</v>
      </c>
      <c r="F195" s="40" t="s">
        <v>1540</v>
      </c>
      <c r="G195" s="40" t="s">
        <v>457</v>
      </c>
      <c r="I195" s="40" t="s">
        <v>1528</v>
      </c>
      <c r="K195" s="40" t="s">
        <v>612</v>
      </c>
      <c r="X195" s="40">
        <v>1</v>
      </c>
      <c r="Z195" s="40" t="s">
        <v>6551</v>
      </c>
      <c r="AA195" s="45">
        <v>1.2</v>
      </c>
      <c r="AB195" s="46">
        <f>IF(H2ProjectDB689571011[[#This Row],[Dummy_1]]="Electrolysis",
AA195/VLOOKUP(G195,ElectrolysisConvF,3,FALSE),
AC195*10^6/(H2dens*HoursInYear))</f>
        <v>260.86956521739131</v>
      </c>
      <c r="AC195" s="47">
        <f t="shared" si="16"/>
        <v>0.20338434782608694</v>
      </c>
      <c r="AE195" s="46">
        <f t="shared" si="14"/>
        <v>260.86956521739131</v>
      </c>
      <c r="AF195" s="43" t="s">
        <v>970</v>
      </c>
      <c r="AG195" s="43">
        <v>55.628712382161801</v>
      </c>
      <c r="AH195" s="43">
        <v>12.4476626089976</v>
      </c>
      <c r="AI195" s="122" t="s">
        <v>7286</v>
      </c>
      <c r="AJ195" s="41">
        <v>0.56999999999999995</v>
      </c>
    </row>
    <row r="196" spans="1:36" ht="34.5" hidden="1" customHeight="1" x14ac:dyDescent="0.25">
      <c r="A196" s="40">
        <v>499</v>
      </c>
      <c r="B196" s="40" t="s">
        <v>1373</v>
      </c>
      <c r="C196" s="40" t="s">
        <v>554</v>
      </c>
      <c r="D196" s="44">
        <v>2021</v>
      </c>
      <c r="F196" s="40" t="s">
        <v>1339</v>
      </c>
      <c r="G196" s="40" t="s">
        <v>457</v>
      </c>
      <c r="I196" s="40" t="s">
        <v>1269</v>
      </c>
      <c r="J196" s="40" t="s">
        <v>1394</v>
      </c>
      <c r="K196" s="40" t="s">
        <v>578</v>
      </c>
      <c r="R196" s="40">
        <v>1</v>
      </c>
      <c r="Z196" s="40" t="s">
        <v>1397</v>
      </c>
      <c r="AA196" s="45">
        <v>2.5000000000000001E-2</v>
      </c>
      <c r="AB196" s="46">
        <f>IF(H2ProjectDB689571011[[#This Row],[Dummy_1]]="Electrolysis",
AA196/VLOOKUP(G196,ElectrolysisConvF,3,FALSE),
AC196*10^6/(H2dens*HoursInYear))</f>
        <v>5.4347826086956523</v>
      </c>
      <c r="AC196" s="47">
        <f t="shared" si="16"/>
        <v>4.237173913043478E-3</v>
      </c>
      <c r="AE196" s="46">
        <f t="shared" si="14"/>
        <v>5.4347826086956523</v>
      </c>
      <c r="AF196" s="43" t="s">
        <v>2188</v>
      </c>
      <c r="AG196" s="43">
        <v>41.373416878096002</v>
      </c>
      <c r="AH196" s="43">
        <v>23.441951121933801</v>
      </c>
      <c r="AI196" s="122" t="s">
        <v>7286</v>
      </c>
      <c r="AJ196" s="41">
        <v>0.8</v>
      </c>
    </row>
    <row r="197" spans="1:36" ht="34.5" hidden="1" customHeight="1" x14ac:dyDescent="0.25">
      <c r="A197" s="40">
        <v>500</v>
      </c>
      <c r="B197" s="40" t="s">
        <v>2681</v>
      </c>
      <c r="C197" s="40" t="s">
        <v>1764</v>
      </c>
      <c r="D197" s="44">
        <v>2023</v>
      </c>
      <c r="F197" s="40" t="s">
        <v>1339</v>
      </c>
      <c r="G197" s="40" t="s">
        <v>457</v>
      </c>
      <c r="I197" s="40" t="s">
        <v>1269</v>
      </c>
      <c r="J197" s="40" t="s">
        <v>1395</v>
      </c>
      <c r="K197" s="40" t="s">
        <v>578</v>
      </c>
      <c r="R197" s="40">
        <v>1</v>
      </c>
      <c r="Z197" s="40" t="s">
        <v>2682</v>
      </c>
      <c r="AA197" s="45">
        <v>0.08</v>
      </c>
      <c r="AB197" s="46">
        <f>IF(H2ProjectDB689571011[[#This Row],[Dummy_1]]="Electrolysis",
AA197/VLOOKUP(G197,ElectrolysisConvF,3,FALSE),
AC197*10^6/(H2dens*HoursInYear))</f>
        <v>17.391304347826086</v>
      </c>
      <c r="AC197" s="47">
        <f t="shared" si="16"/>
        <v>1.355895652173913E-2</v>
      </c>
      <c r="AE197" s="46">
        <f t="shared" si="14"/>
        <v>17.391304347826086</v>
      </c>
      <c r="AF197" s="43" t="s">
        <v>815</v>
      </c>
      <c r="AG197" s="43">
        <v>0</v>
      </c>
      <c r="AH197" s="43">
        <v>0</v>
      </c>
      <c r="AI197" s="122" t="s">
        <v>7286</v>
      </c>
      <c r="AJ197" s="41">
        <v>0.5</v>
      </c>
    </row>
    <row r="198" spans="1:36" ht="34.5" hidden="1" customHeight="1" x14ac:dyDescent="0.25">
      <c r="A198" s="40">
        <v>501</v>
      </c>
      <c r="B198" s="40" t="s">
        <v>6504</v>
      </c>
      <c r="C198" s="40" t="s">
        <v>1995</v>
      </c>
      <c r="D198" s="44">
        <v>2029</v>
      </c>
      <c r="F198" s="40" t="s">
        <v>1331</v>
      </c>
      <c r="G198" s="40" t="s">
        <v>1259</v>
      </c>
      <c r="H198" s="40" t="s">
        <v>467</v>
      </c>
      <c r="I198" s="40" t="s">
        <v>1269</v>
      </c>
      <c r="J198" s="40" t="s">
        <v>1395</v>
      </c>
      <c r="K198" s="40" t="s">
        <v>1243</v>
      </c>
      <c r="M198" s="40">
        <v>1</v>
      </c>
      <c r="Z198" s="40" t="s">
        <v>6804</v>
      </c>
      <c r="AA198" s="46">
        <v>2500</v>
      </c>
      <c r="AB198" s="46">
        <f>IF(H2ProjectDB689571011[[#This Row],[Dummy_1]]="Electrolysis",
AA198/VLOOKUP(G198,ElectrolysisConvF,3,FALSE),
AC198*10^6/(H2dens*HoursInYear))</f>
        <v>555555.55555555562</v>
      </c>
      <c r="AC198" s="47">
        <f t="shared" si="16"/>
        <v>433.13333333333333</v>
      </c>
      <c r="AE198" s="46">
        <f t="shared" si="14"/>
        <v>555555.55555555562</v>
      </c>
      <c r="AF198" s="43" t="s">
        <v>6806</v>
      </c>
      <c r="AG198" s="43">
        <v>23.7</v>
      </c>
      <c r="AH198" s="43">
        <v>-9.2200000000000006</v>
      </c>
      <c r="AI198" s="122" t="s">
        <v>7286</v>
      </c>
      <c r="AJ198" s="41">
        <v>0.5</v>
      </c>
    </row>
    <row r="199" spans="1:36" ht="34.5" hidden="1" customHeight="1" x14ac:dyDescent="0.25">
      <c r="A199" s="40">
        <v>502</v>
      </c>
      <c r="B199" s="40" t="s">
        <v>861</v>
      </c>
      <c r="C199" s="40" t="s">
        <v>548</v>
      </c>
      <c r="D199" s="44">
        <v>2021</v>
      </c>
      <c r="F199" s="40" t="s">
        <v>1339</v>
      </c>
      <c r="G199" s="40" t="s">
        <v>455</v>
      </c>
      <c r="I199" s="40" t="s">
        <v>1528</v>
      </c>
      <c r="K199" s="40" t="s">
        <v>578</v>
      </c>
      <c r="Q199" s="40">
        <v>1</v>
      </c>
      <c r="Z199" s="40" t="s">
        <v>1372</v>
      </c>
      <c r="AA199" s="45">
        <v>1</v>
      </c>
      <c r="AB199" s="46">
        <f>IF(H2ProjectDB689571011[[#This Row],[Dummy_1]]="Electrolysis",
AA199/VLOOKUP(G199,ElectrolysisConvF,3,FALSE),
AC199*10^6/(H2dens*HoursInYear))</f>
        <v>192.30769230769232</v>
      </c>
      <c r="AC199" s="47">
        <f t="shared" si="16"/>
        <v>0.14993076923076926</v>
      </c>
      <c r="AE199" s="46">
        <f t="shared" si="14"/>
        <v>192.30769230769232</v>
      </c>
      <c r="AF199" s="43" t="s">
        <v>2781</v>
      </c>
      <c r="AG199" s="43">
        <v>51.2409143652648</v>
      </c>
      <c r="AH199" s="43">
        <v>4.4078311706411002</v>
      </c>
      <c r="AI199" s="122" t="s">
        <v>7286</v>
      </c>
      <c r="AJ199" s="41">
        <v>0.56999999999999995</v>
      </c>
    </row>
    <row r="200" spans="1:36" ht="34.5" hidden="1" customHeight="1" x14ac:dyDescent="0.25">
      <c r="A200" s="40">
        <v>503</v>
      </c>
      <c r="B200" s="40" t="s">
        <v>731</v>
      </c>
      <c r="C200" s="40" t="s">
        <v>545</v>
      </c>
      <c r="D200" s="40">
        <v>2013</v>
      </c>
      <c r="E200" s="40">
        <v>2017</v>
      </c>
      <c r="F200" s="40" t="s">
        <v>1540</v>
      </c>
      <c r="G200" s="40" t="s">
        <v>456</v>
      </c>
      <c r="I200" s="40" t="s">
        <v>1528</v>
      </c>
      <c r="K200" s="40" t="s">
        <v>612</v>
      </c>
      <c r="X200" s="40">
        <v>1</v>
      </c>
      <c r="Z200" s="40" t="s">
        <v>6529</v>
      </c>
      <c r="AA200" s="78">
        <f>IF(H2ProjectDB689571011[[#This Row],[Dummy_1]]="Electrolysis",
AB200*VLOOKUP(G200,ElectrolysisConvF,3,FALSE),
"")</f>
        <v>3.7999999999999999E-2</v>
      </c>
      <c r="AB200" s="46">
        <v>10</v>
      </c>
      <c r="AC200" s="47">
        <f t="shared" si="16"/>
        <v>7.7963999999999985E-3</v>
      </c>
      <c r="AE200" s="46">
        <f t="shared" si="14"/>
        <v>10</v>
      </c>
      <c r="AF200" s="43" t="s">
        <v>733</v>
      </c>
      <c r="AG200" s="43">
        <v>55.820936758163597</v>
      </c>
      <c r="AH200" s="43">
        <v>12.5403704877297</v>
      </c>
      <c r="AI200" s="122" t="s">
        <v>7286</v>
      </c>
      <c r="AJ200" s="41">
        <v>0.56999999999999995</v>
      </c>
    </row>
    <row r="201" spans="1:36" ht="34.5" hidden="1" customHeight="1" x14ac:dyDescent="0.25">
      <c r="A201" s="40">
        <v>505</v>
      </c>
      <c r="B201" s="40" t="s">
        <v>1701</v>
      </c>
      <c r="C201" s="40" t="s">
        <v>545</v>
      </c>
      <c r="D201" s="40">
        <v>2013</v>
      </c>
      <c r="F201" s="40" t="s">
        <v>1339</v>
      </c>
      <c r="G201" s="40" t="s">
        <v>457</v>
      </c>
      <c r="I201" s="40" t="s">
        <v>1266</v>
      </c>
      <c r="K201" s="40" t="s">
        <v>578</v>
      </c>
      <c r="Q201" s="40">
        <v>1</v>
      </c>
      <c r="Z201" s="40" t="s">
        <v>1452</v>
      </c>
      <c r="AA201" s="78">
        <f>IF(H2ProjectDB689571011[[#This Row],[Dummy_1]]="Electrolysis",
AB201*VLOOKUP(G201,ElectrolysisConvF,3,FALSE),
"")</f>
        <v>0.43071161048689133</v>
      </c>
      <c r="AB201" s="46">
        <f>AC201/(H2dens*HoursInYear/10^6)</f>
        <v>93.63295880149812</v>
      </c>
      <c r="AC201" s="47">
        <f>200*365/10^6</f>
        <v>7.2999999999999995E-2</v>
      </c>
      <c r="AE201" s="46">
        <f t="shared" si="14"/>
        <v>93.63295880149812</v>
      </c>
      <c r="AF201" s="30" t="s">
        <v>948</v>
      </c>
      <c r="AG201" s="43">
        <v>0</v>
      </c>
      <c r="AH201" s="43">
        <v>0</v>
      </c>
      <c r="AI201" s="122" t="s">
        <v>7286</v>
      </c>
      <c r="AJ201" s="41">
        <v>0.56999999999999995</v>
      </c>
    </row>
    <row r="202" spans="1:36" ht="34.5" hidden="1" customHeight="1" x14ac:dyDescent="0.25">
      <c r="A202" s="40">
        <v>506</v>
      </c>
      <c r="B202" s="40" t="s">
        <v>1453</v>
      </c>
      <c r="C202" s="40" t="s">
        <v>545</v>
      </c>
      <c r="D202" s="40">
        <v>2013</v>
      </c>
      <c r="F202" s="40" t="s">
        <v>1339</v>
      </c>
      <c r="G202" s="40" t="s">
        <v>457</v>
      </c>
      <c r="I202" s="40" t="s">
        <v>1266</v>
      </c>
      <c r="K202" s="40" t="s">
        <v>578</v>
      </c>
      <c r="Q202" s="40">
        <v>1</v>
      </c>
      <c r="Z202" s="40" t="s">
        <v>1452</v>
      </c>
      <c r="AA202" s="78">
        <f>IF(H2ProjectDB689571011[[#This Row],[Dummy_1]]="Electrolysis",
AB202*VLOOKUP(G202,ElectrolysisConvF,3,FALSE),
"")</f>
        <v>0.43071161048689133</v>
      </c>
      <c r="AB202" s="46">
        <f>AC202/(H2dens*HoursInYear/10^6)</f>
        <v>93.63295880149812</v>
      </c>
      <c r="AC202" s="47">
        <f>200*365/10^6</f>
        <v>7.2999999999999995E-2</v>
      </c>
      <c r="AE202" s="46">
        <f t="shared" si="14"/>
        <v>93.63295880149812</v>
      </c>
      <c r="AF202" s="30" t="s">
        <v>948</v>
      </c>
      <c r="AG202" s="43">
        <v>0</v>
      </c>
      <c r="AH202" s="43">
        <v>0</v>
      </c>
      <c r="AI202" s="122" t="s">
        <v>7286</v>
      </c>
      <c r="AJ202" s="41">
        <v>0.56999999999999995</v>
      </c>
    </row>
    <row r="203" spans="1:36" ht="34.5" hidden="1" customHeight="1" x14ac:dyDescent="0.25">
      <c r="A203" s="40">
        <v>507</v>
      </c>
      <c r="B203" s="40" t="s">
        <v>1700</v>
      </c>
      <c r="C203" s="40" t="s">
        <v>545</v>
      </c>
      <c r="D203" s="40">
        <v>2013</v>
      </c>
      <c r="F203" s="40" t="s">
        <v>1339</v>
      </c>
      <c r="G203" s="40" t="s">
        <v>457</v>
      </c>
      <c r="I203" s="40" t="s">
        <v>1266</v>
      </c>
      <c r="K203" s="40" t="s">
        <v>578</v>
      </c>
      <c r="Q203" s="40">
        <v>1</v>
      </c>
      <c r="Z203" s="40" t="s">
        <v>1454</v>
      </c>
      <c r="AA203" s="78">
        <f>IF(H2ProjectDB689571011[[#This Row],[Dummy_1]]="Electrolysis",
AB203*VLOOKUP(G203,ElectrolysisConvF,3,FALSE),
"")</f>
        <v>1.2921348314606742</v>
      </c>
      <c r="AB203" s="46">
        <f>AC203/(H2dens*HoursInYear/10^6)</f>
        <v>280.89887640449439</v>
      </c>
      <c r="AC203" s="47">
        <f>3*200*365/10^6</f>
        <v>0.219</v>
      </c>
      <c r="AE203" s="46">
        <f t="shared" si="14"/>
        <v>280.89887640449439</v>
      </c>
      <c r="AF203" s="30" t="s">
        <v>948</v>
      </c>
      <c r="AG203" s="43">
        <v>0</v>
      </c>
      <c r="AH203" s="43">
        <v>0</v>
      </c>
      <c r="AI203" s="122" t="s">
        <v>7286</v>
      </c>
      <c r="AJ203" s="41">
        <v>0.56999999999999995</v>
      </c>
    </row>
    <row r="204" spans="1:36" ht="34.5" hidden="1" customHeight="1" x14ac:dyDescent="0.25">
      <c r="A204" s="40">
        <v>508</v>
      </c>
      <c r="B204" s="40" t="s">
        <v>6153</v>
      </c>
      <c r="C204" s="40" t="s">
        <v>1764</v>
      </c>
      <c r="D204" s="44">
        <v>2027</v>
      </c>
      <c r="F204" s="40" t="s">
        <v>1331</v>
      </c>
      <c r="G204" s="40" t="s">
        <v>1259</v>
      </c>
      <c r="H204" s="40" t="s">
        <v>467</v>
      </c>
      <c r="I204" s="40" t="s">
        <v>1269</v>
      </c>
      <c r="J204" s="40" t="s">
        <v>1391</v>
      </c>
      <c r="K204" s="40" t="s">
        <v>1243</v>
      </c>
      <c r="M204" s="40">
        <v>1</v>
      </c>
      <c r="Z204" s="40" t="s">
        <v>8310</v>
      </c>
      <c r="AA204" s="45">
        <v>210</v>
      </c>
      <c r="AB204" s="46">
        <f>H2ProjectDB689571011[[#This Row],[Capacity_MWel]]*18/H2dens</f>
        <v>42471.910112359554</v>
      </c>
      <c r="AC204" s="47">
        <f>AB204*H2dens*HoursInYear/10^6</f>
        <v>33.1128</v>
      </c>
      <c r="AE204" s="46">
        <f t="shared" si="14"/>
        <v>42471.910112359554</v>
      </c>
      <c r="AF204" s="30" t="s">
        <v>1662</v>
      </c>
      <c r="AG204" s="43">
        <v>38.672067176184299</v>
      </c>
      <c r="AH204" s="43">
        <v>-4.0530512629734003</v>
      </c>
      <c r="AI204" s="122" t="s">
        <v>7286</v>
      </c>
      <c r="AJ204" s="41">
        <v>0.3</v>
      </c>
    </row>
    <row r="205" spans="1:36" ht="34.5" hidden="1" customHeight="1" x14ac:dyDescent="0.25">
      <c r="A205" s="40">
        <v>509</v>
      </c>
      <c r="B205" s="40" t="s">
        <v>8253</v>
      </c>
      <c r="C205" s="40" t="s">
        <v>548</v>
      </c>
      <c r="D205" s="44"/>
      <c r="F205" s="40" t="s">
        <v>2222</v>
      </c>
      <c r="G205" s="40" t="s">
        <v>1259</v>
      </c>
      <c r="H205" s="40" t="s">
        <v>467</v>
      </c>
      <c r="I205" s="40" t="s">
        <v>1269</v>
      </c>
      <c r="J205" s="40" t="s">
        <v>1393</v>
      </c>
      <c r="K205" s="40" t="s">
        <v>578</v>
      </c>
      <c r="Q205" s="40">
        <v>1</v>
      </c>
      <c r="S205" s="40">
        <v>1</v>
      </c>
      <c r="Z205" s="40" t="s">
        <v>1485</v>
      </c>
      <c r="AA205" s="45">
        <v>75</v>
      </c>
      <c r="AB205" s="46">
        <f>IF(H2ProjectDB689571011[[#This Row],[Dummy_1]]="Electrolysis",
AA205/VLOOKUP(G205,ElectrolysisConvF,3,FALSE),
AC205*10^6/(H2dens*HoursInYear))</f>
        <v>16666.666666666668</v>
      </c>
      <c r="AC205" s="47">
        <f>AB205*H2dens*HoursInYear/10^6</f>
        <v>12.994</v>
      </c>
      <c r="AE205" s="46">
        <f t="shared" si="14"/>
        <v>16666.666666666668</v>
      </c>
      <c r="AF205" s="43" t="s">
        <v>8256</v>
      </c>
      <c r="AG205" s="43">
        <v>51.322331785066197</v>
      </c>
      <c r="AH205" s="43">
        <v>3.2087046731070599</v>
      </c>
      <c r="AI205" s="122" t="s">
        <v>7286</v>
      </c>
      <c r="AJ205" s="41">
        <v>0.55000000000000004</v>
      </c>
    </row>
    <row r="206" spans="1:36" ht="34.5" hidden="1" customHeight="1" x14ac:dyDescent="0.25">
      <c r="A206" s="40">
        <v>510</v>
      </c>
      <c r="B206" s="40" t="s">
        <v>4629</v>
      </c>
      <c r="C206" s="40" t="s">
        <v>548</v>
      </c>
      <c r="D206" s="44">
        <v>2026</v>
      </c>
      <c r="F206" s="40" t="s">
        <v>5701</v>
      </c>
      <c r="G206" s="40" t="s">
        <v>1259</v>
      </c>
      <c r="H206" s="40" t="s">
        <v>467</v>
      </c>
      <c r="I206" s="40" t="s">
        <v>1269</v>
      </c>
      <c r="J206" s="40" t="s">
        <v>1393</v>
      </c>
      <c r="K206" s="40" t="s">
        <v>578</v>
      </c>
      <c r="Q206" s="40">
        <v>1</v>
      </c>
      <c r="S206" s="40">
        <v>1</v>
      </c>
      <c r="Z206" s="40" t="s">
        <v>1481</v>
      </c>
      <c r="AA206" s="45">
        <v>25</v>
      </c>
      <c r="AB206" s="46">
        <f>IF(H2ProjectDB689571011[[#This Row],[Dummy_1]]="Electrolysis",
AA206/VLOOKUP(G206,ElectrolysisConvF,3,FALSE),
AC206*10^6/(H2dens*HoursInYear))</f>
        <v>5555.5555555555557</v>
      </c>
      <c r="AC206" s="47">
        <f>AB206*H2dens*HoursInYear/10^6</f>
        <v>4.3313333333333333</v>
      </c>
      <c r="AE206" s="46">
        <f t="shared" si="14"/>
        <v>5555.5555555555557</v>
      </c>
      <c r="AF206" s="43" t="s">
        <v>8255</v>
      </c>
      <c r="AG206" s="43">
        <v>51.322331785066197</v>
      </c>
      <c r="AH206" s="43">
        <v>3.2087046731070599</v>
      </c>
      <c r="AI206" s="122" t="s">
        <v>7286</v>
      </c>
      <c r="AJ206" s="41">
        <v>0.55000000000000004</v>
      </c>
    </row>
    <row r="207" spans="1:36" ht="34.5" hidden="1" customHeight="1" x14ac:dyDescent="0.25">
      <c r="A207" s="40">
        <v>513</v>
      </c>
      <c r="B207" s="40" t="s">
        <v>2042</v>
      </c>
      <c r="C207" s="40" t="s">
        <v>548</v>
      </c>
      <c r="D207" s="44"/>
      <c r="F207" s="40" t="s">
        <v>1331</v>
      </c>
      <c r="G207" s="40" t="s">
        <v>1259</v>
      </c>
      <c r="H207" s="40" t="s">
        <v>467</v>
      </c>
      <c r="I207" s="40" t="s">
        <v>1269</v>
      </c>
      <c r="J207" s="40" t="s">
        <v>1395</v>
      </c>
      <c r="K207" s="40" t="s">
        <v>578</v>
      </c>
      <c r="Q207" s="40">
        <v>1</v>
      </c>
      <c r="AC207" s="47"/>
      <c r="AE207" s="46">
        <f t="shared" si="14"/>
        <v>0</v>
      </c>
      <c r="AF207" s="43" t="s">
        <v>4482</v>
      </c>
      <c r="AG207" s="43">
        <v>50.471145356184699</v>
      </c>
      <c r="AH207" s="43">
        <v>4.4587235427650498</v>
      </c>
      <c r="AI207" s="122" t="s">
        <v>7286</v>
      </c>
      <c r="AJ207" s="41">
        <v>0.5</v>
      </c>
    </row>
    <row r="208" spans="1:36" ht="34.5" hidden="1" customHeight="1" x14ac:dyDescent="0.25">
      <c r="A208" s="40">
        <v>516</v>
      </c>
      <c r="B208" s="40" t="s">
        <v>2790</v>
      </c>
      <c r="C208" s="40" t="s">
        <v>545</v>
      </c>
      <c r="D208" s="44">
        <v>2025</v>
      </c>
      <c r="F208" s="40" t="s">
        <v>5701</v>
      </c>
      <c r="G208" s="40" t="s">
        <v>1259</v>
      </c>
      <c r="H208" s="40" t="s">
        <v>467</v>
      </c>
      <c r="I208" s="40" t="s">
        <v>1269</v>
      </c>
      <c r="J208" s="40" t="s">
        <v>1395</v>
      </c>
      <c r="K208" s="40" t="s">
        <v>578</v>
      </c>
      <c r="Q208" s="40">
        <v>1</v>
      </c>
      <c r="Z208" s="40" t="s">
        <v>1333</v>
      </c>
      <c r="AA208" s="45">
        <v>10</v>
      </c>
      <c r="AB208" s="46">
        <f>IF(H2ProjectDB689571011[[#This Row],[Dummy_1]]="Electrolysis",
AA208/VLOOKUP(G208,ElectrolysisConvF,3,FALSE),
AC208*10^6/(H2dens*HoursInYear))</f>
        <v>2222.2222222222222</v>
      </c>
      <c r="AC208" s="47">
        <f>AB208*H2dens*HoursInYear/10^6</f>
        <v>1.7325333333333333</v>
      </c>
      <c r="AE208" s="46">
        <f t="shared" si="14"/>
        <v>2222.2222222222222</v>
      </c>
      <c r="AF208" s="43" t="s">
        <v>3570</v>
      </c>
      <c r="AG208" s="43">
        <v>55.675987127974899</v>
      </c>
      <c r="AH208" s="43">
        <v>12.570329564834401</v>
      </c>
      <c r="AI208" s="122" t="s">
        <v>7286</v>
      </c>
      <c r="AJ208" s="41">
        <v>0.5</v>
      </c>
    </row>
    <row r="209" spans="1:36" ht="34.5" hidden="1" customHeight="1" x14ac:dyDescent="0.25">
      <c r="A209" s="40">
        <v>517</v>
      </c>
      <c r="B209" s="40" t="s">
        <v>1690</v>
      </c>
      <c r="C209" s="40" t="s">
        <v>546</v>
      </c>
      <c r="D209" s="40">
        <v>2021</v>
      </c>
      <c r="F209" s="40" t="s">
        <v>1339</v>
      </c>
      <c r="G209" s="40" t="s">
        <v>455</v>
      </c>
      <c r="I209" s="40" t="s">
        <v>1269</v>
      </c>
      <c r="J209" s="40" t="s">
        <v>1391</v>
      </c>
      <c r="K209" s="40" t="s">
        <v>578</v>
      </c>
      <c r="P209" s="40">
        <v>1</v>
      </c>
      <c r="Q209" s="40">
        <v>1</v>
      </c>
      <c r="Z209" s="40" t="s">
        <v>1378</v>
      </c>
      <c r="AA209" s="45">
        <v>1</v>
      </c>
      <c r="AB209" s="46">
        <f>IF(H2ProjectDB689571011[[#This Row],[Dummy_1]]="Electrolysis",
AA209/VLOOKUP(G209,ElectrolysisConvF,3,FALSE),
AC209*10^6/(H2dens*HoursInYear))</f>
        <v>192.30769230769232</v>
      </c>
      <c r="AC209" s="47">
        <f>AB209*H2dens*HoursInYear/10^6</f>
        <v>0.14993076923076926</v>
      </c>
      <c r="AE209" s="46">
        <f t="shared" si="14"/>
        <v>192.30769230769232</v>
      </c>
      <c r="AF209" s="43" t="s">
        <v>2341</v>
      </c>
      <c r="AG209" s="43">
        <v>53.102844300000001</v>
      </c>
      <c r="AH209" s="43">
        <v>6.8694863000000002</v>
      </c>
      <c r="AI209" s="122" t="s">
        <v>7286</v>
      </c>
      <c r="AJ209" s="41">
        <v>0.3</v>
      </c>
    </row>
    <row r="210" spans="1:36" ht="34.5" hidden="1" customHeight="1" x14ac:dyDescent="0.25">
      <c r="A210" s="40">
        <v>518</v>
      </c>
      <c r="B210" s="40" t="s">
        <v>15</v>
      </c>
      <c r="C210" s="40" t="s">
        <v>531</v>
      </c>
      <c r="D210" s="44">
        <v>2021</v>
      </c>
      <c r="F210" s="40" t="s">
        <v>1339</v>
      </c>
      <c r="G210" s="40" t="s">
        <v>455</v>
      </c>
      <c r="I210" s="40" t="s">
        <v>1269</v>
      </c>
      <c r="J210" s="40" t="s">
        <v>1392</v>
      </c>
      <c r="K210" s="40" t="s">
        <v>578</v>
      </c>
      <c r="P210" s="40">
        <v>1</v>
      </c>
      <c r="Q210" s="40">
        <v>1</v>
      </c>
      <c r="R210" s="40">
        <v>1</v>
      </c>
      <c r="Z210" s="40" t="s">
        <v>1500</v>
      </c>
      <c r="AA210" s="45">
        <v>2.5</v>
      </c>
      <c r="AB210" s="46">
        <f>IF(H2ProjectDB689571011[[#This Row],[Dummy_1]]="Electrolysis",
AA210/VLOOKUP(G210,ElectrolysisConvF,3,FALSE),
AC210*10^6/(H2dens*HoursInYear))</f>
        <v>480.76923076923077</v>
      </c>
      <c r="AC210" s="47">
        <f>AB210*H2dens*HoursInYear/10^6</f>
        <v>0.37482692307692306</v>
      </c>
      <c r="AE210" s="46">
        <f t="shared" si="14"/>
        <v>480.76923076923077</v>
      </c>
      <c r="AF210" s="43" t="s">
        <v>686</v>
      </c>
      <c r="AG210" s="43">
        <v>70.765174947077099</v>
      </c>
      <c r="AH210" s="43">
        <v>29.083687261382</v>
      </c>
      <c r="AI210" s="122" t="s">
        <v>7286</v>
      </c>
      <c r="AJ210" s="41">
        <v>0.4</v>
      </c>
    </row>
    <row r="211" spans="1:36" ht="34.5" hidden="1" customHeight="1" x14ac:dyDescent="0.25">
      <c r="A211" s="40">
        <v>519</v>
      </c>
      <c r="B211" s="40" t="s">
        <v>816</v>
      </c>
      <c r="C211" s="40" t="s">
        <v>545</v>
      </c>
      <c r="F211" s="40" t="s">
        <v>2222</v>
      </c>
      <c r="G211" s="40" t="s">
        <v>1259</v>
      </c>
      <c r="H211" s="40" t="s">
        <v>467</v>
      </c>
      <c r="I211" s="40" t="s">
        <v>1528</v>
      </c>
      <c r="K211" s="40" t="s">
        <v>1268</v>
      </c>
      <c r="N211" s="40">
        <v>1</v>
      </c>
      <c r="P211" s="40">
        <v>1</v>
      </c>
      <c r="W211" s="40">
        <v>1</v>
      </c>
      <c r="Z211" s="40" t="s">
        <v>1487</v>
      </c>
      <c r="AA211" s="45">
        <v>100</v>
      </c>
      <c r="AB211" s="46">
        <f>IF(H2ProjectDB689571011[[#This Row],[Dummy_1]]="Electrolysis",
AA211/VLOOKUP(G211,ElectrolysisConvF,3,FALSE),
AC211*10^6/(H2dens*HoursInYear))</f>
        <v>22222.222222222223</v>
      </c>
      <c r="AC211" s="47">
        <f>AB211*H2dens*HoursInYear/10^6</f>
        <v>17.325333333333333</v>
      </c>
      <c r="AE211" s="46">
        <f t="shared" si="14"/>
        <v>22222.222222222223</v>
      </c>
      <c r="AG211" s="43">
        <v>0</v>
      </c>
      <c r="AH211" s="43">
        <v>0</v>
      </c>
      <c r="AI211" s="122" t="s">
        <v>7286</v>
      </c>
      <c r="AJ211" s="41">
        <v>0.56999999999999995</v>
      </c>
    </row>
    <row r="212" spans="1:36" ht="34.5" hidden="1" customHeight="1" x14ac:dyDescent="0.25">
      <c r="A212" s="40">
        <v>520</v>
      </c>
      <c r="B212" s="40" t="s">
        <v>69</v>
      </c>
      <c r="C212" s="40" t="s">
        <v>545</v>
      </c>
      <c r="D212" s="40">
        <v>2010</v>
      </c>
      <c r="E212" s="40">
        <v>2012</v>
      </c>
      <c r="F212" s="40" t="s">
        <v>1540</v>
      </c>
      <c r="G212" s="40" t="s">
        <v>455</v>
      </c>
      <c r="I212" s="40" t="s">
        <v>1528</v>
      </c>
      <c r="K212" s="40" t="s">
        <v>578</v>
      </c>
      <c r="R212" s="40">
        <v>1</v>
      </c>
      <c r="Z212" s="40" t="s">
        <v>6530</v>
      </c>
      <c r="AA212" s="78">
        <f>IF(H2ProjectDB689571011[[#This Row],[Dummy_1]]="Electrolysis",
AB212*VLOOKUP(G212,ElectrolysisConvF,3,FALSE),
"")</f>
        <v>5.1999999999999998E-3</v>
      </c>
      <c r="AB212" s="46">
        <v>1</v>
      </c>
      <c r="AC212" s="47">
        <f>AB212*H2dens*HoursInYear/10^6</f>
        <v>7.7963999999999996E-4</v>
      </c>
      <c r="AE212" s="46">
        <f t="shared" si="14"/>
        <v>1</v>
      </c>
      <c r="AF212" s="43" t="s">
        <v>1488</v>
      </c>
      <c r="AG212" s="43">
        <v>0</v>
      </c>
      <c r="AH212" s="43">
        <v>0</v>
      </c>
      <c r="AI212" s="122" t="s">
        <v>7286</v>
      </c>
      <c r="AJ212" s="41">
        <v>0.56999999999999995</v>
      </c>
    </row>
    <row r="213" spans="1:36" ht="34.5" hidden="1" customHeight="1" x14ac:dyDescent="0.25">
      <c r="A213" s="40">
        <v>521</v>
      </c>
      <c r="B213" s="40" t="s">
        <v>70</v>
      </c>
      <c r="C213" s="40" t="s">
        <v>545</v>
      </c>
      <c r="D213" s="40">
        <v>2010</v>
      </c>
      <c r="E213" s="40">
        <v>2013</v>
      </c>
      <c r="F213" s="40" t="s">
        <v>1540</v>
      </c>
      <c r="G213" s="40" t="s">
        <v>455</v>
      </c>
      <c r="I213" s="40" t="s">
        <v>1528</v>
      </c>
      <c r="K213" s="40" t="s">
        <v>578</v>
      </c>
      <c r="AC213" s="47"/>
      <c r="AE213" s="46">
        <f t="shared" si="14"/>
        <v>0</v>
      </c>
      <c r="AF213" s="43" t="s">
        <v>1489</v>
      </c>
      <c r="AG213" s="43">
        <v>0</v>
      </c>
      <c r="AH213" s="43">
        <v>0</v>
      </c>
      <c r="AI213" s="122" t="s">
        <v>7286</v>
      </c>
      <c r="AJ213" s="41">
        <v>0.56999999999999995</v>
      </c>
    </row>
    <row r="214" spans="1:36" ht="34.5" hidden="1" customHeight="1" x14ac:dyDescent="0.25">
      <c r="A214" s="40">
        <v>522</v>
      </c>
      <c r="B214" s="40" t="s">
        <v>31</v>
      </c>
      <c r="C214" s="40" t="s">
        <v>545</v>
      </c>
      <c r="D214" s="40">
        <v>2011</v>
      </c>
      <c r="E214" s="40">
        <v>2013</v>
      </c>
      <c r="F214" s="40" t="s">
        <v>1540</v>
      </c>
      <c r="G214" s="40" t="s">
        <v>455</v>
      </c>
      <c r="I214" s="40" t="s">
        <v>1528</v>
      </c>
      <c r="K214" s="40" t="s">
        <v>612</v>
      </c>
      <c r="X214" s="40">
        <v>1</v>
      </c>
      <c r="Y214" s="40">
        <v>1</v>
      </c>
      <c r="Z214" s="40" t="s">
        <v>1387</v>
      </c>
      <c r="AA214" s="45">
        <v>0.25</v>
      </c>
      <c r="AB214" s="46">
        <f>IF(H2ProjectDB689571011[[#This Row],[Dummy_1]]="Electrolysis",
AA214/VLOOKUP(G214,ElectrolysisConvF,3,FALSE),
AC214*10^6/(H2dens*HoursInYear))</f>
        <v>48.07692307692308</v>
      </c>
      <c r="AC214" s="47">
        <f>AB214*H2dens*HoursInYear/10^6</f>
        <v>3.7482692307692314E-2</v>
      </c>
      <c r="AE214" s="46">
        <f t="shared" si="14"/>
        <v>48.07692307692308</v>
      </c>
      <c r="AF214" s="43" t="s">
        <v>842</v>
      </c>
      <c r="AG214" s="43">
        <v>0</v>
      </c>
      <c r="AH214" s="43">
        <v>0</v>
      </c>
      <c r="AI214" s="122" t="s">
        <v>7286</v>
      </c>
      <c r="AJ214" s="41">
        <v>0.56999999999999995</v>
      </c>
    </row>
    <row r="215" spans="1:36" ht="34.5" hidden="1" customHeight="1" x14ac:dyDescent="0.25">
      <c r="A215" s="40">
        <v>524</v>
      </c>
      <c r="B215" s="40" t="s">
        <v>136</v>
      </c>
      <c r="C215" s="40" t="s">
        <v>545</v>
      </c>
      <c r="D215" s="40">
        <v>2011</v>
      </c>
      <c r="E215" s="40">
        <v>2014</v>
      </c>
      <c r="F215" s="40" t="s">
        <v>1540</v>
      </c>
      <c r="G215" s="40" t="s">
        <v>456</v>
      </c>
      <c r="I215" s="40" t="s">
        <v>1528</v>
      </c>
      <c r="K215" s="40" t="s">
        <v>612</v>
      </c>
      <c r="X215" s="40">
        <v>1</v>
      </c>
      <c r="Z215" s="40" t="s">
        <v>1460</v>
      </c>
      <c r="AA215" s="45">
        <v>0.04</v>
      </c>
      <c r="AB215" s="46">
        <f>IF(H2ProjectDB689571011[[#This Row],[Dummy_1]]="Electrolysis",
AA215/VLOOKUP(G215,ElectrolysisConvF,3,FALSE),
AC215*10^6/(H2dens*HoursInYear))</f>
        <v>10.526315789473685</v>
      </c>
      <c r="AC215" s="47">
        <f>AB215*H2dens*HoursInYear/10^6</f>
        <v>8.2067368421052632E-3</v>
      </c>
      <c r="AE215" s="46">
        <f t="shared" si="14"/>
        <v>10.526315789473685</v>
      </c>
      <c r="AF215" s="43" t="s">
        <v>1490</v>
      </c>
      <c r="AG215" s="43">
        <v>0</v>
      </c>
      <c r="AH215" s="43">
        <v>0</v>
      </c>
      <c r="AI215" s="122" t="s">
        <v>7286</v>
      </c>
      <c r="AJ215" s="41">
        <v>0.56999999999999995</v>
      </c>
    </row>
    <row r="216" spans="1:36" ht="34.5" hidden="1" customHeight="1" x14ac:dyDescent="0.25">
      <c r="A216" s="40">
        <v>525</v>
      </c>
      <c r="B216" s="40" t="s">
        <v>135</v>
      </c>
      <c r="C216" s="40" t="s">
        <v>545</v>
      </c>
      <c r="D216" s="40">
        <v>2011</v>
      </c>
      <c r="E216" s="40">
        <v>2012</v>
      </c>
      <c r="F216" s="40" t="s">
        <v>1540</v>
      </c>
      <c r="G216" s="40" t="s">
        <v>1259</v>
      </c>
      <c r="H216" s="40" t="s">
        <v>467</v>
      </c>
      <c r="I216" s="40" t="s">
        <v>1528</v>
      </c>
      <c r="K216" s="40" t="s">
        <v>612</v>
      </c>
      <c r="X216" s="40">
        <v>1</v>
      </c>
      <c r="Y216" s="40">
        <v>1</v>
      </c>
      <c r="AC216" s="47"/>
      <c r="AE216" s="46">
        <f t="shared" si="14"/>
        <v>0</v>
      </c>
      <c r="AF216" s="43" t="s">
        <v>1455</v>
      </c>
      <c r="AG216" s="43">
        <v>0</v>
      </c>
      <c r="AH216" s="43">
        <v>0</v>
      </c>
      <c r="AI216" s="122" t="s">
        <v>7286</v>
      </c>
      <c r="AJ216" s="41">
        <v>0.56999999999999995</v>
      </c>
    </row>
    <row r="217" spans="1:36" ht="34.5" hidden="1" customHeight="1" x14ac:dyDescent="0.25">
      <c r="A217" s="40">
        <v>526</v>
      </c>
      <c r="B217" s="40" t="s">
        <v>65</v>
      </c>
      <c r="C217" s="40" t="s">
        <v>545</v>
      </c>
      <c r="D217" s="40">
        <v>2011</v>
      </c>
      <c r="E217" s="40">
        <v>2015</v>
      </c>
      <c r="F217" s="40" t="s">
        <v>1540</v>
      </c>
      <c r="G217" s="40" t="s">
        <v>1259</v>
      </c>
      <c r="H217" s="40" t="s">
        <v>467</v>
      </c>
      <c r="I217" s="40" t="s">
        <v>1528</v>
      </c>
      <c r="K217" s="40" t="s">
        <v>578</v>
      </c>
      <c r="AC217" s="47"/>
      <c r="AE217" s="46">
        <f t="shared" si="14"/>
        <v>0</v>
      </c>
      <c r="AG217" s="43">
        <v>0</v>
      </c>
      <c r="AH217" s="43">
        <v>0</v>
      </c>
      <c r="AI217" s="122" t="s">
        <v>7286</v>
      </c>
      <c r="AJ217" s="41">
        <v>0.56999999999999995</v>
      </c>
    </row>
    <row r="218" spans="1:36" ht="34.5" hidden="1" customHeight="1" x14ac:dyDescent="0.25">
      <c r="A218" s="40">
        <v>527</v>
      </c>
      <c r="B218" s="40" t="s">
        <v>112</v>
      </c>
      <c r="C218" s="40" t="s">
        <v>545</v>
      </c>
      <c r="D218" s="40">
        <v>2014</v>
      </c>
      <c r="E218" s="40">
        <v>2015</v>
      </c>
      <c r="F218" s="40" t="s">
        <v>1540</v>
      </c>
      <c r="G218" s="40" t="s">
        <v>457</v>
      </c>
      <c r="I218" s="40" t="s">
        <v>1266</v>
      </c>
      <c r="K218" s="40" t="s">
        <v>612</v>
      </c>
      <c r="X218" s="40">
        <v>1</v>
      </c>
      <c r="Y218" s="40">
        <v>1</v>
      </c>
      <c r="Z218" s="40" t="s">
        <v>6552</v>
      </c>
      <c r="AA218" s="78">
        <f>IF(H2ProjectDB689571011[[#This Row],[Dummy_1]]="Electrolysis",
AB218*VLOOKUP(G218,ElectrolysisConvF,3,FALSE),
"")</f>
        <v>6.4399999999999995E-3</v>
      </c>
      <c r="AB218" s="46">
        <v>1.4</v>
      </c>
      <c r="AC218" s="47">
        <f>AB218*H2dens*HoursInYear/10^6</f>
        <v>1.091496E-3</v>
      </c>
      <c r="AE218" s="46">
        <f t="shared" si="14"/>
        <v>1.4</v>
      </c>
      <c r="AF218" s="43" t="s">
        <v>934</v>
      </c>
      <c r="AG218" s="43">
        <v>0</v>
      </c>
      <c r="AH218" s="43">
        <v>0</v>
      </c>
      <c r="AI218" s="122" t="s">
        <v>7286</v>
      </c>
      <c r="AJ218" s="41">
        <v>0.56999999999999995</v>
      </c>
    </row>
    <row r="219" spans="1:36" ht="34.5" hidden="1" customHeight="1" x14ac:dyDescent="0.25">
      <c r="A219" s="40">
        <v>528</v>
      </c>
      <c r="B219" s="40" t="s">
        <v>113</v>
      </c>
      <c r="C219" s="40" t="s">
        <v>545</v>
      </c>
      <c r="D219" s="40">
        <v>2015</v>
      </c>
      <c r="E219" s="40">
        <v>2018</v>
      </c>
      <c r="F219" s="40" t="s">
        <v>1540</v>
      </c>
      <c r="G219" s="40" t="s">
        <v>457</v>
      </c>
      <c r="I219" s="40" t="s">
        <v>1266</v>
      </c>
      <c r="K219" s="40" t="s">
        <v>612</v>
      </c>
      <c r="X219" s="40">
        <v>1</v>
      </c>
      <c r="Y219" s="40">
        <v>1</v>
      </c>
      <c r="Z219" s="40" t="s">
        <v>1491</v>
      </c>
      <c r="AA219" s="45">
        <v>0.25</v>
      </c>
      <c r="AB219" s="46">
        <f>IF(H2ProjectDB689571011[[#This Row],[Dummy_1]]="Electrolysis",
AA219/VLOOKUP(G219,ElectrolysisConvF,3,FALSE),
AC219*10^6/(H2dens*HoursInYear))</f>
        <v>54.347826086956523</v>
      </c>
      <c r="AC219" s="47">
        <f>AB219*H2dens*HoursInYear/10^6</f>
        <v>4.237173913043478E-2</v>
      </c>
      <c r="AE219" s="46">
        <f t="shared" si="14"/>
        <v>54.347826086956523</v>
      </c>
      <c r="AF219" s="43" t="s">
        <v>1492</v>
      </c>
      <c r="AG219" s="43">
        <v>0</v>
      </c>
      <c r="AH219" s="43">
        <v>0</v>
      </c>
      <c r="AI219" s="122" t="s">
        <v>7286</v>
      </c>
      <c r="AJ219" s="41">
        <v>0.56999999999999995</v>
      </c>
    </row>
    <row r="220" spans="1:36" ht="34.5" hidden="1" customHeight="1" x14ac:dyDescent="0.25">
      <c r="A220" s="40">
        <v>529</v>
      </c>
      <c r="B220" s="40" t="s">
        <v>94</v>
      </c>
      <c r="C220" s="40" t="s">
        <v>545</v>
      </c>
      <c r="D220" s="40">
        <v>2007</v>
      </c>
      <c r="E220" s="40">
        <v>2014</v>
      </c>
      <c r="F220" s="40" t="s">
        <v>1540</v>
      </c>
      <c r="G220" s="40" t="s">
        <v>455</v>
      </c>
      <c r="I220" s="40" t="s">
        <v>1528</v>
      </c>
      <c r="K220" s="40" t="s">
        <v>578</v>
      </c>
      <c r="R220" s="40">
        <v>1</v>
      </c>
      <c r="T220" s="40">
        <v>1</v>
      </c>
      <c r="Z220" s="40" t="s">
        <v>6553</v>
      </c>
      <c r="AA220" s="78">
        <f>IF(H2ProjectDB689571011[[#This Row],[Dummy_1]]="Electrolysis",
AB220*VLOOKUP(G220,ElectrolysisConvF,3,FALSE),
"")</f>
        <v>8.3199999999999996E-2</v>
      </c>
      <c r="AB220" s="46">
        <v>16</v>
      </c>
      <c r="AC220" s="47">
        <f>AB220*H2dens*HoursInYear/10^6</f>
        <v>1.2474239999999999E-2</v>
      </c>
      <c r="AE220" s="46">
        <f t="shared" ref="AE220:AE231" si="17">AB220</f>
        <v>16</v>
      </c>
      <c r="AF220" s="43" t="s">
        <v>783</v>
      </c>
      <c r="AG220" s="43">
        <v>0</v>
      </c>
      <c r="AH220" s="43">
        <v>0</v>
      </c>
      <c r="AI220" s="122" t="s">
        <v>7286</v>
      </c>
      <c r="AJ220" s="41">
        <v>0.56999999999999995</v>
      </c>
    </row>
    <row r="221" spans="1:36" ht="34.5" hidden="1" customHeight="1" x14ac:dyDescent="0.25">
      <c r="A221" s="40">
        <v>530</v>
      </c>
      <c r="B221" s="40" t="s">
        <v>1721</v>
      </c>
      <c r="C221" s="40" t="s">
        <v>545</v>
      </c>
      <c r="D221" s="44">
        <v>2022</v>
      </c>
      <c r="F221" s="40" t="s">
        <v>1339</v>
      </c>
      <c r="G221" s="40" t="s">
        <v>457</v>
      </c>
      <c r="I221" s="40" t="s">
        <v>1269</v>
      </c>
      <c r="J221" s="40" t="s">
        <v>1393</v>
      </c>
      <c r="K221" s="40" t="s">
        <v>578</v>
      </c>
      <c r="Q221" s="40">
        <v>1</v>
      </c>
      <c r="Z221" s="40" t="s">
        <v>1493</v>
      </c>
      <c r="AA221" s="45">
        <v>2</v>
      </c>
      <c r="AB221" s="46">
        <f>IF(H2ProjectDB689571011[[#This Row],[Dummy_1]]="Electrolysis",
AA221/VLOOKUP(G221,ElectrolysisConvF,3,FALSE),
AC221*10^6/(H2dens*HoursInYear))</f>
        <v>434.78260869565219</v>
      </c>
      <c r="AC221" s="47">
        <f>AB221*H2dens*HoursInYear/10^6</f>
        <v>0.33897391304347824</v>
      </c>
      <c r="AE221" s="46">
        <f t="shared" si="17"/>
        <v>434.78260869565219</v>
      </c>
      <c r="AF221" s="43" t="s">
        <v>3524</v>
      </c>
      <c r="AG221" s="43">
        <v>55.625543700000001</v>
      </c>
      <c r="AH221" s="43">
        <v>12.455050099999999</v>
      </c>
      <c r="AI221" s="122" t="s">
        <v>7286</v>
      </c>
      <c r="AJ221" s="41">
        <v>0.55000000000000004</v>
      </c>
    </row>
    <row r="222" spans="1:36" ht="34.5" hidden="1" customHeight="1" x14ac:dyDescent="0.25">
      <c r="A222" s="40">
        <v>531</v>
      </c>
      <c r="B222" s="40" t="s">
        <v>93</v>
      </c>
      <c r="C222" s="40" t="s">
        <v>545</v>
      </c>
      <c r="F222" s="40" t="s">
        <v>1257</v>
      </c>
      <c r="G222" s="40" t="s">
        <v>457</v>
      </c>
      <c r="I222" s="40" t="s">
        <v>1528</v>
      </c>
      <c r="K222" s="40" t="s">
        <v>578</v>
      </c>
      <c r="Q222" s="40">
        <v>1</v>
      </c>
      <c r="AC222" s="47"/>
      <c r="AE222" s="46">
        <f t="shared" si="17"/>
        <v>0</v>
      </c>
      <c r="AF222" s="43" t="s">
        <v>6591</v>
      </c>
      <c r="AG222" s="43">
        <v>0</v>
      </c>
      <c r="AH222" s="43">
        <v>0</v>
      </c>
      <c r="AI222" s="122" t="s">
        <v>7286</v>
      </c>
      <c r="AJ222" s="41">
        <v>0.56999999999999995</v>
      </c>
    </row>
    <row r="223" spans="1:36" ht="34.5" hidden="1" customHeight="1" x14ac:dyDescent="0.25">
      <c r="A223" s="40">
        <v>532</v>
      </c>
      <c r="B223" s="40" t="s">
        <v>3535</v>
      </c>
      <c r="C223" s="40" t="s">
        <v>545</v>
      </c>
      <c r="D223" s="44">
        <v>2026</v>
      </c>
      <c r="F223" s="40" t="s">
        <v>2222</v>
      </c>
      <c r="G223" s="40" t="s">
        <v>1259</v>
      </c>
      <c r="H223" s="40" t="s">
        <v>467</v>
      </c>
      <c r="I223" s="40" t="s">
        <v>1269</v>
      </c>
      <c r="J223" s="40" t="s">
        <v>1395</v>
      </c>
      <c r="K223" s="40" t="s">
        <v>1243</v>
      </c>
      <c r="M223" s="40">
        <v>1</v>
      </c>
      <c r="Q223" s="40">
        <v>1</v>
      </c>
      <c r="Z223" s="40" t="s">
        <v>1334</v>
      </c>
      <c r="AA223" s="45">
        <v>1000</v>
      </c>
      <c r="AB223" s="46">
        <f>IF(H2ProjectDB689571011[[#This Row],[Dummy_1]]="Electrolysis",
AA223/VLOOKUP(G223,ElectrolysisConvF,3,FALSE),
AC223*10^6/(H2dens*HoursInYear))</f>
        <v>222222.22222222225</v>
      </c>
      <c r="AC223" s="47">
        <f>AB223*H2dens*HoursInYear/10^6</f>
        <v>173.25333333333333</v>
      </c>
      <c r="AE223" s="46">
        <f t="shared" si="17"/>
        <v>222222.22222222225</v>
      </c>
      <c r="AF223" s="43" t="s">
        <v>2203</v>
      </c>
      <c r="AG223" s="43">
        <v>55.476838533162898</v>
      </c>
      <c r="AH223" s="43">
        <v>8.4620964092026298</v>
      </c>
      <c r="AI223" s="122" t="s">
        <v>7286</v>
      </c>
      <c r="AJ223" s="41">
        <v>0.5</v>
      </c>
    </row>
    <row r="224" spans="1:36" ht="34.5" hidden="1" customHeight="1" x14ac:dyDescent="0.25">
      <c r="A224" s="40">
        <v>533</v>
      </c>
      <c r="B224" s="40" t="s">
        <v>1200</v>
      </c>
      <c r="C224" s="40" t="s">
        <v>545</v>
      </c>
      <c r="D224" s="44">
        <v>2020</v>
      </c>
      <c r="F224" s="40" t="s">
        <v>1339</v>
      </c>
      <c r="G224" s="40" t="s">
        <v>457</v>
      </c>
      <c r="I224" s="40" t="s">
        <v>1266</v>
      </c>
      <c r="K224" s="40" t="s">
        <v>578</v>
      </c>
      <c r="Q224" s="40">
        <v>1</v>
      </c>
      <c r="Z224" s="40" t="s">
        <v>1494</v>
      </c>
      <c r="AA224" s="45">
        <v>0.25</v>
      </c>
      <c r="AB224" s="46">
        <f>IF(H2ProjectDB689571011[[#This Row],[Dummy_1]]="Electrolysis",
AA224/VLOOKUP(G224,ElectrolysisConvF,3,FALSE),
AC224*10^6/(H2dens*HoursInYear))</f>
        <v>54.347826086956523</v>
      </c>
      <c r="AC224" s="47">
        <f>AB224*H2dens*HoursInYear/10^6</f>
        <v>4.237173913043478E-2</v>
      </c>
      <c r="AE224" s="46">
        <f t="shared" si="17"/>
        <v>54.347826086956523</v>
      </c>
      <c r="AF224" s="43" t="s">
        <v>1201</v>
      </c>
      <c r="AG224" s="43">
        <v>0</v>
      </c>
      <c r="AH224" s="43">
        <v>0</v>
      </c>
      <c r="AI224" s="122" t="s">
        <v>7286</v>
      </c>
      <c r="AJ224" s="41">
        <v>0.56999999999999995</v>
      </c>
    </row>
    <row r="225" spans="1:36" ht="34.5" hidden="1" customHeight="1" x14ac:dyDescent="0.25">
      <c r="A225" s="40">
        <v>535</v>
      </c>
      <c r="B225" s="40" t="s">
        <v>967</v>
      </c>
      <c r="C225" s="40" t="s">
        <v>545</v>
      </c>
      <c r="D225" s="44">
        <v>2022</v>
      </c>
      <c r="F225" s="40" t="s">
        <v>1540</v>
      </c>
      <c r="G225" s="40" t="s">
        <v>1259</v>
      </c>
      <c r="H225" s="40" t="s">
        <v>467</v>
      </c>
      <c r="I225" s="40" t="s">
        <v>1266</v>
      </c>
      <c r="K225" s="40" t="s">
        <v>1242</v>
      </c>
      <c r="N225" s="40">
        <v>1</v>
      </c>
      <c r="Z225" s="40" t="s">
        <v>1496</v>
      </c>
      <c r="AA225" s="78">
        <f>IF(H2ProjectDB689571011[[#This Row],[Dummy_1]]="Electrolysis",
AB225*VLOOKUP(G225,ElectrolysisConvF,3,FALSE),
"")</f>
        <v>2.6426901458136585</v>
      </c>
      <c r="AB225" s="46">
        <f>AC225/(H2dens*HoursInYear/10^6)</f>
        <v>587.26447684747973</v>
      </c>
      <c r="AC225" s="47">
        <f>10*HoursInYear/(10^6*0.191327)</f>
        <v>0.45785487672936909</v>
      </c>
      <c r="AE225" s="46">
        <f t="shared" si="17"/>
        <v>587.26447684747973</v>
      </c>
      <c r="AF225" s="43" t="s">
        <v>4484</v>
      </c>
      <c r="AG225" s="43">
        <v>56.172205411166402</v>
      </c>
      <c r="AH225" s="43">
        <v>10.157150603571599</v>
      </c>
      <c r="AI225" s="122" t="s">
        <v>7286</v>
      </c>
      <c r="AJ225" s="41">
        <v>0.56999999999999995</v>
      </c>
    </row>
    <row r="226" spans="1:36" ht="34.5" hidden="1" customHeight="1" x14ac:dyDescent="0.25">
      <c r="A226" s="40">
        <v>536</v>
      </c>
      <c r="B226" s="40" t="s">
        <v>50</v>
      </c>
      <c r="C226" s="40" t="s">
        <v>545</v>
      </c>
      <c r="D226" s="40">
        <v>2008</v>
      </c>
      <c r="E226" s="40">
        <v>2011</v>
      </c>
      <c r="F226" s="40" t="s">
        <v>1540</v>
      </c>
      <c r="G226" s="40" t="s">
        <v>455</v>
      </c>
      <c r="I226" s="40" t="s">
        <v>1528</v>
      </c>
      <c r="K226" s="40" t="s">
        <v>578</v>
      </c>
      <c r="AC226" s="47"/>
      <c r="AE226" s="46">
        <f t="shared" si="17"/>
        <v>0</v>
      </c>
      <c r="AF226" s="43" t="s">
        <v>1455</v>
      </c>
      <c r="AG226" s="43">
        <v>0</v>
      </c>
      <c r="AH226" s="43">
        <v>0</v>
      </c>
      <c r="AI226" s="122" t="s">
        <v>7286</v>
      </c>
      <c r="AJ226" s="41">
        <v>0.56999999999999995</v>
      </c>
    </row>
    <row r="227" spans="1:36" ht="34.5" hidden="1" customHeight="1" x14ac:dyDescent="0.25">
      <c r="A227" s="40">
        <v>537</v>
      </c>
      <c r="B227" s="40" t="s">
        <v>67</v>
      </c>
      <c r="C227" s="40" t="s">
        <v>531</v>
      </c>
      <c r="D227" s="40">
        <v>2010</v>
      </c>
      <c r="E227" s="40">
        <v>2012</v>
      </c>
      <c r="F227" s="40" t="s">
        <v>1540</v>
      </c>
      <c r="G227" s="40" t="s">
        <v>455</v>
      </c>
      <c r="I227" s="40" t="s">
        <v>1528</v>
      </c>
      <c r="K227" s="40" t="s">
        <v>578</v>
      </c>
      <c r="AC227" s="47"/>
      <c r="AE227" s="46">
        <f t="shared" si="17"/>
        <v>0</v>
      </c>
      <c r="AF227" s="43" t="s">
        <v>1497</v>
      </c>
      <c r="AG227" s="43">
        <v>0</v>
      </c>
      <c r="AH227" s="43">
        <v>0</v>
      </c>
      <c r="AI227" s="122" t="s">
        <v>7286</v>
      </c>
      <c r="AJ227" s="41">
        <v>0.56999999999999995</v>
      </c>
    </row>
    <row r="228" spans="1:36" ht="34.5" hidden="1" customHeight="1" x14ac:dyDescent="0.25">
      <c r="A228" s="40">
        <v>538</v>
      </c>
      <c r="B228" s="40" t="s">
        <v>171</v>
      </c>
      <c r="C228" s="40" t="s">
        <v>531</v>
      </c>
      <c r="F228" s="40" t="s">
        <v>1331</v>
      </c>
      <c r="G228" s="40" t="s">
        <v>457</v>
      </c>
      <c r="I228" s="40" t="s">
        <v>1269</v>
      </c>
      <c r="J228" s="40" t="s">
        <v>1394</v>
      </c>
      <c r="K228" s="40" t="s">
        <v>578</v>
      </c>
      <c r="Q228" s="40">
        <v>1</v>
      </c>
      <c r="Z228" s="40" t="s">
        <v>1493</v>
      </c>
      <c r="AA228" s="45">
        <v>2</v>
      </c>
      <c r="AB228" s="46">
        <f>IF(H2ProjectDB689571011[[#This Row],[Dummy_1]]="Electrolysis",
AA228/VLOOKUP(G228,ElectrolysisConvF,3,FALSE),
AC228*10^6/(H2dens*HoursInYear))</f>
        <v>434.78260869565219</v>
      </c>
      <c r="AC228" s="47">
        <f>AB228*H2dens*HoursInYear/10^6</f>
        <v>0.33897391304347824</v>
      </c>
      <c r="AE228" s="46">
        <f t="shared" si="17"/>
        <v>434.78260869565219</v>
      </c>
      <c r="AF228" s="43" t="s">
        <v>977</v>
      </c>
      <c r="AG228" s="43">
        <v>0</v>
      </c>
      <c r="AH228" s="43">
        <v>0</v>
      </c>
      <c r="AI228" s="122" t="s">
        <v>7286</v>
      </c>
      <c r="AJ228" s="41">
        <v>0.8</v>
      </c>
    </row>
    <row r="229" spans="1:36" ht="34.5" hidden="1" customHeight="1" x14ac:dyDescent="0.25">
      <c r="A229" s="40">
        <v>539</v>
      </c>
      <c r="B229" s="40" t="s">
        <v>18</v>
      </c>
      <c r="C229" s="40" t="s">
        <v>531</v>
      </c>
      <c r="D229" s="40">
        <v>2013</v>
      </c>
      <c r="F229" s="40" t="s">
        <v>1339</v>
      </c>
      <c r="G229" s="40" t="s">
        <v>1263</v>
      </c>
      <c r="K229" s="40" t="s">
        <v>578</v>
      </c>
      <c r="Q229" s="40">
        <v>1</v>
      </c>
      <c r="R229" s="40">
        <v>1</v>
      </c>
      <c r="Z229" s="40" t="s">
        <v>1498</v>
      </c>
      <c r="AB229" s="46">
        <v>10</v>
      </c>
      <c r="AC229" s="47">
        <f>AB229*H2dens*HoursInYear/10^6</f>
        <v>7.7963999999999985E-3</v>
      </c>
      <c r="AE229" s="46">
        <f t="shared" si="17"/>
        <v>10</v>
      </c>
      <c r="AG229" s="43">
        <v>0</v>
      </c>
      <c r="AH229" s="43">
        <v>0</v>
      </c>
      <c r="AI229" s="122" t="s">
        <v>1255</v>
      </c>
      <c r="AJ229" s="41">
        <v>0.9</v>
      </c>
    </row>
    <row r="230" spans="1:36" ht="34.5" hidden="1" customHeight="1" x14ac:dyDescent="0.25">
      <c r="A230" s="40">
        <v>540</v>
      </c>
      <c r="B230" s="40" t="s">
        <v>1040</v>
      </c>
      <c r="C230" s="40" t="s">
        <v>531</v>
      </c>
      <c r="D230" s="44">
        <v>2026</v>
      </c>
      <c r="F230" s="40" t="s">
        <v>1331</v>
      </c>
      <c r="G230" s="40" t="s">
        <v>457</v>
      </c>
      <c r="I230" s="40" t="s">
        <v>1269</v>
      </c>
      <c r="J230" s="40" t="s">
        <v>1395</v>
      </c>
      <c r="K230" s="40" t="s">
        <v>578</v>
      </c>
      <c r="O230" s="40">
        <v>1</v>
      </c>
      <c r="Z230" s="40" t="s">
        <v>1456</v>
      </c>
      <c r="AA230" s="45">
        <v>45</v>
      </c>
      <c r="AB230" s="46">
        <f>IF(H2ProjectDB689571011[[#This Row],[Dummy_1]]="Electrolysis",
AA230/VLOOKUP(G230,ElectrolysisConvF,3,FALSE),
AC230*10^6/(H2dens*HoursInYear))</f>
        <v>9782.608695652174</v>
      </c>
      <c r="AC230" s="47">
        <f>AB230*H2dens*HoursInYear/10^6</f>
        <v>7.626913043478261</v>
      </c>
      <c r="AE230" s="46">
        <f t="shared" si="17"/>
        <v>9782.608695652174</v>
      </c>
      <c r="AF230" s="43" t="s">
        <v>1458</v>
      </c>
      <c r="AG230" s="43">
        <v>66.310371000000004</v>
      </c>
      <c r="AH230" s="43">
        <v>14.169271</v>
      </c>
      <c r="AI230" s="122" t="s">
        <v>7286</v>
      </c>
      <c r="AJ230" s="41">
        <v>0.5</v>
      </c>
    </row>
    <row r="231" spans="1:36" ht="34.5" hidden="1" customHeight="1" x14ac:dyDescent="0.25">
      <c r="A231" s="40">
        <v>541</v>
      </c>
      <c r="B231" s="40" t="s">
        <v>89</v>
      </c>
      <c r="C231" s="40" t="s">
        <v>531</v>
      </c>
      <c r="D231" s="40">
        <v>2004</v>
      </c>
      <c r="E231" s="40">
        <v>2008</v>
      </c>
      <c r="F231" s="40" t="s">
        <v>1540</v>
      </c>
      <c r="G231" s="40" t="s">
        <v>457</v>
      </c>
      <c r="I231" s="40" t="s">
        <v>1528</v>
      </c>
      <c r="K231" s="40" t="s">
        <v>578</v>
      </c>
      <c r="R231" s="40">
        <v>1</v>
      </c>
      <c r="Z231" s="40" t="s">
        <v>6885</v>
      </c>
      <c r="AA231" s="45">
        <v>4.8000000000000001E-2</v>
      </c>
      <c r="AB231" s="46">
        <f>IF(H2ProjectDB689571011[[#This Row],[Dummy_1]]="Electrolysis",
AA231/VLOOKUP(G231,ElectrolysisConvF,3,FALSE),
AC231*10^6/(H2dens*HoursInYear))</f>
        <v>10.434782608695652</v>
      </c>
      <c r="AC231" s="47">
        <f>AB231*H2dens*HoursInYear/10^6</f>
        <v>8.1353739130434772E-3</v>
      </c>
      <c r="AE231" s="46">
        <f t="shared" si="17"/>
        <v>10.434782608695652</v>
      </c>
      <c r="AF231" s="43" t="s">
        <v>1499</v>
      </c>
      <c r="AG231" s="43">
        <v>0</v>
      </c>
      <c r="AH231" s="43">
        <v>0</v>
      </c>
      <c r="AI231" s="122" t="s">
        <v>7286</v>
      </c>
      <c r="AJ231" s="41">
        <v>0.56999999999999995</v>
      </c>
    </row>
    <row r="232" spans="1:36" ht="34.5" hidden="1" customHeight="1" x14ac:dyDescent="0.25">
      <c r="A232" s="40">
        <v>543</v>
      </c>
      <c r="B232" s="40" t="s">
        <v>5068</v>
      </c>
      <c r="C232" s="40" t="s">
        <v>542</v>
      </c>
      <c r="D232" s="44">
        <v>2028</v>
      </c>
      <c r="F232" s="40" t="s">
        <v>1331</v>
      </c>
      <c r="G232" s="40" t="s">
        <v>1261</v>
      </c>
      <c r="H232" s="40" t="s">
        <v>5708</v>
      </c>
      <c r="K232" s="40" t="s">
        <v>578</v>
      </c>
      <c r="L232" s="40">
        <v>1</v>
      </c>
      <c r="P232" s="40">
        <v>1</v>
      </c>
      <c r="S232" s="40">
        <v>1</v>
      </c>
      <c r="Z232" s="40" t="s">
        <v>2876</v>
      </c>
      <c r="AB232" s="46">
        <f>IF(H2ProjectDB689571011[[#This Row],[Dummy_1]]="Electrolysis",
AA232/VLOOKUP(G232,ElectrolysisConvF,3,FALSE),
AC232*10^6/(H2dens*HoursInYear))</f>
        <v>64044.943820224718</v>
      </c>
      <c r="AC232" s="47">
        <f>200*HoursInYear*0.95*3600/120/10^6</f>
        <v>49.932000000000002</v>
      </c>
      <c r="AD232" s="46">
        <v>400000</v>
      </c>
      <c r="AE232" s="46">
        <f>IF(AND(G232&lt;&gt;"NG w CCUS",G232&lt;&gt;"Oil w CCUS",G232&lt;&gt;"Coal w CCUS"),AB232,AD232*10^3/(HoursInYear*IF(G232="NG w CCUS",0.9105,1.9075)))</f>
        <v>50150.577107766068</v>
      </c>
      <c r="AF232" s="43" t="s">
        <v>2170</v>
      </c>
      <c r="AG232" s="43">
        <v>57.179129750426497</v>
      </c>
      <c r="AH232" s="43">
        <v>-2.1016546560573701</v>
      </c>
      <c r="AI232" s="122" t="s">
        <v>7287</v>
      </c>
      <c r="AJ232" s="41">
        <v>0.9</v>
      </c>
    </row>
    <row r="233" spans="1:36" ht="34.5" hidden="1" customHeight="1" x14ac:dyDescent="0.25">
      <c r="A233" s="40">
        <v>544</v>
      </c>
      <c r="B233" s="40" t="s">
        <v>903</v>
      </c>
      <c r="C233" s="40" t="s">
        <v>531</v>
      </c>
      <c r="D233" s="40">
        <v>2003</v>
      </c>
      <c r="E233" s="40">
        <v>2016</v>
      </c>
      <c r="F233" s="40" t="s">
        <v>1540</v>
      </c>
      <c r="G233" s="40" t="s">
        <v>455</v>
      </c>
      <c r="I233" s="40" t="s">
        <v>1257</v>
      </c>
      <c r="K233" s="40" t="s">
        <v>578</v>
      </c>
      <c r="R233" s="40">
        <v>1</v>
      </c>
      <c r="Z233" s="40" t="s">
        <v>6554</v>
      </c>
      <c r="AA233" s="78">
        <f>IF(H2ProjectDB689571011[[#This Row],[Dummy_1]]="Electrolysis",
AB233*VLOOKUP(G233,ElectrolysisConvF,3,FALSE),
"")</f>
        <v>3.6399999999999996E-3</v>
      </c>
      <c r="AB233" s="46">
        <v>0.7</v>
      </c>
      <c r="AC233" s="47">
        <f>AB233*H2dens*HoursInYear/10^6</f>
        <v>5.4574799999999998E-4</v>
      </c>
      <c r="AE233" s="46">
        <f t="shared" ref="AE233:AE242" si="18">AB233</f>
        <v>0.7</v>
      </c>
      <c r="AF233" s="43" t="s">
        <v>907</v>
      </c>
      <c r="AG233" s="43">
        <v>0</v>
      </c>
      <c r="AH233" s="43">
        <v>0</v>
      </c>
      <c r="AI233" s="122" t="s">
        <v>7286</v>
      </c>
      <c r="AJ233" s="41">
        <v>0.56999999999999995</v>
      </c>
    </row>
    <row r="234" spans="1:36" ht="34.5" hidden="1" customHeight="1" x14ac:dyDescent="0.25">
      <c r="A234" s="40">
        <v>548</v>
      </c>
      <c r="B234" s="40" t="s">
        <v>5731</v>
      </c>
      <c r="C234" s="40" t="s">
        <v>531</v>
      </c>
      <c r="D234" s="44">
        <v>2024</v>
      </c>
      <c r="F234" s="40" t="s">
        <v>1339</v>
      </c>
      <c r="G234" s="40" t="s">
        <v>455</v>
      </c>
      <c r="I234" s="40" t="s">
        <v>1266</v>
      </c>
      <c r="K234" s="40" t="s">
        <v>1243</v>
      </c>
      <c r="M234" s="40">
        <v>1</v>
      </c>
      <c r="Z234" s="40" t="s">
        <v>2110</v>
      </c>
      <c r="AA234" s="45">
        <v>24</v>
      </c>
      <c r="AB234" s="46">
        <f>IF(H2ProjectDB689571011[[#This Row],[Dummy_1]]="Electrolysis",
AA234/VLOOKUP(G234,ElectrolysisConvF,3,FALSE),
AC234*10^6/(H2dens*HoursInYear))</f>
        <v>4615.3846153846152</v>
      </c>
      <c r="AC234" s="47">
        <f>AB234*H2dens*HoursInYear/10^6</f>
        <v>3.5983384615384608</v>
      </c>
      <c r="AE234" s="46">
        <f t="shared" si="18"/>
        <v>4615.3846153846152</v>
      </c>
      <c r="AF234" s="43" t="s">
        <v>3439</v>
      </c>
      <c r="AG234" s="43">
        <v>59.139908757764701</v>
      </c>
      <c r="AH234" s="43">
        <v>9.6547768219278201</v>
      </c>
      <c r="AI234" s="122" t="s">
        <v>7286</v>
      </c>
      <c r="AJ234" s="41">
        <v>0.56999999999999995</v>
      </c>
    </row>
    <row r="235" spans="1:36" ht="34.5" hidden="1" customHeight="1" x14ac:dyDescent="0.25">
      <c r="A235" s="40">
        <v>552</v>
      </c>
      <c r="B235" s="40" t="s">
        <v>3207</v>
      </c>
      <c r="C235" s="40" t="s">
        <v>542</v>
      </c>
      <c r="D235" s="44">
        <v>2025</v>
      </c>
      <c r="F235" s="40" t="s">
        <v>1257</v>
      </c>
      <c r="G235" s="40" t="s">
        <v>455</v>
      </c>
      <c r="I235" s="40" t="s">
        <v>1269</v>
      </c>
      <c r="J235" s="40" t="s">
        <v>1393</v>
      </c>
      <c r="K235" s="40" t="s">
        <v>578</v>
      </c>
      <c r="L235" s="40">
        <v>1</v>
      </c>
      <c r="Z235" s="40" t="s">
        <v>1487</v>
      </c>
      <c r="AA235" s="45">
        <v>100</v>
      </c>
      <c r="AB235" s="46">
        <f>IF(H2ProjectDB689571011[[#This Row],[Dummy_1]]="Electrolysis",
AA235/VLOOKUP(G235,ElectrolysisConvF,3,FALSE),
AC235*10^6/(H2dens*HoursInYear))</f>
        <v>19230.76923076923</v>
      </c>
      <c r="AC235" s="47">
        <f>AB235*H2dens*HoursInYear/10^6</f>
        <v>14.993076923076922</v>
      </c>
      <c r="AE235" s="46">
        <f t="shared" si="18"/>
        <v>19230.76923076923</v>
      </c>
      <c r="AF235" s="43" t="s">
        <v>3206</v>
      </c>
      <c r="AG235" s="43">
        <v>53.627310999999999</v>
      </c>
      <c r="AH235" s="43">
        <v>-0.24157899999999999</v>
      </c>
      <c r="AI235" s="122" t="s">
        <v>7286</v>
      </c>
      <c r="AJ235" s="41">
        <v>0.55000000000000004</v>
      </c>
    </row>
    <row r="236" spans="1:36" ht="34.5" hidden="1" customHeight="1" x14ac:dyDescent="0.25">
      <c r="A236" s="40">
        <v>553</v>
      </c>
      <c r="B236" s="40" t="s">
        <v>87</v>
      </c>
      <c r="C236" s="40" t="s">
        <v>542</v>
      </c>
      <c r="D236" s="40">
        <v>2010</v>
      </c>
      <c r="E236" s="40">
        <v>2014</v>
      </c>
      <c r="F236" s="40" t="s">
        <v>1540</v>
      </c>
      <c r="G236" s="40" t="s">
        <v>457</v>
      </c>
      <c r="I236" s="40" t="s">
        <v>1528</v>
      </c>
      <c r="K236" s="40" t="s">
        <v>578</v>
      </c>
      <c r="R236" s="40">
        <v>1</v>
      </c>
      <c r="U236" s="40">
        <v>1</v>
      </c>
      <c r="Z236" s="40" t="s">
        <v>6555</v>
      </c>
      <c r="AA236" s="78">
        <f>IF(H2ProjectDB689571011[[#This Row],[Dummy_1]]="Electrolysis",
AB236*VLOOKUP(G236,ElectrolysisConvF,3,FALSE),
"")</f>
        <v>2.4379999999999999E-2</v>
      </c>
      <c r="AB236" s="46">
        <v>5.3</v>
      </c>
      <c r="AC236" s="47">
        <f>AB236*H2dens*HoursInYear/10^6</f>
        <v>4.1320919999999995E-3</v>
      </c>
      <c r="AE236" s="46">
        <f t="shared" si="18"/>
        <v>5.3</v>
      </c>
      <c r="AF236" s="43" t="s">
        <v>1501</v>
      </c>
      <c r="AG236" s="43">
        <v>0</v>
      </c>
      <c r="AH236" s="43">
        <v>0</v>
      </c>
      <c r="AI236" s="122" t="s">
        <v>7286</v>
      </c>
      <c r="AJ236" s="41">
        <v>0.56999999999999995</v>
      </c>
    </row>
    <row r="237" spans="1:36" ht="34.5" hidden="1" customHeight="1" x14ac:dyDescent="0.25">
      <c r="A237" s="40">
        <v>554</v>
      </c>
      <c r="B237" s="40" t="s">
        <v>75</v>
      </c>
      <c r="C237" s="40" t="s">
        <v>542</v>
      </c>
      <c r="D237" s="40">
        <v>2011</v>
      </c>
      <c r="E237" s="40">
        <v>2014</v>
      </c>
      <c r="F237" s="40" t="s">
        <v>1540</v>
      </c>
      <c r="G237" s="40" t="s">
        <v>457</v>
      </c>
      <c r="I237" s="40" t="s">
        <v>1528</v>
      </c>
      <c r="K237" s="40" t="s">
        <v>578</v>
      </c>
      <c r="Q237" s="40">
        <v>1</v>
      </c>
      <c r="R237" s="40">
        <v>1</v>
      </c>
      <c r="Z237" s="40" t="s">
        <v>1502</v>
      </c>
      <c r="AA237" s="45">
        <v>5.0000000000000001E-3</v>
      </c>
      <c r="AB237" s="46">
        <f>IF(H2ProjectDB689571011[[#This Row],[Dummy_1]]="Electrolysis",
AA237/VLOOKUP(G237,ElectrolysisConvF,3,FALSE),
AC237*10^6/(H2dens*HoursInYear))</f>
        <v>1.0869565217391304</v>
      </c>
      <c r="AC237" s="47">
        <f>AB237*H2dens*HoursInYear/10^6</f>
        <v>8.4743478260869561E-4</v>
      </c>
      <c r="AE237" s="46">
        <f t="shared" si="18"/>
        <v>1.0869565217391304</v>
      </c>
      <c r="AF237" s="43" t="s">
        <v>1503</v>
      </c>
      <c r="AG237" s="43">
        <v>0</v>
      </c>
      <c r="AH237" s="43">
        <v>0</v>
      </c>
      <c r="AI237" s="122" t="s">
        <v>7286</v>
      </c>
      <c r="AJ237" s="41">
        <v>0.56999999999999995</v>
      </c>
    </row>
    <row r="238" spans="1:36" ht="34.5" hidden="1" customHeight="1" x14ac:dyDescent="0.25">
      <c r="A238" s="40">
        <v>555</v>
      </c>
      <c r="B238" s="40" t="s">
        <v>17</v>
      </c>
      <c r="C238" s="40" t="s">
        <v>542</v>
      </c>
      <c r="D238" s="40">
        <v>2012</v>
      </c>
      <c r="E238" s="40">
        <v>2013</v>
      </c>
      <c r="F238" s="40" t="s">
        <v>1540</v>
      </c>
      <c r="G238" s="40" t="s">
        <v>1259</v>
      </c>
      <c r="H238" s="40" t="s">
        <v>467</v>
      </c>
      <c r="I238" s="40" t="s">
        <v>1528</v>
      </c>
      <c r="K238" s="40" t="s">
        <v>1267</v>
      </c>
      <c r="W238" s="40">
        <v>1</v>
      </c>
      <c r="AC238" s="47"/>
      <c r="AE238" s="46">
        <f t="shared" si="18"/>
        <v>0</v>
      </c>
      <c r="AF238" s="43" t="s">
        <v>1504</v>
      </c>
      <c r="AG238" s="43">
        <v>0</v>
      </c>
      <c r="AH238" s="43">
        <v>0</v>
      </c>
      <c r="AI238" s="122" t="s">
        <v>7286</v>
      </c>
      <c r="AJ238" s="41">
        <v>0.56999999999999995</v>
      </c>
    </row>
    <row r="239" spans="1:36" ht="34.5" hidden="1" customHeight="1" x14ac:dyDescent="0.25">
      <c r="A239" s="40">
        <v>556</v>
      </c>
      <c r="B239" s="40" t="s">
        <v>5933</v>
      </c>
      <c r="C239" s="40" t="s">
        <v>542</v>
      </c>
      <c r="D239" s="40">
        <v>2015</v>
      </c>
      <c r="E239" s="40">
        <v>2018</v>
      </c>
      <c r="F239" s="40" t="s">
        <v>1540</v>
      </c>
      <c r="G239" s="40" t="s">
        <v>457</v>
      </c>
      <c r="I239" s="40" t="s">
        <v>1257</v>
      </c>
      <c r="K239" s="40" t="s">
        <v>578</v>
      </c>
      <c r="Q239" s="40">
        <v>1</v>
      </c>
      <c r="Z239" s="40" t="s">
        <v>6886</v>
      </c>
      <c r="AA239" s="45">
        <v>1</v>
      </c>
      <c r="AB239" s="46">
        <f>IF(H2ProjectDB689571011[[#This Row],[Dummy_1]]="Electrolysis",
AA239/VLOOKUP(G239,ElectrolysisConvF,3,FALSE),
AC239*10^6/(H2dens*HoursInYear))</f>
        <v>217.39130434782609</v>
      </c>
      <c r="AC239" s="47">
        <f>AB239*H2dens*HoursInYear/10^6</f>
        <v>0.16948695652173912</v>
      </c>
      <c r="AE239" s="46">
        <f t="shared" si="18"/>
        <v>217.39130434782609</v>
      </c>
      <c r="AF239" s="43" t="s">
        <v>1506</v>
      </c>
      <c r="AG239" s="43">
        <v>57.1605931776635</v>
      </c>
      <c r="AH239" s="43">
        <v>-2.1143592335807102</v>
      </c>
      <c r="AI239" s="122" t="s">
        <v>7286</v>
      </c>
      <c r="AJ239" s="41">
        <v>0.56999999999999995</v>
      </c>
    </row>
    <row r="240" spans="1:36" ht="34.5" hidden="1" customHeight="1" x14ac:dyDescent="0.25">
      <c r="A240" s="40">
        <v>557</v>
      </c>
      <c r="B240" s="40" t="s">
        <v>109</v>
      </c>
      <c r="C240" s="40" t="s">
        <v>542</v>
      </c>
      <c r="D240" s="40">
        <v>2016</v>
      </c>
      <c r="F240" s="40" t="s">
        <v>1339</v>
      </c>
      <c r="G240" s="40" t="s">
        <v>1259</v>
      </c>
      <c r="H240" s="40" t="s">
        <v>467</v>
      </c>
      <c r="I240" s="40" t="s">
        <v>1269</v>
      </c>
      <c r="J240" s="40" t="s">
        <v>1392</v>
      </c>
      <c r="K240" s="40" t="s">
        <v>578</v>
      </c>
      <c r="Q240" s="40">
        <v>1</v>
      </c>
      <c r="R240" s="40">
        <v>1</v>
      </c>
      <c r="Z240" s="40" t="s">
        <v>1505</v>
      </c>
      <c r="AA240" s="45">
        <v>0.37</v>
      </c>
      <c r="AB240" s="46">
        <f>IF(H2ProjectDB689571011[[#This Row],[Dummy_1]]="Electrolysis",
AA240/VLOOKUP(G240,ElectrolysisConvF,3,FALSE),
AC240*10^6/(H2dens*HoursInYear))</f>
        <v>82.222222222222229</v>
      </c>
      <c r="AC240" s="47">
        <f>AB240*H2dens*HoursInYear/10^6</f>
        <v>6.4103733333333329E-2</v>
      </c>
      <c r="AE240" s="46">
        <f t="shared" si="18"/>
        <v>82.222222222222229</v>
      </c>
      <c r="AF240" s="43" t="s">
        <v>784</v>
      </c>
      <c r="AG240" s="43">
        <v>56.176969252012299</v>
      </c>
      <c r="AH240" s="43">
        <v>-3.0174292628824899</v>
      </c>
      <c r="AI240" s="122" t="s">
        <v>7286</v>
      </c>
      <c r="AJ240" s="41">
        <v>0.4</v>
      </c>
    </row>
    <row r="241" spans="1:36" ht="34.5" hidden="1" customHeight="1" x14ac:dyDescent="0.25">
      <c r="A241" s="40">
        <v>558</v>
      </c>
      <c r="B241" s="40" t="s">
        <v>72</v>
      </c>
      <c r="C241" s="40" t="s">
        <v>542</v>
      </c>
      <c r="D241" s="40">
        <v>2005</v>
      </c>
      <c r="F241" s="40" t="s">
        <v>1339</v>
      </c>
      <c r="G241" s="40" t="s">
        <v>457</v>
      </c>
      <c r="I241" s="40" t="s">
        <v>1528</v>
      </c>
      <c r="K241" s="40" t="s">
        <v>578</v>
      </c>
      <c r="Q241" s="40">
        <v>1</v>
      </c>
      <c r="R241" s="40">
        <v>1</v>
      </c>
      <c r="T241" s="40">
        <v>1</v>
      </c>
      <c r="Z241" s="40" t="s">
        <v>1507</v>
      </c>
      <c r="AA241" s="45">
        <v>1.4999999999999999E-2</v>
      </c>
      <c r="AB241" s="46">
        <f>IF(H2ProjectDB689571011[[#This Row],[Dummy_1]]="Electrolysis",
AA241/VLOOKUP(G241,ElectrolysisConvF,3,FALSE),
AC241*10^6/(H2dens*HoursInYear))</f>
        <v>3.2608695652173911</v>
      </c>
      <c r="AC241" s="47">
        <f>AB241*H2dens*HoursInYear/10^6</f>
        <v>2.5423043478260869E-3</v>
      </c>
      <c r="AE241" s="46">
        <f t="shared" si="18"/>
        <v>3.2608695652173911</v>
      </c>
      <c r="AF241" s="43" t="s">
        <v>1508</v>
      </c>
      <c r="AG241" s="43">
        <v>0</v>
      </c>
      <c r="AH241" s="43">
        <v>0</v>
      </c>
      <c r="AI241" s="122" t="s">
        <v>7286</v>
      </c>
      <c r="AJ241" s="41">
        <v>0.56999999999999995</v>
      </c>
    </row>
    <row r="242" spans="1:36" ht="34.5" hidden="1" customHeight="1" x14ac:dyDescent="0.25">
      <c r="A242" s="40">
        <v>559</v>
      </c>
      <c r="B242" s="40" t="s">
        <v>5934</v>
      </c>
      <c r="C242" s="40" t="s">
        <v>542</v>
      </c>
      <c r="D242" s="44">
        <v>2021</v>
      </c>
      <c r="F242" s="40" t="s">
        <v>1339</v>
      </c>
      <c r="G242" s="40" t="s">
        <v>455</v>
      </c>
      <c r="I242" s="40" t="s">
        <v>1269</v>
      </c>
      <c r="J242" s="40" t="s">
        <v>1395</v>
      </c>
      <c r="K242" s="40" t="s">
        <v>578</v>
      </c>
      <c r="Q242" s="40">
        <v>1</v>
      </c>
      <c r="Z242" s="40" t="s">
        <v>1509</v>
      </c>
      <c r="AA242" s="45">
        <v>3</v>
      </c>
      <c r="AB242" s="46">
        <f>IF(H2ProjectDB689571011[[#This Row],[Dummy_1]]="Electrolysis",
AA242/VLOOKUP(G242,ElectrolysisConvF,3,FALSE),
AC242*10^6/(H2dens*HoursInYear))</f>
        <v>576.92307692307691</v>
      </c>
      <c r="AC242" s="47">
        <f>AB242*H2dens*HoursInYear/10^6</f>
        <v>0.4497923076923076</v>
      </c>
      <c r="AE242" s="46">
        <f t="shared" si="18"/>
        <v>576.92307692307691</v>
      </c>
      <c r="AF242" s="43" t="s">
        <v>3395</v>
      </c>
      <c r="AG242" s="43">
        <v>52.462416275562497</v>
      </c>
      <c r="AH242" s="43">
        <v>-1.8405931</v>
      </c>
      <c r="AI242" s="122" t="s">
        <v>7286</v>
      </c>
      <c r="AJ242" s="41">
        <v>0.5</v>
      </c>
    </row>
    <row r="243" spans="1:36" ht="34.5" hidden="1" customHeight="1" x14ac:dyDescent="0.25">
      <c r="A243" s="40">
        <v>562</v>
      </c>
      <c r="B243" s="40" t="s">
        <v>5779</v>
      </c>
      <c r="C243" s="40" t="s">
        <v>542</v>
      </c>
      <c r="D243" s="44">
        <v>2028</v>
      </c>
      <c r="F243" s="40" t="s">
        <v>1331</v>
      </c>
      <c r="G243" s="40" t="s">
        <v>1261</v>
      </c>
      <c r="H243" s="40" t="s">
        <v>5708</v>
      </c>
      <c r="K243" s="40" t="s">
        <v>578</v>
      </c>
      <c r="P243" s="40">
        <v>1</v>
      </c>
      <c r="R243" s="40">
        <v>1</v>
      </c>
      <c r="S243" s="40">
        <v>1</v>
      </c>
      <c r="Z243" s="40" t="s">
        <v>7576</v>
      </c>
      <c r="AB243" s="46">
        <f>IF(H2ProjectDB689571011[[#This Row],[Dummy_1]]="Electrolysis",
AA243/VLOOKUP(G243,ElectrolysisConvF,3,FALSE),
AC243*10^6/(H2dens*HoursInYear))</f>
        <v>192134.83146067415</v>
      </c>
      <c r="AC243" s="47">
        <f>600*HoursInYear*0.95*3600/120/10^6</f>
        <v>149.79599999999999</v>
      </c>
      <c r="AD243" s="46">
        <v>890000</v>
      </c>
      <c r="AE243" s="46">
        <f>IF(AND(G243&lt;&gt;"NG w CCUS",G243&lt;&gt;"Oil w CCUS",G243&lt;&gt;"Coal w CCUS"),AB243,AD243*10^3/(HoursInYear*IF(G243="NG w CCUS",0.9105,1.9075)))</f>
        <v>111585.03406477951</v>
      </c>
      <c r="AF243" s="43" t="s">
        <v>1120</v>
      </c>
      <c r="AG243" s="43">
        <v>53.743618917531002</v>
      </c>
      <c r="AH243" s="43">
        <v>-0.24953475046034901</v>
      </c>
      <c r="AI243" s="122" t="s">
        <v>7287</v>
      </c>
      <c r="AJ243" s="41">
        <v>0.9</v>
      </c>
    </row>
    <row r="244" spans="1:36" ht="34.5" hidden="1" customHeight="1" x14ac:dyDescent="0.25">
      <c r="A244" s="40">
        <v>563</v>
      </c>
      <c r="B244" s="40" t="s">
        <v>2791</v>
      </c>
      <c r="C244" s="40" t="s">
        <v>545</v>
      </c>
      <c r="D244" s="44">
        <v>2027</v>
      </c>
      <c r="F244" s="40" t="s">
        <v>1331</v>
      </c>
      <c r="G244" s="40" t="s">
        <v>1259</v>
      </c>
      <c r="H244" s="40" t="s">
        <v>467</v>
      </c>
      <c r="I244" s="40" t="s">
        <v>1269</v>
      </c>
      <c r="J244" s="40" t="s">
        <v>1395</v>
      </c>
      <c r="K244" s="40" t="s">
        <v>1268</v>
      </c>
      <c r="P244" s="40">
        <v>1</v>
      </c>
      <c r="Q244" s="40">
        <v>1</v>
      </c>
      <c r="W244" s="40">
        <v>1</v>
      </c>
      <c r="Z244" s="40" t="s">
        <v>3919</v>
      </c>
      <c r="AA244" s="45">
        <v>240</v>
      </c>
      <c r="AB244" s="46">
        <f>IF(H2ProjectDB689571011[[#This Row],[Dummy_1]]="Electrolysis",
AA244/VLOOKUP(G244,ElectrolysisConvF,3,FALSE),
AC244*10^6/(H2dens*HoursInYear))</f>
        <v>53333.333333333336</v>
      </c>
      <c r="AC244" s="47">
        <f t="shared" ref="AC244:AC255" si="19">AB244*H2dens*HoursInYear/10^6</f>
        <v>41.580800000000004</v>
      </c>
      <c r="AE244" s="46">
        <f>AB244</f>
        <v>53333.333333333336</v>
      </c>
      <c r="AF244" s="43" t="s">
        <v>3571</v>
      </c>
      <c r="AG244" s="43">
        <v>55.675987127974899</v>
      </c>
      <c r="AH244" s="43">
        <v>12.570329564834401</v>
      </c>
      <c r="AI244" s="122" t="s">
        <v>7286</v>
      </c>
      <c r="AJ244" s="41">
        <v>0.5</v>
      </c>
    </row>
    <row r="245" spans="1:36" ht="34.5" hidden="1" customHeight="1" x14ac:dyDescent="0.25">
      <c r="A245" s="40">
        <v>565</v>
      </c>
      <c r="B245" s="40" t="s">
        <v>2792</v>
      </c>
      <c r="C245" s="40" t="s">
        <v>545</v>
      </c>
      <c r="D245" s="44">
        <v>2030</v>
      </c>
      <c r="F245" s="40" t="s">
        <v>1331</v>
      </c>
      <c r="G245" s="40" t="s">
        <v>1259</v>
      </c>
      <c r="H245" s="40" t="s">
        <v>467</v>
      </c>
      <c r="I245" s="40" t="s">
        <v>1269</v>
      </c>
      <c r="J245" s="40" t="s">
        <v>1395</v>
      </c>
      <c r="K245" s="40" t="s">
        <v>1268</v>
      </c>
      <c r="P245" s="40">
        <v>1</v>
      </c>
      <c r="Q245" s="40">
        <v>1</v>
      </c>
      <c r="W245" s="40">
        <v>1</v>
      </c>
      <c r="Z245" s="40" t="s">
        <v>7119</v>
      </c>
      <c r="AA245" s="45">
        <f>1300-250</f>
        <v>1050</v>
      </c>
      <c r="AB245" s="46">
        <f>IF(H2ProjectDB689571011[[#This Row],[Dummy_1]]="Electrolysis",
AA245/VLOOKUP(G245,ElectrolysisConvF,3,FALSE),
AC245*10^6/(H2dens*HoursInYear))</f>
        <v>233333.33333333334</v>
      </c>
      <c r="AC245" s="47">
        <f t="shared" si="19"/>
        <v>181.916</v>
      </c>
      <c r="AE245" s="46">
        <f>AB245</f>
        <v>233333.33333333334</v>
      </c>
      <c r="AF245" s="43" t="s">
        <v>3570</v>
      </c>
      <c r="AG245" s="43">
        <v>55.675987127974899</v>
      </c>
      <c r="AH245" s="43">
        <v>12.570329564834401</v>
      </c>
      <c r="AI245" s="122" t="s">
        <v>7286</v>
      </c>
      <c r="AJ245" s="41">
        <v>0.5</v>
      </c>
    </row>
    <row r="246" spans="1:36" ht="34.5" hidden="1" customHeight="1" x14ac:dyDescent="0.25">
      <c r="A246" s="40">
        <v>566</v>
      </c>
      <c r="B246" s="40" t="s">
        <v>8508</v>
      </c>
      <c r="C246" s="40" t="s">
        <v>542</v>
      </c>
      <c r="D246" s="44">
        <v>2026</v>
      </c>
      <c r="F246" s="40" t="s">
        <v>5701</v>
      </c>
      <c r="G246" s="40" t="s">
        <v>455</v>
      </c>
      <c r="I246" s="40" t="s">
        <v>5700</v>
      </c>
      <c r="J246" s="40" t="s">
        <v>1392</v>
      </c>
      <c r="K246" s="40" t="s">
        <v>578</v>
      </c>
      <c r="P246" s="40">
        <v>1</v>
      </c>
      <c r="Q246" s="40">
        <v>1</v>
      </c>
      <c r="Z246" s="40" t="s">
        <v>8507</v>
      </c>
      <c r="AA246" s="45">
        <v>7.1</v>
      </c>
      <c r="AB246" s="46">
        <f>IF(H2ProjectDB689571011[[#This Row],[Dummy_1]]="Electrolysis",
AA246/VLOOKUP(G246,ElectrolysisConvF,3,FALSE),
AC246*10^6/(H2dens*HoursInYear))</f>
        <v>1365.3846153846155</v>
      </c>
      <c r="AC246" s="47">
        <f t="shared" si="19"/>
        <v>1.0645084615384615</v>
      </c>
      <c r="AE246" s="46">
        <f>AB246</f>
        <v>1365.3846153846155</v>
      </c>
      <c r="AF246" s="43" t="s">
        <v>4258</v>
      </c>
      <c r="AG246" s="43">
        <v>55.712491555895802</v>
      </c>
      <c r="AH246" s="43">
        <v>-4.34173242427328</v>
      </c>
      <c r="AI246" s="122" t="s">
        <v>7286</v>
      </c>
      <c r="AJ246" s="41">
        <v>0.7</v>
      </c>
    </row>
    <row r="247" spans="1:36" ht="34.5" hidden="1" customHeight="1" x14ac:dyDescent="0.25">
      <c r="A247" s="40">
        <v>571</v>
      </c>
      <c r="B247" s="40" t="s">
        <v>1522</v>
      </c>
      <c r="C247" s="40" t="s">
        <v>536</v>
      </c>
      <c r="D247" s="44">
        <v>2024</v>
      </c>
      <c r="F247" s="40" t="s">
        <v>5701</v>
      </c>
      <c r="G247" s="40" t="s">
        <v>457</v>
      </c>
      <c r="I247" s="40" t="s">
        <v>5700</v>
      </c>
      <c r="K247" s="40" t="s">
        <v>1243</v>
      </c>
      <c r="M247" s="40">
        <v>1</v>
      </c>
      <c r="Z247" s="40" t="s">
        <v>6887</v>
      </c>
      <c r="AA247" s="45">
        <v>20</v>
      </c>
      <c r="AB247" s="46">
        <f>IF(H2ProjectDB689571011[[#This Row],[Dummy_1]]="Electrolysis",
AA247/VLOOKUP(G247,ElectrolysisConvF,3,FALSE),
AC247*10^6/(H2dens*HoursInYear))</f>
        <v>4347.826086956522</v>
      </c>
      <c r="AC247" s="47">
        <f t="shared" si="19"/>
        <v>3.3897391304347826</v>
      </c>
      <c r="AE247" s="46">
        <f>AB247</f>
        <v>4347.826086956522</v>
      </c>
      <c r="AF247" s="43" t="s">
        <v>7341</v>
      </c>
      <c r="AG247" s="43">
        <v>30.098981962701298</v>
      </c>
      <c r="AH247" s="43">
        <v>-90.954525138623595</v>
      </c>
      <c r="AI247" s="122" t="s">
        <v>7286</v>
      </c>
      <c r="AJ247" s="41">
        <v>0.7</v>
      </c>
    </row>
    <row r="248" spans="1:36" ht="34.5" hidden="1" customHeight="1" x14ac:dyDescent="0.25">
      <c r="A248" s="40">
        <v>572</v>
      </c>
      <c r="B248" s="40" t="s">
        <v>1525</v>
      </c>
      <c r="C248" s="40" t="s">
        <v>536</v>
      </c>
      <c r="D248" s="44">
        <v>2024</v>
      </c>
      <c r="F248" s="40" t="s">
        <v>1331</v>
      </c>
      <c r="G248" s="40" t="s">
        <v>455</v>
      </c>
      <c r="I248" s="40" t="s">
        <v>1269</v>
      </c>
      <c r="J248" s="40" t="s">
        <v>581</v>
      </c>
      <c r="K248" s="40" t="s">
        <v>578</v>
      </c>
      <c r="Q248" s="40">
        <v>1</v>
      </c>
      <c r="Z248" s="40" t="s">
        <v>1436</v>
      </c>
      <c r="AA248" s="45">
        <v>5</v>
      </c>
      <c r="AB248" s="46">
        <f>IF(H2ProjectDB689571011[[#This Row],[Dummy_1]]="Electrolysis",
AA248/VLOOKUP(G248,ElectrolysisConvF,3,FALSE),
AC248*10^6/(H2dens*HoursInYear))</f>
        <v>961.53846153846155</v>
      </c>
      <c r="AC248" s="47">
        <f t="shared" si="19"/>
        <v>0.74965384615384612</v>
      </c>
      <c r="AE248" s="46">
        <f>IF(AND(G248&lt;&gt;"NG w CCUS",G248&lt;&gt;"Oil w CCUS",G248&lt;&gt;"Coal w CCUS"),AB248,AD248*10^3/(HoursInYear*IF(G248="NG w CCUS",0.9105,1.9075)))</f>
        <v>961.53846153846155</v>
      </c>
      <c r="AF248" s="43" t="s">
        <v>5261</v>
      </c>
      <c r="AG248" s="43">
        <v>34.063968921740297</v>
      </c>
      <c r="AH248" s="43">
        <v>-117.64500244204901</v>
      </c>
      <c r="AI248" s="122" t="s">
        <v>7286</v>
      </c>
      <c r="AJ248" s="41">
        <v>0.5</v>
      </c>
    </row>
    <row r="249" spans="1:36" ht="34.5" hidden="1" customHeight="1" x14ac:dyDescent="0.25">
      <c r="A249" s="40">
        <v>573</v>
      </c>
      <c r="B249" s="40" t="s">
        <v>2390</v>
      </c>
      <c r="C249" s="40" t="s">
        <v>1305</v>
      </c>
      <c r="D249" s="44">
        <v>2028</v>
      </c>
      <c r="F249" s="40" t="s">
        <v>1331</v>
      </c>
      <c r="G249" s="40" t="s">
        <v>457</v>
      </c>
      <c r="I249" s="40" t="s">
        <v>1269</v>
      </c>
      <c r="J249" s="40" t="s">
        <v>1395</v>
      </c>
      <c r="K249" s="40" t="s">
        <v>578</v>
      </c>
      <c r="N249" s="40">
        <v>1</v>
      </c>
      <c r="O249" s="40">
        <v>1</v>
      </c>
      <c r="S249" s="40">
        <v>1</v>
      </c>
      <c r="W249" s="40">
        <v>1</v>
      </c>
      <c r="Z249" s="40" t="s">
        <v>1511</v>
      </c>
      <c r="AA249" s="45">
        <v>670</v>
      </c>
      <c r="AB249" s="46">
        <f>IF(H2ProjectDB689571011[[#This Row],[Dummy_1]]="Electrolysis",
AA249/VLOOKUP(G249,ElectrolysisConvF,3,FALSE),
AC249*10^6/(H2dens*HoursInYear))</f>
        <v>145652.17391304349</v>
      </c>
      <c r="AC249" s="47">
        <f t="shared" si="19"/>
        <v>113.55626086956522</v>
      </c>
      <c r="AE249" s="46">
        <f t="shared" ref="AE249:AE312" si="20">AB249</f>
        <v>145652.17391304349</v>
      </c>
      <c r="AF249" s="43" t="s">
        <v>1196</v>
      </c>
      <c r="AG249" s="43">
        <v>54.190387293908202</v>
      </c>
      <c r="AH249" s="43">
        <v>9.1086294005900399</v>
      </c>
      <c r="AI249" s="122" t="s">
        <v>7286</v>
      </c>
      <c r="AJ249" s="41">
        <v>0.5</v>
      </c>
    </row>
    <row r="250" spans="1:36" ht="34.5" hidden="1" customHeight="1" x14ac:dyDescent="0.25">
      <c r="A250" s="40">
        <v>574</v>
      </c>
      <c r="B250" s="40" t="s">
        <v>6816</v>
      </c>
      <c r="C250" s="40" t="s">
        <v>1305</v>
      </c>
      <c r="D250" s="44">
        <v>2024</v>
      </c>
      <c r="F250" s="40" t="s">
        <v>1339</v>
      </c>
      <c r="G250" s="40" t="s">
        <v>457</v>
      </c>
      <c r="I250" s="40" t="s">
        <v>1269</v>
      </c>
      <c r="J250" s="40" t="s">
        <v>1393</v>
      </c>
      <c r="K250" s="40" t="s">
        <v>578</v>
      </c>
      <c r="L250" s="40">
        <v>1</v>
      </c>
      <c r="O250" s="40">
        <v>1</v>
      </c>
      <c r="Q250" s="40">
        <v>1</v>
      </c>
      <c r="R250" s="40">
        <v>1</v>
      </c>
      <c r="Z250" s="40" t="s">
        <v>1333</v>
      </c>
      <c r="AA250" s="45">
        <v>10</v>
      </c>
      <c r="AB250" s="46">
        <f>IF(H2ProjectDB689571011[[#This Row],[Dummy_1]]="Electrolysis",
AA250/VLOOKUP(G250,ElectrolysisConvF,3,FALSE),
AC250*10^6/(H2dens*HoursInYear))</f>
        <v>2173.913043478261</v>
      </c>
      <c r="AC250" s="47">
        <f t="shared" si="19"/>
        <v>1.6948695652173913</v>
      </c>
      <c r="AE250" s="46">
        <f t="shared" si="20"/>
        <v>2173.913043478261</v>
      </c>
      <c r="AF250" s="43" t="s">
        <v>8251</v>
      </c>
      <c r="AG250" s="43">
        <v>52.482556513702299</v>
      </c>
      <c r="AH250" s="43">
        <v>7.2996678118249898</v>
      </c>
      <c r="AI250" s="122" t="s">
        <v>7286</v>
      </c>
      <c r="AJ250" s="41">
        <v>0.55000000000000004</v>
      </c>
    </row>
    <row r="251" spans="1:36" ht="34.5" hidden="1" customHeight="1" x14ac:dyDescent="0.25">
      <c r="A251" s="40">
        <v>575</v>
      </c>
      <c r="B251" s="40" t="s">
        <v>156</v>
      </c>
      <c r="C251" s="40" t="s">
        <v>1305</v>
      </c>
      <c r="F251" s="40" t="s">
        <v>1331</v>
      </c>
      <c r="G251" s="40" t="s">
        <v>455</v>
      </c>
      <c r="I251" s="40" t="s">
        <v>1528</v>
      </c>
      <c r="K251" s="40" t="s">
        <v>612</v>
      </c>
      <c r="X251" s="40">
        <v>1</v>
      </c>
      <c r="Y251" s="40">
        <v>1</v>
      </c>
      <c r="Z251" s="40" t="s">
        <v>1483</v>
      </c>
      <c r="AA251" s="45">
        <v>50</v>
      </c>
      <c r="AB251" s="46">
        <f>IF(H2ProjectDB689571011[[#This Row],[Dummy_1]]="Electrolysis",
AA251/VLOOKUP(G251,ElectrolysisConvF,3,FALSE),
AC251*10^6/(H2dens*HoursInYear))</f>
        <v>9615.3846153846152</v>
      </c>
      <c r="AC251" s="47">
        <f t="shared" si="19"/>
        <v>7.4965384615384609</v>
      </c>
      <c r="AE251" s="46">
        <f t="shared" si="20"/>
        <v>9615.3846153846152</v>
      </c>
      <c r="AF251" s="43" t="s">
        <v>927</v>
      </c>
      <c r="AG251" s="43">
        <v>0</v>
      </c>
      <c r="AH251" s="43">
        <v>0</v>
      </c>
      <c r="AI251" s="122" t="s">
        <v>7286</v>
      </c>
      <c r="AJ251" s="41">
        <v>0.56999999999999995</v>
      </c>
    </row>
    <row r="252" spans="1:36" ht="34.5" hidden="1" customHeight="1" x14ac:dyDescent="0.25">
      <c r="A252" s="40">
        <v>576</v>
      </c>
      <c r="B252" s="40" t="s">
        <v>5626</v>
      </c>
      <c r="C252" s="40" t="s">
        <v>542</v>
      </c>
      <c r="D252" s="44">
        <v>2025</v>
      </c>
      <c r="F252" s="40" t="s">
        <v>5701</v>
      </c>
      <c r="G252" s="40" t="s">
        <v>1259</v>
      </c>
      <c r="H252" s="40" t="s">
        <v>467</v>
      </c>
      <c r="I252" s="40" t="s">
        <v>1269</v>
      </c>
      <c r="J252" s="40" t="s">
        <v>1392</v>
      </c>
      <c r="K252" s="40" t="s">
        <v>578</v>
      </c>
      <c r="Q252" s="40">
        <v>1</v>
      </c>
      <c r="Z252" s="40" t="s">
        <v>1372</v>
      </c>
      <c r="AA252" s="45">
        <v>1</v>
      </c>
      <c r="AB252" s="46">
        <f>IF(H2ProjectDB689571011[[#This Row],[Dummy_1]]="Electrolysis",
AA252/VLOOKUP(G252,ElectrolysisConvF,3,FALSE),
AC252*10^6/(H2dens*HoursInYear))</f>
        <v>222.22222222222223</v>
      </c>
      <c r="AC252" s="47">
        <f t="shared" si="19"/>
        <v>0.17325333333333334</v>
      </c>
      <c r="AE252" s="46">
        <f t="shared" si="20"/>
        <v>222.22222222222223</v>
      </c>
      <c r="AF252" s="43" t="s">
        <v>1532</v>
      </c>
      <c r="AG252" s="43">
        <v>54.974555441995399</v>
      </c>
      <c r="AH252" s="43">
        <v>-6.4300040999999997</v>
      </c>
      <c r="AI252" s="122" t="s">
        <v>7286</v>
      </c>
      <c r="AJ252" s="41">
        <v>0.4</v>
      </c>
    </row>
    <row r="253" spans="1:36" ht="34.5" hidden="1" customHeight="1" x14ac:dyDescent="0.25">
      <c r="A253" s="40">
        <v>578</v>
      </c>
      <c r="B253" s="40" t="s">
        <v>4294</v>
      </c>
      <c r="C253" s="40" t="s">
        <v>535</v>
      </c>
      <c r="D253" s="44">
        <v>2026</v>
      </c>
      <c r="F253" s="40" t="s">
        <v>1331</v>
      </c>
      <c r="G253" s="40" t="s">
        <v>1259</v>
      </c>
      <c r="H253" s="40" t="s">
        <v>467</v>
      </c>
      <c r="I253" s="40" t="s">
        <v>1269</v>
      </c>
      <c r="J253" s="40" t="s">
        <v>581</v>
      </c>
      <c r="K253" s="40" t="s">
        <v>1243</v>
      </c>
      <c r="M253" s="40">
        <v>1</v>
      </c>
      <c r="Z253" s="40" t="s">
        <v>4296</v>
      </c>
      <c r="AA253" s="45">
        <v>100</v>
      </c>
      <c r="AB253" s="46">
        <f>IF(H2ProjectDB689571011[[#This Row],[Dummy_1]]="Electrolysis",
AA253/VLOOKUP(G253,ElectrolysisConvF,3,FALSE),
AC253*10^6/(H2dens*HoursInYear))</f>
        <v>22222.222222222223</v>
      </c>
      <c r="AC253" s="47">
        <f t="shared" si="19"/>
        <v>17.325333333333333</v>
      </c>
      <c r="AE253" s="46">
        <f t="shared" si="20"/>
        <v>22222.222222222223</v>
      </c>
      <c r="AF253" s="43" t="s">
        <v>4316</v>
      </c>
      <c r="AG253" s="43">
        <v>-32.961698561521096</v>
      </c>
      <c r="AH253" s="43">
        <v>137.76782693827801</v>
      </c>
      <c r="AI253" s="122" t="s">
        <v>7286</v>
      </c>
      <c r="AJ253" s="41">
        <v>0.5</v>
      </c>
    </row>
    <row r="254" spans="1:36" ht="34.5" hidden="1" customHeight="1" x14ac:dyDescent="0.25">
      <c r="A254" s="40">
        <v>579</v>
      </c>
      <c r="B254" s="40" t="s">
        <v>5720</v>
      </c>
      <c r="C254" s="40" t="s">
        <v>548</v>
      </c>
      <c r="D254" s="44">
        <v>2027</v>
      </c>
      <c r="F254" s="40" t="s">
        <v>1331</v>
      </c>
      <c r="G254" s="40" t="s">
        <v>1259</v>
      </c>
      <c r="H254" s="40" t="s">
        <v>467</v>
      </c>
      <c r="I254" s="40" t="s">
        <v>1269</v>
      </c>
      <c r="J254" s="40" t="s">
        <v>1395</v>
      </c>
      <c r="K254" s="40" t="s">
        <v>578</v>
      </c>
      <c r="N254" s="40">
        <v>1</v>
      </c>
      <c r="P254" s="40">
        <v>1</v>
      </c>
      <c r="Q254" s="40">
        <v>1</v>
      </c>
      <c r="Z254" s="40" t="s">
        <v>5721</v>
      </c>
      <c r="AA254" s="45">
        <v>65</v>
      </c>
      <c r="AB254" s="46">
        <f>IF(H2ProjectDB689571011[[#This Row],[Dummy_1]]="Electrolysis",
AA254/VLOOKUP(G254,ElectrolysisConvF,3,FALSE),
AC254*10^6/(H2dens*HoursInYear))</f>
        <v>14444.444444444445</v>
      </c>
      <c r="AC254" s="47">
        <f t="shared" si="19"/>
        <v>11.261466666666667</v>
      </c>
      <c r="AE254" s="46">
        <f t="shared" si="20"/>
        <v>14444.444444444445</v>
      </c>
      <c r="AF254" s="43" t="s">
        <v>2035</v>
      </c>
      <c r="AG254" s="43">
        <v>51.040977890772801</v>
      </c>
      <c r="AH254" s="43">
        <v>3.84433114911818</v>
      </c>
      <c r="AI254" s="122" t="s">
        <v>7286</v>
      </c>
      <c r="AJ254" s="41">
        <v>0.5</v>
      </c>
    </row>
    <row r="255" spans="1:36" ht="34.5" hidden="1" customHeight="1" x14ac:dyDescent="0.25">
      <c r="A255" s="40">
        <v>580</v>
      </c>
      <c r="B255" s="40" t="s">
        <v>182</v>
      </c>
      <c r="C255" s="40" t="s">
        <v>542</v>
      </c>
      <c r="F255" s="40" t="s">
        <v>1257</v>
      </c>
      <c r="G255" s="40" t="s">
        <v>455</v>
      </c>
      <c r="I255" s="40" t="s">
        <v>1269</v>
      </c>
      <c r="J255" s="40" t="s">
        <v>1395</v>
      </c>
      <c r="K255" s="40" t="s">
        <v>578</v>
      </c>
      <c r="P255" s="40">
        <v>1</v>
      </c>
      <c r="Q255" s="40">
        <v>1</v>
      </c>
      <c r="S255" s="40">
        <v>1</v>
      </c>
      <c r="Z255" s="40" t="s">
        <v>1487</v>
      </c>
      <c r="AA255" s="45">
        <v>100</v>
      </c>
      <c r="AB255" s="46">
        <f>IF(H2ProjectDB689571011[[#This Row],[Dummy_1]]="Electrolysis",
AA255/VLOOKUP(G255,ElectrolysisConvF,3,FALSE),
AC255*10^6/(H2dens*HoursInYear))</f>
        <v>19230.76923076923</v>
      </c>
      <c r="AC255" s="47">
        <f t="shared" si="19"/>
        <v>14.993076923076922</v>
      </c>
      <c r="AE255" s="46">
        <f t="shared" si="20"/>
        <v>19230.76923076923</v>
      </c>
      <c r="AF255" s="43" t="s">
        <v>926</v>
      </c>
      <c r="AG255" s="43">
        <v>0</v>
      </c>
      <c r="AH255" s="43">
        <v>0</v>
      </c>
      <c r="AI255" s="122" t="s">
        <v>7286</v>
      </c>
      <c r="AJ255" s="41">
        <v>0.5</v>
      </c>
    </row>
    <row r="256" spans="1:36" ht="34.5" hidden="1" customHeight="1" x14ac:dyDescent="0.25">
      <c r="A256" s="40">
        <v>581</v>
      </c>
      <c r="B256" s="40" t="s">
        <v>4877</v>
      </c>
      <c r="C256" s="40" t="s">
        <v>535</v>
      </c>
      <c r="D256" s="44">
        <v>2027</v>
      </c>
      <c r="F256" s="40" t="s">
        <v>1331</v>
      </c>
      <c r="G256" s="40" t="s">
        <v>1259</v>
      </c>
      <c r="H256" s="40" t="s">
        <v>467</v>
      </c>
      <c r="I256" s="40" t="s">
        <v>1269</v>
      </c>
      <c r="J256" s="40" t="s">
        <v>1395</v>
      </c>
      <c r="K256" s="40" t="s">
        <v>1268</v>
      </c>
      <c r="M256" s="40">
        <v>1</v>
      </c>
      <c r="R256" s="40">
        <v>1</v>
      </c>
      <c r="AE256" s="46">
        <f t="shared" si="20"/>
        <v>0</v>
      </c>
      <c r="AF256" s="43" t="s">
        <v>6703</v>
      </c>
      <c r="AG256" s="43">
        <v>-20.317253000000001</v>
      </c>
      <c r="AH256" s="43">
        <v>121.042081</v>
      </c>
      <c r="AI256" s="122" t="s">
        <v>7286</v>
      </c>
      <c r="AJ256" s="41">
        <v>0.5</v>
      </c>
    </row>
    <row r="257" spans="1:36" ht="34.5" hidden="1" customHeight="1" x14ac:dyDescent="0.25">
      <c r="A257" s="81">
        <v>582</v>
      </c>
      <c r="B257" s="81" t="s">
        <v>2029</v>
      </c>
      <c r="C257" s="81" t="s">
        <v>541</v>
      </c>
      <c r="D257" s="101">
        <v>2030</v>
      </c>
      <c r="E257" s="81"/>
      <c r="F257" s="81" t="s">
        <v>2222</v>
      </c>
      <c r="G257" s="81" t="s">
        <v>455</v>
      </c>
      <c r="H257" s="81"/>
      <c r="I257" s="81" t="s">
        <v>1269</v>
      </c>
      <c r="J257" s="81" t="s">
        <v>1395</v>
      </c>
      <c r="K257" s="81" t="s">
        <v>578</v>
      </c>
      <c r="L257" s="81"/>
      <c r="M257" s="81"/>
      <c r="N257" s="81"/>
      <c r="O257" s="81"/>
      <c r="P257" s="81">
        <v>1</v>
      </c>
      <c r="Q257" s="81">
        <v>1</v>
      </c>
      <c r="R257" s="81"/>
      <c r="S257" s="81">
        <v>1</v>
      </c>
      <c r="T257" s="81"/>
      <c r="U257" s="81"/>
      <c r="V257" s="81"/>
      <c r="W257" s="81"/>
      <c r="X257" s="81"/>
      <c r="Y257" s="81"/>
      <c r="Z257" s="81" t="s">
        <v>1482</v>
      </c>
      <c r="AA257" s="83"/>
      <c r="AB257" s="84"/>
      <c r="AC257" s="85"/>
      <c r="AD257" s="84"/>
      <c r="AE257" s="84">
        <f t="shared" si="20"/>
        <v>0</v>
      </c>
      <c r="AF257" s="82" t="s">
        <v>808</v>
      </c>
      <c r="AG257" s="82">
        <v>0</v>
      </c>
      <c r="AH257" s="82">
        <v>0</v>
      </c>
      <c r="AI257" s="122" t="s">
        <v>7286</v>
      </c>
      <c r="AJ257" s="41">
        <v>0.5</v>
      </c>
    </row>
    <row r="258" spans="1:36" s="81" customFormat="1" ht="34.5" hidden="1" customHeight="1" x14ac:dyDescent="0.25">
      <c r="A258" s="81">
        <v>583</v>
      </c>
      <c r="B258" s="81" t="s">
        <v>2030</v>
      </c>
      <c r="C258" s="82" t="s">
        <v>2747</v>
      </c>
      <c r="F258" s="81" t="s">
        <v>2222</v>
      </c>
      <c r="G258" s="81" t="s">
        <v>1259</v>
      </c>
      <c r="H258" s="81" t="s">
        <v>467</v>
      </c>
      <c r="I258" s="81" t="s">
        <v>1269</v>
      </c>
      <c r="J258" s="81" t="s">
        <v>1395</v>
      </c>
      <c r="K258" s="81" t="s">
        <v>578</v>
      </c>
      <c r="Z258" s="81" t="s">
        <v>1567</v>
      </c>
      <c r="AA258" s="83"/>
      <c r="AB258" s="84"/>
      <c r="AC258" s="85"/>
      <c r="AD258" s="84"/>
      <c r="AE258" s="84">
        <f t="shared" si="20"/>
        <v>0</v>
      </c>
      <c r="AF258" s="82" t="s">
        <v>803</v>
      </c>
      <c r="AG258" s="82">
        <v>0</v>
      </c>
      <c r="AH258" s="82">
        <v>0</v>
      </c>
      <c r="AI258" s="122" t="s">
        <v>7286</v>
      </c>
      <c r="AJ258" s="41">
        <v>0.5</v>
      </c>
    </row>
    <row r="259" spans="1:36" s="81" customFormat="1" ht="34.5" hidden="1" customHeight="1" x14ac:dyDescent="0.25">
      <c r="A259" s="40">
        <v>584</v>
      </c>
      <c r="B259" s="40" t="s">
        <v>517</v>
      </c>
      <c r="C259" s="40" t="s">
        <v>535</v>
      </c>
      <c r="D259" s="44">
        <v>2028</v>
      </c>
      <c r="E259" s="40"/>
      <c r="F259" s="40" t="s">
        <v>1331</v>
      </c>
      <c r="G259" s="40" t="s">
        <v>455</v>
      </c>
      <c r="H259" s="40"/>
      <c r="I259" s="40" t="s">
        <v>1269</v>
      </c>
      <c r="J259" s="40" t="s">
        <v>1391</v>
      </c>
      <c r="K259" s="40" t="s">
        <v>578</v>
      </c>
      <c r="L259" s="40"/>
      <c r="M259" s="40"/>
      <c r="N259" s="40"/>
      <c r="O259" s="40"/>
      <c r="P259" s="40">
        <v>1</v>
      </c>
      <c r="Q259" s="40">
        <v>1</v>
      </c>
      <c r="R259" s="40">
        <v>1</v>
      </c>
      <c r="S259" s="40"/>
      <c r="T259" s="40"/>
      <c r="U259" s="40"/>
      <c r="V259" s="40"/>
      <c r="W259" s="40"/>
      <c r="X259" s="40"/>
      <c r="Y259" s="40"/>
      <c r="Z259" s="40" t="s">
        <v>3765</v>
      </c>
      <c r="AA259" s="45">
        <v>3000</v>
      </c>
      <c r="AB259" s="46">
        <f>IF(H2ProjectDB689571011[[#This Row],[Dummy_1]]="Electrolysis",
AA259/VLOOKUP(G259,ElectrolysisConvF,3,FALSE),
AC259*10^6/(H2dens*HoursInYear))</f>
        <v>576923.07692307699</v>
      </c>
      <c r="AC259" s="47">
        <f>AB259*H2dens*HoursInYear/10^6</f>
        <v>449.7923076923077</v>
      </c>
      <c r="AD259" s="46"/>
      <c r="AE259" s="46">
        <f t="shared" si="20"/>
        <v>576923.07692307699</v>
      </c>
      <c r="AF259" s="43" t="s">
        <v>2590</v>
      </c>
      <c r="AG259" s="43">
        <v>-26.871998346424</v>
      </c>
      <c r="AH259" s="43">
        <v>115.97993183425299</v>
      </c>
      <c r="AI259" s="122" t="s">
        <v>7286</v>
      </c>
      <c r="AJ259" s="41">
        <v>0.3</v>
      </c>
    </row>
    <row r="260" spans="1:36" ht="34.5" hidden="1" customHeight="1" x14ac:dyDescent="0.25">
      <c r="A260" s="40">
        <v>585</v>
      </c>
      <c r="B260" s="40" t="s">
        <v>6158</v>
      </c>
      <c r="C260" s="40" t="s">
        <v>1066</v>
      </c>
      <c r="D260" s="44">
        <v>2026</v>
      </c>
      <c r="F260" s="40" t="s">
        <v>5701</v>
      </c>
      <c r="G260" s="40" t="s">
        <v>457</v>
      </c>
      <c r="I260" s="40" t="s">
        <v>1269</v>
      </c>
      <c r="J260" s="40" t="s">
        <v>1395</v>
      </c>
      <c r="K260" s="40" t="s">
        <v>1243</v>
      </c>
      <c r="Z260" s="40" t="s">
        <v>6807</v>
      </c>
      <c r="AA260" s="46">
        <v>2200</v>
      </c>
      <c r="AB260" s="46">
        <f>IF(H2ProjectDB689571011[[#This Row],[Dummy_1]]="Electrolysis",
AA260/VLOOKUP(G260,ElectrolysisConvF,3,FALSE),
AC260*10^6/(H2dens*HoursInYear))</f>
        <v>478260.86956521741</v>
      </c>
      <c r="AC260" s="47">
        <f>AB260*H2dens*HoursInYear/10^6</f>
        <v>372.87130434782608</v>
      </c>
      <c r="AE260" s="46">
        <f t="shared" si="20"/>
        <v>478260.86956521741</v>
      </c>
      <c r="AF260" s="43" t="s">
        <v>4603</v>
      </c>
      <c r="AG260" s="43">
        <v>28.3059081292703</v>
      </c>
      <c r="AH260" s="43">
        <v>34.849284922215197</v>
      </c>
      <c r="AI260" s="122" t="s">
        <v>7286</v>
      </c>
      <c r="AJ260" s="41">
        <v>0.5</v>
      </c>
    </row>
    <row r="261" spans="1:36" ht="34.5" hidden="1" customHeight="1" x14ac:dyDescent="0.25">
      <c r="A261" s="81">
        <v>586</v>
      </c>
      <c r="B261" s="81" t="s">
        <v>2031</v>
      </c>
      <c r="C261" s="82" t="s">
        <v>2045</v>
      </c>
      <c r="D261" s="81"/>
      <c r="E261" s="81"/>
      <c r="F261" s="81" t="s">
        <v>2222</v>
      </c>
      <c r="G261" s="81" t="s">
        <v>1259</v>
      </c>
      <c r="H261" s="81" t="s">
        <v>467</v>
      </c>
      <c r="I261" s="81" t="s">
        <v>1269</v>
      </c>
      <c r="J261" s="81" t="s">
        <v>1395</v>
      </c>
      <c r="K261" s="81" t="s">
        <v>578</v>
      </c>
      <c r="L261" s="81"/>
      <c r="M261" s="81"/>
      <c r="N261" s="81"/>
      <c r="O261" s="81"/>
      <c r="P261" s="81">
        <v>1</v>
      </c>
      <c r="Q261" s="81">
        <v>1</v>
      </c>
      <c r="R261" s="81"/>
      <c r="S261" s="81"/>
      <c r="T261" s="81"/>
      <c r="U261" s="81"/>
      <c r="V261" s="81"/>
      <c r="W261" s="81"/>
      <c r="X261" s="81"/>
      <c r="Y261" s="81"/>
      <c r="Z261" s="81" t="s">
        <v>2025</v>
      </c>
      <c r="AA261" s="83"/>
      <c r="AB261" s="84"/>
      <c r="AC261" s="85"/>
      <c r="AD261" s="84"/>
      <c r="AE261" s="84">
        <f t="shared" si="20"/>
        <v>0</v>
      </c>
      <c r="AF261" s="82"/>
      <c r="AG261" s="82">
        <v>0</v>
      </c>
      <c r="AH261" s="82">
        <v>0</v>
      </c>
      <c r="AI261" s="122" t="s">
        <v>7286</v>
      </c>
      <c r="AJ261" s="41">
        <v>0.5</v>
      </c>
    </row>
    <row r="262" spans="1:36" s="81" customFormat="1" ht="34.5" hidden="1" customHeight="1" x14ac:dyDescent="0.25">
      <c r="A262" s="40">
        <v>587</v>
      </c>
      <c r="B262" s="40" t="s">
        <v>2940</v>
      </c>
      <c r="C262" s="40" t="s">
        <v>535</v>
      </c>
      <c r="D262" s="40"/>
      <c r="E262" s="40"/>
      <c r="F262" s="40" t="s">
        <v>1331</v>
      </c>
      <c r="G262" s="40" t="s">
        <v>1259</v>
      </c>
      <c r="H262" s="40" t="s">
        <v>467</v>
      </c>
      <c r="I262" s="40" t="s">
        <v>1269</v>
      </c>
      <c r="J262" s="40" t="s">
        <v>1395</v>
      </c>
      <c r="K262" s="40" t="s">
        <v>1243</v>
      </c>
      <c r="L262" s="40"/>
      <c r="M262" s="40">
        <v>1</v>
      </c>
      <c r="N262" s="40"/>
      <c r="O262" s="40"/>
      <c r="P262" s="40">
        <v>1</v>
      </c>
      <c r="Q262" s="40"/>
      <c r="R262" s="40"/>
      <c r="S262" s="40"/>
      <c r="T262" s="40"/>
      <c r="U262" s="40"/>
      <c r="V262" s="40"/>
      <c r="W262" s="40"/>
      <c r="X262" s="40"/>
      <c r="Y262" s="40"/>
      <c r="Z262" s="40"/>
      <c r="AA262" s="45"/>
      <c r="AB262" s="46"/>
      <c r="AC262" s="47"/>
      <c r="AD262" s="46"/>
      <c r="AE262" s="46">
        <f t="shared" si="20"/>
        <v>0</v>
      </c>
      <c r="AF262" s="43" t="s">
        <v>2941</v>
      </c>
      <c r="AG262" s="43">
        <v>-28.7686023368381</v>
      </c>
      <c r="AH262" s="43">
        <v>114.61199847754</v>
      </c>
      <c r="AI262" s="122" t="s">
        <v>7286</v>
      </c>
      <c r="AJ262" s="41">
        <v>0.5</v>
      </c>
    </row>
    <row r="263" spans="1:36" ht="34.5" hidden="1" customHeight="1" x14ac:dyDescent="0.25">
      <c r="A263" s="81">
        <v>588</v>
      </c>
      <c r="B263" s="81" t="s">
        <v>2032</v>
      </c>
      <c r="C263" s="82" t="s">
        <v>2044</v>
      </c>
      <c r="D263" s="101">
        <v>2030</v>
      </c>
      <c r="E263" s="81"/>
      <c r="F263" s="81" t="s">
        <v>2222</v>
      </c>
      <c r="G263" s="81" t="s">
        <v>1259</v>
      </c>
      <c r="H263" s="81" t="s">
        <v>467</v>
      </c>
      <c r="I263" s="81" t="s">
        <v>1269</v>
      </c>
      <c r="J263" s="81" t="s">
        <v>1395</v>
      </c>
      <c r="K263" s="81" t="s">
        <v>578</v>
      </c>
      <c r="L263" s="81"/>
      <c r="M263" s="81"/>
      <c r="N263" s="81"/>
      <c r="O263" s="81"/>
      <c r="P263" s="81"/>
      <c r="Q263" s="81"/>
      <c r="R263" s="81"/>
      <c r="S263" s="81"/>
      <c r="T263" s="81"/>
      <c r="U263" s="81"/>
      <c r="V263" s="81"/>
      <c r="W263" s="81"/>
      <c r="X263" s="81"/>
      <c r="Y263" s="81"/>
      <c r="Z263" s="81" t="s">
        <v>2026</v>
      </c>
      <c r="AA263" s="83"/>
      <c r="AB263" s="84"/>
      <c r="AC263" s="85"/>
      <c r="AD263" s="84"/>
      <c r="AE263" s="84">
        <f t="shared" si="20"/>
        <v>0</v>
      </c>
      <c r="AF263" s="82"/>
      <c r="AG263" s="82">
        <v>0</v>
      </c>
      <c r="AH263" s="82">
        <v>0</v>
      </c>
      <c r="AI263" s="122" t="s">
        <v>7286</v>
      </c>
      <c r="AJ263" s="41">
        <v>0.5</v>
      </c>
    </row>
    <row r="264" spans="1:36" s="81" customFormat="1" ht="34.5" hidden="1" customHeight="1" x14ac:dyDescent="0.25">
      <c r="A264" s="40">
        <v>589</v>
      </c>
      <c r="B264" s="40" t="s">
        <v>1027</v>
      </c>
      <c r="C264" s="43" t="s">
        <v>535</v>
      </c>
      <c r="D264" s="44">
        <v>2027</v>
      </c>
      <c r="E264" s="40"/>
      <c r="F264" s="40" t="s">
        <v>2222</v>
      </c>
      <c r="G264" s="40" t="s">
        <v>1259</v>
      </c>
      <c r="H264" s="40" t="s">
        <v>467</v>
      </c>
      <c r="I264" s="40" t="s">
        <v>1269</v>
      </c>
      <c r="J264" s="40" t="s">
        <v>1395</v>
      </c>
      <c r="K264" s="40" t="s">
        <v>578</v>
      </c>
      <c r="L264" s="40"/>
      <c r="M264" s="40"/>
      <c r="N264" s="40"/>
      <c r="O264" s="40"/>
      <c r="P264" s="40"/>
      <c r="Q264" s="40"/>
      <c r="R264" s="40"/>
      <c r="S264" s="40"/>
      <c r="T264" s="40"/>
      <c r="U264" s="40"/>
      <c r="V264" s="40"/>
      <c r="W264" s="40"/>
      <c r="X264" s="40"/>
      <c r="Y264" s="40"/>
      <c r="Z264" s="40" t="s">
        <v>1482</v>
      </c>
      <c r="AA264" s="45">
        <v>1000</v>
      </c>
      <c r="AB264" s="46">
        <f>IF(H2ProjectDB689571011[[#This Row],[Dummy_1]]="Electrolysis",
AA264/VLOOKUP(G264,ElectrolysisConvF,3,FALSE),
AC264*10^6/(H2dens*HoursInYear))</f>
        <v>222222.22222222225</v>
      </c>
      <c r="AC264" s="47">
        <f t="shared" ref="AC264:AC270" si="21">AB264*H2dens*HoursInYear/10^6</f>
        <v>173.25333333333333</v>
      </c>
      <c r="AD264" s="46"/>
      <c r="AE264" s="46">
        <f t="shared" si="20"/>
        <v>222222.22222222225</v>
      </c>
      <c r="AF264" s="43" t="s">
        <v>1025</v>
      </c>
      <c r="AG264" s="43">
        <v>0</v>
      </c>
      <c r="AH264" s="43">
        <v>0</v>
      </c>
      <c r="AI264" s="122" t="s">
        <v>7286</v>
      </c>
      <c r="AJ264" s="41">
        <v>0.5</v>
      </c>
    </row>
    <row r="265" spans="1:36" ht="34.5" hidden="1" customHeight="1" x14ac:dyDescent="0.25">
      <c r="A265" s="40">
        <v>592</v>
      </c>
      <c r="B265" s="40" t="s">
        <v>2596</v>
      </c>
      <c r="C265" s="43" t="s">
        <v>560</v>
      </c>
      <c r="D265" s="44">
        <v>2025</v>
      </c>
      <c r="F265" s="40" t="s">
        <v>1331</v>
      </c>
      <c r="G265" s="40" t="s">
        <v>1259</v>
      </c>
      <c r="H265" s="40" t="s">
        <v>467</v>
      </c>
      <c r="I265" s="40" t="s">
        <v>5700</v>
      </c>
      <c r="J265" s="40" t="s">
        <v>1391</v>
      </c>
      <c r="K265" s="40" t="s">
        <v>1243</v>
      </c>
      <c r="M265" s="40">
        <v>1</v>
      </c>
      <c r="Z265" s="40" t="s">
        <v>1337</v>
      </c>
      <c r="AA265" s="45">
        <v>26</v>
      </c>
      <c r="AB265" s="46">
        <f>IF(H2ProjectDB689571011[[#This Row],[Dummy_1]]="Electrolysis",
AA265/VLOOKUP(G265,ElectrolysisConvF,3,FALSE),
AC265*10^6/(H2dens*HoursInYear))</f>
        <v>5777.7777777777783</v>
      </c>
      <c r="AC265" s="47">
        <f t="shared" si="21"/>
        <v>4.5045866666666674</v>
      </c>
      <c r="AE265" s="46">
        <f t="shared" si="20"/>
        <v>5777.7777777777783</v>
      </c>
      <c r="AF265" s="43" t="s">
        <v>3424</v>
      </c>
      <c r="AG265" s="43">
        <v>-23.095302743765501</v>
      </c>
      <c r="AH265" s="43">
        <v>-70.433180301354497</v>
      </c>
      <c r="AI265" s="122" t="s">
        <v>7286</v>
      </c>
      <c r="AJ265" s="41">
        <v>0.7</v>
      </c>
    </row>
    <row r="266" spans="1:36" ht="34.5" hidden="1" customHeight="1" x14ac:dyDescent="0.25">
      <c r="A266" s="40">
        <v>593</v>
      </c>
      <c r="B266" s="40" t="s">
        <v>2597</v>
      </c>
      <c r="C266" s="43" t="s">
        <v>560</v>
      </c>
      <c r="D266" s="44">
        <v>2030</v>
      </c>
      <c r="F266" s="40" t="s">
        <v>1331</v>
      </c>
      <c r="G266" s="40" t="s">
        <v>1259</v>
      </c>
      <c r="H266" s="40" t="s">
        <v>467</v>
      </c>
      <c r="I266" s="40" t="s">
        <v>5700</v>
      </c>
      <c r="J266" s="40" t="s">
        <v>1391</v>
      </c>
      <c r="K266" s="40" t="s">
        <v>1243</v>
      </c>
      <c r="M266" s="40">
        <v>1</v>
      </c>
      <c r="Z266" s="40" t="s">
        <v>2595</v>
      </c>
      <c r="AA266" s="45">
        <v>2000</v>
      </c>
      <c r="AB266" s="46">
        <f>IF(H2ProjectDB689571011[[#This Row],[Dummy_1]]="Electrolysis",
AA266/VLOOKUP(G266,ElectrolysisConvF,3,FALSE),
AC266*10^6/(H2dens*HoursInYear))</f>
        <v>444444.4444444445</v>
      </c>
      <c r="AC266" s="47">
        <f t="shared" si="21"/>
        <v>346.50666666666666</v>
      </c>
      <c r="AE266" s="46">
        <f t="shared" si="20"/>
        <v>444444.4444444445</v>
      </c>
      <c r="AF266" s="43" t="s">
        <v>3425</v>
      </c>
      <c r="AG266" s="43">
        <v>-23.095302743765501</v>
      </c>
      <c r="AH266" s="43">
        <v>-70.433180301354497</v>
      </c>
      <c r="AI266" s="122" t="s">
        <v>7286</v>
      </c>
      <c r="AJ266" s="41">
        <v>0.7</v>
      </c>
    </row>
    <row r="267" spans="1:36" ht="34.5" hidden="1" customHeight="1" x14ac:dyDescent="0.25">
      <c r="A267" s="40">
        <v>594</v>
      </c>
      <c r="B267" s="40" t="s">
        <v>1176</v>
      </c>
      <c r="C267" s="43" t="s">
        <v>1177</v>
      </c>
      <c r="D267" s="44">
        <v>2025</v>
      </c>
      <c r="F267" s="40" t="s">
        <v>1331</v>
      </c>
      <c r="G267" s="40" t="s">
        <v>455</v>
      </c>
      <c r="I267" s="40" t="s">
        <v>1269</v>
      </c>
      <c r="J267" s="40" t="s">
        <v>1395</v>
      </c>
      <c r="K267" s="40" t="s">
        <v>578</v>
      </c>
      <c r="Q267" s="40">
        <v>1</v>
      </c>
      <c r="Z267" s="40" t="s">
        <v>1372</v>
      </c>
      <c r="AA267" s="45">
        <v>1</v>
      </c>
      <c r="AB267" s="46">
        <f>IF(H2ProjectDB689571011[[#This Row],[Dummy_1]]="Electrolysis",
AA267/VLOOKUP(G267,ElectrolysisConvF,3,FALSE),
AC267*10^6/(H2dens*HoursInYear))</f>
        <v>192.30769230769232</v>
      </c>
      <c r="AC267" s="47">
        <f t="shared" si="21"/>
        <v>0.14993076923076926</v>
      </c>
      <c r="AE267" s="46">
        <f t="shared" si="20"/>
        <v>192.30769230769232</v>
      </c>
      <c r="AG267" s="43">
        <v>10.421097841238399</v>
      </c>
      <c r="AH267" s="43">
        <v>-85.420968863396098</v>
      </c>
      <c r="AI267" s="122" t="s">
        <v>7286</v>
      </c>
      <c r="AJ267" s="41">
        <v>0.5</v>
      </c>
    </row>
    <row r="268" spans="1:36" ht="34.5" hidden="1" customHeight="1" x14ac:dyDescent="0.25">
      <c r="A268" s="40">
        <v>595</v>
      </c>
      <c r="B268" s="40" t="s">
        <v>839</v>
      </c>
      <c r="C268" s="43" t="s">
        <v>546</v>
      </c>
      <c r="D268" s="44">
        <v>2027</v>
      </c>
      <c r="E268" s="44"/>
      <c r="F268" s="40" t="s">
        <v>1331</v>
      </c>
      <c r="G268" s="40" t="s">
        <v>1259</v>
      </c>
      <c r="H268" s="40" t="s">
        <v>467</v>
      </c>
      <c r="I268" s="40" t="s">
        <v>1269</v>
      </c>
      <c r="J268" s="40" t="s">
        <v>1393</v>
      </c>
      <c r="K268" s="40" t="s">
        <v>578</v>
      </c>
      <c r="R268" s="40">
        <v>1</v>
      </c>
      <c r="S268" s="40">
        <v>1</v>
      </c>
      <c r="Z268" s="40" t="s">
        <v>1485</v>
      </c>
      <c r="AA268" s="45">
        <v>100</v>
      </c>
      <c r="AB268" s="46">
        <f>IF(H2ProjectDB689571011[[#This Row],[Dummy_1]]="Electrolysis",
AA268/VLOOKUP(G268,ElectrolysisConvF,3,FALSE),
AC268*10^6/(H2dens*HoursInYear))</f>
        <v>22222.222222222223</v>
      </c>
      <c r="AC268" s="47">
        <f t="shared" si="21"/>
        <v>17.325333333333333</v>
      </c>
      <c r="AE268" s="46">
        <f t="shared" si="20"/>
        <v>22222.222222222223</v>
      </c>
      <c r="AF268" s="43" t="s">
        <v>7401</v>
      </c>
      <c r="AG268" s="43">
        <v>53.417318360896402</v>
      </c>
      <c r="AH268" s="43">
        <v>6.4500354489820904</v>
      </c>
      <c r="AI268" s="122" t="s">
        <v>7286</v>
      </c>
      <c r="AJ268" s="41">
        <v>0.55000000000000004</v>
      </c>
    </row>
    <row r="269" spans="1:36" ht="34.5" hidden="1" customHeight="1" x14ac:dyDescent="0.25">
      <c r="A269" s="40">
        <v>596</v>
      </c>
      <c r="B269" s="40" t="s">
        <v>840</v>
      </c>
      <c r="C269" s="43" t="s">
        <v>546</v>
      </c>
      <c r="D269" s="44">
        <v>2028</v>
      </c>
      <c r="E269" s="44"/>
      <c r="F269" s="40" t="s">
        <v>1331</v>
      </c>
      <c r="G269" s="40" t="s">
        <v>1259</v>
      </c>
      <c r="H269" s="40" t="s">
        <v>467</v>
      </c>
      <c r="I269" s="40" t="s">
        <v>1269</v>
      </c>
      <c r="J269" s="40" t="s">
        <v>1393</v>
      </c>
      <c r="K269" s="40" t="s">
        <v>578</v>
      </c>
      <c r="R269" s="40">
        <v>1</v>
      </c>
      <c r="S269" s="40">
        <v>1</v>
      </c>
      <c r="Z269" s="40" t="s">
        <v>1482</v>
      </c>
      <c r="AA269" s="45">
        <v>900</v>
      </c>
      <c r="AB269" s="46">
        <f>IF(H2ProjectDB689571011[[#This Row],[Dummy_1]]="Electrolysis",
AA269/VLOOKUP(G269,ElectrolysisConvF,3,FALSE),
AC269*10^6/(H2dens*HoursInYear))</f>
        <v>200000.00000000003</v>
      </c>
      <c r="AC269" s="47">
        <f t="shared" si="21"/>
        <v>155.928</v>
      </c>
      <c r="AE269" s="46">
        <f t="shared" si="20"/>
        <v>200000.00000000003</v>
      </c>
      <c r="AF269" s="43" t="s">
        <v>1570</v>
      </c>
      <c r="AG269" s="43">
        <v>53.417318360896402</v>
      </c>
      <c r="AH269" s="43">
        <v>6.4500354489820904</v>
      </c>
      <c r="AI269" s="122" t="s">
        <v>7286</v>
      </c>
      <c r="AJ269" s="41">
        <v>0.55000000000000004</v>
      </c>
    </row>
    <row r="270" spans="1:36" ht="34.5" hidden="1" customHeight="1" x14ac:dyDescent="0.25">
      <c r="A270" s="40">
        <v>597</v>
      </c>
      <c r="B270" s="40" t="s">
        <v>7491</v>
      </c>
      <c r="C270" s="43" t="s">
        <v>530</v>
      </c>
      <c r="D270" s="44">
        <v>2030</v>
      </c>
      <c r="E270" s="44"/>
      <c r="F270" s="40" t="s">
        <v>1331</v>
      </c>
      <c r="G270" s="40" t="s">
        <v>1259</v>
      </c>
      <c r="H270" s="40" t="s">
        <v>467</v>
      </c>
      <c r="I270" s="40" t="s">
        <v>1269</v>
      </c>
      <c r="J270" s="40" t="s">
        <v>1391</v>
      </c>
      <c r="K270" s="40" t="s">
        <v>578</v>
      </c>
      <c r="P270" s="40">
        <v>1</v>
      </c>
      <c r="Q270" s="40">
        <v>1</v>
      </c>
      <c r="R270" s="40">
        <v>1</v>
      </c>
      <c r="S270" s="40">
        <v>1</v>
      </c>
      <c r="Z270" s="40" t="s">
        <v>3475</v>
      </c>
      <c r="AA270" s="45">
        <v>350</v>
      </c>
      <c r="AB270" s="46">
        <f>IF(H2ProjectDB689571011[[#This Row],[Dummy_1]]="Electrolysis",
AA270/VLOOKUP(G270,ElectrolysisConvF,3,FALSE),
AC270*10^6/(H2dens*HoursInYear))</f>
        <v>77777.777777777781</v>
      </c>
      <c r="AC270" s="47">
        <f t="shared" si="21"/>
        <v>60.638666666666673</v>
      </c>
      <c r="AE270" s="46">
        <f t="shared" si="20"/>
        <v>77777.777777777781</v>
      </c>
      <c r="AF270" s="43" t="s">
        <v>639</v>
      </c>
      <c r="AG270" s="43">
        <v>43.836233599463903</v>
      </c>
      <c r="AH270" s="43">
        <v>5.7834161152823</v>
      </c>
      <c r="AI270" s="122" t="s">
        <v>7286</v>
      </c>
      <c r="AJ270" s="41">
        <v>0.3</v>
      </c>
    </row>
    <row r="271" spans="1:36" ht="34.5" hidden="1" customHeight="1" x14ac:dyDescent="0.25">
      <c r="A271" s="40">
        <v>600</v>
      </c>
      <c r="B271" s="40" t="s">
        <v>1034</v>
      </c>
      <c r="C271" s="43" t="s">
        <v>533</v>
      </c>
      <c r="D271" s="44">
        <v>2028</v>
      </c>
      <c r="E271" s="44"/>
      <c r="F271" s="40" t="s">
        <v>1331</v>
      </c>
      <c r="G271" s="40" t="s">
        <v>1259</v>
      </c>
      <c r="H271" s="40" t="s">
        <v>467</v>
      </c>
      <c r="I271" s="40" t="s">
        <v>1269</v>
      </c>
      <c r="J271" s="40" t="s">
        <v>1395</v>
      </c>
      <c r="K271" s="40" t="s">
        <v>1242</v>
      </c>
      <c r="N271" s="40">
        <v>1</v>
      </c>
      <c r="Z271" s="40" t="s">
        <v>4972</v>
      </c>
      <c r="AA271" s="78">
        <f>IF(H2ProjectDB689571011[[#This Row],[Dummy_1]]="Electrolysis",
AB271*VLOOKUP(G271,ElectrolysisConvF,3,FALSE),
"")</f>
        <v>252.8089887640449</v>
      </c>
      <c r="AB271" s="46">
        <f>AC271/(H2dens*HoursInYear/10^6)</f>
        <v>56179.775280898873</v>
      </c>
      <c r="AC271" s="47">
        <f>0.06*365/H2ProjectDB689571011[[#This Row],[LOWE_CF]]</f>
        <v>43.8</v>
      </c>
      <c r="AE271" s="46">
        <f t="shared" si="20"/>
        <v>56179.775280898873</v>
      </c>
      <c r="AF271" s="43" t="s">
        <v>1033</v>
      </c>
      <c r="AG271" s="43">
        <v>55.126199374756801</v>
      </c>
      <c r="AH271" s="43">
        <v>-120.98976368820099</v>
      </c>
      <c r="AI271" s="122" t="s">
        <v>7286</v>
      </c>
      <c r="AJ271" s="41">
        <v>0.5</v>
      </c>
    </row>
    <row r="272" spans="1:36" ht="34.5" hidden="1" customHeight="1" x14ac:dyDescent="0.25">
      <c r="A272" s="40">
        <v>601</v>
      </c>
      <c r="B272" s="40" t="s">
        <v>4695</v>
      </c>
      <c r="C272" s="43" t="s">
        <v>546</v>
      </c>
      <c r="D272" s="44"/>
      <c r="E272" s="44"/>
      <c r="F272" s="40" t="s">
        <v>1331</v>
      </c>
      <c r="G272" s="40" t="s">
        <v>1259</v>
      </c>
      <c r="H272" s="40" t="s">
        <v>467</v>
      </c>
      <c r="I272" s="40" t="s">
        <v>1269</v>
      </c>
      <c r="J272" s="40" t="s">
        <v>1395</v>
      </c>
      <c r="K272" s="40" t="s">
        <v>578</v>
      </c>
      <c r="L272" s="40">
        <v>1</v>
      </c>
      <c r="Z272" s="40" t="s">
        <v>1486</v>
      </c>
      <c r="AA272" s="45">
        <v>250</v>
      </c>
      <c r="AB272" s="46">
        <f>IF(H2ProjectDB689571011[[#This Row],[Dummy_1]]="Electrolysis",
AA272/VLOOKUP(G272,ElectrolysisConvF,3,FALSE),
AC272*10^6/(H2dens*HoursInYear))</f>
        <v>55555.555555555562</v>
      </c>
      <c r="AC272" s="47">
        <f t="shared" ref="AC272:AC281" si="22">AB272*H2dens*HoursInYear/10^6</f>
        <v>43.313333333333333</v>
      </c>
      <c r="AE272" s="46">
        <f t="shared" si="20"/>
        <v>55555.555555555562</v>
      </c>
      <c r="AF272" s="43" t="s">
        <v>1571</v>
      </c>
      <c r="AG272" s="43">
        <v>51.939068909284501</v>
      </c>
      <c r="AH272" s="43">
        <v>4.1100923841652497</v>
      </c>
      <c r="AI272" s="122" t="s">
        <v>7286</v>
      </c>
      <c r="AJ272" s="41">
        <v>0.5</v>
      </c>
    </row>
    <row r="273" spans="1:36" ht="34.5" hidden="1" customHeight="1" x14ac:dyDescent="0.25">
      <c r="A273" s="40">
        <v>602</v>
      </c>
      <c r="B273" s="40" t="s">
        <v>2372</v>
      </c>
      <c r="C273" s="40" t="s">
        <v>1764</v>
      </c>
      <c r="D273" s="44">
        <v>2026</v>
      </c>
      <c r="E273" s="44"/>
      <c r="F273" s="40" t="s">
        <v>1331</v>
      </c>
      <c r="G273" s="40" t="s">
        <v>1259</v>
      </c>
      <c r="H273" s="40" t="s">
        <v>467</v>
      </c>
      <c r="I273" s="40" t="s">
        <v>1269</v>
      </c>
      <c r="J273" s="40" t="s">
        <v>1395</v>
      </c>
      <c r="K273" s="40" t="s">
        <v>578</v>
      </c>
      <c r="P273" s="40">
        <v>1</v>
      </c>
      <c r="Q273" s="40">
        <v>1</v>
      </c>
      <c r="Z273" s="40" t="s">
        <v>3922</v>
      </c>
      <c r="AA273" s="45">
        <v>40</v>
      </c>
      <c r="AB273" s="46">
        <f>IF(H2ProjectDB689571011[[#This Row],[Dummy_1]]="Electrolysis",
AA273/VLOOKUP(G273,ElectrolysisConvF,3,FALSE),
AC273*10^6/(H2dens*HoursInYear))</f>
        <v>8888.8888888888887</v>
      </c>
      <c r="AC273" s="47">
        <f t="shared" si="22"/>
        <v>6.930133333333333</v>
      </c>
      <c r="AE273" s="46">
        <f t="shared" si="20"/>
        <v>8888.8888888888887</v>
      </c>
      <c r="AF273" s="43" t="s">
        <v>8284</v>
      </c>
      <c r="AG273" s="43">
        <v>41.5351238477826</v>
      </c>
      <c r="AH273" s="43">
        <v>-0.89100320772010599</v>
      </c>
      <c r="AI273" s="122" t="s">
        <v>7286</v>
      </c>
      <c r="AJ273" s="41">
        <v>0.5</v>
      </c>
    </row>
    <row r="274" spans="1:36" ht="34.5" hidden="1" customHeight="1" x14ac:dyDescent="0.25">
      <c r="A274" s="40">
        <v>603</v>
      </c>
      <c r="B274" s="40" t="s">
        <v>3396</v>
      </c>
      <c r="C274" s="40" t="s">
        <v>537</v>
      </c>
      <c r="D274" s="44">
        <v>2021</v>
      </c>
      <c r="F274" s="40" t="s">
        <v>1339</v>
      </c>
      <c r="G274" s="40" t="s">
        <v>457</v>
      </c>
      <c r="I274" s="40" t="s">
        <v>1269</v>
      </c>
      <c r="J274" s="40" t="s">
        <v>1391</v>
      </c>
      <c r="K274" s="40" t="s">
        <v>578</v>
      </c>
      <c r="N274" s="40">
        <v>1</v>
      </c>
      <c r="Z274" s="40" t="s">
        <v>1510</v>
      </c>
      <c r="AA274" s="45">
        <v>30</v>
      </c>
      <c r="AB274" s="46">
        <f>IF(H2ProjectDB689571011[[#This Row],[Dummy_1]]="Electrolysis",
AA274/VLOOKUP(G274,ElectrolysisConvF,3,FALSE),
AC274*10^6/(H2dens*HoursInYear))</f>
        <v>6521.739130434783</v>
      </c>
      <c r="AC274" s="47">
        <f t="shared" si="22"/>
        <v>5.0846086956521734</v>
      </c>
      <c r="AE274" s="46">
        <f t="shared" si="20"/>
        <v>6521.739130434783</v>
      </c>
      <c r="AF274" s="43" t="s">
        <v>3514</v>
      </c>
      <c r="AG274" s="43">
        <v>38.492532903085397</v>
      </c>
      <c r="AH274" s="43">
        <v>106.23846956603001</v>
      </c>
      <c r="AI274" s="122" t="s">
        <v>7286</v>
      </c>
      <c r="AJ274" s="41">
        <v>0.3</v>
      </c>
    </row>
    <row r="275" spans="1:36" ht="34.5" hidden="1" customHeight="1" x14ac:dyDescent="0.25">
      <c r="A275" s="40">
        <v>604</v>
      </c>
      <c r="B275" s="40" t="s">
        <v>2967</v>
      </c>
      <c r="C275" s="40" t="s">
        <v>535</v>
      </c>
      <c r="D275" s="44">
        <v>2028</v>
      </c>
      <c r="E275" s="44"/>
      <c r="F275" s="40" t="s">
        <v>1331</v>
      </c>
      <c r="G275" s="40" t="s">
        <v>1259</v>
      </c>
      <c r="H275" s="40" t="s">
        <v>467</v>
      </c>
      <c r="I275" s="40" t="s">
        <v>1269</v>
      </c>
      <c r="J275" s="40" t="s">
        <v>1391</v>
      </c>
      <c r="K275" s="40" t="s">
        <v>1243</v>
      </c>
      <c r="M275" s="40">
        <v>1</v>
      </c>
      <c r="Z275" s="40" t="s">
        <v>1575</v>
      </c>
      <c r="AA275" s="45">
        <v>160</v>
      </c>
      <c r="AB275" s="46">
        <f>IF(H2ProjectDB689571011[[#This Row],[Dummy_1]]="Electrolysis",
AA275/VLOOKUP(G275,ElectrolysisConvF,3,FALSE),
AC275*10^6/(H2dens*HoursInYear))</f>
        <v>35555.555555555555</v>
      </c>
      <c r="AC275" s="47">
        <f t="shared" si="22"/>
        <v>27.720533333333332</v>
      </c>
      <c r="AE275" s="46">
        <f t="shared" si="20"/>
        <v>35555.555555555555</v>
      </c>
      <c r="AF275" s="43" t="s">
        <v>721</v>
      </c>
      <c r="AG275" s="43">
        <v>-22.0115481230646</v>
      </c>
      <c r="AH275" s="43">
        <v>148.01403776660399</v>
      </c>
      <c r="AI275" s="122" t="s">
        <v>7286</v>
      </c>
      <c r="AJ275" s="41">
        <v>0.3</v>
      </c>
    </row>
    <row r="276" spans="1:36" ht="34.5" hidden="1" customHeight="1" x14ac:dyDescent="0.25">
      <c r="A276" s="40">
        <v>605</v>
      </c>
      <c r="B276" s="40" t="s">
        <v>2027</v>
      </c>
      <c r="C276" s="40" t="s">
        <v>1764</v>
      </c>
      <c r="F276" s="40" t="s">
        <v>1331</v>
      </c>
      <c r="G276" s="40" t="s">
        <v>1259</v>
      </c>
      <c r="H276" s="40" t="s">
        <v>467</v>
      </c>
      <c r="I276" s="40" t="s">
        <v>1269</v>
      </c>
      <c r="J276" s="40" t="s">
        <v>1395</v>
      </c>
      <c r="K276" s="40" t="s">
        <v>578</v>
      </c>
      <c r="P276" s="40">
        <v>1</v>
      </c>
      <c r="Z276" s="40" t="s">
        <v>1576</v>
      </c>
      <c r="AA276" s="45">
        <v>150</v>
      </c>
      <c r="AB276" s="46">
        <f>IF(H2ProjectDB689571011[[#This Row],[Dummy_1]]="Electrolysis",
AA276/VLOOKUP(G276,ElectrolysisConvF,3,FALSE),
AC276*10^6/(H2dens*HoursInYear))</f>
        <v>33333.333333333336</v>
      </c>
      <c r="AC276" s="47">
        <f t="shared" si="22"/>
        <v>25.988</v>
      </c>
      <c r="AE276" s="46">
        <f t="shared" si="20"/>
        <v>33333.333333333336</v>
      </c>
      <c r="AF276" s="43" t="s">
        <v>605</v>
      </c>
      <c r="AG276" s="43">
        <v>43.21358</v>
      </c>
      <c r="AH276" s="43">
        <v>-2.5702759999999998</v>
      </c>
      <c r="AI276" s="122" t="s">
        <v>7286</v>
      </c>
      <c r="AJ276" s="41">
        <v>0.5</v>
      </c>
    </row>
    <row r="277" spans="1:36" ht="34.5" hidden="1" customHeight="1" x14ac:dyDescent="0.25">
      <c r="A277" s="40">
        <v>607</v>
      </c>
      <c r="B277" s="40" t="s">
        <v>8040</v>
      </c>
      <c r="C277" s="40" t="s">
        <v>1764</v>
      </c>
      <c r="D277" s="44">
        <v>2028</v>
      </c>
      <c r="E277" s="44"/>
      <c r="F277" s="40" t="s">
        <v>1331</v>
      </c>
      <c r="G277" s="40" t="s">
        <v>1259</v>
      </c>
      <c r="H277" s="40" t="s">
        <v>467</v>
      </c>
      <c r="I277" s="40" t="s">
        <v>5700</v>
      </c>
      <c r="J277" s="40" t="s">
        <v>1391</v>
      </c>
      <c r="K277" s="40" t="s">
        <v>578</v>
      </c>
      <c r="M277" s="40">
        <v>1</v>
      </c>
      <c r="Q277" s="40">
        <v>1</v>
      </c>
      <c r="Z277" s="40" t="s">
        <v>5166</v>
      </c>
      <c r="AA277" s="45">
        <v>280</v>
      </c>
      <c r="AB277" s="46">
        <f>IF(H2ProjectDB689571011[[#This Row],[Dummy_1]]="Electrolysis",
AA277/VLOOKUP(G277,ElectrolysisConvF,3,FALSE),
AC277*10^6/(H2dens*HoursInYear))</f>
        <v>62222.222222222226</v>
      </c>
      <c r="AC277" s="47">
        <f t="shared" si="22"/>
        <v>48.510933333333334</v>
      </c>
      <c r="AE277" s="46">
        <f t="shared" si="20"/>
        <v>62222.222222222226</v>
      </c>
      <c r="AF277" s="43" t="s">
        <v>605</v>
      </c>
      <c r="AG277" s="43">
        <v>42.792356347928397</v>
      </c>
      <c r="AH277" s="43">
        <v>-5.6337929413677896</v>
      </c>
      <c r="AI277" s="122" t="s">
        <v>7286</v>
      </c>
      <c r="AJ277" s="41">
        <v>0.7</v>
      </c>
    </row>
    <row r="278" spans="1:36" ht="34.5" hidden="1" customHeight="1" x14ac:dyDescent="0.25">
      <c r="A278" s="40">
        <v>608</v>
      </c>
      <c r="B278" s="40" t="s">
        <v>2028</v>
      </c>
      <c r="C278" s="40" t="s">
        <v>1764</v>
      </c>
      <c r="F278" s="40" t="s">
        <v>1331</v>
      </c>
      <c r="G278" s="40" t="s">
        <v>1259</v>
      </c>
      <c r="H278" s="40" t="s">
        <v>467</v>
      </c>
      <c r="I278" s="40" t="s">
        <v>1269</v>
      </c>
      <c r="J278" s="40" t="s">
        <v>1395</v>
      </c>
      <c r="K278" s="40" t="s">
        <v>578</v>
      </c>
      <c r="S278" s="40">
        <v>1</v>
      </c>
      <c r="Z278" s="40" t="s">
        <v>1510</v>
      </c>
      <c r="AA278" s="45">
        <v>30</v>
      </c>
      <c r="AB278" s="46">
        <f>IF(H2ProjectDB689571011[[#This Row],[Dummy_1]]="Electrolysis",
AA278/VLOOKUP(G278,ElectrolysisConvF,3,FALSE),
AC278*10^6/(H2dens*HoursInYear))</f>
        <v>6666.666666666667</v>
      </c>
      <c r="AC278" s="47">
        <f t="shared" si="22"/>
        <v>5.1976000000000004</v>
      </c>
      <c r="AE278" s="46">
        <f t="shared" si="20"/>
        <v>6666.666666666667</v>
      </c>
      <c r="AF278" s="43" t="s">
        <v>605</v>
      </c>
      <c r="AG278" s="43">
        <v>41.3136662141263</v>
      </c>
      <c r="AH278" s="43">
        <v>-0.92843467077052799</v>
      </c>
      <c r="AI278" s="122" t="s">
        <v>7286</v>
      </c>
      <c r="AJ278" s="41">
        <v>0.5</v>
      </c>
    </row>
    <row r="279" spans="1:36" ht="34.5" hidden="1" customHeight="1" x14ac:dyDescent="0.25">
      <c r="A279" s="40">
        <v>609</v>
      </c>
      <c r="B279" s="40" t="s">
        <v>4696</v>
      </c>
      <c r="C279" s="40" t="s">
        <v>546</v>
      </c>
      <c r="D279" s="44">
        <v>2027</v>
      </c>
      <c r="E279" s="44"/>
      <c r="F279" s="90" t="s">
        <v>1331</v>
      </c>
      <c r="G279" s="90" t="s">
        <v>455</v>
      </c>
      <c r="I279" s="40" t="s">
        <v>1269</v>
      </c>
      <c r="J279" s="40" t="s">
        <v>1392</v>
      </c>
      <c r="K279" s="40" t="s">
        <v>578</v>
      </c>
      <c r="L279" s="40">
        <v>1</v>
      </c>
      <c r="N279" s="40">
        <v>1</v>
      </c>
      <c r="P279" s="40">
        <v>1</v>
      </c>
      <c r="Q279" s="40">
        <v>1</v>
      </c>
      <c r="W279" s="40">
        <v>1</v>
      </c>
      <c r="Z279" s="40" t="s">
        <v>1483</v>
      </c>
      <c r="AA279" s="45">
        <v>50</v>
      </c>
      <c r="AB279" s="46">
        <f>IF(H2ProjectDB689571011[[#This Row],[Dummy_1]]="Electrolysis",
AA279/VLOOKUP(G279,ElectrolysisConvF,3,FALSE),
AC279*10^6/(H2dens*HoursInYear))</f>
        <v>9615.3846153846152</v>
      </c>
      <c r="AC279" s="47">
        <f t="shared" si="22"/>
        <v>7.4965384615384609</v>
      </c>
      <c r="AE279" s="46">
        <f t="shared" si="20"/>
        <v>9615.3846153846152</v>
      </c>
      <c r="AF279" s="43" t="s">
        <v>4704</v>
      </c>
      <c r="AG279" s="43">
        <v>53.439120430033597</v>
      </c>
      <c r="AH279" s="43">
        <v>6.8365304008215801</v>
      </c>
      <c r="AI279" s="122" t="s">
        <v>7286</v>
      </c>
      <c r="AJ279" s="41">
        <v>0.4</v>
      </c>
    </row>
    <row r="280" spans="1:36" ht="34.5" hidden="1" customHeight="1" x14ac:dyDescent="0.25">
      <c r="A280" s="40">
        <v>610</v>
      </c>
      <c r="B280" s="40" t="s">
        <v>2966</v>
      </c>
      <c r="C280" s="40" t="s">
        <v>535</v>
      </c>
      <c r="D280" s="44">
        <v>2027</v>
      </c>
      <c r="E280" s="44"/>
      <c r="F280" s="40" t="s">
        <v>1331</v>
      </c>
      <c r="G280" s="40" t="s">
        <v>1259</v>
      </c>
      <c r="H280" s="40" t="s">
        <v>467</v>
      </c>
      <c r="I280" s="40" t="s">
        <v>1269</v>
      </c>
      <c r="J280" s="40" t="s">
        <v>1391</v>
      </c>
      <c r="K280" s="40" t="s">
        <v>1243</v>
      </c>
      <c r="M280" s="40">
        <v>1</v>
      </c>
      <c r="Z280" s="40" t="s">
        <v>1510</v>
      </c>
      <c r="AA280" s="45">
        <v>30</v>
      </c>
      <c r="AB280" s="46">
        <f>IF(H2ProjectDB689571011[[#This Row],[Dummy_1]]="Electrolysis",
AA280/VLOOKUP(G280,ElectrolysisConvF,3,FALSE),
AC280*10^6/(H2dens*HoursInYear))</f>
        <v>6666.666666666667</v>
      </c>
      <c r="AC280" s="47">
        <f t="shared" si="22"/>
        <v>5.1976000000000004</v>
      </c>
      <c r="AE280" s="46">
        <f t="shared" si="20"/>
        <v>6666.666666666667</v>
      </c>
      <c r="AF280" s="43" t="s">
        <v>722</v>
      </c>
      <c r="AG280" s="43">
        <v>-24.506718878455601</v>
      </c>
      <c r="AH280" s="43">
        <v>149.97443850456699</v>
      </c>
      <c r="AI280" s="122" t="s">
        <v>7286</v>
      </c>
      <c r="AJ280" s="41">
        <v>0.3</v>
      </c>
    </row>
    <row r="281" spans="1:36" ht="34.5" hidden="1" customHeight="1" x14ac:dyDescent="0.25">
      <c r="A281" s="40">
        <v>611</v>
      </c>
      <c r="B281" s="40" t="s">
        <v>4697</v>
      </c>
      <c r="C281" s="40" t="s">
        <v>546</v>
      </c>
      <c r="D281" s="44">
        <v>2027</v>
      </c>
      <c r="E281" s="44"/>
      <c r="F281" s="40" t="s">
        <v>1331</v>
      </c>
      <c r="G281" s="40" t="s">
        <v>1259</v>
      </c>
      <c r="H281" s="40" t="s">
        <v>467</v>
      </c>
      <c r="I281" s="40" t="s">
        <v>1269</v>
      </c>
      <c r="J281" s="40" t="s">
        <v>1393</v>
      </c>
      <c r="K281" s="40" t="s">
        <v>578</v>
      </c>
      <c r="R281" s="40">
        <v>1</v>
      </c>
      <c r="S281" s="40">
        <v>1</v>
      </c>
      <c r="Z281" s="40" t="s">
        <v>1333</v>
      </c>
      <c r="AA281" s="45">
        <v>10</v>
      </c>
      <c r="AB281" s="46">
        <f>IF(H2ProjectDB689571011[[#This Row],[Dummy_1]]="Electrolysis",
AA281/VLOOKUP(G281,ElectrolysisConvF,3,FALSE),
AC281*10^6/(H2dens*HoursInYear))</f>
        <v>2222.2222222222222</v>
      </c>
      <c r="AC281" s="47">
        <f t="shared" si="22"/>
        <v>1.7325333333333333</v>
      </c>
      <c r="AE281" s="46">
        <f t="shared" si="20"/>
        <v>2222.2222222222222</v>
      </c>
      <c r="AF281" s="43" t="s">
        <v>7523</v>
      </c>
      <c r="AG281" s="43">
        <v>52.366101683889397</v>
      </c>
      <c r="AH281" s="43">
        <v>5.0347740334735898</v>
      </c>
      <c r="AI281" s="122" t="s">
        <v>7286</v>
      </c>
      <c r="AJ281" s="41">
        <v>0.55000000000000004</v>
      </c>
    </row>
    <row r="282" spans="1:36" ht="34.5" hidden="1" customHeight="1" x14ac:dyDescent="0.25">
      <c r="A282" s="40">
        <v>613</v>
      </c>
      <c r="B282" s="40" t="s">
        <v>1218</v>
      </c>
      <c r="C282" s="40" t="s">
        <v>537</v>
      </c>
      <c r="F282" s="40" t="s">
        <v>2222</v>
      </c>
      <c r="G282" s="40" t="s">
        <v>1259</v>
      </c>
      <c r="H282" s="40" t="s">
        <v>467</v>
      </c>
      <c r="I282" s="40" t="s">
        <v>1269</v>
      </c>
      <c r="J282" s="40" t="s">
        <v>1391</v>
      </c>
      <c r="K282" s="40" t="s">
        <v>578</v>
      </c>
      <c r="AC282" s="47"/>
      <c r="AE282" s="46">
        <f t="shared" si="20"/>
        <v>0</v>
      </c>
      <c r="AF282" s="43" t="s">
        <v>2302</v>
      </c>
      <c r="AG282" s="43">
        <v>36.866490409267499</v>
      </c>
      <c r="AH282" s="43">
        <v>119.208905036104</v>
      </c>
      <c r="AI282" s="122" t="s">
        <v>7286</v>
      </c>
      <c r="AJ282" s="41">
        <v>0.3</v>
      </c>
    </row>
    <row r="283" spans="1:36" ht="34.5" hidden="1" customHeight="1" x14ac:dyDescent="0.25">
      <c r="A283" s="40">
        <v>614</v>
      </c>
      <c r="B283" s="40" t="s">
        <v>1668</v>
      </c>
      <c r="C283" s="40" t="s">
        <v>546</v>
      </c>
      <c r="D283" s="44">
        <v>2030</v>
      </c>
      <c r="E283" s="44"/>
      <c r="F283" s="40" t="s">
        <v>1331</v>
      </c>
      <c r="G283" s="40" t="s">
        <v>1259</v>
      </c>
      <c r="H283" s="40" t="s">
        <v>467</v>
      </c>
      <c r="I283" s="40" t="s">
        <v>1269</v>
      </c>
      <c r="J283" s="40" t="s">
        <v>1392</v>
      </c>
      <c r="K283" s="40" t="s">
        <v>578</v>
      </c>
      <c r="P283" s="40">
        <v>1</v>
      </c>
      <c r="Q283" s="40">
        <v>1</v>
      </c>
      <c r="R283" s="40">
        <v>1</v>
      </c>
      <c r="S283" s="40">
        <v>1</v>
      </c>
      <c r="Z283" s="40" t="s">
        <v>1485</v>
      </c>
      <c r="AA283" s="45">
        <v>95</v>
      </c>
      <c r="AB283" s="46">
        <f>IF(H2ProjectDB689571011[[#This Row],[Dummy_1]]="Electrolysis",
AA283/VLOOKUP(G283,ElectrolysisConvF,3,FALSE),
AC283*10^6/(H2dens*HoursInYear))</f>
        <v>21111.111111111113</v>
      </c>
      <c r="AC283" s="47">
        <f t="shared" ref="AC283:AC288" si="23">AB283*H2dens*HoursInYear/10^6</f>
        <v>16.459066666666665</v>
      </c>
      <c r="AE283" s="46">
        <f t="shared" si="20"/>
        <v>21111.111111111113</v>
      </c>
      <c r="AF283" s="43" t="s">
        <v>1686</v>
      </c>
      <c r="AG283" s="43">
        <v>51.376054000000003</v>
      </c>
      <c r="AH283" s="43">
        <v>5.4614070000000003</v>
      </c>
      <c r="AI283" s="122" t="s">
        <v>7286</v>
      </c>
      <c r="AJ283" s="41">
        <v>0.4</v>
      </c>
    </row>
    <row r="284" spans="1:36" ht="34.5" hidden="1" customHeight="1" x14ac:dyDescent="0.25">
      <c r="A284" s="40">
        <v>615</v>
      </c>
      <c r="B284" s="40" t="s">
        <v>5984</v>
      </c>
      <c r="C284" s="40" t="s">
        <v>530</v>
      </c>
      <c r="D284" s="40">
        <v>2021</v>
      </c>
      <c r="F284" s="40" t="s">
        <v>1339</v>
      </c>
      <c r="G284" s="40" t="s">
        <v>457</v>
      </c>
      <c r="I284" s="40" t="s">
        <v>1269</v>
      </c>
      <c r="J284" s="40" t="s">
        <v>581</v>
      </c>
      <c r="K284" s="40" t="s">
        <v>578</v>
      </c>
      <c r="Q284" s="40">
        <v>1</v>
      </c>
      <c r="Z284" s="40" t="s">
        <v>5989</v>
      </c>
      <c r="AA284" s="45">
        <v>0.75</v>
      </c>
      <c r="AB284" s="46">
        <f>IF(H2ProjectDB689571011[[#This Row],[Dummy_1]]="Electrolysis",
AA284/VLOOKUP(G284,ElectrolysisConvF,3,FALSE),
AC284*10^6/(H2dens*HoursInYear))</f>
        <v>163.04347826086956</v>
      </c>
      <c r="AC284" s="47">
        <f t="shared" si="23"/>
        <v>0.12711521739130432</v>
      </c>
      <c r="AE284" s="46">
        <f t="shared" si="20"/>
        <v>163.04347826086956</v>
      </c>
      <c r="AF284" s="43" t="s">
        <v>3085</v>
      </c>
      <c r="AG284" s="43">
        <v>46.936315922942804</v>
      </c>
      <c r="AH284" s="43">
        <v>-2.0699270767275899</v>
      </c>
      <c r="AI284" s="122" t="s">
        <v>7286</v>
      </c>
      <c r="AJ284" s="41">
        <v>0.5</v>
      </c>
    </row>
    <row r="285" spans="1:36" ht="34.5" hidden="1" customHeight="1" x14ac:dyDescent="0.25">
      <c r="A285" s="40">
        <v>616</v>
      </c>
      <c r="B285" s="40" t="s">
        <v>5985</v>
      </c>
      <c r="C285" s="40" t="s">
        <v>530</v>
      </c>
      <c r="D285" s="44">
        <v>2022</v>
      </c>
      <c r="F285" s="40" t="s">
        <v>1339</v>
      </c>
      <c r="G285" s="40" t="s">
        <v>1259</v>
      </c>
      <c r="H285" s="40" t="s">
        <v>467</v>
      </c>
      <c r="I285" s="40" t="s">
        <v>1269</v>
      </c>
      <c r="J285" s="40" t="s">
        <v>581</v>
      </c>
      <c r="K285" s="40" t="s">
        <v>578</v>
      </c>
      <c r="Q285" s="40">
        <v>1</v>
      </c>
      <c r="Z285" s="40" t="s">
        <v>5904</v>
      </c>
      <c r="AA285" s="45">
        <v>1</v>
      </c>
      <c r="AB285" s="46">
        <f>IF(H2ProjectDB689571011[[#This Row],[Dummy_1]]="Electrolysis",
AA285/VLOOKUP(G285,ElectrolysisConvF,3,FALSE),
AC285*10^6/(H2dens*HoursInYear))</f>
        <v>222.22222222222223</v>
      </c>
      <c r="AC285" s="47">
        <f t="shared" si="23"/>
        <v>0.17325333333333334</v>
      </c>
      <c r="AE285" s="46">
        <f t="shared" si="20"/>
        <v>222.22222222222223</v>
      </c>
      <c r="AF285" s="43" t="s">
        <v>4469</v>
      </c>
      <c r="AG285" s="43">
        <v>47.658509987111202</v>
      </c>
      <c r="AH285" s="43">
        <v>-2.76374994701691</v>
      </c>
      <c r="AI285" s="122" t="s">
        <v>7286</v>
      </c>
      <c r="AJ285" s="41">
        <v>0.5</v>
      </c>
    </row>
    <row r="286" spans="1:36" ht="34.5" hidden="1" customHeight="1" x14ac:dyDescent="0.25">
      <c r="A286" s="40">
        <v>617</v>
      </c>
      <c r="B286" s="40" t="s">
        <v>40</v>
      </c>
      <c r="C286" s="40" t="s">
        <v>554</v>
      </c>
      <c r="D286" s="40">
        <v>2010</v>
      </c>
      <c r="E286" s="40">
        <v>2012</v>
      </c>
      <c r="F286" s="40" t="s">
        <v>1540</v>
      </c>
      <c r="G286" s="40" t="s">
        <v>457</v>
      </c>
      <c r="I286" s="40" t="s">
        <v>1257</v>
      </c>
      <c r="K286" s="40" t="s">
        <v>578</v>
      </c>
      <c r="R286" s="40">
        <v>1</v>
      </c>
      <c r="T286" s="40">
        <v>1</v>
      </c>
      <c r="Z286" s="40" t="s">
        <v>6877</v>
      </c>
      <c r="AA286" s="78">
        <f>IF(H2ProjectDB689571011[[#This Row],[Dummy_1]]="Electrolysis",
AB286*VLOOKUP(G286,ElectrolysisConvF,3,FALSE),
"")</f>
        <v>1.84E-2</v>
      </c>
      <c r="AB286" s="46">
        <v>4</v>
      </c>
      <c r="AC286" s="47">
        <f t="shared" si="23"/>
        <v>3.1185599999999998E-3</v>
      </c>
      <c r="AE286" s="46">
        <f t="shared" si="20"/>
        <v>4</v>
      </c>
      <c r="AF286" s="43" t="s">
        <v>1578</v>
      </c>
      <c r="AG286" s="43">
        <v>0</v>
      </c>
      <c r="AH286" s="43">
        <v>0</v>
      </c>
      <c r="AI286" s="122" t="s">
        <v>7286</v>
      </c>
      <c r="AJ286" s="41">
        <v>0.56999999999999995</v>
      </c>
    </row>
    <row r="287" spans="1:36" ht="34.5" hidden="1" customHeight="1" x14ac:dyDescent="0.25">
      <c r="A287" s="40">
        <v>618</v>
      </c>
      <c r="B287" s="40" t="s">
        <v>3956</v>
      </c>
      <c r="C287" s="40" t="s">
        <v>1764</v>
      </c>
      <c r="D287" s="44">
        <v>2026</v>
      </c>
      <c r="E287" s="44"/>
      <c r="F287" s="40" t="s">
        <v>1331</v>
      </c>
      <c r="G287" s="40" t="s">
        <v>455</v>
      </c>
      <c r="I287" s="40" t="s">
        <v>1269</v>
      </c>
      <c r="J287" s="40" t="s">
        <v>1393</v>
      </c>
      <c r="K287" s="40" t="s">
        <v>578</v>
      </c>
      <c r="Q287" s="40">
        <v>1</v>
      </c>
      <c r="Z287" s="40" t="s">
        <v>1495</v>
      </c>
      <c r="AA287" s="45">
        <v>20</v>
      </c>
      <c r="AB287" s="46">
        <f>IF(H2ProjectDB689571011[[#This Row],[Dummy_1]]="Electrolysis",
AA287/VLOOKUP(G287,ElectrolysisConvF,3,FALSE),
AC287*10^6/(H2dens*HoursInYear))</f>
        <v>3846.1538461538462</v>
      </c>
      <c r="AC287" s="47">
        <f t="shared" si="23"/>
        <v>2.9986153846153845</v>
      </c>
      <c r="AE287" s="46">
        <f t="shared" si="20"/>
        <v>3846.1538461538462</v>
      </c>
      <c r="AF287" s="43" t="s">
        <v>7349</v>
      </c>
      <c r="AG287" s="43">
        <v>43.457355</v>
      </c>
      <c r="AH287" s="43">
        <v>-7.9479040000000003</v>
      </c>
      <c r="AI287" s="122" t="s">
        <v>7286</v>
      </c>
      <c r="AJ287" s="41">
        <v>0.55000000000000004</v>
      </c>
    </row>
    <row r="288" spans="1:36" ht="34.5" hidden="1" customHeight="1" x14ac:dyDescent="0.25">
      <c r="A288" s="40">
        <v>619</v>
      </c>
      <c r="B288" s="40" t="s">
        <v>27</v>
      </c>
      <c r="C288" s="40" t="s">
        <v>1764</v>
      </c>
      <c r="D288" s="40">
        <v>2011</v>
      </c>
      <c r="E288" s="40">
        <v>2014</v>
      </c>
      <c r="F288" s="40" t="s">
        <v>1540</v>
      </c>
      <c r="G288" s="40" t="s">
        <v>457</v>
      </c>
      <c r="I288" s="40" t="s">
        <v>1528</v>
      </c>
      <c r="K288" s="40" t="s">
        <v>578</v>
      </c>
      <c r="R288" s="40">
        <v>1</v>
      </c>
      <c r="Z288" s="40" t="s">
        <v>1579</v>
      </c>
      <c r="AA288" s="45">
        <v>2.6</v>
      </c>
      <c r="AB288" s="46">
        <f>IF(H2ProjectDB689571011[[#This Row],[Dummy_1]]="Electrolysis",
AA288/VLOOKUP(G288,ElectrolysisConvF,3,FALSE),
AC288*10^6/(H2dens*HoursInYear))</f>
        <v>565.21739130434787</v>
      </c>
      <c r="AC288" s="47">
        <f t="shared" si="23"/>
        <v>0.44066608695652176</v>
      </c>
      <c r="AE288" s="46">
        <f t="shared" si="20"/>
        <v>565.21739130434787</v>
      </c>
      <c r="AF288" s="43" t="s">
        <v>789</v>
      </c>
      <c r="AG288" s="43">
        <v>0</v>
      </c>
      <c r="AH288" s="43">
        <v>0</v>
      </c>
      <c r="AI288" s="122" t="s">
        <v>7286</v>
      </c>
      <c r="AJ288" s="41">
        <v>0.56999999999999995</v>
      </c>
    </row>
    <row r="289" spans="1:36" ht="34.5" hidden="1" customHeight="1" x14ac:dyDescent="0.25">
      <c r="A289" s="40">
        <v>620</v>
      </c>
      <c r="B289" s="40" t="s">
        <v>1111</v>
      </c>
      <c r="C289" s="40" t="s">
        <v>1761</v>
      </c>
      <c r="F289" s="40" t="s">
        <v>1331</v>
      </c>
      <c r="G289" s="40" t="s">
        <v>455</v>
      </c>
      <c r="I289" s="40" t="s">
        <v>1269</v>
      </c>
      <c r="J289" s="40" t="s">
        <v>1395</v>
      </c>
      <c r="K289" s="40" t="s">
        <v>1267</v>
      </c>
      <c r="W289" s="40">
        <v>1</v>
      </c>
      <c r="Z289" s="40" t="s">
        <v>4973</v>
      </c>
      <c r="AA289" s="78">
        <f>IF(H2ProjectDB689571011[[#This Row],[Dummy_1]]="Electrolysis",
AB289*VLOOKUP(G289,ElectrolysisConvF,3,FALSE),
"")</f>
        <v>68.524777505318568</v>
      </c>
      <c r="AB289" s="46">
        <f>AC289/(H2dens*HoursInYear/10^6)</f>
        <v>13177.84182794588</v>
      </c>
      <c r="AC289" s="47">
        <f>10*0.045/0.73/0.12/H2ProjectDB689571011[[#This Row],[LOWE_CF]]</f>
        <v>10.273972602739725</v>
      </c>
      <c r="AE289" s="46">
        <f t="shared" si="20"/>
        <v>13177.84182794588</v>
      </c>
      <c r="AF289" s="43" t="s">
        <v>1109</v>
      </c>
      <c r="AG289" s="43">
        <v>0</v>
      </c>
      <c r="AH289" s="43">
        <v>0</v>
      </c>
      <c r="AI289" s="122" t="s">
        <v>7286</v>
      </c>
      <c r="AJ289" s="41">
        <v>0.5</v>
      </c>
    </row>
    <row r="290" spans="1:36" ht="34.5" hidden="1" customHeight="1" x14ac:dyDescent="0.25">
      <c r="A290" s="40">
        <v>621</v>
      </c>
      <c r="B290" s="40" t="s">
        <v>1108</v>
      </c>
      <c r="C290" s="40" t="s">
        <v>1761</v>
      </c>
      <c r="D290" s="44">
        <v>2025</v>
      </c>
      <c r="E290" s="44"/>
      <c r="F290" s="40" t="s">
        <v>1331</v>
      </c>
      <c r="G290" s="40" t="s">
        <v>1259</v>
      </c>
      <c r="H290" s="40" t="s">
        <v>467</v>
      </c>
      <c r="I290" s="40" t="s">
        <v>1269</v>
      </c>
      <c r="J290" s="40" t="s">
        <v>1393</v>
      </c>
      <c r="K290" s="40" t="s">
        <v>578</v>
      </c>
      <c r="R290" s="40">
        <v>1</v>
      </c>
      <c r="Z290" s="40" t="s">
        <v>1582</v>
      </c>
      <c r="AA290" s="45">
        <v>15</v>
      </c>
      <c r="AB290" s="46">
        <f>IF(H2ProjectDB689571011[[#This Row],[Dummy_1]]="Electrolysis",
AA290/VLOOKUP(G290,ElectrolysisConvF,3,FALSE),
AC290*10^6/(H2dens*HoursInYear))</f>
        <v>3333.3333333333335</v>
      </c>
      <c r="AC290" s="47">
        <f>AB290*H2dens*HoursInYear/10^6</f>
        <v>2.5988000000000002</v>
      </c>
      <c r="AE290" s="46">
        <f t="shared" si="20"/>
        <v>3333.3333333333335</v>
      </c>
      <c r="AF290" s="43" t="s">
        <v>7347</v>
      </c>
      <c r="AG290" s="43">
        <v>41.067711132388098</v>
      </c>
      <c r="AH290" s="43">
        <v>-8.4597003460306404</v>
      </c>
      <c r="AI290" s="122" t="s">
        <v>7286</v>
      </c>
      <c r="AJ290" s="41">
        <v>0.55000000000000004</v>
      </c>
    </row>
    <row r="291" spans="1:36" ht="34.5" hidden="1" customHeight="1" x14ac:dyDescent="0.25">
      <c r="A291" s="40">
        <v>622</v>
      </c>
      <c r="B291" s="40" t="s">
        <v>5729</v>
      </c>
      <c r="C291" s="40" t="s">
        <v>1305</v>
      </c>
      <c r="D291" s="44"/>
      <c r="E291" s="44"/>
      <c r="F291" s="40" t="s">
        <v>1331</v>
      </c>
      <c r="G291" s="40" t="s">
        <v>1259</v>
      </c>
      <c r="H291" s="40" t="s">
        <v>467</v>
      </c>
      <c r="I291" s="40" t="s">
        <v>1266</v>
      </c>
      <c r="K291" s="40" t="s">
        <v>578</v>
      </c>
      <c r="L291" s="40">
        <v>1</v>
      </c>
      <c r="Z291" s="40" t="s">
        <v>1485</v>
      </c>
      <c r="AA291" s="45">
        <v>100</v>
      </c>
      <c r="AB291" s="46">
        <f>IF(H2ProjectDB689571011[[#This Row],[Dummy_1]]="Electrolysis",
AA291/VLOOKUP(G291,ElectrolysisConvF,3,FALSE),
AC291*10^6/(H2dens*HoursInYear))</f>
        <v>22222.222222222223</v>
      </c>
      <c r="AC291" s="47">
        <f>AB291*H2dens*HoursInYear/10^6</f>
        <v>17.325333333333333</v>
      </c>
      <c r="AE291" s="46">
        <f t="shared" si="20"/>
        <v>22222.222222222223</v>
      </c>
      <c r="AF291" s="43" t="s">
        <v>5725</v>
      </c>
      <c r="AG291" s="43">
        <v>52.558604773596898</v>
      </c>
      <c r="AH291" s="43">
        <v>7.3101933208382404</v>
      </c>
      <c r="AI291" s="122" t="s">
        <v>7286</v>
      </c>
      <c r="AJ291" s="41">
        <v>0.56999999999999995</v>
      </c>
    </row>
    <row r="292" spans="1:36" ht="34.5" hidden="1" customHeight="1" x14ac:dyDescent="0.25">
      <c r="A292" s="40">
        <v>623</v>
      </c>
      <c r="B292" s="40" t="s">
        <v>1580</v>
      </c>
      <c r="C292" s="40" t="s">
        <v>1305</v>
      </c>
      <c r="D292" s="44">
        <v>2022</v>
      </c>
      <c r="F292" s="40" t="s">
        <v>1339</v>
      </c>
      <c r="G292" s="40" t="s">
        <v>455</v>
      </c>
      <c r="I292" s="40" t="s">
        <v>1269</v>
      </c>
      <c r="J292" s="40" t="s">
        <v>1395</v>
      </c>
      <c r="K292" s="40" t="s">
        <v>578</v>
      </c>
      <c r="P292" s="40">
        <v>1</v>
      </c>
      <c r="Q292" s="40">
        <v>1</v>
      </c>
      <c r="Z292" s="40" t="s">
        <v>5907</v>
      </c>
      <c r="AA292" s="45">
        <v>8.8000000000000007</v>
      </c>
      <c r="AB292" s="46">
        <f>IF(H2ProjectDB689571011[[#This Row],[Dummy_1]]="Electrolysis",
AA292/VLOOKUP(G292,ElectrolysisConvF,3,FALSE),
AC292*10^6/(H2dens*HoursInYear))</f>
        <v>1692.3076923076926</v>
      </c>
      <c r="AC292" s="47">
        <f>AB292*H2dens*HoursInYear/10^6</f>
        <v>1.3193907692307696</v>
      </c>
      <c r="AE292" s="46">
        <f t="shared" si="20"/>
        <v>1692.3076923076926</v>
      </c>
      <c r="AF292" s="43" t="s">
        <v>4441</v>
      </c>
      <c r="AG292" s="43">
        <v>50.042258726348699</v>
      </c>
      <c r="AH292" s="43">
        <v>12.0304269338039</v>
      </c>
      <c r="AI292" s="122" t="s">
        <v>7286</v>
      </c>
      <c r="AJ292" s="41">
        <v>0.5</v>
      </c>
    </row>
    <row r="293" spans="1:36" ht="34.5" hidden="1" customHeight="1" x14ac:dyDescent="0.25">
      <c r="A293" s="40">
        <v>624</v>
      </c>
      <c r="B293" s="40" t="s">
        <v>1216</v>
      </c>
      <c r="C293" s="40" t="s">
        <v>1305</v>
      </c>
      <c r="F293" s="40" t="s">
        <v>2222</v>
      </c>
      <c r="G293" s="40" t="s">
        <v>455</v>
      </c>
      <c r="I293" s="40" t="s">
        <v>1269</v>
      </c>
      <c r="J293" s="40" t="s">
        <v>1395</v>
      </c>
      <c r="K293" s="40" t="s">
        <v>578</v>
      </c>
      <c r="P293" s="40">
        <v>1</v>
      </c>
      <c r="Q293" s="40">
        <v>1</v>
      </c>
      <c r="Z293" s="40" t="s">
        <v>4974</v>
      </c>
      <c r="AA293" s="78">
        <f>IF(H2ProjectDB689571011[[#This Row],[Dummy_1]]="Electrolysis",
AB293*VLOOKUP(G293,ElectrolysisConvF,3,FALSE),
"")</f>
        <v>26.678980042070698</v>
      </c>
      <c r="AB293" s="46">
        <f>AC293/(H2dens*HoursInYear/10^6)</f>
        <v>5130.573085013596</v>
      </c>
      <c r="AC293" s="47">
        <f>2/H2ProjectDB689571011[[#This Row],[LOWE_CF]]</f>
        <v>4</v>
      </c>
      <c r="AE293" s="46">
        <f t="shared" si="20"/>
        <v>5130.573085013596</v>
      </c>
      <c r="AF293" s="43" t="s">
        <v>1198</v>
      </c>
      <c r="AG293" s="43">
        <v>50.042258726348699</v>
      </c>
      <c r="AH293" s="43">
        <v>12.0304269338039</v>
      </c>
      <c r="AI293" s="122" t="s">
        <v>7286</v>
      </c>
      <c r="AJ293" s="41">
        <v>0.5</v>
      </c>
    </row>
    <row r="294" spans="1:36" ht="34.5" hidden="1" customHeight="1" x14ac:dyDescent="0.25">
      <c r="A294" s="40">
        <v>626</v>
      </c>
      <c r="B294" s="40" t="s">
        <v>963</v>
      </c>
      <c r="C294" s="40" t="s">
        <v>538</v>
      </c>
      <c r="D294" s="40">
        <v>2019</v>
      </c>
      <c r="F294" s="40" t="s">
        <v>1339</v>
      </c>
      <c r="G294" s="40" t="s">
        <v>1259</v>
      </c>
      <c r="H294" s="40" t="s">
        <v>467</v>
      </c>
      <c r="I294" s="40" t="s">
        <v>1528</v>
      </c>
      <c r="K294" s="40" t="s">
        <v>612</v>
      </c>
      <c r="Z294" s="40" t="s">
        <v>1583</v>
      </c>
      <c r="AA294" s="78">
        <f>IF(H2ProjectDB689571011[[#This Row],[Dummy_1]]="Electrolysis",
AB294*VLOOKUP(G294,ElectrolysisConvF,3,FALSE),
"")</f>
        <v>7.1999999999999995E-2</v>
      </c>
      <c r="AB294" s="46">
        <v>16</v>
      </c>
      <c r="AC294" s="47">
        <f t="shared" ref="AC294:AC303" si="24">AB294*H2dens*HoursInYear/10^6</f>
        <v>1.2474239999999999E-2</v>
      </c>
      <c r="AE294" s="46">
        <f t="shared" si="20"/>
        <v>16</v>
      </c>
      <c r="AF294" s="43" t="s">
        <v>965</v>
      </c>
      <c r="AG294" s="43">
        <v>0</v>
      </c>
      <c r="AH294" s="43">
        <v>0</v>
      </c>
      <c r="AI294" s="122" t="s">
        <v>7286</v>
      </c>
      <c r="AJ294" s="41">
        <v>0.56999999999999995</v>
      </c>
    </row>
    <row r="295" spans="1:36" ht="34.5" hidden="1" customHeight="1" x14ac:dyDescent="0.25">
      <c r="A295" s="40">
        <v>627</v>
      </c>
      <c r="B295" s="40" t="s">
        <v>52</v>
      </c>
      <c r="C295" s="40" t="s">
        <v>551</v>
      </c>
      <c r="D295" s="40">
        <v>2011</v>
      </c>
      <c r="E295" s="40">
        <v>2013</v>
      </c>
      <c r="F295" s="40" t="s">
        <v>1540</v>
      </c>
      <c r="G295" s="40" t="s">
        <v>457</v>
      </c>
      <c r="I295" s="40" t="s">
        <v>1528</v>
      </c>
      <c r="K295" s="40" t="s">
        <v>578</v>
      </c>
      <c r="Q295" s="40">
        <v>1</v>
      </c>
      <c r="R295" s="40">
        <v>1</v>
      </c>
      <c r="Z295" s="40" t="s">
        <v>1561</v>
      </c>
      <c r="AA295" s="45">
        <v>5.5E-2</v>
      </c>
      <c r="AB295" s="46">
        <f>IF(H2ProjectDB689571011[[#This Row],[Dummy_1]]="Electrolysis",
AA295/VLOOKUP(G295,ElectrolysisConvF,3,FALSE),
AC295*10^6/(H2dens*HoursInYear))</f>
        <v>11.956521739130435</v>
      </c>
      <c r="AC295" s="47">
        <f t="shared" si="24"/>
        <v>9.3217826086956519E-3</v>
      </c>
      <c r="AE295" s="46">
        <f t="shared" si="20"/>
        <v>11.956521739130435</v>
      </c>
      <c r="AF295" s="43" t="s">
        <v>782</v>
      </c>
      <c r="AG295" s="43">
        <v>0</v>
      </c>
      <c r="AH295" s="43">
        <v>0</v>
      </c>
      <c r="AI295" s="122" t="s">
        <v>7286</v>
      </c>
      <c r="AJ295" s="41">
        <v>0.56999999999999995</v>
      </c>
    </row>
    <row r="296" spans="1:36" ht="34.5" hidden="1" customHeight="1" x14ac:dyDescent="0.25">
      <c r="A296" s="40">
        <v>628</v>
      </c>
      <c r="B296" s="40" t="s">
        <v>53</v>
      </c>
      <c r="C296" s="40" t="s">
        <v>553</v>
      </c>
      <c r="D296" s="40">
        <v>2011</v>
      </c>
      <c r="E296" s="40">
        <v>2014</v>
      </c>
      <c r="F296" s="40" t="s">
        <v>1540</v>
      </c>
      <c r="G296" s="40" t="s">
        <v>457</v>
      </c>
      <c r="I296" s="40" t="s">
        <v>1528</v>
      </c>
      <c r="K296" s="40" t="s">
        <v>578</v>
      </c>
      <c r="Q296" s="40">
        <v>1</v>
      </c>
      <c r="R296" s="40">
        <v>1</v>
      </c>
      <c r="Z296" s="40" t="s">
        <v>1561</v>
      </c>
      <c r="AA296" s="45">
        <v>5.5E-2</v>
      </c>
      <c r="AB296" s="46">
        <f>IF(H2ProjectDB689571011[[#This Row],[Dummy_1]]="Electrolysis",
AA296/VLOOKUP(G296,ElectrolysisConvF,3,FALSE),
AC296*10^6/(H2dens*HoursInYear))</f>
        <v>11.956521739130435</v>
      </c>
      <c r="AC296" s="47">
        <f t="shared" si="24"/>
        <v>9.3217826086956519E-3</v>
      </c>
      <c r="AE296" s="46">
        <f t="shared" si="20"/>
        <v>11.956521739130435</v>
      </c>
      <c r="AF296" s="43" t="s">
        <v>1584</v>
      </c>
      <c r="AG296" s="43">
        <v>0</v>
      </c>
      <c r="AH296" s="43">
        <v>0</v>
      </c>
      <c r="AI296" s="122" t="s">
        <v>7286</v>
      </c>
      <c r="AJ296" s="41">
        <v>0.56999999999999995</v>
      </c>
    </row>
    <row r="297" spans="1:36" ht="34.5" hidden="1" customHeight="1" x14ac:dyDescent="0.25">
      <c r="A297" s="40">
        <v>629</v>
      </c>
      <c r="B297" s="40" t="s">
        <v>999</v>
      </c>
      <c r="C297" s="40" t="s">
        <v>546</v>
      </c>
      <c r="D297" s="44"/>
      <c r="E297" s="44"/>
      <c r="F297" s="40" t="s">
        <v>1331</v>
      </c>
      <c r="G297" s="40" t="s">
        <v>1259</v>
      </c>
      <c r="H297" s="40" t="s">
        <v>467</v>
      </c>
      <c r="I297" s="40" t="s">
        <v>1528</v>
      </c>
      <c r="K297" s="40" t="s">
        <v>1242</v>
      </c>
      <c r="N297" s="40">
        <v>1</v>
      </c>
      <c r="Z297" s="40" t="s">
        <v>1484</v>
      </c>
      <c r="AA297" s="45">
        <v>5</v>
      </c>
      <c r="AB297" s="46">
        <f>IF(H2ProjectDB689571011[[#This Row],[Dummy_1]]="Electrolysis",
AA297/VLOOKUP(G297,ElectrolysisConvF,3,FALSE),
AC297*10^6/(H2dens*HoursInYear))</f>
        <v>1111.1111111111111</v>
      </c>
      <c r="AC297" s="47">
        <f t="shared" si="24"/>
        <v>0.86626666666666663</v>
      </c>
      <c r="AE297" s="46">
        <f t="shared" si="20"/>
        <v>1111.1111111111111</v>
      </c>
      <c r="AF297" s="43" t="s">
        <v>1687</v>
      </c>
      <c r="AG297" s="43">
        <v>0</v>
      </c>
      <c r="AH297" s="43">
        <v>0</v>
      </c>
      <c r="AI297" s="122" t="s">
        <v>7286</v>
      </c>
      <c r="AJ297" s="41">
        <v>0.56999999999999995</v>
      </c>
    </row>
    <row r="298" spans="1:36" ht="34.5" hidden="1" customHeight="1" x14ac:dyDescent="0.25">
      <c r="A298" s="40">
        <v>630</v>
      </c>
      <c r="B298" s="40" t="s">
        <v>997</v>
      </c>
      <c r="C298" s="40" t="s">
        <v>546</v>
      </c>
      <c r="D298" s="44">
        <v>2030</v>
      </c>
      <c r="E298" s="44"/>
      <c r="F298" s="40" t="s">
        <v>1331</v>
      </c>
      <c r="G298" s="40" t="s">
        <v>1259</v>
      </c>
      <c r="H298" s="40" t="s">
        <v>467</v>
      </c>
      <c r="I298" s="40" t="s">
        <v>1269</v>
      </c>
      <c r="J298" s="40" t="s">
        <v>1391</v>
      </c>
      <c r="K298" s="40" t="s">
        <v>578</v>
      </c>
      <c r="Q298" s="40">
        <v>1</v>
      </c>
      <c r="S298" s="40">
        <v>1</v>
      </c>
      <c r="Z298" s="40" t="s">
        <v>1484</v>
      </c>
      <c r="AA298" s="45">
        <v>5</v>
      </c>
      <c r="AB298" s="46">
        <f>IF(H2ProjectDB689571011[[#This Row],[Dummy_1]]="Electrolysis",
AA298/VLOOKUP(G298,ElectrolysisConvF,3,FALSE),
AC298*10^6/(H2dens*HoursInYear))</f>
        <v>1111.1111111111111</v>
      </c>
      <c r="AC298" s="47">
        <f t="shared" si="24"/>
        <v>0.86626666666666663</v>
      </c>
      <c r="AE298" s="46">
        <f t="shared" si="20"/>
        <v>1111.1111111111111</v>
      </c>
      <c r="AF298" s="43" t="s">
        <v>4590</v>
      </c>
      <c r="AG298" s="43">
        <v>53.201033543183399</v>
      </c>
      <c r="AH298" s="43">
        <v>5.8030545773290303</v>
      </c>
      <c r="AI298" s="122" t="s">
        <v>7286</v>
      </c>
      <c r="AJ298" s="41">
        <v>0.3</v>
      </c>
    </row>
    <row r="299" spans="1:36" ht="34.5" hidden="1" customHeight="1" x14ac:dyDescent="0.25">
      <c r="A299" s="40">
        <v>631</v>
      </c>
      <c r="B299" s="40" t="s">
        <v>81</v>
      </c>
      <c r="C299" s="40" t="s">
        <v>1305</v>
      </c>
      <c r="D299" s="40">
        <v>2011</v>
      </c>
      <c r="E299" s="40">
        <v>2014</v>
      </c>
      <c r="F299" s="40" t="s">
        <v>1540</v>
      </c>
      <c r="G299" s="40" t="s">
        <v>457</v>
      </c>
      <c r="I299" s="40" t="s">
        <v>1528</v>
      </c>
      <c r="K299" s="40" t="s">
        <v>612</v>
      </c>
      <c r="X299" s="40">
        <v>1</v>
      </c>
      <c r="Z299" s="40" t="s">
        <v>1472</v>
      </c>
      <c r="AA299" s="45">
        <v>6.0000000000000001E-3</v>
      </c>
      <c r="AB299" s="46">
        <f>IF(H2ProjectDB689571011[[#This Row],[Dummy_1]]="Electrolysis",
AA299/VLOOKUP(G299,ElectrolysisConvF,3,FALSE),
AC299*10^6/(H2dens*HoursInYear))</f>
        <v>1.3043478260869565</v>
      </c>
      <c r="AC299" s="47">
        <f t="shared" si="24"/>
        <v>1.0169217391304346E-3</v>
      </c>
      <c r="AE299" s="46">
        <f t="shared" si="20"/>
        <v>1.3043478260869565</v>
      </c>
      <c r="AF299" s="43" t="s">
        <v>1587</v>
      </c>
      <c r="AG299" s="43">
        <v>0</v>
      </c>
      <c r="AH299" s="43">
        <v>0</v>
      </c>
      <c r="AI299" s="122" t="s">
        <v>7286</v>
      </c>
      <c r="AJ299" s="41">
        <v>0.56999999999999995</v>
      </c>
    </row>
    <row r="300" spans="1:36" ht="34.5" hidden="1" customHeight="1" x14ac:dyDescent="0.25">
      <c r="A300" s="40">
        <v>632</v>
      </c>
      <c r="B300" s="40" t="s">
        <v>124</v>
      </c>
      <c r="C300" s="40" t="s">
        <v>549</v>
      </c>
      <c r="D300" s="40">
        <v>2011</v>
      </c>
      <c r="E300" s="40">
        <v>2012</v>
      </c>
      <c r="F300" s="40" t="s">
        <v>1540</v>
      </c>
      <c r="G300" s="40" t="s">
        <v>457</v>
      </c>
      <c r="I300" s="40" t="s">
        <v>1528</v>
      </c>
      <c r="K300" s="40" t="s">
        <v>578</v>
      </c>
      <c r="T300" s="40">
        <v>1</v>
      </c>
      <c r="Z300" s="40" t="s">
        <v>1585</v>
      </c>
      <c r="AA300" s="45">
        <v>1.1999999999999999E-3</v>
      </c>
      <c r="AB300" s="46">
        <f>IF(H2ProjectDB689571011[[#This Row],[Dummy_1]]="Electrolysis",
AA300/VLOOKUP(G300,ElectrolysisConvF,3,FALSE),
AC300*10^6/(H2dens*HoursInYear))</f>
        <v>0.2608695652173913</v>
      </c>
      <c r="AC300" s="47">
        <f t="shared" si="24"/>
        <v>2.0338434782608695E-4</v>
      </c>
      <c r="AE300" s="46">
        <f t="shared" si="20"/>
        <v>0.2608695652173913</v>
      </c>
      <c r="AF300" s="43" t="s">
        <v>1588</v>
      </c>
      <c r="AG300" s="43">
        <v>0</v>
      </c>
      <c r="AH300" s="43">
        <v>0</v>
      </c>
      <c r="AI300" s="122" t="s">
        <v>7286</v>
      </c>
      <c r="AJ300" s="41">
        <v>0.56999999999999995</v>
      </c>
    </row>
    <row r="301" spans="1:36" ht="34.5" hidden="1" customHeight="1" x14ac:dyDescent="0.25">
      <c r="A301" s="40">
        <v>633</v>
      </c>
      <c r="B301" s="40" t="s">
        <v>193</v>
      </c>
      <c r="C301" s="40" t="s">
        <v>530</v>
      </c>
      <c r="F301" s="40" t="s">
        <v>1540</v>
      </c>
      <c r="G301" s="40" t="s">
        <v>1259</v>
      </c>
      <c r="H301" s="40" t="s">
        <v>467</v>
      </c>
      <c r="I301" s="40" t="s">
        <v>1528</v>
      </c>
      <c r="K301" s="40" t="s">
        <v>578</v>
      </c>
      <c r="Q301" s="40">
        <v>1</v>
      </c>
      <c r="Z301" s="40" t="s">
        <v>1586</v>
      </c>
      <c r="AA301" s="45">
        <v>3.4</v>
      </c>
      <c r="AB301" s="46">
        <f>IF(H2ProjectDB689571011[[#This Row],[Dummy_1]]="Electrolysis",
AA301/VLOOKUP(G301,ElectrolysisConvF,3,FALSE),
AC301*10^6/(H2dens*HoursInYear))</f>
        <v>755.55555555555554</v>
      </c>
      <c r="AC301" s="47">
        <f t="shared" si="24"/>
        <v>0.58906133333333321</v>
      </c>
      <c r="AE301" s="46">
        <f t="shared" si="20"/>
        <v>755.55555555555554</v>
      </c>
      <c r="AG301" s="43">
        <v>0</v>
      </c>
      <c r="AH301" s="43">
        <v>0</v>
      </c>
      <c r="AI301" s="122" t="s">
        <v>7286</v>
      </c>
      <c r="AJ301" s="41">
        <v>0.56999999999999995</v>
      </c>
    </row>
    <row r="302" spans="1:36" ht="34.5" hidden="1" customHeight="1" x14ac:dyDescent="0.25">
      <c r="A302" s="40">
        <v>634</v>
      </c>
      <c r="B302" s="40" t="s">
        <v>1156</v>
      </c>
      <c r="C302" s="40" t="s">
        <v>558</v>
      </c>
      <c r="D302" s="40">
        <v>2019</v>
      </c>
      <c r="F302" s="40" t="s">
        <v>1339</v>
      </c>
      <c r="G302" s="40" t="s">
        <v>455</v>
      </c>
      <c r="I302" s="40" t="s">
        <v>1266</v>
      </c>
      <c r="K302" s="40" t="s">
        <v>578</v>
      </c>
      <c r="Q302" s="40">
        <v>1</v>
      </c>
      <c r="Z302" s="40" t="s">
        <v>6530</v>
      </c>
      <c r="AA302" s="78">
        <f>IF(H2ProjectDB689571011[[#This Row],[Dummy_1]]="Electrolysis",
AB302*VLOOKUP(G302,ElectrolysisConvF,3,FALSE),
"")</f>
        <v>5.1999999999999998E-3</v>
      </c>
      <c r="AB302" s="46">
        <v>1</v>
      </c>
      <c r="AC302" s="47">
        <f t="shared" si="24"/>
        <v>7.7963999999999996E-4</v>
      </c>
      <c r="AE302" s="46">
        <f t="shared" si="20"/>
        <v>1</v>
      </c>
      <c r="AF302" s="43" t="s">
        <v>1157</v>
      </c>
      <c r="AG302" s="43">
        <v>0</v>
      </c>
      <c r="AH302" s="43">
        <v>0</v>
      </c>
      <c r="AI302" s="122" t="s">
        <v>7286</v>
      </c>
      <c r="AJ302" s="41">
        <v>0.56999999999999995</v>
      </c>
    </row>
    <row r="303" spans="1:36" ht="34.5" hidden="1" customHeight="1" x14ac:dyDescent="0.25">
      <c r="A303" s="40">
        <v>635</v>
      </c>
      <c r="B303" s="40" t="s">
        <v>79</v>
      </c>
      <c r="C303" s="40" t="s">
        <v>1305</v>
      </c>
      <c r="D303" s="40">
        <v>2011</v>
      </c>
      <c r="E303" s="40">
        <v>2014</v>
      </c>
      <c r="F303" s="40" t="s">
        <v>1540</v>
      </c>
      <c r="G303" s="40" t="s">
        <v>457</v>
      </c>
      <c r="I303" s="40" t="s">
        <v>1528</v>
      </c>
      <c r="K303" s="40" t="s">
        <v>578</v>
      </c>
      <c r="R303" s="40">
        <v>1</v>
      </c>
      <c r="Z303" s="40" t="s">
        <v>1589</v>
      </c>
      <c r="AA303" s="45">
        <v>1E-3</v>
      </c>
      <c r="AB303" s="46">
        <f>IF(H2ProjectDB689571011[[#This Row],[Dummy_1]]="Electrolysis",
AA303/VLOOKUP(G303,ElectrolysisConvF,3,FALSE),
AC303*10^6/(H2dens*HoursInYear))</f>
        <v>0.21739130434782611</v>
      </c>
      <c r="AC303" s="47">
        <f t="shared" si="24"/>
        <v>1.6948695652173917E-4</v>
      </c>
      <c r="AE303" s="46">
        <f t="shared" si="20"/>
        <v>0.21739130434782611</v>
      </c>
      <c r="AF303" s="43" t="s">
        <v>888</v>
      </c>
      <c r="AG303" s="43">
        <v>0</v>
      </c>
      <c r="AH303" s="43">
        <v>0</v>
      </c>
      <c r="AI303" s="122" t="s">
        <v>7286</v>
      </c>
      <c r="AJ303" s="41">
        <v>0.56999999999999995</v>
      </c>
    </row>
    <row r="304" spans="1:36" ht="34.5" hidden="1" customHeight="1" x14ac:dyDescent="0.25">
      <c r="A304" s="40">
        <v>636</v>
      </c>
      <c r="B304" s="40" t="s">
        <v>114</v>
      </c>
      <c r="C304" s="40" t="s">
        <v>1305</v>
      </c>
      <c r="D304" s="40">
        <v>2011</v>
      </c>
      <c r="E304" s="40">
        <v>2015</v>
      </c>
      <c r="F304" s="40" t="s">
        <v>1540</v>
      </c>
      <c r="G304" s="40" t="s">
        <v>455</v>
      </c>
      <c r="I304" s="40" t="s">
        <v>1528</v>
      </c>
      <c r="K304" s="40" t="s">
        <v>612</v>
      </c>
      <c r="X304" s="40">
        <v>1</v>
      </c>
      <c r="AC304" s="47"/>
      <c r="AE304" s="46">
        <f t="shared" si="20"/>
        <v>0</v>
      </c>
      <c r="AF304" s="43" t="s">
        <v>1590</v>
      </c>
      <c r="AG304" s="43">
        <v>0</v>
      </c>
      <c r="AH304" s="43">
        <v>0</v>
      </c>
      <c r="AI304" s="122" t="s">
        <v>7286</v>
      </c>
      <c r="AJ304" s="41">
        <v>0.56999999999999995</v>
      </c>
    </row>
    <row r="305" spans="1:36" ht="34.5" hidden="1" customHeight="1" x14ac:dyDescent="0.25">
      <c r="A305" s="40">
        <v>637</v>
      </c>
      <c r="B305" s="40" t="s">
        <v>1000</v>
      </c>
      <c r="C305" s="40" t="s">
        <v>546</v>
      </c>
      <c r="D305" s="44">
        <v>2023</v>
      </c>
      <c r="E305" s="44"/>
      <c r="F305" s="40" t="s">
        <v>1339</v>
      </c>
      <c r="G305" s="40" t="s">
        <v>456</v>
      </c>
      <c r="I305" s="40" t="s">
        <v>1269</v>
      </c>
      <c r="J305" s="40" t="s">
        <v>581</v>
      </c>
      <c r="K305" s="40" t="s">
        <v>578</v>
      </c>
      <c r="L305" s="40">
        <v>1</v>
      </c>
      <c r="V305" s="40">
        <v>1</v>
      </c>
      <c r="Z305" s="40" t="s">
        <v>1336</v>
      </c>
      <c r="AA305" s="45">
        <v>2.5</v>
      </c>
      <c r="AB305" s="46">
        <f>IF(H2ProjectDB689571011[[#This Row],[Dummy_1]]="Electrolysis",
AA305/VLOOKUP(G305,ElectrolysisConvF,3,FALSE),
AC305*10^6/(H2dens*HoursInYear))</f>
        <v>657.89473684210532</v>
      </c>
      <c r="AC305" s="47">
        <f>AB305*H2dens*HoursInYear/10^6</f>
        <v>0.51292105263157894</v>
      </c>
      <c r="AE305" s="46">
        <f t="shared" si="20"/>
        <v>657.89473684210532</v>
      </c>
      <c r="AF305" s="43" t="s">
        <v>4623</v>
      </c>
      <c r="AG305" s="43">
        <v>51.968205525033603</v>
      </c>
      <c r="AH305" s="43">
        <v>4.0348286454520403</v>
      </c>
      <c r="AI305" s="122" t="s">
        <v>7286</v>
      </c>
      <c r="AJ305" s="41">
        <v>0.5</v>
      </c>
    </row>
    <row r="306" spans="1:36" ht="34.5" hidden="1" customHeight="1" x14ac:dyDescent="0.25">
      <c r="A306" s="40">
        <v>638</v>
      </c>
      <c r="B306" s="40" t="s">
        <v>187</v>
      </c>
      <c r="C306" s="40" t="s">
        <v>558</v>
      </c>
      <c r="D306" s="40">
        <v>2019</v>
      </c>
      <c r="F306" s="40" t="s">
        <v>1339</v>
      </c>
      <c r="G306" s="40" t="s">
        <v>1259</v>
      </c>
      <c r="H306" s="40" t="s">
        <v>467</v>
      </c>
      <c r="I306" s="40" t="s">
        <v>1528</v>
      </c>
      <c r="K306" s="40" t="s">
        <v>578</v>
      </c>
      <c r="Q306" s="40">
        <v>1</v>
      </c>
      <c r="R306" s="40">
        <v>1</v>
      </c>
      <c r="AC306" s="47"/>
      <c r="AE306" s="46">
        <f t="shared" si="20"/>
        <v>0</v>
      </c>
      <c r="AF306" s="43" t="s">
        <v>766</v>
      </c>
      <c r="AG306" s="43">
        <v>0</v>
      </c>
      <c r="AH306" s="43">
        <v>0</v>
      </c>
      <c r="AI306" s="122" t="s">
        <v>7286</v>
      </c>
      <c r="AJ306" s="41">
        <v>0.56999999999999995</v>
      </c>
    </row>
    <row r="307" spans="1:36" ht="34.5" hidden="1" customHeight="1" x14ac:dyDescent="0.25">
      <c r="A307" s="40">
        <v>639</v>
      </c>
      <c r="B307" s="40" t="s">
        <v>106</v>
      </c>
      <c r="C307" s="40" t="s">
        <v>555</v>
      </c>
      <c r="D307" s="40">
        <v>2012</v>
      </c>
      <c r="E307" s="40">
        <v>2016</v>
      </c>
      <c r="F307" s="40" t="s">
        <v>1540</v>
      </c>
      <c r="G307" s="40" t="s">
        <v>457</v>
      </c>
      <c r="I307" s="40" t="s">
        <v>1257</v>
      </c>
      <c r="K307" s="40" t="s">
        <v>578</v>
      </c>
      <c r="Q307" s="40">
        <v>1</v>
      </c>
      <c r="Z307" s="40" t="s">
        <v>1591</v>
      </c>
      <c r="AA307" s="78">
        <f>IF(H2ProjectDB689571011[[#This Row],[Dummy_1]]="Electrolysis",
AB307*VLOOKUP(G307,ElectrolysisConvF,3,FALSE),
"")</f>
        <v>0.27600000000000002</v>
      </c>
      <c r="AB307" s="46">
        <v>60</v>
      </c>
      <c r="AC307" s="47">
        <f t="shared" ref="AC307:AC313" si="25">AB307*H2dens*HoursInYear/10^6</f>
        <v>4.6778400000000005E-2</v>
      </c>
      <c r="AE307" s="46">
        <f t="shared" si="20"/>
        <v>60</v>
      </c>
      <c r="AF307" s="43" t="s">
        <v>1593</v>
      </c>
      <c r="AG307" s="43">
        <v>0</v>
      </c>
      <c r="AH307" s="43">
        <v>0</v>
      </c>
      <c r="AI307" s="122" t="s">
        <v>7286</v>
      </c>
      <c r="AJ307" s="41">
        <v>0.56999999999999995</v>
      </c>
    </row>
    <row r="308" spans="1:36" ht="34.5" hidden="1" customHeight="1" x14ac:dyDescent="0.25">
      <c r="A308" s="40">
        <v>640</v>
      </c>
      <c r="B308" s="40" t="s">
        <v>99</v>
      </c>
      <c r="C308" s="40" t="s">
        <v>1305</v>
      </c>
      <c r="D308" s="40">
        <v>2012</v>
      </c>
      <c r="E308" s="40">
        <v>2014</v>
      </c>
      <c r="F308" s="40" t="s">
        <v>1540</v>
      </c>
      <c r="G308" s="40" t="s">
        <v>457</v>
      </c>
      <c r="I308" s="40" t="s">
        <v>1257</v>
      </c>
      <c r="K308" s="40" t="s">
        <v>612</v>
      </c>
      <c r="Q308" s="40">
        <v>1</v>
      </c>
      <c r="R308" s="40">
        <v>1</v>
      </c>
      <c r="X308" s="40">
        <v>1</v>
      </c>
      <c r="Z308" s="40" t="s">
        <v>1592</v>
      </c>
      <c r="AA308" s="45">
        <v>0.312</v>
      </c>
      <c r="AB308" s="46">
        <f>IF(H2ProjectDB689571011[[#This Row],[Dummy_1]]="Electrolysis",
AA308/VLOOKUP(G308,ElectrolysisConvF,3,FALSE),
AC308*10^6/(H2dens*HoursInYear))</f>
        <v>67.826086956521735</v>
      </c>
      <c r="AC308" s="47">
        <f t="shared" si="25"/>
        <v>5.2879930434782597E-2</v>
      </c>
      <c r="AE308" s="46">
        <f t="shared" si="20"/>
        <v>67.826086956521735</v>
      </c>
      <c r="AF308" s="43" t="s">
        <v>787</v>
      </c>
      <c r="AG308" s="43">
        <v>0</v>
      </c>
      <c r="AH308" s="43">
        <v>0</v>
      </c>
      <c r="AI308" s="122" t="s">
        <v>7286</v>
      </c>
      <c r="AJ308" s="41">
        <v>0.56999999999999995</v>
      </c>
    </row>
    <row r="309" spans="1:36" ht="34.5" hidden="1" customHeight="1" x14ac:dyDescent="0.25">
      <c r="A309" s="40">
        <v>641</v>
      </c>
      <c r="B309" s="40" t="s">
        <v>819</v>
      </c>
      <c r="C309" s="40" t="s">
        <v>555</v>
      </c>
      <c r="D309" s="44">
        <v>2022</v>
      </c>
      <c r="F309" s="40" t="s">
        <v>1339</v>
      </c>
      <c r="G309" s="40" t="s">
        <v>455</v>
      </c>
      <c r="I309" s="40" t="s">
        <v>1257</v>
      </c>
      <c r="K309" s="40" t="s">
        <v>612</v>
      </c>
      <c r="X309" s="40">
        <v>1</v>
      </c>
      <c r="Z309" s="40" t="s">
        <v>1336</v>
      </c>
      <c r="AA309" s="45">
        <v>2.5</v>
      </c>
      <c r="AB309" s="46">
        <f>IF(H2ProjectDB689571011[[#This Row],[Dummy_1]]="Electrolysis",
AA309/VLOOKUP(G309,ElectrolysisConvF,3,FALSE),
AC309*10^6/(H2dens*HoursInYear))</f>
        <v>480.76923076923077</v>
      </c>
      <c r="AC309" s="47">
        <f t="shared" si="25"/>
        <v>0.37482692307692306</v>
      </c>
      <c r="AE309" s="46">
        <f t="shared" si="20"/>
        <v>480.76923076923077</v>
      </c>
      <c r="AF309" s="43" t="s">
        <v>4437</v>
      </c>
      <c r="AG309" s="43">
        <v>47.401656925311997</v>
      </c>
      <c r="AH309" s="43">
        <v>8.3950919954657994</v>
      </c>
      <c r="AI309" s="122" t="s">
        <v>7286</v>
      </c>
      <c r="AJ309" s="41">
        <v>0.56999999999999995</v>
      </c>
    </row>
    <row r="310" spans="1:36" ht="34.5" hidden="1" customHeight="1" x14ac:dyDescent="0.25">
      <c r="A310" s="40">
        <v>642</v>
      </c>
      <c r="B310" s="40" t="s">
        <v>66</v>
      </c>
      <c r="C310" s="40" t="s">
        <v>530</v>
      </c>
      <c r="D310" s="40">
        <v>2012</v>
      </c>
      <c r="F310" s="40" t="s">
        <v>1540</v>
      </c>
      <c r="G310" s="40" t="s">
        <v>455</v>
      </c>
      <c r="I310" s="40" t="s">
        <v>1528</v>
      </c>
      <c r="K310" s="40" t="s">
        <v>578</v>
      </c>
      <c r="R310" s="40">
        <v>1</v>
      </c>
      <c r="Z310" s="40" t="s">
        <v>1594</v>
      </c>
      <c r="AA310" s="45">
        <v>0.11</v>
      </c>
      <c r="AB310" s="46">
        <f>IF(H2ProjectDB689571011[[#This Row],[Dummy_1]]="Electrolysis",
AA310/VLOOKUP(G310,ElectrolysisConvF,3,FALSE),
AC310*10^6/(H2dens*HoursInYear))</f>
        <v>21.153846153846153</v>
      </c>
      <c r="AC310" s="47">
        <f t="shared" si="25"/>
        <v>1.6492384615384614E-2</v>
      </c>
      <c r="AE310" s="46">
        <f t="shared" si="20"/>
        <v>21.153846153846153</v>
      </c>
      <c r="AF310" s="43" t="s">
        <v>900</v>
      </c>
      <c r="AG310" s="43">
        <v>41.945898760615201</v>
      </c>
      <c r="AH310" s="43">
        <v>8.9929297440350595</v>
      </c>
      <c r="AI310" s="122" t="s">
        <v>7286</v>
      </c>
      <c r="AJ310" s="41">
        <v>0.56999999999999995</v>
      </c>
    </row>
    <row r="311" spans="1:36" ht="34.5" hidden="1" customHeight="1" x14ac:dyDescent="0.25">
      <c r="A311" s="40">
        <v>643</v>
      </c>
      <c r="B311" s="40" t="s">
        <v>1014</v>
      </c>
      <c r="C311" s="40" t="s">
        <v>535</v>
      </c>
      <c r="F311" s="40" t="s">
        <v>2222</v>
      </c>
      <c r="G311" s="40" t="s">
        <v>455</v>
      </c>
      <c r="I311" s="40" t="s">
        <v>1528</v>
      </c>
      <c r="K311" s="40" t="s">
        <v>578</v>
      </c>
      <c r="Q311" s="40">
        <v>1</v>
      </c>
      <c r="Z311" s="40" t="s">
        <v>1493</v>
      </c>
      <c r="AA311" s="45">
        <v>2</v>
      </c>
      <c r="AB311" s="46">
        <f>IF(H2ProjectDB689571011[[#This Row],[Dummy_1]]="Electrolysis",
AA311/VLOOKUP(G311,ElectrolysisConvF,3,FALSE),
AC311*10^6/(H2dens*HoursInYear))</f>
        <v>384.61538461538464</v>
      </c>
      <c r="AC311" s="47">
        <f t="shared" si="25"/>
        <v>0.29986153846153851</v>
      </c>
      <c r="AE311" s="46">
        <f t="shared" si="20"/>
        <v>384.61538461538464</v>
      </c>
      <c r="AF311" s="43" t="s">
        <v>1015</v>
      </c>
      <c r="AG311" s="43">
        <v>0</v>
      </c>
      <c r="AH311" s="43">
        <v>0</v>
      </c>
      <c r="AI311" s="122" t="s">
        <v>7286</v>
      </c>
      <c r="AJ311" s="41">
        <v>0.56999999999999995</v>
      </c>
    </row>
    <row r="312" spans="1:36" ht="34.5" hidden="1" customHeight="1" x14ac:dyDescent="0.25">
      <c r="A312" s="40">
        <v>644</v>
      </c>
      <c r="B312" s="40" t="s">
        <v>10</v>
      </c>
      <c r="C312" s="40" t="s">
        <v>1305</v>
      </c>
      <c r="D312" s="40">
        <v>2012</v>
      </c>
      <c r="E312" s="40">
        <v>2016</v>
      </c>
      <c r="F312" s="40" t="s">
        <v>1540</v>
      </c>
      <c r="G312" s="40" t="s">
        <v>456</v>
      </c>
      <c r="I312" s="40" t="s">
        <v>1528</v>
      </c>
      <c r="K312" s="40" t="s">
        <v>1267</v>
      </c>
      <c r="W312" s="40">
        <v>1</v>
      </c>
      <c r="Z312" s="40" t="s">
        <v>1498</v>
      </c>
      <c r="AA312" s="78">
        <f>IF(H2ProjectDB689571011[[#This Row],[Dummy_1]]="Electrolysis",
AB312*VLOOKUP(G312,ElectrolysisConvF,3,FALSE),
"")</f>
        <v>3.7999999999999999E-2</v>
      </c>
      <c r="AB312" s="46">
        <v>10</v>
      </c>
      <c r="AC312" s="47">
        <f t="shared" si="25"/>
        <v>7.7963999999999985E-3</v>
      </c>
      <c r="AE312" s="46">
        <f t="shared" si="20"/>
        <v>10</v>
      </c>
      <c r="AF312" s="43" t="s">
        <v>1595</v>
      </c>
      <c r="AG312" s="43">
        <v>0</v>
      </c>
      <c r="AH312" s="43">
        <v>0</v>
      </c>
      <c r="AI312" s="122" t="s">
        <v>7286</v>
      </c>
      <c r="AJ312" s="41">
        <v>0.56999999999999995</v>
      </c>
    </row>
    <row r="313" spans="1:36" ht="34.5" hidden="1" customHeight="1" x14ac:dyDescent="0.25">
      <c r="A313" s="40">
        <v>645</v>
      </c>
      <c r="B313" s="40" t="s">
        <v>1101</v>
      </c>
      <c r="C313" s="40" t="s">
        <v>530</v>
      </c>
      <c r="D313" s="44">
        <v>2023</v>
      </c>
      <c r="F313" s="40" t="s">
        <v>1339</v>
      </c>
      <c r="G313" s="40" t="s">
        <v>457</v>
      </c>
      <c r="I313" s="40" t="s">
        <v>1266</v>
      </c>
      <c r="K313" s="40" t="s">
        <v>578</v>
      </c>
      <c r="Q313" s="40">
        <v>1</v>
      </c>
      <c r="Z313" s="40" t="s">
        <v>1493</v>
      </c>
      <c r="AA313" s="45">
        <v>2</v>
      </c>
      <c r="AB313" s="46">
        <f>IF(H2ProjectDB689571011[[#This Row],[Dummy_1]]="Electrolysis",
AA313/VLOOKUP(G313,ElectrolysisConvF,3,FALSE),
AC313*10^6/(H2dens*HoursInYear))</f>
        <v>434.78260869565219</v>
      </c>
      <c r="AC313" s="47">
        <f t="shared" si="25"/>
        <v>0.33897391304347824</v>
      </c>
      <c r="AE313" s="46">
        <f t="shared" ref="AE313:AE342" si="26">AB313</f>
        <v>434.78260869565219</v>
      </c>
      <c r="AF313" s="43" t="s">
        <v>4472</v>
      </c>
      <c r="AG313" s="43">
        <v>43.629432894333398</v>
      </c>
      <c r="AH313" s="43">
        <v>1.3686261376014099</v>
      </c>
      <c r="AI313" s="122" t="s">
        <v>7286</v>
      </c>
      <c r="AJ313" s="41">
        <v>0.56999999999999995</v>
      </c>
    </row>
    <row r="314" spans="1:36" ht="34.5" hidden="1" customHeight="1" x14ac:dyDescent="0.25">
      <c r="A314" s="40">
        <v>646</v>
      </c>
      <c r="B314" s="40" t="s">
        <v>127</v>
      </c>
      <c r="C314" s="40" t="s">
        <v>530</v>
      </c>
      <c r="D314" s="40">
        <v>2012</v>
      </c>
      <c r="E314" s="40">
        <v>2014</v>
      </c>
      <c r="F314" s="40" t="s">
        <v>1540</v>
      </c>
      <c r="G314" s="40" t="s">
        <v>456</v>
      </c>
      <c r="I314" s="40" t="s">
        <v>1257</v>
      </c>
      <c r="K314" s="40" t="s">
        <v>1268</v>
      </c>
      <c r="R314" s="40">
        <v>1</v>
      </c>
      <c r="X314" s="40">
        <v>1</v>
      </c>
      <c r="AC314" s="47"/>
      <c r="AE314" s="46">
        <f t="shared" si="26"/>
        <v>0</v>
      </c>
      <c r="AF314" s="43" t="s">
        <v>1596</v>
      </c>
      <c r="AG314" s="43">
        <v>0</v>
      </c>
      <c r="AH314" s="43">
        <v>0</v>
      </c>
      <c r="AI314" s="122" t="s">
        <v>7286</v>
      </c>
      <c r="AJ314" s="41">
        <v>0.56999999999999995</v>
      </c>
    </row>
    <row r="315" spans="1:36" ht="34.5" hidden="1" customHeight="1" x14ac:dyDescent="0.25">
      <c r="A315" s="40">
        <v>647</v>
      </c>
      <c r="B315" s="40" t="s">
        <v>26</v>
      </c>
      <c r="C315" s="40" t="s">
        <v>1305</v>
      </c>
      <c r="D315" s="40">
        <v>2012</v>
      </c>
      <c r="E315" s="40">
        <v>2015</v>
      </c>
      <c r="F315" s="40" t="s">
        <v>1540</v>
      </c>
      <c r="G315" s="40" t="s">
        <v>455</v>
      </c>
      <c r="I315" s="40" t="s">
        <v>1257</v>
      </c>
      <c r="AC315" s="47"/>
      <c r="AE315" s="46">
        <f t="shared" si="26"/>
        <v>0</v>
      </c>
      <c r="AF315" s="43" t="s">
        <v>1597</v>
      </c>
      <c r="AG315" s="43">
        <v>0</v>
      </c>
      <c r="AH315" s="43">
        <v>0</v>
      </c>
      <c r="AI315" s="122" t="s">
        <v>7286</v>
      </c>
      <c r="AJ315" s="41">
        <v>0.56999999999999995</v>
      </c>
    </row>
    <row r="316" spans="1:36" ht="34.5" hidden="1" customHeight="1" x14ac:dyDescent="0.25">
      <c r="A316" s="40">
        <v>648</v>
      </c>
      <c r="B316" s="40" t="s">
        <v>64</v>
      </c>
      <c r="C316" s="40" t="s">
        <v>1305</v>
      </c>
      <c r="D316" s="40">
        <v>2012</v>
      </c>
      <c r="E316" s="40">
        <v>2015</v>
      </c>
      <c r="F316" s="40" t="s">
        <v>1540</v>
      </c>
      <c r="G316" s="40" t="s">
        <v>455</v>
      </c>
      <c r="I316" s="40" t="s">
        <v>1257</v>
      </c>
      <c r="AC316" s="47"/>
      <c r="AE316" s="46">
        <f t="shared" si="26"/>
        <v>0</v>
      </c>
      <c r="AF316" s="43" t="s">
        <v>1598</v>
      </c>
      <c r="AG316" s="43">
        <v>0</v>
      </c>
      <c r="AH316" s="43">
        <v>0</v>
      </c>
      <c r="AI316" s="122" t="s">
        <v>7286</v>
      </c>
      <c r="AJ316" s="41">
        <v>0.56999999999999995</v>
      </c>
    </row>
    <row r="317" spans="1:36" ht="34.5" hidden="1" customHeight="1" x14ac:dyDescent="0.25">
      <c r="A317" s="40">
        <v>649</v>
      </c>
      <c r="B317" s="40" t="s">
        <v>71</v>
      </c>
      <c r="C317" s="40" t="s">
        <v>1305</v>
      </c>
      <c r="D317" s="40">
        <v>2013</v>
      </c>
      <c r="E317" s="40">
        <v>2016</v>
      </c>
      <c r="F317" s="40" t="s">
        <v>1540</v>
      </c>
      <c r="G317" s="40" t="s">
        <v>457</v>
      </c>
      <c r="I317" s="40" t="s">
        <v>1257</v>
      </c>
      <c r="K317" s="40" t="s">
        <v>612</v>
      </c>
      <c r="X317" s="40">
        <v>1</v>
      </c>
      <c r="Z317" s="40" t="s">
        <v>1619</v>
      </c>
      <c r="AA317" s="45">
        <v>0.3</v>
      </c>
      <c r="AB317" s="46">
        <f>IF(H2ProjectDB689571011[[#This Row],[Dummy_1]]="Electrolysis",
AA317/VLOOKUP(G317,ElectrolysisConvF,3,FALSE),
AC317*10^6/(H2dens*HoursInYear))</f>
        <v>65.217391304347828</v>
      </c>
      <c r="AC317" s="47">
        <f>AB317*H2dens*HoursInYear/10^6</f>
        <v>5.0846086956521735E-2</v>
      </c>
      <c r="AE317" s="46">
        <f t="shared" si="26"/>
        <v>65.217391304347828</v>
      </c>
      <c r="AF317" s="43" t="s">
        <v>912</v>
      </c>
      <c r="AG317" s="43">
        <v>0</v>
      </c>
      <c r="AH317" s="43">
        <v>0</v>
      </c>
      <c r="AI317" s="122" t="s">
        <v>7286</v>
      </c>
      <c r="AJ317" s="41">
        <v>0.56999999999999995</v>
      </c>
    </row>
    <row r="318" spans="1:36" ht="34.5" hidden="1" customHeight="1" x14ac:dyDescent="0.25">
      <c r="A318" s="40">
        <v>650</v>
      </c>
      <c r="B318" s="40" t="s">
        <v>95</v>
      </c>
      <c r="C318" s="40" t="s">
        <v>1305</v>
      </c>
      <c r="D318" s="40">
        <v>2013</v>
      </c>
      <c r="E318" s="40">
        <v>2016</v>
      </c>
      <c r="F318" s="40" t="s">
        <v>1540</v>
      </c>
      <c r="G318" s="40" t="s">
        <v>455</v>
      </c>
      <c r="I318" s="40" t="s">
        <v>1257</v>
      </c>
      <c r="X318" s="40">
        <v>1</v>
      </c>
      <c r="Z318" s="40" t="s">
        <v>6889</v>
      </c>
      <c r="AA318" s="78">
        <f>IF(H2ProjectDB689571011[[#This Row],[Dummy_1]]="Electrolysis",
AB318*VLOOKUP(G318,ElectrolysisConvF,3,FALSE),
"")</f>
        <v>0.312</v>
      </c>
      <c r="AB318" s="46">
        <v>60</v>
      </c>
      <c r="AC318" s="47">
        <f>AB318*H2dens*HoursInYear/10^6</f>
        <v>4.6778400000000005E-2</v>
      </c>
      <c r="AE318" s="46">
        <f t="shared" si="26"/>
        <v>60</v>
      </c>
      <c r="AF318" s="43" t="s">
        <v>1599</v>
      </c>
      <c r="AG318" s="43">
        <v>0</v>
      </c>
      <c r="AH318" s="43">
        <v>0</v>
      </c>
      <c r="AI318" s="122" t="s">
        <v>7286</v>
      </c>
      <c r="AJ318" s="41">
        <v>0.56999999999999995</v>
      </c>
    </row>
    <row r="319" spans="1:36" ht="34.5" hidden="1" customHeight="1" x14ac:dyDescent="0.25">
      <c r="A319" s="40">
        <v>651</v>
      </c>
      <c r="B319" s="40" t="s">
        <v>894</v>
      </c>
      <c r="C319" s="40" t="s">
        <v>546</v>
      </c>
      <c r="D319" s="40">
        <v>2013</v>
      </c>
      <c r="E319" s="40">
        <v>2018</v>
      </c>
      <c r="F319" s="40" t="s">
        <v>1540</v>
      </c>
      <c r="G319" s="40" t="s">
        <v>455</v>
      </c>
      <c r="I319" s="40" t="s">
        <v>1257</v>
      </c>
      <c r="K319" s="40" t="s">
        <v>612</v>
      </c>
      <c r="X319" s="40">
        <v>1</v>
      </c>
      <c r="Z319" s="40" t="s">
        <v>1552</v>
      </c>
      <c r="AA319" s="45">
        <v>7.0000000000000001E-3</v>
      </c>
      <c r="AB319" s="46">
        <f>IF(H2ProjectDB689571011[[#This Row],[Dummy_1]]="Electrolysis",
AA319/VLOOKUP(G319,ElectrolysisConvF,3,FALSE),
AC319*10^6/(H2dens*HoursInYear))</f>
        <v>1.3461538461538463</v>
      </c>
      <c r="AC319" s="47">
        <f>AB319*H2dens*HoursInYear/10^6</f>
        <v>1.0495153846153847E-3</v>
      </c>
      <c r="AE319" s="46">
        <f t="shared" si="26"/>
        <v>1.3461538461538463</v>
      </c>
      <c r="AF319" s="43" t="s">
        <v>893</v>
      </c>
      <c r="AG319" s="43">
        <v>0</v>
      </c>
      <c r="AH319" s="43">
        <v>0</v>
      </c>
      <c r="AI319" s="122" t="s">
        <v>7286</v>
      </c>
      <c r="AJ319" s="41">
        <v>0.56999999999999995</v>
      </c>
    </row>
    <row r="320" spans="1:36" ht="34.5" hidden="1" customHeight="1" x14ac:dyDescent="0.25">
      <c r="A320" s="40">
        <v>652</v>
      </c>
      <c r="B320" s="40" t="s">
        <v>137</v>
      </c>
      <c r="C320" s="40" t="s">
        <v>541</v>
      </c>
      <c r="D320" s="40">
        <v>2013</v>
      </c>
      <c r="E320" s="40">
        <v>2014</v>
      </c>
      <c r="F320" s="40" t="s">
        <v>1540</v>
      </c>
      <c r="G320" s="40" t="s">
        <v>457</v>
      </c>
      <c r="I320" s="40" t="s">
        <v>1257</v>
      </c>
      <c r="R320" s="40">
        <v>1</v>
      </c>
      <c r="Z320" s="40" t="s">
        <v>1557</v>
      </c>
      <c r="AA320" s="45">
        <v>2.5000000000000001E-3</v>
      </c>
      <c r="AB320" s="46">
        <f>IF(H2ProjectDB689571011[[#This Row],[Dummy_1]]="Electrolysis",
AA320/VLOOKUP(G320,ElectrolysisConvF,3,FALSE),
AC320*10^6/(H2dens*HoursInYear))</f>
        <v>0.54347826086956519</v>
      </c>
      <c r="AC320" s="47">
        <f>AB320*H2dens*HoursInYear/10^6</f>
        <v>4.2371739130434781E-4</v>
      </c>
      <c r="AE320" s="46">
        <f t="shared" si="26"/>
        <v>0.54347826086956519</v>
      </c>
      <c r="AF320" s="43" t="s">
        <v>1600</v>
      </c>
      <c r="AG320" s="43">
        <v>0</v>
      </c>
      <c r="AH320" s="43">
        <v>0</v>
      </c>
      <c r="AI320" s="122" t="s">
        <v>7286</v>
      </c>
      <c r="AJ320" s="41">
        <v>0.56999999999999995</v>
      </c>
    </row>
    <row r="321" spans="1:36" ht="34.5" hidden="1" customHeight="1" x14ac:dyDescent="0.25">
      <c r="A321" s="40">
        <v>653</v>
      </c>
      <c r="B321" s="40" t="s">
        <v>961</v>
      </c>
      <c r="C321" s="40" t="s">
        <v>540</v>
      </c>
      <c r="D321" s="40">
        <v>2013</v>
      </c>
      <c r="E321" s="40">
        <v>2016</v>
      </c>
      <c r="F321" s="40" t="s">
        <v>1540</v>
      </c>
      <c r="G321" s="40" t="s">
        <v>1259</v>
      </c>
      <c r="H321" s="40" t="s">
        <v>467</v>
      </c>
      <c r="I321" s="40" t="s">
        <v>1257</v>
      </c>
      <c r="K321" s="40" t="s">
        <v>612</v>
      </c>
      <c r="X321" s="40">
        <v>1</v>
      </c>
      <c r="AC321" s="47"/>
      <c r="AE321" s="46">
        <f t="shared" si="26"/>
        <v>0</v>
      </c>
      <c r="AF321" s="43" t="s">
        <v>1601</v>
      </c>
      <c r="AG321" s="43">
        <v>0</v>
      </c>
      <c r="AH321" s="43">
        <v>0</v>
      </c>
      <c r="AI321" s="122" t="s">
        <v>7286</v>
      </c>
      <c r="AJ321" s="41">
        <v>0.56999999999999995</v>
      </c>
    </row>
    <row r="322" spans="1:36" ht="34.5" hidden="1" customHeight="1" x14ac:dyDescent="0.25">
      <c r="A322" s="40">
        <v>654</v>
      </c>
      <c r="B322" s="40" t="s">
        <v>962</v>
      </c>
      <c r="C322" s="40" t="s">
        <v>540</v>
      </c>
      <c r="D322" s="40">
        <v>2013</v>
      </c>
      <c r="E322" s="40">
        <v>2016</v>
      </c>
      <c r="F322" s="40" t="s">
        <v>1540</v>
      </c>
      <c r="G322" s="40" t="s">
        <v>1259</v>
      </c>
      <c r="H322" s="40" t="s">
        <v>467</v>
      </c>
      <c r="I322" s="40" t="s">
        <v>1257</v>
      </c>
      <c r="K322" s="40" t="s">
        <v>612</v>
      </c>
      <c r="X322" s="40">
        <v>1</v>
      </c>
      <c r="AC322" s="47"/>
      <c r="AE322" s="46">
        <f t="shared" si="26"/>
        <v>0</v>
      </c>
      <c r="AF322" s="43" t="s">
        <v>1602</v>
      </c>
      <c r="AG322" s="43">
        <v>0</v>
      </c>
      <c r="AH322" s="43">
        <v>0</v>
      </c>
      <c r="AI322" s="122" t="s">
        <v>7286</v>
      </c>
      <c r="AJ322" s="41">
        <v>0.56999999999999995</v>
      </c>
    </row>
    <row r="323" spans="1:36" ht="34.5" hidden="1" customHeight="1" x14ac:dyDescent="0.25">
      <c r="A323" s="40">
        <v>655</v>
      </c>
      <c r="B323" s="40" t="s">
        <v>88</v>
      </c>
      <c r="C323" s="40" t="s">
        <v>1305</v>
      </c>
      <c r="D323" s="40">
        <v>2014</v>
      </c>
      <c r="E323" s="40">
        <v>2016</v>
      </c>
      <c r="F323" s="40" t="s">
        <v>1540</v>
      </c>
      <c r="G323" s="40" t="s">
        <v>455</v>
      </c>
      <c r="I323" s="40" t="s">
        <v>1257</v>
      </c>
      <c r="K323" s="40" t="s">
        <v>578</v>
      </c>
      <c r="Q323" s="40">
        <v>1</v>
      </c>
      <c r="R323" s="40">
        <v>1</v>
      </c>
      <c r="S323" s="40">
        <v>1</v>
      </c>
      <c r="Z323" s="40" t="s">
        <v>1619</v>
      </c>
      <c r="AA323" s="45">
        <v>0.3</v>
      </c>
      <c r="AB323" s="46">
        <f>IF(H2ProjectDB689571011[[#This Row],[Dummy_1]]="Electrolysis",
AA323/VLOOKUP(G323,ElectrolysisConvF,3,FALSE),
AC323*10^6/(H2dens*HoursInYear))</f>
        <v>57.692307692307693</v>
      </c>
      <c r="AC323" s="47">
        <f>AB323*H2dens*HoursInYear/10^6</f>
        <v>4.4979230769230764E-2</v>
      </c>
      <c r="AE323" s="46">
        <f t="shared" si="26"/>
        <v>57.692307692307693</v>
      </c>
      <c r="AF323" s="43" t="s">
        <v>913</v>
      </c>
      <c r="AG323" s="43">
        <v>0</v>
      </c>
      <c r="AH323" s="43">
        <v>0</v>
      </c>
      <c r="AI323" s="122" t="s">
        <v>7286</v>
      </c>
      <c r="AJ323" s="41">
        <v>0.56999999999999995</v>
      </c>
    </row>
    <row r="324" spans="1:36" ht="34.5" hidden="1" customHeight="1" x14ac:dyDescent="0.25">
      <c r="A324" s="40">
        <v>656</v>
      </c>
      <c r="B324" s="40" t="s">
        <v>14</v>
      </c>
      <c r="C324" s="40" t="s">
        <v>1764</v>
      </c>
      <c r="D324" s="40">
        <v>2014</v>
      </c>
      <c r="E324" s="40">
        <v>2017</v>
      </c>
      <c r="F324" s="40" t="s">
        <v>1540</v>
      </c>
      <c r="G324" s="40" t="s">
        <v>457</v>
      </c>
      <c r="I324" s="40" t="s">
        <v>1257</v>
      </c>
      <c r="K324" s="40" t="s">
        <v>612</v>
      </c>
      <c r="X324" s="40">
        <v>1</v>
      </c>
      <c r="Z324" s="40" t="s">
        <v>6888</v>
      </c>
      <c r="AA324" s="78">
        <f>IF(H2ProjectDB689571011[[#This Row],[Dummy_1]]="Electrolysis",
AB324*VLOOKUP(G324,ElectrolysisConvF,3,FALSE),
"")</f>
        <v>9.1999999999999998E-3</v>
      </c>
      <c r="AB324" s="46">
        <v>2</v>
      </c>
      <c r="AC324" s="47">
        <f>AB324*H2dens*HoursInYear/10^6</f>
        <v>1.5592799999999999E-3</v>
      </c>
      <c r="AE324" s="46">
        <f t="shared" si="26"/>
        <v>2</v>
      </c>
      <c r="AF324" s="43" t="s">
        <v>613</v>
      </c>
      <c r="AG324" s="43">
        <v>0</v>
      </c>
      <c r="AH324" s="43">
        <v>0</v>
      </c>
      <c r="AI324" s="122" t="s">
        <v>7286</v>
      </c>
      <c r="AJ324" s="41">
        <v>0.56999999999999995</v>
      </c>
    </row>
    <row r="325" spans="1:36" ht="34.5" hidden="1" customHeight="1" x14ac:dyDescent="0.25">
      <c r="A325" s="40">
        <v>657</v>
      </c>
      <c r="B325" s="40" t="s">
        <v>122</v>
      </c>
      <c r="C325" s="40" t="s">
        <v>1305</v>
      </c>
      <c r="D325" s="40">
        <v>2003</v>
      </c>
      <c r="E325" s="40">
        <v>2011</v>
      </c>
      <c r="F325" s="40" t="s">
        <v>1540</v>
      </c>
      <c r="G325" s="40" t="s">
        <v>457</v>
      </c>
      <c r="I325" s="40" t="s">
        <v>1257</v>
      </c>
      <c r="K325" s="40" t="s">
        <v>578</v>
      </c>
      <c r="Q325" s="40">
        <v>1</v>
      </c>
      <c r="Z325" s="40" t="s">
        <v>6889</v>
      </c>
      <c r="AA325" s="78">
        <f>IF(H2ProjectDB689571011[[#This Row],[Dummy_1]]="Electrolysis",
AB325*VLOOKUP(G325,ElectrolysisConvF,3,FALSE),
"")</f>
        <v>0.27600000000000002</v>
      </c>
      <c r="AB325" s="46">
        <v>60</v>
      </c>
      <c r="AC325" s="47">
        <f>AB325*H2dens*HoursInYear/10^6</f>
        <v>4.6778400000000005E-2</v>
      </c>
      <c r="AE325" s="46">
        <f t="shared" si="26"/>
        <v>60</v>
      </c>
      <c r="AF325" s="43" t="s">
        <v>1603</v>
      </c>
      <c r="AG325" s="43">
        <v>0</v>
      </c>
      <c r="AH325" s="43">
        <v>0</v>
      </c>
      <c r="AI325" s="122" t="s">
        <v>7286</v>
      </c>
      <c r="AJ325" s="41">
        <v>0.56999999999999995</v>
      </c>
    </row>
    <row r="326" spans="1:36" ht="34.5" hidden="1" customHeight="1" x14ac:dyDescent="0.25">
      <c r="A326" s="40">
        <v>658</v>
      </c>
      <c r="B326" s="40" t="s">
        <v>6</v>
      </c>
      <c r="C326" s="40" t="s">
        <v>555</v>
      </c>
      <c r="D326" s="40">
        <v>2014</v>
      </c>
      <c r="E326" s="40">
        <v>2017</v>
      </c>
      <c r="F326" s="40" t="s">
        <v>1540</v>
      </c>
      <c r="G326" s="40" t="s">
        <v>455</v>
      </c>
      <c r="I326" s="40" t="s">
        <v>1257</v>
      </c>
      <c r="K326" s="40" t="s">
        <v>1268</v>
      </c>
      <c r="R326" s="40">
        <v>1</v>
      </c>
      <c r="W326" s="40">
        <v>1</v>
      </c>
      <c r="X326" s="40">
        <v>1</v>
      </c>
      <c r="Z326" s="40" t="s">
        <v>6898</v>
      </c>
      <c r="AA326" s="78">
        <f>IF(H2ProjectDB689571011[[#This Row],[Dummy_1]]="Electrolysis",
AB326*VLOOKUP(G326,ElectrolysisConvF,3,FALSE),
"")</f>
        <v>1.56E-3</v>
      </c>
      <c r="AB326" s="46">
        <v>0.3</v>
      </c>
      <c r="AC326" s="47">
        <f>AB326*H2dens*HoursInYear/10^6</f>
        <v>2.33892E-4</v>
      </c>
      <c r="AE326" s="46">
        <f t="shared" si="26"/>
        <v>0.3</v>
      </c>
      <c r="AG326" s="43">
        <v>0</v>
      </c>
      <c r="AH326" s="43">
        <v>0</v>
      </c>
      <c r="AI326" s="122" t="s">
        <v>7286</v>
      </c>
      <c r="AJ326" s="41">
        <v>0.56999999999999995</v>
      </c>
    </row>
    <row r="327" spans="1:36" ht="34.5" hidden="1" customHeight="1" x14ac:dyDescent="0.25">
      <c r="A327" s="40">
        <v>659</v>
      </c>
      <c r="B327" s="40" t="s">
        <v>144</v>
      </c>
      <c r="C327" s="40" t="s">
        <v>530</v>
      </c>
      <c r="D327" s="40">
        <v>2014</v>
      </c>
      <c r="E327" s="40">
        <v>2017</v>
      </c>
      <c r="F327" s="40" t="s">
        <v>1540</v>
      </c>
      <c r="G327" s="40" t="s">
        <v>456</v>
      </c>
      <c r="I327" s="40" t="s">
        <v>1257</v>
      </c>
      <c r="K327" s="40" t="s">
        <v>612</v>
      </c>
      <c r="W327" s="40">
        <v>1</v>
      </c>
      <c r="X327" s="40">
        <v>1</v>
      </c>
      <c r="AC327" s="47"/>
      <c r="AE327" s="46">
        <f t="shared" si="26"/>
        <v>0</v>
      </c>
      <c r="AF327" s="43" t="s">
        <v>1604</v>
      </c>
      <c r="AG327" s="43">
        <v>0</v>
      </c>
      <c r="AH327" s="43">
        <v>0</v>
      </c>
      <c r="AI327" s="122" t="s">
        <v>7286</v>
      </c>
      <c r="AJ327" s="41">
        <v>0.56999999999999995</v>
      </c>
    </row>
    <row r="328" spans="1:36" ht="34.5" hidden="1" customHeight="1" x14ac:dyDescent="0.25">
      <c r="A328" s="40">
        <v>660</v>
      </c>
      <c r="B328" s="40" t="s">
        <v>56</v>
      </c>
      <c r="C328" s="40" t="s">
        <v>1764</v>
      </c>
      <c r="D328" s="40">
        <v>2008</v>
      </c>
      <c r="E328" s="40">
        <v>2011</v>
      </c>
      <c r="F328" s="40" t="s">
        <v>1540</v>
      </c>
      <c r="G328" s="40" t="s">
        <v>457</v>
      </c>
      <c r="I328" s="40" t="s">
        <v>1269</v>
      </c>
      <c r="J328" s="40" t="s">
        <v>1392</v>
      </c>
      <c r="K328" s="40" t="s">
        <v>578</v>
      </c>
      <c r="R328" s="40">
        <v>1</v>
      </c>
      <c r="Z328" s="40" t="s">
        <v>1620</v>
      </c>
      <c r="AA328" s="45">
        <v>0.3</v>
      </c>
      <c r="AB328" s="46">
        <f>IF(H2ProjectDB689571011[[#This Row],[Dummy_1]]="Electrolysis",
AA328/VLOOKUP(G328,ElectrolysisConvF,3,FALSE),
AC328*10^6/(H2dens*HoursInYear))</f>
        <v>65.217391304347828</v>
      </c>
      <c r="AC328" s="47">
        <f t="shared" ref="AC328:AC334" si="27">AB328*H2dens*HoursInYear/10^6</f>
        <v>5.0846086956521735E-2</v>
      </c>
      <c r="AE328" s="46">
        <f t="shared" si="26"/>
        <v>65.217391304347828</v>
      </c>
      <c r="AF328" s="43" t="s">
        <v>1605</v>
      </c>
      <c r="AG328" s="43">
        <v>43.355457580345202</v>
      </c>
      <c r="AH328" s="43">
        <v>-7.8136167565243397</v>
      </c>
      <c r="AI328" s="122" t="s">
        <v>7286</v>
      </c>
      <c r="AJ328" s="41">
        <v>0.4</v>
      </c>
    </row>
    <row r="329" spans="1:36" ht="34.5" hidden="1" customHeight="1" x14ac:dyDescent="0.25">
      <c r="A329" s="40">
        <v>661</v>
      </c>
      <c r="B329" s="40" t="s">
        <v>132</v>
      </c>
      <c r="C329" s="40" t="s">
        <v>559</v>
      </c>
      <c r="D329" s="40">
        <v>2003</v>
      </c>
      <c r="E329" s="40">
        <v>2006</v>
      </c>
      <c r="F329" s="40" t="s">
        <v>1540</v>
      </c>
      <c r="G329" s="40" t="s">
        <v>457</v>
      </c>
      <c r="I329" s="40" t="s">
        <v>1257</v>
      </c>
      <c r="K329" s="40" t="s">
        <v>578</v>
      </c>
      <c r="Q329" s="40">
        <v>1</v>
      </c>
      <c r="Z329" s="40" t="s">
        <v>1620</v>
      </c>
      <c r="AA329" s="45">
        <v>0.3</v>
      </c>
      <c r="AB329" s="46">
        <f>IF(H2ProjectDB689571011[[#This Row],[Dummy_1]]="Electrolysis",
AA329/VLOOKUP(G329,ElectrolysisConvF,3,FALSE),
AC329*10^6/(H2dens*HoursInYear))</f>
        <v>65.217391304347828</v>
      </c>
      <c r="AC329" s="47">
        <f t="shared" si="27"/>
        <v>5.0846086956521735E-2</v>
      </c>
      <c r="AE329" s="46">
        <f t="shared" si="26"/>
        <v>65.217391304347828</v>
      </c>
      <c r="AF329" s="43" t="s">
        <v>1603</v>
      </c>
      <c r="AG329" s="43">
        <v>0</v>
      </c>
      <c r="AH329" s="43">
        <v>0</v>
      </c>
      <c r="AI329" s="122" t="s">
        <v>7286</v>
      </c>
      <c r="AJ329" s="41">
        <v>0.56999999999999995</v>
      </c>
    </row>
    <row r="330" spans="1:36" ht="34.5" hidden="1" customHeight="1" x14ac:dyDescent="0.25">
      <c r="A330" s="40">
        <v>662</v>
      </c>
      <c r="B330" s="40" t="s">
        <v>131</v>
      </c>
      <c r="C330" s="40" t="s">
        <v>546</v>
      </c>
      <c r="D330" s="40">
        <v>2003</v>
      </c>
      <c r="E330" s="40">
        <v>2009</v>
      </c>
      <c r="F330" s="40" t="s">
        <v>1540</v>
      </c>
      <c r="G330" s="40" t="s">
        <v>457</v>
      </c>
      <c r="I330" s="40" t="s">
        <v>1257</v>
      </c>
      <c r="K330" s="40" t="s">
        <v>578</v>
      </c>
      <c r="Q330" s="40">
        <v>1</v>
      </c>
      <c r="Z330" s="40" t="s">
        <v>1620</v>
      </c>
      <c r="AA330" s="45">
        <v>0.3</v>
      </c>
      <c r="AB330" s="46">
        <f>IF(H2ProjectDB689571011[[#This Row],[Dummy_1]]="Electrolysis",
AA330/VLOOKUP(G330,ElectrolysisConvF,3,FALSE),
AC330*10^6/(H2dens*HoursInYear))</f>
        <v>65.217391304347828</v>
      </c>
      <c r="AC330" s="47">
        <f t="shared" si="27"/>
        <v>5.0846086956521735E-2</v>
      </c>
      <c r="AE330" s="46">
        <f t="shared" si="26"/>
        <v>65.217391304347828</v>
      </c>
      <c r="AF330" s="43" t="s">
        <v>1603</v>
      </c>
      <c r="AG330" s="43">
        <v>0</v>
      </c>
      <c r="AH330" s="43">
        <v>0</v>
      </c>
      <c r="AI330" s="122" t="s">
        <v>7286</v>
      </c>
      <c r="AJ330" s="41">
        <v>0.56999999999999995</v>
      </c>
    </row>
    <row r="331" spans="1:36" ht="34.5" hidden="1" customHeight="1" x14ac:dyDescent="0.25">
      <c r="A331" s="40">
        <v>663</v>
      </c>
      <c r="B331" s="40" t="s">
        <v>48</v>
      </c>
      <c r="C331" s="40" t="s">
        <v>540</v>
      </c>
      <c r="D331" s="40">
        <v>2015</v>
      </c>
      <c r="E331" s="40">
        <v>2017</v>
      </c>
      <c r="F331" s="40" t="s">
        <v>1540</v>
      </c>
      <c r="G331" s="40" t="s">
        <v>455</v>
      </c>
      <c r="I331" s="40" t="s">
        <v>1257</v>
      </c>
      <c r="K331" s="40" t="s">
        <v>578</v>
      </c>
      <c r="P331" s="40">
        <v>1</v>
      </c>
      <c r="Q331" s="40">
        <v>1</v>
      </c>
      <c r="S331" s="40">
        <v>1</v>
      </c>
      <c r="Z331" s="40" t="s">
        <v>1544</v>
      </c>
      <c r="AA331" s="45">
        <v>0.1</v>
      </c>
      <c r="AB331" s="46">
        <f>IF(H2ProjectDB689571011[[#This Row],[Dummy_1]]="Electrolysis",
AA331/VLOOKUP(G331,ElectrolysisConvF,3,FALSE),
AC331*10^6/(H2dens*HoursInYear))</f>
        <v>19.230769230769234</v>
      </c>
      <c r="AC331" s="47">
        <f t="shared" si="27"/>
        <v>1.4993076923076923E-2</v>
      </c>
      <c r="AE331" s="46">
        <f t="shared" si="26"/>
        <v>19.230769230769234</v>
      </c>
      <c r="AF331" s="43" t="s">
        <v>943</v>
      </c>
      <c r="AG331" s="43">
        <v>0</v>
      </c>
      <c r="AH331" s="43">
        <v>0</v>
      </c>
      <c r="AI331" s="122" t="s">
        <v>7286</v>
      </c>
      <c r="AJ331" s="41">
        <v>0.56999999999999995</v>
      </c>
    </row>
    <row r="332" spans="1:36" ht="34.5" hidden="1" customHeight="1" x14ac:dyDescent="0.25">
      <c r="A332" s="40">
        <v>664</v>
      </c>
      <c r="B332" s="40" t="s">
        <v>8</v>
      </c>
      <c r="C332" s="40" t="s">
        <v>536</v>
      </c>
      <c r="D332" s="40">
        <v>2015</v>
      </c>
      <c r="E332" s="40">
        <v>2017</v>
      </c>
      <c r="F332" s="40" t="s">
        <v>1540</v>
      </c>
      <c r="G332" s="40" t="s">
        <v>456</v>
      </c>
      <c r="I332" s="40" t="s">
        <v>1257</v>
      </c>
      <c r="K332" s="40" t="s">
        <v>578</v>
      </c>
      <c r="R332" s="40">
        <v>1</v>
      </c>
      <c r="Z332" s="40" t="s">
        <v>1498</v>
      </c>
      <c r="AA332" s="78">
        <f>IF(H2ProjectDB689571011[[#This Row],[Dummy_1]]="Electrolysis",
AB332*VLOOKUP(G332,ElectrolysisConvF,3,FALSE),
"")</f>
        <v>3.7999999999999999E-2</v>
      </c>
      <c r="AB332" s="46">
        <v>10</v>
      </c>
      <c r="AC332" s="47">
        <f t="shared" si="27"/>
        <v>7.7963999999999985E-3</v>
      </c>
      <c r="AE332" s="46">
        <f t="shared" si="26"/>
        <v>10</v>
      </c>
      <c r="AF332" s="43" t="s">
        <v>781</v>
      </c>
      <c r="AG332" s="43">
        <v>0</v>
      </c>
      <c r="AH332" s="43">
        <v>0</v>
      </c>
      <c r="AI332" s="122" t="s">
        <v>7286</v>
      </c>
      <c r="AJ332" s="41">
        <v>0.56999999999999995</v>
      </c>
    </row>
    <row r="333" spans="1:36" ht="34.5" hidden="1" customHeight="1" x14ac:dyDescent="0.25">
      <c r="A333" s="40">
        <v>665</v>
      </c>
      <c r="B333" s="40" t="s">
        <v>11</v>
      </c>
      <c r="C333" s="40" t="s">
        <v>555</v>
      </c>
      <c r="D333" s="40">
        <v>2015</v>
      </c>
      <c r="E333" s="40">
        <v>2017</v>
      </c>
      <c r="F333" s="40" t="s">
        <v>1540</v>
      </c>
      <c r="G333" s="40" t="s">
        <v>457</v>
      </c>
      <c r="I333" s="40" t="s">
        <v>1257</v>
      </c>
      <c r="K333" s="40" t="s">
        <v>612</v>
      </c>
      <c r="X333" s="40">
        <v>1</v>
      </c>
      <c r="Y333" s="40">
        <v>1</v>
      </c>
      <c r="Z333" s="40" t="s">
        <v>1397</v>
      </c>
      <c r="AA333" s="45">
        <v>2.5000000000000001E-2</v>
      </c>
      <c r="AB333" s="46">
        <f>IF(H2ProjectDB689571011[[#This Row],[Dummy_1]]="Electrolysis",
AA333/VLOOKUP(G333,ElectrolysisConvF,3,FALSE),
AC333*10^6/(H2dens*HoursInYear))</f>
        <v>5.4347826086956523</v>
      </c>
      <c r="AC333" s="47">
        <f t="shared" si="27"/>
        <v>4.237173913043478E-3</v>
      </c>
      <c r="AE333" s="46">
        <f t="shared" si="26"/>
        <v>5.4347826086956523</v>
      </c>
      <c r="AF333" s="43" t="s">
        <v>1606</v>
      </c>
      <c r="AG333" s="43">
        <v>0</v>
      </c>
      <c r="AH333" s="43">
        <v>0</v>
      </c>
      <c r="AI333" s="122" t="s">
        <v>7286</v>
      </c>
      <c r="AJ333" s="41">
        <v>0.56999999999999995</v>
      </c>
    </row>
    <row r="334" spans="1:36" ht="34.5" hidden="1" customHeight="1" x14ac:dyDescent="0.25">
      <c r="A334" s="40">
        <v>666</v>
      </c>
      <c r="B334" s="40" t="s">
        <v>154</v>
      </c>
      <c r="C334" s="40" t="s">
        <v>1305</v>
      </c>
      <c r="D334" s="40">
        <v>2015</v>
      </c>
      <c r="E334" s="40">
        <v>2017</v>
      </c>
      <c r="F334" s="40" t="s">
        <v>1540</v>
      </c>
      <c r="G334" s="40" t="s">
        <v>456</v>
      </c>
      <c r="I334" s="40" t="s">
        <v>1257</v>
      </c>
      <c r="K334" s="40" t="s">
        <v>578</v>
      </c>
      <c r="R334" s="40">
        <v>1</v>
      </c>
      <c r="Z334" s="40" t="s">
        <v>1470</v>
      </c>
      <c r="AA334" s="45">
        <v>0.01</v>
      </c>
      <c r="AB334" s="46">
        <f>IF(H2ProjectDB689571011[[#This Row],[Dummy_1]]="Electrolysis",
AA334/VLOOKUP(G334,ElectrolysisConvF,3,FALSE),
AC334*10^6/(H2dens*HoursInYear))</f>
        <v>2.6315789473684212</v>
      </c>
      <c r="AC334" s="47">
        <f t="shared" si="27"/>
        <v>2.0516842105263158E-3</v>
      </c>
      <c r="AE334" s="46">
        <f t="shared" si="26"/>
        <v>2.6315789473684212</v>
      </c>
      <c r="AG334" s="43">
        <v>0</v>
      </c>
      <c r="AH334" s="43">
        <v>0</v>
      </c>
      <c r="AI334" s="122" t="s">
        <v>7286</v>
      </c>
      <c r="AJ334" s="41">
        <v>0.56999999999999995</v>
      </c>
    </row>
    <row r="335" spans="1:36" ht="34.5" hidden="1" customHeight="1" x14ac:dyDescent="0.25">
      <c r="A335" s="40">
        <v>667</v>
      </c>
      <c r="B335" s="40" t="s">
        <v>133</v>
      </c>
      <c r="C335" s="40" t="s">
        <v>555</v>
      </c>
      <c r="D335" s="40">
        <v>2015</v>
      </c>
      <c r="E335" s="40">
        <v>2017</v>
      </c>
      <c r="F335" s="40" t="s">
        <v>1540</v>
      </c>
      <c r="G335" s="40" t="s">
        <v>1259</v>
      </c>
      <c r="H335" s="40" t="s">
        <v>467</v>
      </c>
      <c r="I335" s="40" t="s">
        <v>1257</v>
      </c>
      <c r="K335" s="40" t="s">
        <v>612</v>
      </c>
      <c r="X335" s="40">
        <v>1</v>
      </c>
      <c r="Y335" s="40">
        <v>1</v>
      </c>
      <c r="AC335" s="47"/>
      <c r="AE335" s="46">
        <f t="shared" si="26"/>
        <v>0</v>
      </c>
      <c r="AF335" s="43" t="s">
        <v>1607</v>
      </c>
      <c r="AG335" s="43">
        <v>0</v>
      </c>
      <c r="AH335" s="43">
        <v>0</v>
      </c>
      <c r="AI335" s="122" t="s">
        <v>7286</v>
      </c>
      <c r="AJ335" s="41">
        <v>0.56999999999999995</v>
      </c>
    </row>
    <row r="336" spans="1:36" ht="34.5" hidden="1" customHeight="1" x14ac:dyDescent="0.25">
      <c r="A336" s="40">
        <v>668</v>
      </c>
      <c r="B336" s="40" t="s">
        <v>914</v>
      </c>
      <c r="C336" s="40" t="s">
        <v>1305</v>
      </c>
      <c r="D336" s="40">
        <v>2015</v>
      </c>
      <c r="E336" s="40">
        <v>2018</v>
      </c>
      <c r="F336" s="40" t="s">
        <v>1540</v>
      </c>
      <c r="G336" s="40" t="s">
        <v>1259</v>
      </c>
      <c r="H336" s="40" t="s">
        <v>467</v>
      </c>
      <c r="I336" s="40" t="s">
        <v>1257</v>
      </c>
      <c r="K336" s="40" t="s">
        <v>612</v>
      </c>
      <c r="X336" s="40">
        <v>1</v>
      </c>
      <c r="AC336" s="47"/>
      <c r="AE336" s="46">
        <f t="shared" si="26"/>
        <v>0</v>
      </c>
      <c r="AF336" s="43" t="s">
        <v>1608</v>
      </c>
      <c r="AG336" s="43">
        <v>0</v>
      </c>
      <c r="AH336" s="43">
        <v>0</v>
      </c>
      <c r="AI336" s="122" t="s">
        <v>7286</v>
      </c>
      <c r="AJ336" s="41">
        <v>0.56999999999999995</v>
      </c>
    </row>
    <row r="337" spans="1:36" ht="34.5" hidden="1" customHeight="1" x14ac:dyDescent="0.25">
      <c r="A337" s="40">
        <v>669</v>
      </c>
      <c r="B337" s="40" t="s">
        <v>129</v>
      </c>
      <c r="C337" s="40" t="s">
        <v>550</v>
      </c>
      <c r="D337" s="40">
        <v>2003</v>
      </c>
      <c r="E337" s="40">
        <v>2007</v>
      </c>
      <c r="F337" s="40" t="s">
        <v>1540</v>
      </c>
      <c r="G337" s="40" t="s">
        <v>457</v>
      </c>
      <c r="I337" s="40" t="s">
        <v>1257</v>
      </c>
      <c r="K337" s="40" t="s">
        <v>578</v>
      </c>
      <c r="Q337" s="40">
        <v>1</v>
      </c>
      <c r="Z337" s="40" t="s">
        <v>6889</v>
      </c>
      <c r="AA337" s="78">
        <f>IF(H2ProjectDB689571011[[#This Row],[Dummy_1]]="Electrolysis",
AB337*VLOOKUP(G337,ElectrolysisConvF,3,FALSE),
"")</f>
        <v>0.27600000000000002</v>
      </c>
      <c r="AB337" s="46">
        <v>60</v>
      </c>
      <c r="AC337" s="47">
        <f t="shared" ref="AC337:AC342" si="28">AB337*H2dens*HoursInYear/10^6</f>
        <v>4.6778400000000005E-2</v>
      </c>
      <c r="AE337" s="46">
        <f t="shared" si="26"/>
        <v>60</v>
      </c>
      <c r="AF337" s="43" t="s">
        <v>723</v>
      </c>
      <c r="AG337" s="43">
        <v>64.772964625049596</v>
      </c>
      <c r="AH337" s="43">
        <v>-15.566813786136899</v>
      </c>
      <c r="AI337" s="122" t="s">
        <v>7286</v>
      </c>
      <c r="AJ337" s="41">
        <v>0.56999999999999995</v>
      </c>
    </row>
    <row r="338" spans="1:36" ht="34.5" hidden="1" customHeight="1" x14ac:dyDescent="0.25">
      <c r="A338" s="40">
        <v>670</v>
      </c>
      <c r="B338" s="40" t="s">
        <v>83</v>
      </c>
      <c r="C338" s="40" t="s">
        <v>1305</v>
      </c>
      <c r="D338" s="40">
        <v>2009</v>
      </c>
      <c r="E338" s="40">
        <v>2013</v>
      </c>
      <c r="F338" s="40" t="s">
        <v>1540</v>
      </c>
      <c r="G338" s="40" t="s">
        <v>457</v>
      </c>
      <c r="I338" s="40" t="s">
        <v>1257</v>
      </c>
      <c r="K338" s="40" t="s">
        <v>612</v>
      </c>
      <c r="Y338" s="40">
        <v>1</v>
      </c>
      <c r="Z338" s="40" t="s">
        <v>1491</v>
      </c>
      <c r="AA338" s="45">
        <v>0.25</v>
      </c>
      <c r="AB338" s="46">
        <f>IF(H2ProjectDB689571011[[#This Row],[Dummy_1]]="Electrolysis",
AA338/VLOOKUP(G338,ElectrolysisConvF,3,FALSE),
AC338*10^6/(H2dens*HoursInYear))</f>
        <v>54.347826086956523</v>
      </c>
      <c r="AC338" s="47">
        <f t="shared" si="28"/>
        <v>4.237173913043478E-2</v>
      </c>
      <c r="AE338" s="46">
        <f t="shared" si="26"/>
        <v>54.347826086956523</v>
      </c>
      <c r="AF338" s="43" t="s">
        <v>1609</v>
      </c>
      <c r="AG338" s="43">
        <v>0</v>
      </c>
      <c r="AH338" s="43">
        <v>0</v>
      </c>
      <c r="AI338" s="122" t="s">
        <v>7286</v>
      </c>
      <c r="AJ338" s="41">
        <v>0.56999999999999995</v>
      </c>
    </row>
    <row r="339" spans="1:36" ht="34.5" hidden="1" customHeight="1" x14ac:dyDescent="0.25">
      <c r="A339" s="40">
        <v>671</v>
      </c>
      <c r="B339" s="40" t="s">
        <v>160</v>
      </c>
      <c r="C339" s="40" t="s">
        <v>538</v>
      </c>
      <c r="D339" s="40">
        <v>2016</v>
      </c>
      <c r="E339" s="40">
        <v>2019</v>
      </c>
      <c r="F339" s="40" t="s">
        <v>1540</v>
      </c>
      <c r="G339" s="40" t="s">
        <v>455</v>
      </c>
      <c r="I339" s="40" t="s">
        <v>1257</v>
      </c>
      <c r="K339" s="40" t="s">
        <v>578</v>
      </c>
      <c r="Q339" s="40">
        <v>1</v>
      </c>
      <c r="T339" s="40">
        <v>1</v>
      </c>
      <c r="Z339" s="40" t="s">
        <v>6899</v>
      </c>
      <c r="AA339" s="78">
        <f>IF(H2ProjectDB689571011[[#This Row],[Dummy_1]]="Electrolysis",
AB339*VLOOKUP(G339,ElectrolysisConvF,3,FALSE),
"")</f>
        <v>0.182</v>
      </c>
      <c r="AB339" s="46">
        <v>35</v>
      </c>
      <c r="AC339" s="47">
        <f t="shared" si="28"/>
        <v>2.7287399999999996E-2</v>
      </c>
      <c r="AE339" s="46">
        <f t="shared" si="26"/>
        <v>35</v>
      </c>
      <c r="AF339" s="43" t="s">
        <v>717</v>
      </c>
      <c r="AG339" s="43">
        <v>0</v>
      </c>
      <c r="AH339" s="43">
        <v>0</v>
      </c>
      <c r="AI339" s="122" t="s">
        <v>7286</v>
      </c>
      <c r="AJ339" s="41">
        <v>0.56999999999999995</v>
      </c>
    </row>
    <row r="340" spans="1:36" ht="34.5" hidden="1" customHeight="1" x14ac:dyDescent="0.25">
      <c r="A340" s="40">
        <v>672</v>
      </c>
      <c r="B340" s="40" t="s">
        <v>938</v>
      </c>
      <c r="C340" s="40" t="s">
        <v>536</v>
      </c>
      <c r="D340" s="40">
        <v>2016</v>
      </c>
      <c r="E340" s="40">
        <v>2017</v>
      </c>
      <c r="F340" s="40" t="s">
        <v>1540</v>
      </c>
      <c r="G340" s="40" t="s">
        <v>455</v>
      </c>
      <c r="I340" s="40" t="s">
        <v>1257</v>
      </c>
      <c r="K340" s="40" t="s">
        <v>578</v>
      </c>
      <c r="Q340" s="40">
        <v>1</v>
      </c>
      <c r="Z340" s="40" t="s">
        <v>6900</v>
      </c>
      <c r="AA340" s="78">
        <f>IF(H2ProjectDB689571011[[#This Row],[Dummy_1]]="Electrolysis",
AB340*VLOOKUP(G340,ElectrolysisConvF,3,FALSE),
"")</f>
        <v>6.7599999999999993E-2</v>
      </c>
      <c r="AB340" s="46">
        <v>13</v>
      </c>
      <c r="AC340" s="47">
        <f t="shared" si="28"/>
        <v>1.013532E-2</v>
      </c>
      <c r="AE340" s="46">
        <f t="shared" si="26"/>
        <v>13</v>
      </c>
      <c r="AF340" s="43" t="s">
        <v>941</v>
      </c>
      <c r="AG340" s="43">
        <v>0</v>
      </c>
      <c r="AH340" s="43">
        <v>0</v>
      </c>
      <c r="AI340" s="122" t="s">
        <v>7286</v>
      </c>
      <c r="AJ340" s="41">
        <v>0.56999999999999995</v>
      </c>
    </row>
    <row r="341" spans="1:36" ht="34.5" hidden="1" customHeight="1" x14ac:dyDescent="0.25">
      <c r="A341" s="40">
        <v>673</v>
      </c>
      <c r="B341" s="40" t="s">
        <v>915</v>
      </c>
      <c r="C341" s="40" t="s">
        <v>1305</v>
      </c>
      <c r="D341" s="40">
        <v>2016</v>
      </c>
      <c r="E341" s="40">
        <v>2017</v>
      </c>
      <c r="F341" s="40" t="s">
        <v>1540</v>
      </c>
      <c r="G341" s="40" t="s">
        <v>456</v>
      </c>
      <c r="I341" s="40" t="s">
        <v>1257</v>
      </c>
      <c r="K341" s="40" t="s">
        <v>612</v>
      </c>
      <c r="X341" s="40">
        <v>1</v>
      </c>
      <c r="Y341" s="40">
        <v>1</v>
      </c>
      <c r="Z341" s="40" t="s">
        <v>1507</v>
      </c>
      <c r="AA341" s="45">
        <v>1.4999999999999999E-2</v>
      </c>
      <c r="AB341" s="46">
        <f>IF(H2ProjectDB689571011[[#This Row],[Dummy_1]]="Electrolysis",
AA341/VLOOKUP(G341,ElectrolysisConvF,3,FALSE),
AC341*10^6/(H2dens*HoursInYear))</f>
        <v>3.9473684210526314</v>
      </c>
      <c r="AC341" s="47">
        <f t="shared" si="28"/>
        <v>3.0775263157894733E-3</v>
      </c>
      <c r="AE341" s="46">
        <f t="shared" si="26"/>
        <v>3.9473684210526314</v>
      </c>
      <c r="AF341" s="43" t="s">
        <v>1610</v>
      </c>
      <c r="AG341" s="43">
        <v>0</v>
      </c>
      <c r="AH341" s="43">
        <v>0</v>
      </c>
      <c r="AI341" s="122" t="s">
        <v>7286</v>
      </c>
      <c r="AJ341" s="41">
        <v>0.56999999999999995</v>
      </c>
    </row>
    <row r="342" spans="1:36" ht="34.5" hidden="1" customHeight="1" x14ac:dyDescent="0.25">
      <c r="A342" s="40">
        <v>674</v>
      </c>
      <c r="B342" s="40" t="s">
        <v>939</v>
      </c>
      <c r="C342" s="40" t="s">
        <v>536</v>
      </c>
      <c r="D342" s="40">
        <v>2016</v>
      </c>
      <c r="E342" s="40">
        <v>2017</v>
      </c>
      <c r="F342" s="40" t="s">
        <v>1540</v>
      </c>
      <c r="G342" s="40" t="s">
        <v>455</v>
      </c>
      <c r="I342" s="40" t="s">
        <v>1257</v>
      </c>
      <c r="K342" s="40" t="s">
        <v>578</v>
      </c>
      <c r="Q342" s="40">
        <v>1</v>
      </c>
      <c r="Z342" s="40" t="s">
        <v>6530</v>
      </c>
      <c r="AA342" s="78">
        <f>IF(H2ProjectDB689571011[[#This Row],[Dummy_1]]="Electrolysis",
AB342*VLOOKUP(G342,ElectrolysisConvF,3,FALSE),
"")</f>
        <v>5.1999999999999998E-3</v>
      </c>
      <c r="AB342" s="46">
        <v>1</v>
      </c>
      <c r="AC342" s="47">
        <f t="shared" si="28"/>
        <v>7.7963999999999996E-4</v>
      </c>
      <c r="AE342" s="46">
        <f t="shared" si="26"/>
        <v>1</v>
      </c>
      <c r="AF342" s="43" t="s">
        <v>941</v>
      </c>
      <c r="AG342" s="43">
        <v>0</v>
      </c>
      <c r="AH342" s="43">
        <v>0</v>
      </c>
      <c r="AI342" s="122" t="s">
        <v>7286</v>
      </c>
      <c r="AJ342" s="41">
        <v>0.56999999999999995</v>
      </c>
    </row>
    <row r="343" spans="1:36" ht="34.5" hidden="1" customHeight="1" x14ac:dyDescent="0.25">
      <c r="A343" s="40">
        <v>675</v>
      </c>
      <c r="B343" s="40" t="s">
        <v>462</v>
      </c>
      <c r="C343" s="40" t="s">
        <v>538</v>
      </c>
      <c r="D343" s="40">
        <v>2016</v>
      </c>
      <c r="E343" s="40">
        <v>2019</v>
      </c>
      <c r="F343" s="40" t="s">
        <v>1540</v>
      </c>
      <c r="G343" s="40" t="s">
        <v>1261</v>
      </c>
      <c r="H343" s="40" t="s">
        <v>5709</v>
      </c>
      <c r="K343" s="40" t="s">
        <v>578</v>
      </c>
      <c r="Q343" s="40">
        <v>1</v>
      </c>
      <c r="Z343" s="40" t="s">
        <v>1621</v>
      </c>
      <c r="AC343" s="47"/>
      <c r="AD343" s="46">
        <v>100000</v>
      </c>
      <c r="AE343" s="46">
        <f>IF(AND(G343&lt;&gt;"NG w CCUS",G343&lt;&gt;"Oil w CCUS",G343&lt;&gt;"Coal w CCUS"),AB343,AD343*10^3/(HoursInYear*IF(G343="NG w CCUS",0.9105,1.9075)))</f>
        <v>12537.644276941517</v>
      </c>
      <c r="AF343" s="43" t="s">
        <v>658</v>
      </c>
      <c r="AG343" s="43">
        <v>42.634858160732101</v>
      </c>
      <c r="AH343" s="43">
        <v>141.61484675284001</v>
      </c>
      <c r="AI343" s="122" t="s">
        <v>7287</v>
      </c>
      <c r="AJ343" s="41">
        <v>0.9</v>
      </c>
    </row>
    <row r="344" spans="1:36" ht="34.5" hidden="1" customHeight="1" x14ac:dyDescent="0.25">
      <c r="A344" s="40">
        <v>676</v>
      </c>
      <c r="B344" s="40" t="s">
        <v>9</v>
      </c>
      <c r="C344" s="40" t="s">
        <v>1305</v>
      </c>
      <c r="D344" s="40">
        <v>2017</v>
      </c>
      <c r="E344" s="40">
        <v>2019</v>
      </c>
      <c r="F344" s="40" t="s">
        <v>1540</v>
      </c>
      <c r="G344" s="40" t="s">
        <v>456</v>
      </c>
      <c r="I344" s="40" t="s">
        <v>1257</v>
      </c>
      <c r="K344" s="40" t="s">
        <v>578</v>
      </c>
      <c r="O344" s="40">
        <v>1</v>
      </c>
      <c r="Z344" s="40" t="s">
        <v>1623</v>
      </c>
      <c r="AA344" s="45">
        <v>0.15</v>
      </c>
      <c r="AB344" s="46">
        <f>IF(H2ProjectDB689571011[[#This Row],[Dummy_1]]="Electrolysis",
AA344/VLOOKUP(G344,ElectrolysisConvF,3,FALSE),
AC344*10^6/(H2dens*HoursInYear))</f>
        <v>39.473684210526315</v>
      </c>
      <c r="AC344" s="47">
        <f t="shared" ref="AC344:AC359" si="29">AB344*H2dens*HoursInYear/10^6</f>
        <v>3.0775263157894736E-2</v>
      </c>
      <c r="AE344" s="46">
        <f t="shared" ref="AE344:AE372" si="30">AB344</f>
        <v>39.473684210526315</v>
      </c>
      <c r="AF344" s="43" t="s">
        <v>641</v>
      </c>
      <c r="AG344" s="43">
        <v>0</v>
      </c>
      <c r="AH344" s="43">
        <v>0</v>
      </c>
      <c r="AI344" s="122" t="s">
        <v>7286</v>
      </c>
      <c r="AJ344" s="41">
        <v>0.56999999999999995</v>
      </c>
    </row>
    <row r="345" spans="1:36" ht="34.5" hidden="1" customHeight="1" x14ac:dyDescent="0.25">
      <c r="A345" s="40">
        <v>677</v>
      </c>
      <c r="B345" s="40" t="s">
        <v>162</v>
      </c>
      <c r="C345" s="40" t="s">
        <v>538</v>
      </c>
      <c r="D345" s="40">
        <v>2017</v>
      </c>
      <c r="E345" s="40">
        <v>2019</v>
      </c>
      <c r="F345" s="40" t="s">
        <v>1540</v>
      </c>
      <c r="G345" s="40" t="s">
        <v>457</v>
      </c>
      <c r="I345" s="40" t="s">
        <v>1257</v>
      </c>
      <c r="K345" s="40" t="s">
        <v>578</v>
      </c>
      <c r="T345" s="40">
        <v>1</v>
      </c>
      <c r="Z345" s="40" t="s">
        <v>1624</v>
      </c>
      <c r="AA345" s="45">
        <v>0.13500000000000001</v>
      </c>
      <c r="AB345" s="46">
        <f>IF(H2ProjectDB689571011[[#This Row],[Dummy_1]]="Electrolysis",
AA345/VLOOKUP(G345,ElectrolysisConvF,3,FALSE),
AC345*10^6/(H2dens*HoursInYear))</f>
        <v>29.347826086956523</v>
      </c>
      <c r="AC345" s="47">
        <f t="shared" si="29"/>
        <v>2.2880739130434782E-2</v>
      </c>
      <c r="AE345" s="46">
        <f t="shared" si="30"/>
        <v>29.347826086956523</v>
      </c>
      <c r="AF345" s="43" t="s">
        <v>715</v>
      </c>
      <c r="AG345" s="43">
        <v>0</v>
      </c>
      <c r="AH345" s="43">
        <v>0</v>
      </c>
      <c r="AI345" s="122" t="s">
        <v>7286</v>
      </c>
      <c r="AJ345" s="41">
        <v>0.56999999999999995</v>
      </c>
    </row>
    <row r="346" spans="1:36" ht="34.5" hidden="1" customHeight="1" x14ac:dyDescent="0.25">
      <c r="A346" s="40">
        <v>678</v>
      </c>
      <c r="B346" s="40" t="s">
        <v>164</v>
      </c>
      <c r="C346" s="40" t="s">
        <v>538</v>
      </c>
      <c r="D346" s="40">
        <v>2017</v>
      </c>
      <c r="E346" s="40">
        <v>2018</v>
      </c>
      <c r="F346" s="40" t="s">
        <v>1540</v>
      </c>
      <c r="G346" s="40" t="s">
        <v>455</v>
      </c>
      <c r="I346" s="40" t="s">
        <v>1257</v>
      </c>
      <c r="K346" s="40" t="s">
        <v>578</v>
      </c>
      <c r="Q346" s="40">
        <v>1</v>
      </c>
      <c r="Z346" s="40" t="s">
        <v>6558</v>
      </c>
      <c r="AA346" s="78">
        <f>IF(H2ProjectDB689571011[[#This Row],[Dummy_1]]="Electrolysis",
AB346*VLOOKUP(G346,ElectrolysisConvF,3,FALSE),
"")</f>
        <v>0.52</v>
      </c>
      <c r="AB346" s="46">
        <v>100</v>
      </c>
      <c r="AC346" s="47">
        <f t="shared" si="29"/>
        <v>7.7964000000000006E-2</v>
      </c>
      <c r="AE346" s="46">
        <f t="shared" si="30"/>
        <v>100</v>
      </c>
      <c r="AF346" s="43" t="s">
        <v>718</v>
      </c>
      <c r="AG346" s="43">
        <v>0</v>
      </c>
      <c r="AH346" s="43">
        <v>0</v>
      </c>
      <c r="AI346" s="122" t="s">
        <v>7286</v>
      </c>
      <c r="AJ346" s="41">
        <v>0.56999999999999995</v>
      </c>
    </row>
    <row r="347" spans="1:36" ht="34.5" hidden="1" customHeight="1" x14ac:dyDescent="0.25">
      <c r="A347" s="40">
        <v>679</v>
      </c>
      <c r="B347" s="40" t="s">
        <v>589</v>
      </c>
      <c r="C347" s="40" t="s">
        <v>530</v>
      </c>
      <c r="D347" s="40">
        <v>2018</v>
      </c>
      <c r="E347" s="40">
        <v>2020</v>
      </c>
      <c r="F347" s="40" t="s">
        <v>1540</v>
      </c>
      <c r="G347" s="40" t="s">
        <v>455</v>
      </c>
      <c r="I347" s="40" t="s">
        <v>1257</v>
      </c>
      <c r="K347" s="40" t="s">
        <v>578</v>
      </c>
      <c r="Q347" s="40">
        <v>1</v>
      </c>
      <c r="S347" s="40">
        <v>1</v>
      </c>
      <c r="Z347" s="40" t="s">
        <v>6558</v>
      </c>
      <c r="AA347" s="78">
        <f>IF(H2ProjectDB689571011[[#This Row],[Dummy_1]]="Electrolysis",
AB347*VLOOKUP(G347,ElectrolysisConvF,3,FALSE),
"")</f>
        <v>0.52</v>
      </c>
      <c r="AB347" s="46">
        <v>100</v>
      </c>
      <c r="AC347" s="47">
        <f t="shared" si="29"/>
        <v>7.7964000000000006E-2</v>
      </c>
      <c r="AE347" s="46">
        <f t="shared" si="30"/>
        <v>100</v>
      </c>
      <c r="AF347" s="43" t="s">
        <v>588</v>
      </c>
      <c r="AG347" s="43">
        <v>0</v>
      </c>
      <c r="AH347" s="43">
        <v>0</v>
      </c>
      <c r="AI347" s="122" t="s">
        <v>7286</v>
      </c>
      <c r="AJ347" s="41">
        <v>0.56999999999999995</v>
      </c>
    </row>
    <row r="348" spans="1:36" ht="34.5" hidden="1" customHeight="1" x14ac:dyDescent="0.25">
      <c r="A348" s="40">
        <v>680</v>
      </c>
      <c r="B348" s="40" t="s">
        <v>1006</v>
      </c>
      <c r="C348" s="40" t="s">
        <v>1764</v>
      </c>
      <c r="D348" s="40">
        <v>2019</v>
      </c>
      <c r="E348" s="40">
        <v>2020</v>
      </c>
      <c r="F348" s="40" t="s">
        <v>1540</v>
      </c>
      <c r="G348" s="40" t="s">
        <v>455</v>
      </c>
      <c r="I348" s="40" t="s">
        <v>1257</v>
      </c>
      <c r="K348" s="40" t="s">
        <v>578</v>
      </c>
      <c r="R348" s="40">
        <v>1</v>
      </c>
      <c r="Z348" s="40" t="s">
        <v>1477</v>
      </c>
      <c r="AA348" s="45">
        <v>0.05</v>
      </c>
      <c r="AB348" s="46">
        <f>IF(H2ProjectDB689571011[[#This Row],[Dummy_1]]="Electrolysis",
AA348/VLOOKUP(G348,ElectrolysisConvF,3,FALSE),
AC348*10^6/(H2dens*HoursInYear))</f>
        <v>9.6153846153846168</v>
      </c>
      <c r="AC348" s="47">
        <f t="shared" si="29"/>
        <v>7.4965384615384616E-3</v>
      </c>
      <c r="AE348" s="46">
        <f t="shared" si="30"/>
        <v>9.6153846153846168</v>
      </c>
      <c r="AF348" s="43" t="s">
        <v>1008</v>
      </c>
      <c r="AG348" s="43">
        <v>0</v>
      </c>
      <c r="AH348" s="43">
        <v>0</v>
      </c>
      <c r="AI348" s="122" t="s">
        <v>7286</v>
      </c>
      <c r="AJ348" s="41">
        <v>0.56999999999999995</v>
      </c>
    </row>
    <row r="349" spans="1:36" ht="34.5" hidden="1" customHeight="1" x14ac:dyDescent="0.25">
      <c r="A349" s="40">
        <v>681</v>
      </c>
      <c r="B349" s="40" t="s">
        <v>45</v>
      </c>
      <c r="C349" s="40" t="s">
        <v>1764</v>
      </c>
      <c r="D349" s="40">
        <v>2008</v>
      </c>
      <c r="E349" s="40">
        <v>2009</v>
      </c>
      <c r="F349" s="40" t="s">
        <v>1540</v>
      </c>
      <c r="G349" s="40" t="s">
        <v>455</v>
      </c>
      <c r="I349" s="40" t="s">
        <v>1257</v>
      </c>
      <c r="K349" s="40" t="s">
        <v>578</v>
      </c>
      <c r="R349" s="40">
        <v>1</v>
      </c>
      <c r="Z349" s="40" t="s">
        <v>1625</v>
      </c>
      <c r="AA349" s="45">
        <v>4.1000000000000002E-2</v>
      </c>
      <c r="AB349" s="46">
        <f>IF(H2ProjectDB689571011[[#This Row],[Dummy_1]]="Electrolysis",
AA349/VLOOKUP(G349,ElectrolysisConvF,3,FALSE),
AC349*10^6/(H2dens*HoursInYear))</f>
        <v>7.884615384615385</v>
      </c>
      <c r="AC349" s="47">
        <f t="shared" si="29"/>
        <v>6.1471615384615392E-3</v>
      </c>
      <c r="AE349" s="46">
        <f t="shared" si="30"/>
        <v>7.884615384615385</v>
      </c>
      <c r="AF349" s="43" t="s">
        <v>1611</v>
      </c>
      <c r="AG349" s="43">
        <v>0</v>
      </c>
      <c r="AH349" s="43">
        <v>0</v>
      </c>
      <c r="AI349" s="122" t="s">
        <v>7286</v>
      </c>
      <c r="AJ349" s="41">
        <v>0.56999999999999995</v>
      </c>
    </row>
    <row r="350" spans="1:36" ht="34.5" hidden="1" customHeight="1" x14ac:dyDescent="0.25">
      <c r="A350" s="40">
        <v>682</v>
      </c>
      <c r="B350" s="40" t="s">
        <v>33</v>
      </c>
      <c r="C350" s="40" t="s">
        <v>1305</v>
      </c>
      <c r="D350" s="40">
        <v>2005</v>
      </c>
      <c r="E350" s="40">
        <v>2008</v>
      </c>
      <c r="F350" s="40" t="s">
        <v>1540</v>
      </c>
      <c r="G350" s="40" t="s">
        <v>455</v>
      </c>
      <c r="I350" s="40" t="s">
        <v>1257</v>
      </c>
      <c r="K350" s="40" t="s">
        <v>578</v>
      </c>
      <c r="R350" s="40">
        <v>1</v>
      </c>
      <c r="Z350" s="40" t="s">
        <v>6556</v>
      </c>
      <c r="AA350" s="78">
        <f>IF(H2ProjectDB689571011[[#This Row],[Dummy_1]]="Electrolysis",
AB350*VLOOKUP(G350,ElectrolysisConvF,3,FALSE),
"")</f>
        <v>3.2759999999999997E-2</v>
      </c>
      <c r="AB350" s="46">
        <v>6.3</v>
      </c>
      <c r="AC350" s="47">
        <f t="shared" si="29"/>
        <v>4.9117320000000003E-3</v>
      </c>
      <c r="AE350" s="46">
        <f t="shared" si="30"/>
        <v>6.3</v>
      </c>
      <c r="AF350" s="43" t="s">
        <v>887</v>
      </c>
      <c r="AG350" s="43">
        <v>0</v>
      </c>
      <c r="AH350" s="43">
        <v>0</v>
      </c>
      <c r="AI350" s="122" t="s">
        <v>7286</v>
      </c>
      <c r="AJ350" s="41">
        <v>0.56999999999999995</v>
      </c>
    </row>
    <row r="351" spans="1:36" ht="34.5" hidden="1" customHeight="1" x14ac:dyDescent="0.25">
      <c r="A351" s="40">
        <v>683</v>
      </c>
      <c r="B351" s="40" t="s">
        <v>12</v>
      </c>
      <c r="C351" s="40" t="s">
        <v>530</v>
      </c>
      <c r="D351" s="40">
        <v>2020</v>
      </c>
      <c r="E351" s="40">
        <v>2023</v>
      </c>
      <c r="F351" s="40" t="s">
        <v>1540</v>
      </c>
      <c r="G351" s="40" t="s">
        <v>457</v>
      </c>
      <c r="I351" s="40" t="s">
        <v>1257</v>
      </c>
      <c r="K351" s="40" t="s">
        <v>1268</v>
      </c>
      <c r="S351" s="40">
        <v>1</v>
      </c>
      <c r="X351" s="40">
        <v>1</v>
      </c>
      <c r="Z351" s="40" t="s">
        <v>1447</v>
      </c>
      <c r="AA351" s="45">
        <v>1</v>
      </c>
      <c r="AB351" s="46">
        <f>IF(H2ProjectDB689571011[[#This Row],[Dummy_1]]="Electrolysis",
AA351/VLOOKUP(G351,ElectrolysisConvF,3,FALSE),
AC351*10^6/(H2dens*HoursInYear))</f>
        <v>217.39130434782609</v>
      </c>
      <c r="AC351" s="47">
        <f t="shared" si="29"/>
        <v>0.16948695652173912</v>
      </c>
      <c r="AE351" s="46">
        <f t="shared" si="30"/>
        <v>217.39130434782609</v>
      </c>
      <c r="AF351" s="43" t="s">
        <v>687</v>
      </c>
      <c r="AG351" s="43">
        <v>43.436969829532501</v>
      </c>
      <c r="AH351" s="43">
        <v>4.9477899112000898</v>
      </c>
      <c r="AI351" s="122" t="s">
        <v>7286</v>
      </c>
      <c r="AJ351" s="41">
        <v>0.56999999999999995</v>
      </c>
    </row>
    <row r="352" spans="1:36" ht="34.5" hidden="1" customHeight="1" x14ac:dyDescent="0.25">
      <c r="A352" s="40">
        <v>684</v>
      </c>
      <c r="B352" s="40" t="s">
        <v>44</v>
      </c>
      <c r="C352" s="40" t="s">
        <v>536</v>
      </c>
      <c r="D352" s="40">
        <v>2007</v>
      </c>
      <c r="F352" s="40" t="s">
        <v>1540</v>
      </c>
      <c r="G352" s="40" t="s">
        <v>455</v>
      </c>
      <c r="I352" s="40" t="s">
        <v>1257</v>
      </c>
      <c r="K352" s="40" t="s">
        <v>578</v>
      </c>
      <c r="Q352" s="40">
        <v>1</v>
      </c>
      <c r="R352" s="40">
        <v>1</v>
      </c>
      <c r="Z352" s="40" t="s">
        <v>1502</v>
      </c>
      <c r="AA352" s="45">
        <v>5.0000000000000001E-3</v>
      </c>
      <c r="AB352" s="46">
        <f>IF(H2ProjectDB689571011[[#This Row],[Dummy_1]]="Electrolysis",
AA352/VLOOKUP(G352,ElectrolysisConvF,3,FALSE),
AC352*10^6/(H2dens*HoursInYear))</f>
        <v>0.96153846153846156</v>
      </c>
      <c r="AC352" s="47">
        <f t="shared" si="29"/>
        <v>7.4965384615384618E-4</v>
      </c>
      <c r="AE352" s="46">
        <f t="shared" si="30"/>
        <v>0.96153846153846156</v>
      </c>
      <c r="AF352" s="43" t="s">
        <v>1612</v>
      </c>
      <c r="AG352" s="43">
        <v>19.862473530507099</v>
      </c>
      <c r="AH352" s="43">
        <v>-155.55597890339899</v>
      </c>
      <c r="AI352" s="122" t="s">
        <v>7286</v>
      </c>
      <c r="AJ352" s="41">
        <v>0.56999999999999995</v>
      </c>
    </row>
    <row r="353" spans="1:36" ht="34.5" hidden="1" customHeight="1" x14ac:dyDescent="0.25">
      <c r="A353" s="40">
        <v>685</v>
      </c>
      <c r="B353" s="40" t="s">
        <v>74</v>
      </c>
      <c r="C353" s="40" t="s">
        <v>530</v>
      </c>
      <c r="D353" s="40">
        <v>2000</v>
      </c>
      <c r="E353" s="40">
        <v>2004</v>
      </c>
      <c r="F353" s="40" t="s">
        <v>1540</v>
      </c>
      <c r="G353" s="40" t="s">
        <v>457</v>
      </c>
      <c r="I353" s="40" t="s">
        <v>1257</v>
      </c>
      <c r="K353" s="40" t="s">
        <v>578</v>
      </c>
      <c r="R353" s="40">
        <v>1</v>
      </c>
      <c r="Z353" s="40" t="s">
        <v>1626</v>
      </c>
      <c r="AA353" s="45">
        <v>3.5999999999999999E-3</v>
      </c>
      <c r="AB353" s="46">
        <f>IF(H2ProjectDB689571011[[#This Row],[Dummy_1]]="Electrolysis",
AA353/VLOOKUP(G353,ElectrolysisConvF,3,FALSE),
AC353*10^6/(H2dens*HoursInYear))</f>
        <v>0.78260869565217395</v>
      </c>
      <c r="AC353" s="47">
        <f t="shared" si="29"/>
        <v>6.1015304347826081E-4</v>
      </c>
      <c r="AE353" s="46">
        <f t="shared" si="30"/>
        <v>0.78260869565217395</v>
      </c>
      <c r="AF353" s="43" t="s">
        <v>1613</v>
      </c>
      <c r="AG353" s="43">
        <v>43.627210389452401</v>
      </c>
      <c r="AH353" s="43">
        <v>7.0459250200070098</v>
      </c>
      <c r="AI353" s="122" t="s">
        <v>7286</v>
      </c>
      <c r="AJ353" s="41">
        <v>0.56999999999999995</v>
      </c>
    </row>
    <row r="354" spans="1:36" ht="34.5" hidden="1" customHeight="1" x14ac:dyDescent="0.25">
      <c r="A354" s="40">
        <v>686</v>
      </c>
      <c r="B354" s="40" t="s">
        <v>73</v>
      </c>
      <c r="C354" s="40" t="s">
        <v>541</v>
      </c>
      <c r="D354" s="40">
        <v>2004</v>
      </c>
      <c r="E354" s="40">
        <v>2004</v>
      </c>
      <c r="F354" s="40" t="s">
        <v>1540</v>
      </c>
      <c r="G354" s="40" t="s">
        <v>457</v>
      </c>
      <c r="I354" s="40" t="s">
        <v>1257</v>
      </c>
      <c r="K354" s="40" t="s">
        <v>578</v>
      </c>
      <c r="R354" s="40">
        <v>1</v>
      </c>
      <c r="Z354" s="40" t="s">
        <v>1627</v>
      </c>
      <c r="AA354" s="45">
        <v>3.3999999999999998E-3</v>
      </c>
      <c r="AB354" s="46">
        <f>IF(H2ProjectDB689571011[[#This Row],[Dummy_1]]="Electrolysis",
AA354/VLOOKUP(G354,ElectrolysisConvF,3,FALSE),
AC354*10^6/(H2dens*HoursInYear))</f>
        <v>0.73913043478260865</v>
      </c>
      <c r="AC354" s="47">
        <f t="shared" si="29"/>
        <v>5.7625565217391298E-4</v>
      </c>
      <c r="AE354" s="46">
        <f t="shared" si="30"/>
        <v>0.73913043478260865</v>
      </c>
      <c r="AF354" s="43" t="s">
        <v>1614</v>
      </c>
      <c r="AG354" s="43">
        <v>0</v>
      </c>
      <c r="AH354" s="43">
        <v>0</v>
      </c>
      <c r="AI354" s="122" t="s">
        <v>7286</v>
      </c>
      <c r="AJ354" s="41">
        <v>0.56999999999999995</v>
      </c>
    </row>
    <row r="355" spans="1:36" ht="34.5" hidden="1" customHeight="1" x14ac:dyDescent="0.25">
      <c r="A355" s="40">
        <v>687</v>
      </c>
      <c r="B355" s="40" t="s">
        <v>922</v>
      </c>
      <c r="C355" s="40" t="s">
        <v>538</v>
      </c>
      <c r="D355" s="40">
        <v>2005</v>
      </c>
      <c r="E355" s="40">
        <v>2005</v>
      </c>
      <c r="F355" s="40" t="s">
        <v>1540</v>
      </c>
      <c r="G355" s="40" t="s">
        <v>455</v>
      </c>
      <c r="I355" s="40" t="s">
        <v>1257</v>
      </c>
      <c r="K355" s="40" t="s">
        <v>578</v>
      </c>
      <c r="R355" s="40">
        <v>1</v>
      </c>
      <c r="Z355" s="40" t="s">
        <v>6554</v>
      </c>
      <c r="AA355" s="127">
        <f>IF(H2ProjectDB689571011[[#This Row],[Dummy_1]]="Electrolysis",
AB355*VLOOKUP(G355,ElectrolysisConvF,3,FALSE),
"")</f>
        <v>3.6399999999999996E-3</v>
      </c>
      <c r="AB355" s="46">
        <v>0.7</v>
      </c>
      <c r="AC355" s="47">
        <f t="shared" si="29"/>
        <v>5.4574799999999998E-4</v>
      </c>
      <c r="AE355" s="46">
        <f t="shared" si="30"/>
        <v>0.7</v>
      </c>
      <c r="AF355" s="43" t="s">
        <v>1615</v>
      </c>
      <c r="AG355" s="43">
        <v>0</v>
      </c>
      <c r="AH355" s="43">
        <v>0</v>
      </c>
      <c r="AI355" s="122" t="s">
        <v>7286</v>
      </c>
      <c r="AJ355" s="41">
        <v>0.56999999999999995</v>
      </c>
    </row>
    <row r="356" spans="1:36" ht="34.5" hidden="1" customHeight="1" x14ac:dyDescent="0.25">
      <c r="A356" s="40">
        <v>688</v>
      </c>
      <c r="B356" s="40" t="s">
        <v>16</v>
      </c>
      <c r="C356" s="40" t="s">
        <v>1764</v>
      </c>
      <c r="D356" s="40">
        <v>2004</v>
      </c>
      <c r="E356" s="40">
        <v>2005</v>
      </c>
      <c r="F356" s="40" t="s">
        <v>1540</v>
      </c>
      <c r="G356" s="40" t="s">
        <v>455</v>
      </c>
      <c r="I356" s="40" t="s">
        <v>1257</v>
      </c>
      <c r="K356" s="40" t="s">
        <v>578</v>
      </c>
      <c r="Q356" s="40">
        <v>1</v>
      </c>
      <c r="R356" s="40">
        <v>1</v>
      </c>
      <c r="T356" s="40">
        <v>1</v>
      </c>
      <c r="Z356" s="40" t="s">
        <v>6557</v>
      </c>
      <c r="AA356" s="78">
        <f>IF(H2ProjectDB689571011[[#This Row],[Dummy_1]]="Electrolysis",
AB356*VLOOKUP(G356,ElectrolysisConvF,3,FALSE),
"")</f>
        <v>2.5999999999999999E-3</v>
      </c>
      <c r="AB356" s="46">
        <v>0.5</v>
      </c>
      <c r="AC356" s="47">
        <f t="shared" si="29"/>
        <v>3.8981999999999998E-4</v>
      </c>
      <c r="AE356" s="46">
        <f t="shared" si="30"/>
        <v>0.5</v>
      </c>
      <c r="AF356" s="43" t="s">
        <v>1616</v>
      </c>
      <c r="AG356" s="43">
        <v>0</v>
      </c>
      <c r="AH356" s="43">
        <v>0</v>
      </c>
      <c r="AI356" s="122" t="s">
        <v>7286</v>
      </c>
      <c r="AJ356" s="41">
        <v>0.56999999999999995</v>
      </c>
    </row>
    <row r="357" spans="1:36" ht="34.5" hidden="1" customHeight="1" x14ac:dyDescent="0.25">
      <c r="A357" s="40">
        <v>689</v>
      </c>
      <c r="B357" s="40" t="s">
        <v>982</v>
      </c>
      <c r="C357" s="40" t="s">
        <v>546</v>
      </c>
      <c r="D357" s="44">
        <v>2024</v>
      </c>
      <c r="E357" s="44">
        <v>2025</v>
      </c>
      <c r="F357" s="40" t="s">
        <v>5701</v>
      </c>
      <c r="G357" s="40" t="s">
        <v>455</v>
      </c>
      <c r="I357" s="40" t="s">
        <v>1266</v>
      </c>
      <c r="K357" s="40" t="s">
        <v>578</v>
      </c>
      <c r="X357" s="40">
        <v>1</v>
      </c>
      <c r="Z357" s="40" t="s">
        <v>1480</v>
      </c>
      <c r="AA357" s="45">
        <v>1</v>
      </c>
      <c r="AB357" s="46">
        <f>IF(H2ProjectDB689571011[[#This Row],[Dummy_1]]="Electrolysis",
AA357/VLOOKUP(G357,ElectrolysisConvF,3,FALSE),
AC357*10^6/(H2dens*HoursInYear))</f>
        <v>192.30769230769232</v>
      </c>
      <c r="AC357" s="47">
        <f t="shared" si="29"/>
        <v>0.14993076923076926</v>
      </c>
      <c r="AE357" s="46">
        <f t="shared" si="30"/>
        <v>192.30769230769232</v>
      </c>
      <c r="AF357" s="43" t="s">
        <v>7374</v>
      </c>
      <c r="AG357" s="43">
        <v>52.25</v>
      </c>
      <c r="AH357" s="43">
        <v>4</v>
      </c>
      <c r="AI357" s="122" t="s">
        <v>7286</v>
      </c>
      <c r="AJ357" s="41">
        <v>0.56999999999999995</v>
      </c>
    </row>
    <row r="358" spans="1:36" ht="34.5" hidden="1" customHeight="1" x14ac:dyDescent="0.25">
      <c r="A358" s="40">
        <v>690</v>
      </c>
      <c r="B358" s="40" t="s">
        <v>30</v>
      </c>
      <c r="C358" s="40" t="s">
        <v>1764</v>
      </c>
      <c r="D358" s="40">
        <v>2000</v>
      </c>
      <c r="E358" s="40">
        <v>2004</v>
      </c>
      <c r="F358" s="40" t="s">
        <v>1540</v>
      </c>
      <c r="G358" s="40" t="s">
        <v>455</v>
      </c>
      <c r="I358" s="40" t="s">
        <v>1257</v>
      </c>
      <c r="K358" s="40" t="s">
        <v>578</v>
      </c>
      <c r="R358" s="40">
        <v>1</v>
      </c>
      <c r="Z358" s="40" t="s">
        <v>1589</v>
      </c>
      <c r="AA358" s="45">
        <v>1E-3</v>
      </c>
      <c r="AB358" s="46">
        <f>IF(H2ProjectDB689571011[[#This Row],[Dummy_1]]="Electrolysis",
AA358/VLOOKUP(G358,ElectrolysisConvF,3,FALSE),
AC358*10^6/(H2dens*HoursInYear))</f>
        <v>0.19230769230769232</v>
      </c>
      <c r="AC358" s="47">
        <f t="shared" si="29"/>
        <v>1.4993076923076925E-4</v>
      </c>
      <c r="AE358" s="46">
        <f t="shared" si="30"/>
        <v>0.19230769230769232</v>
      </c>
      <c r="AF358" s="43" t="s">
        <v>1617</v>
      </c>
      <c r="AG358" s="43">
        <v>0</v>
      </c>
      <c r="AH358" s="43">
        <v>0</v>
      </c>
      <c r="AI358" s="122" t="s">
        <v>7286</v>
      </c>
      <c r="AJ358" s="41">
        <v>0.56999999999999995</v>
      </c>
    </row>
    <row r="359" spans="1:36" ht="34.5" hidden="1" customHeight="1" x14ac:dyDescent="0.25">
      <c r="A359" s="40">
        <v>691</v>
      </c>
      <c r="B359" s="40" t="s">
        <v>919</v>
      </c>
      <c r="C359" s="40" t="s">
        <v>1764</v>
      </c>
      <c r="D359" s="40">
        <v>2008</v>
      </c>
      <c r="E359" s="40">
        <v>2009</v>
      </c>
      <c r="F359" s="40" t="s">
        <v>1540</v>
      </c>
      <c r="G359" s="40" t="s">
        <v>1259</v>
      </c>
      <c r="H359" s="40" t="s">
        <v>467</v>
      </c>
      <c r="I359" s="40" t="s">
        <v>1257</v>
      </c>
      <c r="K359" s="40" t="s">
        <v>578</v>
      </c>
      <c r="U359" s="40">
        <v>1</v>
      </c>
      <c r="Z359" s="40" t="s">
        <v>1628</v>
      </c>
      <c r="AA359" s="78">
        <f>IF(H2ProjectDB689571011[[#This Row],[Dummy_1]]="Electrolysis",
AB359*VLOOKUP(G359,ElectrolysisConvF,3,FALSE),
"")</f>
        <v>2.2499999999999999E-4</v>
      </c>
      <c r="AB359" s="46">
        <v>0.05</v>
      </c>
      <c r="AC359" s="47">
        <f t="shared" si="29"/>
        <v>3.8982E-5</v>
      </c>
      <c r="AE359" s="46">
        <f t="shared" si="30"/>
        <v>0.05</v>
      </c>
      <c r="AF359" s="43" t="s">
        <v>920</v>
      </c>
      <c r="AG359" s="43">
        <v>0</v>
      </c>
      <c r="AH359" s="43">
        <v>0</v>
      </c>
      <c r="AI359" s="122" t="s">
        <v>7286</v>
      </c>
      <c r="AJ359" s="41">
        <v>0.56999999999999995</v>
      </c>
    </row>
    <row r="360" spans="1:36" ht="34.5" hidden="1" customHeight="1" x14ac:dyDescent="0.25">
      <c r="A360" s="40">
        <v>692</v>
      </c>
      <c r="B360" s="40" t="s">
        <v>90</v>
      </c>
      <c r="C360" s="40" t="s">
        <v>1305</v>
      </c>
      <c r="D360" s="40">
        <v>2008</v>
      </c>
      <c r="E360" s="40">
        <v>2011</v>
      </c>
      <c r="F360" s="40" t="s">
        <v>1540</v>
      </c>
      <c r="G360" s="40" t="s">
        <v>455</v>
      </c>
      <c r="I360" s="40" t="s">
        <v>1257</v>
      </c>
      <c r="K360" s="40" t="s">
        <v>578</v>
      </c>
      <c r="AC360" s="47"/>
      <c r="AE360" s="46">
        <f t="shared" si="30"/>
        <v>0</v>
      </c>
      <c r="AF360" s="43" t="s">
        <v>889</v>
      </c>
      <c r="AG360" s="43">
        <v>0</v>
      </c>
      <c r="AH360" s="43">
        <v>0</v>
      </c>
      <c r="AI360" s="122" t="s">
        <v>7286</v>
      </c>
      <c r="AJ360" s="41">
        <v>0.56999999999999995</v>
      </c>
    </row>
    <row r="361" spans="1:36" ht="34.5" hidden="1" customHeight="1" x14ac:dyDescent="0.25">
      <c r="A361" s="40">
        <v>693</v>
      </c>
      <c r="B361" s="40" t="s">
        <v>134</v>
      </c>
      <c r="C361" s="40" t="s">
        <v>546</v>
      </c>
      <c r="D361" s="40">
        <v>2008</v>
      </c>
      <c r="E361" s="40">
        <v>2011</v>
      </c>
      <c r="F361" s="40" t="s">
        <v>1540</v>
      </c>
      <c r="G361" s="40" t="s">
        <v>455</v>
      </c>
      <c r="I361" s="40" t="s">
        <v>1257</v>
      </c>
      <c r="K361" s="40" t="s">
        <v>578</v>
      </c>
      <c r="S361" s="40">
        <v>1</v>
      </c>
      <c r="U361" s="40">
        <v>1</v>
      </c>
      <c r="AC361" s="47"/>
      <c r="AE361" s="46">
        <f t="shared" si="30"/>
        <v>0</v>
      </c>
      <c r="AF361" s="43" t="s">
        <v>1618</v>
      </c>
      <c r="AG361" s="43">
        <v>0</v>
      </c>
      <c r="AH361" s="43">
        <v>0</v>
      </c>
      <c r="AI361" s="122" t="s">
        <v>7286</v>
      </c>
      <c r="AJ361" s="41">
        <v>0.56999999999999995</v>
      </c>
    </row>
    <row r="362" spans="1:36" ht="34.5" hidden="1" customHeight="1" x14ac:dyDescent="0.25">
      <c r="A362" s="40">
        <v>694</v>
      </c>
      <c r="B362" s="40" t="s">
        <v>92</v>
      </c>
      <c r="C362" s="40" t="s">
        <v>533</v>
      </c>
      <c r="D362" s="40">
        <v>2009</v>
      </c>
      <c r="E362" s="40">
        <v>2011</v>
      </c>
      <c r="F362" s="40" t="s">
        <v>1540</v>
      </c>
      <c r="G362" s="40" t="s">
        <v>457</v>
      </c>
      <c r="I362" s="40" t="s">
        <v>1257</v>
      </c>
      <c r="K362" s="40" t="s">
        <v>578</v>
      </c>
      <c r="R362" s="40">
        <v>1</v>
      </c>
      <c r="S362" s="40">
        <v>1</v>
      </c>
      <c r="Z362" s="40" t="s">
        <v>1619</v>
      </c>
      <c r="AA362" s="45">
        <v>0.3</v>
      </c>
      <c r="AB362" s="46">
        <f>IF(H2ProjectDB689571011[[#This Row],[Dummy_1]]="Electrolysis",
AA362/VLOOKUP(G362,ElectrolysisConvF,3,FALSE),
AC362*10^6/(H2dens*HoursInYear))</f>
        <v>65.217391304347828</v>
      </c>
      <c r="AC362" s="47">
        <f>AB362*H2dens*HoursInYear/10^6</f>
        <v>5.0846086956521735E-2</v>
      </c>
      <c r="AE362" s="46">
        <f t="shared" si="30"/>
        <v>65.217391304347828</v>
      </c>
      <c r="AF362" s="43" t="s">
        <v>1631</v>
      </c>
      <c r="AG362" s="43">
        <v>0</v>
      </c>
      <c r="AH362" s="43">
        <v>0</v>
      </c>
      <c r="AI362" s="122" t="s">
        <v>7286</v>
      </c>
      <c r="AJ362" s="41">
        <v>0.56999999999999995</v>
      </c>
    </row>
    <row r="363" spans="1:36" ht="34.5" hidden="1" customHeight="1" x14ac:dyDescent="0.25">
      <c r="A363" s="40">
        <v>695</v>
      </c>
      <c r="B363" s="40" t="s">
        <v>25</v>
      </c>
      <c r="C363" s="40" t="s">
        <v>536</v>
      </c>
      <c r="D363" s="40">
        <v>2004</v>
      </c>
      <c r="E363" s="40">
        <v>2009</v>
      </c>
      <c r="F363" s="40" t="s">
        <v>1540</v>
      </c>
      <c r="G363" s="40" t="s">
        <v>457</v>
      </c>
      <c r="I363" s="40" t="s">
        <v>1257</v>
      </c>
      <c r="K363" s="40" t="s">
        <v>578</v>
      </c>
      <c r="R363" s="40">
        <v>1</v>
      </c>
      <c r="S363" s="40">
        <v>1</v>
      </c>
      <c r="Z363" s="40" t="s">
        <v>1629</v>
      </c>
      <c r="AA363" s="45">
        <v>9.9000000000000005E-2</v>
      </c>
      <c r="AB363" s="46">
        <f>IF(H2ProjectDB689571011[[#This Row],[Dummy_1]]="Electrolysis",
AA363/VLOOKUP(G363,ElectrolysisConvF,3,FALSE),
AC363*10^6/(H2dens*HoursInYear))</f>
        <v>21.521739130434785</v>
      </c>
      <c r="AC363" s="47">
        <f>AB363*H2dens*HoursInYear/10^6</f>
        <v>1.6779208695652175E-2</v>
      </c>
      <c r="AE363" s="46">
        <f t="shared" si="30"/>
        <v>21.521739130434785</v>
      </c>
      <c r="AF363" s="43" t="s">
        <v>1632</v>
      </c>
      <c r="AG363" s="43">
        <v>42.473894431300103</v>
      </c>
      <c r="AH363" s="43">
        <v>-83.250600153510902</v>
      </c>
      <c r="AI363" s="122" t="s">
        <v>7286</v>
      </c>
      <c r="AJ363" s="41">
        <v>0.56999999999999995</v>
      </c>
    </row>
    <row r="364" spans="1:36" ht="34.5" hidden="1" customHeight="1" x14ac:dyDescent="0.25">
      <c r="A364" s="40">
        <v>696</v>
      </c>
      <c r="B364" s="40" t="s">
        <v>91</v>
      </c>
      <c r="C364" s="40" t="s">
        <v>536</v>
      </c>
      <c r="D364" s="40">
        <v>2007</v>
      </c>
      <c r="E364" s="40">
        <v>2014</v>
      </c>
      <c r="F364" s="40" t="s">
        <v>1540</v>
      </c>
      <c r="G364" s="40" t="s">
        <v>457</v>
      </c>
      <c r="I364" s="40" t="s">
        <v>1269</v>
      </c>
      <c r="J364" s="40" t="s">
        <v>1392</v>
      </c>
      <c r="K364" s="40" t="s">
        <v>578</v>
      </c>
      <c r="R364" s="40">
        <v>1</v>
      </c>
      <c r="S364" s="40">
        <v>1</v>
      </c>
      <c r="Z364" s="40" t="s">
        <v>1460</v>
      </c>
      <c r="AA364" s="45">
        <v>0.04</v>
      </c>
      <c r="AB364" s="46">
        <f>IF(H2ProjectDB689571011[[#This Row],[Dummy_1]]="Electrolysis",
AA364/VLOOKUP(G364,ElectrolysisConvF,3,FALSE),
AC364*10^6/(H2dens*HoursInYear))</f>
        <v>8.695652173913043</v>
      </c>
      <c r="AC364" s="47">
        <f>AB364*H2dens*HoursInYear/10^6</f>
        <v>6.7794782608695649E-3</v>
      </c>
      <c r="AE364" s="46">
        <f t="shared" si="30"/>
        <v>8.695652173913043</v>
      </c>
      <c r="AF364" s="43" t="s">
        <v>1633</v>
      </c>
      <c r="AG364" s="43">
        <v>39.839340355960601</v>
      </c>
      <c r="AH364" s="43">
        <v>-105.159199300183</v>
      </c>
      <c r="AI364" s="122" t="s">
        <v>7286</v>
      </c>
      <c r="AJ364" s="41">
        <v>0.4</v>
      </c>
    </row>
    <row r="365" spans="1:36" ht="34.5" hidden="1" customHeight="1" x14ac:dyDescent="0.25">
      <c r="A365" s="40">
        <v>697</v>
      </c>
      <c r="B365" s="40" t="s">
        <v>82</v>
      </c>
      <c r="C365" s="40" t="s">
        <v>536</v>
      </c>
      <c r="D365" s="40">
        <v>2004</v>
      </c>
      <c r="E365" s="40">
        <v>2008</v>
      </c>
      <c r="F365" s="40" t="s">
        <v>1540</v>
      </c>
      <c r="G365" s="40" t="s">
        <v>457</v>
      </c>
      <c r="I365" s="40" t="s">
        <v>1257</v>
      </c>
      <c r="K365" s="40" t="s">
        <v>578</v>
      </c>
      <c r="S365" s="40">
        <v>1</v>
      </c>
      <c r="Z365" s="40" t="s">
        <v>1630</v>
      </c>
      <c r="AA365" s="45">
        <v>6.4999999999999997E-3</v>
      </c>
      <c r="AB365" s="46">
        <f>IF(H2ProjectDB689571011[[#This Row],[Dummy_1]]="Electrolysis",
AA365/VLOOKUP(G365,ElectrolysisConvF,3,FALSE),
AC365*10^6/(H2dens*HoursInYear))</f>
        <v>1.4130434782608696</v>
      </c>
      <c r="AC365" s="47">
        <f>AB365*H2dens*HoursInYear/10^6</f>
        <v>1.1016652173913043E-3</v>
      </c>
      <c r="AE365" s="46">
        <f t="shared" si="30"/>
        <v>1.4130434782608696</v>
      </c>
      <c r="AF365" s="43" t="s">
        <v>1634</v>
      </c>
      <c r="AG365" s="43">
        <v>0</v>
      </c>
      <c r="AH365" s="43">
        <v>0</v>
      </c>
      <c r="AI365" s="122" t="s">
        <v>7286</v>
      </c>
      <c r="AJ365" s="41">
        <v>0.56999999999999995</v>
      </c>
    </row>
    <row r="366" spans="1:36" ht="34.5" hidden="1" customHeight="1" x14ac:dyDescent="0.25">
      <c r="A366" s="40">
        <v>698</v>
      </c>
      <c r="B366" s="40" t="s">
        <v>61</v>
      </c>
      <c r="C366" s="40" t="s">
        <v>533</v>
      </c>
      <c r="D366" s="40">
        <v>2007</v>
      </c>
      <c r="E366" s="40">
        <v>2009</v>
      </c>
      <c r="F366" s="40" t="s">
        <v>1540</v>
      </c>
      <c r="G366" s="40" t="s">
        <v>457</v>
      </c>
      <c r="I366" s="40" t="s">
        <v>1257</v>
      </c>
      <c r="K366" s="40" t="s">
        <v>578</v>
      </c>
      <c r="S366" s="40">
        <v>1</v>
      </c>
      <c r="Z366" s="40" t="s">
        <v>1472</v>
      </c>
      <c r="AA366" s="45">
        <v>6.0000000000000001E-3</v>
      </c>
      <c r="AB366" s="46">
        <f>IF(H2ProjectDB689571011[[#This Row],[Dummy_1]]="Electrolysis",
AA366/VLOOKUP(G366,ElectrolysisConvF,3,FALSE),
AC366*10^6/(H2dens*HoursInYear))</f>
        <v>1.3043478260869565</v>
      </c>
      <c r="AC366" s="47">
        <f>AB366*H2dens*HoursInYear/10^6</f>
        <v>1.0169217391304346E-3</v>
      </c>
      <c r="AE366" s="46">
        <f t="shared" si="30"/>
        <v>1.3043478260869565</v>
      </c>
      <c r="AF366" s="43" t="s">
        <v>1635</v>
      </c>
      <c r="AG366" s="43">
        <v>0</v>
      </c>
      <c r="AH366" s="43">
        <v>0</v>
      </c>
      <c r="AI366" s="122" t="s">
        <v>7286</v>
      </c>
      <c r="AJ366" s="41">
        <v>0.56999999999999995</v>
      </c>
    </row>
    <row r="367" spans="1:36" ht="34.5" hidden="1" customHeight="1" x14ac:dyDescent="0.25">
      <c r="A367" s="40">
        <v>699</v>
      </c>
      <c r="B367" s="40" t="s">
        <v>20</v>
      </c>
      <c r="C367" s="40" t="s">
        <v>540</v>
      </c>
      <c r="D367" s="40">
        <v>2002</v>
      </c>
      <c r="E367" s="40">
        <v>2009</v>
      </c>
      <c r="F367" s="40" t="s">
        <v>1540</v>
      </c>
      <c r="G367" s="40" t="s">
        <v>1259</v>
      </c>
      <c r="H367" s="40" t="s">
        <v>467</v>
      </c>
      <c r="I367" s="40" t="s">
        <v>1257</v>
      </c>
      <c r="K367" s="40" t="s">
        <v>612</v>
      </c>
      <c r="X367" s="40">
        <v>1</v>
      </c>
      <c r="Y367" s="40">
        <v>1</v>
      </c>
      <c r="AC367" s="47"/>
      <c r="AE367" s="46">
        <f t="shared" si="30"/>
        <v>0</v>
      </c>
      <c r="AF367" s="43" t="s">
        <v>1636</v>
      </c>
      <c r="AG367" s="43">
        <v>47.056358155418998</v>
      </c>
      <c r="AH367" s="43">
        <v>16.3282778207649</v>
      </c>
      <c r="AI367" s="122" t="s">
        <v>7286</v>
      </c>
      <c r="AJ367" s="41">
        <v>0.56999999999999995</v>
      </c>
    </row>
    <row r="368" spans="1:36" ht="34.5" hidden="1" customHeight="1" x14ac:dyDescent="0.25">
      <c r="A368" s="40">
        <v>701</v>
      </c>
      <c r="B368" s="40" t="s">
        <v>678</v>
      </c>
      <c r="C368" s="40" t="s">
        <v>537</v>
      </c>
      <c r="D368" s="40">
        <v>2020</v>
      </c>
      <c r="F368" s="40" t="s">
        <v>1339</v>
      </c>
      <c r="G368" s="40" t="s">
        <v>457</v>
      </c>
      <c r="I368" s="40" t="s">
        <v>1269</v>
      </c>
      <c r="J368" s="40" t="s">
        <v>1391</v>
      </c>
      <c r="K368" s="40" t="s">
        <v>1242</v>
      </c>
      <c r="N368" s="40">
        <v>1</v>
      </c>
      <c r="Z368" s="40" t="s">
        <v>6890</v>
      </c>
      <c r="AA368" s="78">
        <f>IF(H2ProjectDB689571011[[#This Row],[Dummy_1]]="Electrolysis",
AB368*VLOOKUP(G368,ElectrolysisConvF,3,FALSE),
"")</f>
        <v>4.5999999999999996</v>
      </c>
      <c r="AB368" s="46">
        <v>1000</v>
      </c>
      <c r="AC368" s="47">
        <f>AB368*H2dens*HoursInYear/10^6</f>
        <v>0.77964</v>
      </c>
      <c r="AE368" s="46">
        <f t="shared" si="30"/>
        <v>1000</v>
      </c>
      <c r="AF368" s="43" t="s">
        <v>2300</v>
      </c>
      <c r="AG368" s="43">
        <v>36.0741638356469</v>
      </c>
      <c r="AH368" s="43">
        <v>103.832438158407</v>
      </c>
      <c r="AI368" s="122" t="s">
        <v>7286</v>
      </c>
      <c r="AJ368" s="41">
        <v>0.3</v>
      </c>
    </row>
    <row r="369" spans="1:36" ht="34.5" hidden="1" customHeight="1" x14ac:dyDescent="0.25">
      <c r="A369" s="40">
        <v>702</v>
      </c>
      <c r="B369" s="40" t="s">
        <v>993</v>
      </c>
      <c r="C369" s="40" t="s">
        <v>546</v>
      </c>
      <c r="D369" s="44">
        <v>2025</v>
      </c>
      <c r="E369" s="44"/>
      <c r="F369" s="40" t="s">
        <v>5701</v>
      </c>
      <c r="G369" s="40" t="s">
        <v>1259</v>
      </c>
      <c r="H369" s="40" t="s">
        <v>467</v>
      </c>
      <c r="I369" s="40" t="s">
        <v>1257</v>
      </c>
      <c r="K369" s="40" t="s">
        <v>578</v>
      </c>
      <c r="Q369" s="40">
        <v>1</v>
      </c>
      <c r="U369" s="40">
        <v>1</v>
      </c>
      <c r="Z369" s="40" t="s">
        <v>1493</v>
      </c>
      <c r="AA369" s="45">
        <v>2</v>
      </c>
      <c r="AB369" s="46">
        <f>IF(H2ProjectDB689571011[[#This Row],[Dummy_1]]="Electrolysis",
AA369/VLOOKUP(G369,ElectrolysisConvF,3,FALSE),
AC369*10^6/(H2dens*HoursInYear))</f>
        <v>444.44444444444446</v>
      </c>
      <c r="AC369" s="47">
        <f>AB369*H2dens*HoursInYear/10^6</f>
        <v>0.34650666666666669</v>
      </c>
      <c r="AE369" s="46">
        <f t="shared" si="30"/>
        <v>444.44444444444446</v>
      </c>
      <c r="AF369" s="43" t="s">
        <v>4665</v>
      </c>
      <c r="AG369" s="43">
        <v>52.136459239016602</v>
      </c>
      <c r="AH369" s="43">
        <v>6.2041292553913499</v>
      </c>
      <c r="AI369" s="122" t="s">
        <v>7286</v>
      </c>
      <c r="AJ369" s="41">
        <v>0.56999999999999995</v>
      </c>
    </row>
    <row r="370" spans="1:36" ht="34.5" hidden="1" customHeight="1" x14ac:dyDescent="0.25">
      <c r="A370" s="40">
        <v>703</v>
      </c>
      <c r="B370" s="40" t="s">
        <v>996</v>
      </c>
      <c r="C370" s="40" t="s">
        <v>546</v>
      </c>
      <c r="F370" s="40" t="s">
        <v>1331</v>
      </c>
      <c r="G370" s="40" t="s">
        <v>1259</v>
      </c>
      <c r="H370" s="40" t="s">
        <v>467</v>
      </c>
      <c r="I370" s="40" t="s">
        <v>1269</v>
      </c>
      <c r="J370" s="40" t="s">
        <v>1395</v>
      </c>
      <c r="K370" s="40" t="s">
        <v>578</v>
      </c>
      <c r="R370" s="40">
        <v>1</v>
      </c>
      <c r="S370" s="40">
        <v>1</v>
      </c>
      <c r="U370" s="40">
        <v>1</v>
      </c>
      <c r="Z370" s="40" t="s">
        <v>1637</v>
      </c>
      <c r="AA370" s="45">
        <v>1</v>
      </c>
      <c r="AB370" s="46">
        <f>IF(H2ProjectDB689571011[[#This Row],[Dummy_1]]="Electrolysis",
AA370/VLOOKUP(G370,ElectrolysisConvF,3,FALSE),
AC370*10^6/(H2dens*HoursInYear))</f>
        <v>222.22222222222223</v>
      </c>
      <c r="AC370" s="47">
        <f>AB370*H2dens*HoursInYear/10^6</f>
        <v>0.17325333333333334</v>
      </c>
      <c r="AE370" s="46">
        <f t="shared" si="30"/>
        <v>222.22222222222223</v>
      </c>
      <c r="AF370" s="43" t="s">
        <v>1686</v>
      </c>
      <c r="AG370" s="43">
        <v>0</v>
      </c>
      <c r="AH370" s="43">
        <v>0</v>
      </c>
      <c r="AI370" s="122" t="s">
        <v>7286</v>
      </c>
      <c r="AJ370" s="41">
        <v>0.5</v>
      </c>
    </row>
    <row r="371" spans="1:36" ht="34.5" hidden="1" customHeight="1" x14ac:dyDescent="0.25">
      <c r="A371" s="40">
        <v>704</v>
      </c>
      <c r="B371" s="40" t="s">
        <v>5980</v>
      </c>
      <c r="C371" s="40" t="s">
        <v>530</v>
      </c>
      <c r="D371" s="40">
        <v>2021</v>
      </c>
      <c r="F371" s="40" t="s">
        <v>1339</v>
      </c>
      <c r="G371" s="40" t="s">
        <v>457</v>
      </c>
      <c r="I371" s="40" t="s">
        <v>1266</v>
      </c>
      <c r="K371" s="40" t="s">
        <v>578</v>
      </c>
      <c r="Q371" s="40">
        <v>1</v>
      </c>
      <c r="Z371" s="40" t="s">
        <v>1447</v>
      </c>
      <c r="AA371" s="45">
        <v>1</v>
      </c>
      <c r="AB371" s="46">
        <f>IF(H2ProjectDB689571011[[#This Row],[Dummy_1]]="Electrolysis",
AA371/VLOOKUP(G371,ElectrolysisConvF,3,FALSE),
AC371*10^6/(H2dens*HoursInYear))</f>
        <v>217.39130434782609</v>
      </c>
      <c r="AC371" s="47">
        <f>AB371*H2dens*HoursInYear/10^6</f>
        <v>0.16948695652173912</v>
      </c>
      <c r="AE371" s="46">
        <f t="shared" si="30"/>
        <v>217.39130434782609</v>
      </c>
      <c r="AF371" s="43" t="s">
        <v>1181</v>
      </c>
      <c r="AG371" s="43">
        <v>47.797445008789602</v>
      </c>
      <c r="AH371" s="43">
        <v>3.5662699155731801</v>
      </c>
      <c r="AI371" s="122" t="s">
        <v>7286</v>
      </c>
      <c r="AJ371" s="41">
        <v>0.56999999999999995</v>
      </c>
    </row>
    <row r="372" spans="1:36" ht="34.5" hidden="1" customHeight="1" x14ac:dyDescent="0.25">
      <c r="A372" s="40">
        <v>705</v>
      </c>
      <c r="B372" s="40" t="s">
        <v>1234</v>
      </c>
      <c r="C372" s="40" t="s">
        <v>1305</v>
      </c>
      <c r="F372" s="40" t="s">
        <v>1540</v>
      </c>
      <c r="G372" s="40" t="s">
        <v>455</v>
      </c>
      <c r="I372" s="40" t="s">
        <v>1257</v>
      </c>
      <c r="K372" s="40" t="s">
        <v>612</v>
      </c>
      <c r="X372" s="40">
        <v>1</v>
      </c>
      <c r="Z372" s="40" t="s">
        <v>1480</v>
      </c>
      <c r="AA372" s="45">
        <v>1</v>
      </c>
      <c r="AB372" s="46">
        <f>IF(H2ProjectDB689571011[[#This Row],[Dummy_1]]="Electrolysis",
AA372/VLOOKUP(G372,ElectrolysisConvF,3,FALSE),
AC372*10^6/(H2dens*HoursInYear))</f>
        <v>192.30769230769232</v>
      </c>
      <c r="AC372" s="47">
        <f>AB372*H2dens*HoursInYear/10^6</f>
        <v>0.14993076923076926</v>
      </c>
      <c r="AE372" s="46">
        <f t="shared" si="30"/>
        <v>192.30769230769232</v>
      </c>
      <c r="AF372" s="43" t="s">
        <v>1236</v>
      </c>
      <c r="AG372" s="43">
        <v>0</v>
      </c>
      <c r="AH372" s="43">
        <v>0</v>
      </c>
      <c r="AI372" s="122" t="s">
        <v>7286</v>
      </c>
      <c r="AJ372" s="41">
        <v>0.56999999999999995</v>
      </c>
    </row>
    <row r="373" spans="1:36" ht="34.5" hidden="1" customHeight="1" x14ac:dyDescent="0.25">
      <c r="A373" s="40">
        <v>706</v>
      </c>
      <c r="B373" s="40" t="s">
        <v>464</v>
      </c>
      <c r="C373" s="40" t="s">
        <v>536</v>
      </c>
      <c r="D373" s="40">
        <v>2013</v>
      </c>
      <c r="F373" s="40" t="s">
        <v>1339</v>
      </c>
      <c r="G373" s="40" t="s">
        <v>1262</v>
      </c>
      <c r="H373" s="40" t="s">
        <v>5710</v>
      </c>
      <c r="K373" s="40" t="s">
        <v>1243</v>
      </c>
      <c r="M373" s="40">
        <v>1</v>
      </c>
      <c r="Z373" s="40" t="s">
        <v>4805</v>
      </c>
      <c r="AC373" s="47"/>
      <c r="AD373" s="46">
        <v>900000</v>
      </c>
      <c r="AE373" s="46">
        <f>IF(AND(G373&lt;&gt;"NG w CCUS",G373&lt;&gt;"Oil w CCUS",G373&lt;&gt;"Coal w CCUS"),AB373,AD373*10^3/(HoursInYear*IF(G373="NG w CCUS",0.9105,1.9075)))</f>
        <v>53860.931075961867</v>
      </c>
      <c r="AG373" s="43">
        <v>37.046556805323902</v>
      </c>
      <c r="AH373" s="43">
        <v>-95.603949150843604</v>
      </c>
      <c r="AI373" s="122" t="s">
        <v>7287</v>
      </c>
      <c r="AJ373" s="41">
        <v>0.9</v>
      </c>
    </row>
    <row r="374" spans="1:36" ht="34.5" hidden="1" customHeight="1" x14ac:dyDescent="0.25">
      <c r="A374" s="40">
        <v>707</v>
      </c>
      <c r="B374" s="40" t="s">
        <v>5082</v>
      </c>
      <c r="C374" s="40" t="s">
        <v>536</v>
      </c>
      <c r="D374" s="40">
        <v>2013</v>
      </c>
      <c r="F374" s="40" t="s">
        <v>1339</v>
      </c>
      <c r="G374" s="40" t="s">
        <v>1261</v>
      </c>
      <c r="H374" s="40" t="s">
        <v>5709</v>
      </c>
      <c r="K374" s="40" t="s">
        <v>1243</v>
      </c>
      <c r="M374" s="40">
        <v>1</v>
      </c>
      <c r="Z374" s="40" t="s">
        <v>4064</v>
      </c>
      <c r="AC374" s="47"/>
      <c r="AD374" s="46">
        <v>250000</v>
      </c>
      <c r="AE374" s="46">
        <f>IF(AND(G374&lt;&gt;"NG w CCUS",G374&lt;&gt;"Oil w CCUS",G374&lt;&gt;"Coal w CCUS"),AB374,AD374*10^3/(HoursInYear*IF(G374="NG w CCUS",0.9105,1.9075)))</f>
        <v>31344.110692353795</v>
      </c>
      <c r="AG374" s="43">
        <v>30.184100199881101</v>
      </c>
      <c r="AH374" s="43">
        <v>-91.003837715615703</v>
      </c>
      <c r="AI374" s="122" t="s">
        <v>7287</v>
      </c>
      <c r="AJ374" s="41">
        <v>0.9</v>
      </c>
    </row>
    <row r="375" spans="1:36" ht="34.5" hidden="1" customHeight="1" x14ac:dyDescent="0.25">
      <c r="A375" s="40">
        <v>708</v>
      </c>
      <c r="B375" s="40" t="s">
        <v>463</v>
      </c>
      <c r="C375" s="40" t="s">
        <v>536</v>
      </c>
      <c r="D375" s="40">
        <v>2013</v>
      </c>
      <c r="F375" s="40" t="s">
        <v>1339</v>
      </c>
      <c r="G375" s="40" t="s">
        <v>1261</v>
      </c>
      <c r="H375" s="40" t="s">
        <v>5709</v>
      </c>
      <c r="K375" s="40" t="s">
        <v>578</v>
      </c>
      <c r="L375" s="40">
        <v>1</v>
      </c>
      <c r="Z375" s="40" t="s">
        <v>2856</v>
      </c>
      <c r="AB375" s="46">
        <v>151000</v>
      </c>
      <c r="AC375" s="47">
        <f>AB375*H2dens*HoursInYear/10^6</f>
        <v>117.72564</v>
      </c>
      <c r="AD375" s="46">
        <v>900000</v>
      </c>
      <c r="AE375" s="46">
        <f>IF(AND(G375&lt;&gt;"NG w CCUS",G375&lt;&gt;"Oil w CCUS",G375&lt;&gt;"Coal w CCUS"),AB375,AD375*10^3/(HoursInYear*IF(G375="NG w CCUS",0.9105,1.9075)))</f>
        <v>112838.79849247365</v>
      </c>
      <c r="AF375" s="43" t="s">
        <v>654</v>
      </c>
      <c r="AG375" s="43">
        <v>29.887327742130399</v>
      </c>
      <c r="AH375" s="43">
        <v>-93.929350528056702</v>
      </c>
      <c r="AI375" s="122" t="s">
        <v>7287</v>
      </c>
      <c r="AJ375" s="41">
        <v>0.9</v>
      </c>
    </row>
    <row r="376" spans="1:36" ht="34.5" hidden="1" customHeight="1" x14ac:dyDescent="0.25">
      <c r="A376" s="40">
        <v>709</v>
      </c>
      <c r="B376" s="40" t="s">
        <v>955</v>
      </c>
      <c r="C376" s="40" t="s">
        <v>539</v>
      </c>
      <c r="D376" s="40">
        <v>2015</v>
      </c>
      <c r="F376" s="40" t="s">
        <v>1540</v>
      </c>
      <c r="G376" s="40" t="s">
        <v>1263</v>
      </c>
      <c r="H376" s="40" t="s">
        <v>956</v>
      </c>
      <c r="K376" s="40" t="s">
        <v>578</v>
      </c>
      <c r="Z376" s="40" t="s">
        <v>1638</v>
      </c>
      <c r="AB376" s="46">
        <v>12</v>
      </c>
      <c r="AC376" s="47">
        <f>AB376*H2dens*HoursInYear/10^6</f>
        <v>9.3556799999999999E-3</v>
      </c>
      <c r="AE376" s="46">
        <f>AB376</f>
        <v>12</v>
      </c>
      <c r="AF376" s="43" t="s">
        <v>958</v>
      </c>
      <c r="AG376" s="43">
        <v>13.0896116248614</v>
      </c>
      <c r="AH376" s="43">
        <v>80.231656350990903</v>
      </c>
      <c r="AI376" s="122" t="s">
        <v>1255</v>
      </c>
      <c r="AJ376" s="41">
        <v>0.9</v>
      </c>
    </row>
    <row r="377" spans="1:36" ht="34.5" hidden="1" customHeight="1" x14ac:dyDescent="0.25">
      <c r="A377" s="40">
        <v>710</v>
      </c>
      <c r="B377" s="40" t="s">
        <v>461</v>
      </c>
      <c r="C377" s="40" t="s">
        <v>530</v>
      </c>
      <c r="D377" s="40">
        <v>2015</v>
      </c>
      <c r="F377" s="40" t="s">
        <v>1339</v>
      </c>
      <c r="G377" s="40" t="s">
        <v>1261</v>
      </c>
      <c r="H377" s="40" t="s">
        <v>5709</v>
      </c>
      <c r="K377" s="40" t="s">
        <v>578</v>
      </c>
      <c r="L377" s="40">
        <v>1</v>
      </c>
      <c r="Z377" s="40" t="s">
        <v>1639</v>
      </c>
      <c r="AB377" s="46">
        <f>4500/0.09</f>
        <v>50000</v>
      </c>
      <c r="AC377" s="47">
        <f>AB377*H2dens*HoursInYear/10^6</f>
        <v>38.981999999999999</v>
      </c>
      <c r="AD377" s="46">
        <v>100000</v>
      </c>
      <c r="AE377" s="46">
        <f>IF(AND(G377&lt;&gt;"NG w CCUS",G377&lt;&gt;"Oil w CCUS",G377&lt;&gt;"Coal w CCUS"),AB377,AD377*10^3/(HoursInYear*IF(G377="NG w CCUS",0.9105,1.9075)))</f>
        <v>12537.644276941517</v>
      </c>
      <c r="AF377" s="43" t="s">
        <v>636</v>
      </c>
      <c r="AG377" s="43">
        <v>49.483789626074497</v>
      </c>
      <c r="AH377" s="43">
        <v>0.54835583033773905</v>
      </c>
      <c r="AI377" s="122" t="s">
        <v>7287</v>
      </c>
      <c r="AJ377" s="41">
        <v>0.9</v>
      </c>
    </row>
    <row r="378" spans="1:36" ht="34.5" hidden="1" customHeight="1" x14ac:dyDescent="0.25">
      <c r="A378" s="40">
        <v>711</v>
      </c>
      <c r="B378" s="40" t="s">
        <v>460</v>
      </c>
      <c r="C378" s="40" t="s">
        <v>533</v>
      </c>
      <c r="D378" s="40">
        <v>2015</v>
      </c>
      <c r="F378" s="40" t="s">
        <v>1339</v>
      </c>
      <c r="G378" s="40" t="s">
        <v>1261</v>
      </c>
      <c r="H378" s="40" t="s">
        <v>5709</v>
      </c>
      <c r="K378" s="40" t="s">
        <v>578</v>
      </c>
      <c r="L378" s="40">
        <v>1</v>
      </c>
      <c r="Z378" s="40" t="s">
        <v>4807</v>
      </c>
      <c r="AC378" s="47">
        <v>300</v>
      </c>
      <c r="AD378" s="46">
        <v>1100000</v>
      </c>
      <c r="AE378" s="46">
        <f>IF(AND(G378&lt;&gt;"NG w CCUS",G378&lt;&gt;"Oil w CCUS",G378&lt;&gt;"Coal w CCUS"),AB378,AD378*10^3/(HoursInYear*IF(G378="NG w CCUS",0.9105,1.9075)))</f>
        <v>137914.0870463567</v>
      </c>
      <c r="AF378" s="43" t="s">
        <v>2129</v>
      </c>
      <c r="AG378" s="43">
        <v>53.796549800606201</v>
      </c>
      <c r="AH378" s="43">
        <v>-113.091752286177</v>
      </c>
      <c r="AI378" s="122" t="s">
        <v>7287</v>
      </c>
      <c r="AJ378" s="41">
        <v>0.9</v>
      </c>
    </row>
    <row r="379" spans="1:36" ht="34.5" hidden="1" customHeight="1" x14ac:dyDescent="0.25">
      <c r="A379" s="40">
        <v>712</v>
      </c>
      <c r="B379" s="40" t="s">
        <v>128</v>
      </c>
      <c r="C379" s="40" t="s">
        <v>530</v>
      </c>
      <c r="D379" s="40">
        <v>2016</v>
      </c>
      <c r="F379" s="40" t="s">
        <v>1540</v>
      </c>
      <c r="G379" s="40" t="s">
        <v>1259</v>
      </c>
      <c r="H379" s="40" t="s">
        <v>467</v>
      </c>
      <c r="I379" s="40" t="s">
        <v>1257</v>
      </c>
      <c r="K379" s="40" t="s">
        <v>612</v>
      </c>
      <c r="X379" s="40">
        <v>1</v>
      </c>
      <c r="Y379" s="40">
        <v>1</v>
      </c>
      <c r="AC379" s="47"/>
      <c r="AE379" s="46">
        <f t="shared" ref="AE379:AE384" si="31">AB379</f>
        <v>0</v>
      </c>
      <c r="AF379" s="43" t="s">
        <v>1640</v>
      </c>
      <c r="AG379" s="43">
        <v>0</v>
      </c>
      <c r="AH379" s="43">
        <v>0</v>
      </c>
      <c r="AI379" s="122" t="s">
        <v>7286</v>
      </c>
      <c r="AJ379" s="41">
        <v>0.56999999999999995</v>
      </c>
    </row>
    <row r="380" spans="1:36" ht="34.5" hidden="1" customHeight="1" x14ac:dyDescent="0.25">
      <c r="A380" s="40">
        <v>713</v>
      </c>
      <c r="B380" s="40" t="s">
        <v>916</v>
      </c>
      <c r="C380" s="40" t="s">
        <v>1305</v>
      </c>
      <c r="D380" s="40">
        <v>2016</v>
      </c>
      <c r="F380" s="40" t="s">
        <v>1540</v>
      </c>
      <c r="G380" s="40" t="s">
        <v>455</v>
      </c>
      <c r="I380" s="40" t="s">
        <v>1257</v>
      </c>
      <c r="K380" s="40" t="s">
        <v>578</v>
      </c>
      <c r="Q380" s="40">
        <v>1</v>
      </c>
      <c r="R380" s="40">
        <v>1</v>
      </c>
      <c r="T380" s="40">
        <v>1</v>
      </c>
      <c r="AC380" s="47"/>
      <c r="AE380" s="46">
        <f t="shared" si="31"/>
        <v>0</v>
      </c>
      <c r="AF380" s="43" t="s">
        <v>1641</v>
      </c>
      <c r="AG380" s="43">
        <v>0</v>
      </c>
      <c r="AH380" s="43">
        <v>0</v>
      </c>
      <c r="AI380" s="122" t="s">
        <v>7286</v>
      </c>
      <c r="AJ380" s="41">
        <v>0.56999999999999995</v>
      </c>
    </row>
    <row r="381" spans="1:36" ht="34.5" hidden="1" customHeight="1" x14ac:dyDescent="0.25">
      <c r="A381" s="40">
        <v>714</v>
      </c>
      <c r="B381" s="40" t="s">
        <v>126</v>
      </c>
      <c r="C381" s="40" t="s">
        <v>530</v>
      </c>
      <c r="D381" s="40">
        <v>2018</v>
      </c>
      <c r="F381" s="40" t="s">
        <v>1540</v>
      </c>
      <c r="G381" s="40" t="s">
        <v>456</v>
      </c>
      <c r="I381" s="40" t="s">
        <v>1257</v>
      </c>
      <c r="K381" s="40" t="s">
        <v>612</v>
      </c>
      <c r="X381" s="40">
        <v>1</v>
      </c>
      <c r="Y381" s="40">
        <v>1</v>
      </c>
      <c r="Z381" s="40" t="s">
        <v>1542</v>
      </c>
      <c r="AA381" s="45">
        <v>0.12</v>
      </c>
      <c r="AB381" s="46">
        <f>IF(H2ProjectDB689571011[[#This Row],[Dummy_1]]="Electrolysis",
AA381/VLOOKUP(G381,ElectrolysisConvF,3,FALSE),
AC381*10^6/(H2dens*HoursInYear))</f>
        <v>31.578947368421051</v>
      </c>
      <c r="AC381" s="47">
        <f>AB381*H2dens*HoursInYear/10^6</f>
        <v>2.4620210526315786E-2</v>
      </c>
      <c r="AE381" s="46">
        <f t="shared" si="31"/>
        <v>31.578947368421051</v>
      </c>
      <c r="AF381" s="43" t="s">
        <v>902</v>
      </c>
      <c r="AG381" s="43">
        <v>47.2197851475973</v>
      </c>
      <c r="AH381" s="43">
        <v>-1.56754856830343</v>
      </c>
      <c r="AI381" s="122" t="s">
        <v>7286</v>
      </c>
      <c r="AJ381" s="41">
        <v>0.56999999999999995</v>
      </c>
    </row>
    <row r="382" spans="1:36" ht="34.5" hidden="1" customHeight="1" x14ac:dyDescent="0.25">
      <c r="A382" s="73">
        <v>716</v>
      </c>
      <c r="B382" s="73" t="s">
        <v>1643</v>
      </c>
      <c r="C382" s="73" t="s">
        <v>1305</v>
      </c>
      <c r="D382" s="73">
        <v>2019</v>
      </c>
      <c r="E382" s="73"/>
      <c r="F382" s="73" t="s">
        <v>1339</v>
      </c>
      <c r="G382" s="73" t="s">
        <v>1259</v>
      </c>
      <c r="H382" s="73" t="s">
        <v>1642</v>
      </c>
      <c r="I382" s="73" t="s">
        <v>1257</v>
      </c>
      <c r="J382" s="73" t="s">
        <v>581</v>
      </c>
      <c r="K382" s="73" t="s">
        <v>578</v>
      </c>
      <c r="L382" s="73"/>
      <c r="M382" s="73"/>
      <c r="N382" s="73"/>
      <c r="O382" s="73"/>
      <c r="P382" s="73">
        <v>1</v>
      </c>
      <c r="Q382" s="73">
        <v>1</v>
      </c>
      <c r="R382" s="73">
        <v>1</v>
      </c>
      <c r="S382" s="73">
        <v>1</v>
      </c>
      <c r="T382" s="73"/>
      <c r="U382" s="73"/>
      <c r="V382" s="73"/>
      <c r="W382" s="73"/>
      <c r="X382" s="73"/>
      <c r="Y382" s="73"/>
      <c r="Z382" s="73" t="s">
        <v>5914</v>
      </c>
      <c r="AA382" s="74">
        <v>1.3</v>
      </c>
      <c r="AB382" s="74">
        <f>IF(H2ProjectDB689571011[[#This Row],[Dummy_1]]="Electrolysis",
AA382/VLOOKUP(G382,ElectrolysisConvF,3,FALSE),
AC382*10^6/(H2dens*HoursInYear))</f>
        <v>288.88888888888891</v>
      </c>
      <c r="AC382" s="88">
        <f>AB382*H2dens*HoursInYear/10^6</f>
        <v>0.22522933333333334</v>
      </c>
      <c r="AD382" s="75"/>
      <c r="AE382" s="75">
        <f t="shared" si="31"/>
        <v>288.88888888888891</v>
      </c>
      <c r="AF382" s="76" t="s">
        <v>1644</v>
      </c>
      <c r="AG382" s="76">
        <v>51.297344236361802</v>
      </c>
      <c r="AH382" s="76">
        <v>11.997381322243299</v>
      </c>
      <c r="AI382" s="122" t="s">
        <v>7286</v>
      </c>
      <c r="AJ382" s="41">
        <v>0.56999999999999995</v>
      </c>
    </row>
    <row r="383" spans="1:36" ht="34.5" hidden="1" customHeight="1" x14ac:dyDescent="0.25">
      <c r="A383" s="40">
        <v>718</v>
      </c>
      <c r="B383" s="40" t="s">
        <v>184</v>
      </c>
      <c r="C383" s="40" t="s">
        <v>533</v>
      </c>
      <c r="D383" s="44">
        <v>2020</v>
      </c>
      <c r="F383" s="40" t="s">
        <v>1339</v>
      </c>
      <c r="G383" s="40" t="s">
        <v>455</v>
      </c>
      <c r="I383" s="40" t="s">
        <v>1269</v>
      </c>
      <c r="J383" s="40" t="s">
        <v>1394</v>
      </c>
      <c r="K383" s="40" t="s">
        <v>578</v>
      </c>
      <c r="P383" s="40">
        <v>1</v>
      </c>
      <c r="Q383" s="40">
        <v>1</v>
      </c>
      <c r="Z383" s="40" t="s">
        <v>1645</v>
      </c>
      <c r="AA383" s="45">
        <v>20</v>
      </c>
      <c r="AB383" s="46">
        <f>IF(H2ProjectDB689571011[[#This Row],[Dummy_1]]="Electrolysis",
AA383/VLOOKUP(G383,ElectrolysisConvF,3,FALSE),
AC383*10^6/(H2dens*HoursInYear))</f>
        <v>3846.1538461538462</v>
      </c>
      <c r="AC383" s="47">
        <f>AB383*H2dens*HoursInYear/10^6</f>
        <v>2.9986153846153845</v>
      </c>
      <c r="AE383" s="46">
        <f t="shared" si="31"/>
        <v>3846.1538461538462</v>
      </c>
      <c r="AF383" s="43" t="s">
        <v>2060</v>
      </c>
      <c r="AG383" s="43">
        <v>46.382176704350599</v>
      </c>
      <c r="AH383" s="43">
        <v>-72.372642725813606</v>
      </c>
      <c r="AI383" s="122" t="s">
        <v>7286</v>
      </c>
      <c r="AJ383" s="41">
        <v>0.8</v>
      </c>
    </row>
    <row r="384" spans="1:36" ht="34.5" hidden="1" customHeight="1" x14ac:dyDescent="0.25">
      <c r="A384" s="40">
        <v>719</v>
      </c>
      <c r="B384" s="40" t="s">
        <v>2310</v>
      </c>
      <c r="C384" s="40" t="s">
        <v>537</v>
      </c>
      <c r="D384" s="44">
        <v>2021</v>
      </c>
      <c r="F384" s="40" t="s">
        <v>1339</v>
      </c>
      <c r="G384" s="40" t="s">
        <v>457</v>
      </c>
      <c r="I384" s="40" t="s">
        <v>1269</v>
      </c>
      <c r="J384" s="40" t="s">
        <v>1392</v>
      </c>
      <c r="K384" s="40" t="s">
        <v>578</v>
      </c>
      <c r="P384" s="40">
        <v>1</v>
      </c>
      <c r="Q384" s="40">
        <v>1</v>
      </c>
      <c r="Z384" s="40" t="s">
        <v>1333</v>
      </c>
      <c r="AA384" s="45">
        <v>6</v>
      </c>
      <c r="AB384" s="46">
        <f>IF(H2ProjectDB689571011[[#This Row],[Dummy_1]]="Electrolysis",
AA384/VLOOKUP(G384,ElectrolysisConvF,3,FALSE),
AC384*10^6/(H2dens*HoursInYear))</f>
        <v>1304.3478260869565</v>
      </c>
      <c r="AC384" s="47">
        <f>AB384*H2dens*HoursInYear/10^6</f>
        <v>1.0169217391304346</v>
      </c>
      <c r="AE384" s="46">
        <f t="shared" si="31"/>
        <v>1304.3478260869565</v>
      </c>
      <c r="AF384" s="43" t="s">
        <v>2312</v>
      </c>
      <c r="AG384" s="43">
        <v>41.560892967097899</v>
      </c>
      <c r="AH384" s="43">
        <v>115.733107055152</v>
      </c>
      <c r="AI384" s="122" t="s">
        <v>7286</v>
      </c>
      <c r="AJ384" s="41">
        <v>0.4</v>
      </c>
    </row>
    <row r="385" spans="1:36" ht="34.5" hidden="1" customHeight="1" x14ac:dyDescent="0.25">
      <c r="A385" s="40">
        <v>720</v>
      </c>
      <c r="B385" s="40" t="s">
        <v>5842</v>
      </c>
      <c r="C385" s="40" t="s">
        <v>533</v>
      </c>
      <c r="D385" s="44">
        <v>2025</v>
      </c>
      <c r="E385" s="44"/>
      <c r="F385" s="40" t="s">
        <v>5701</v>
      </c>
      <c r="G385" s="40" t="s">
        <v>1261</v>
      </c>
      <c r="H385" s="40" t="s">
        <v>5708</v>
      </c>
      <c r="K385" s="40" t="s">
        <v>578</v>
      </c>
      <c r="L385" s="40">
        <v>1</v>
      </c>
      <c r="P385" s="40">
        <v>1</v>
      </c>
      <c r="Q385" s="40">
        <v>1</v>
      </c>
      <c r="R385" s="40">
        <v>1</v>
      </c>
      <c r="Z385" s="40" t="s">
        <v>5843</v>
      </c>
      <c r="AB385" s="46">
        <f>AC385/(0.089*24*365/10^6)</f>
        <v>179570.05797547585</v>
      </c>
      <c r="AC385" s="47">
        <f>140</f>
        <v>140</v>
      </c>
      <c r="AD385" s="46">
        <v>770000</v>
      </c>
      <c r="AE385" s="46">
        <f>IF(AND(G385&lt;&gt;"NG w CCUS",G385&lt;&gt;"Oil w CCUS",G385&lt;&gt;"Coal w CCUS"),AB385,AD385*10^3/(HoursInYear*IF(G385="NG w CCUS",0.9105,1.9075)))</f>
        <v>96539.860932449679</v>
      </c>
      <c r="AF385" s="43" t="s">
        <v>5845</v>
      </c>
      <c r="AG385" s="43">
        <v>53.602940575999803</v>
      </c>
      <c r="AH385" s="43">
        <v>-113.278503876637</v>
      </c>
      <c r="AI385" s="122" t="s">
        <v>7287</v>
      </c>
      <c r="AJ385" s="41">
        <v>0.9</v>
      </c>
    </row>
    <row r="386" spans="1:36" ht="34.5" hidden="1" customHeight="1" x14ac:dyDescent="0.25">
      <c r="A386" s="40">
        <v>721</v>
      </c>
      <c r="B386" s="40" t="s">
        <v>4053</v>
      </c>
      <c r="C386" s="40" t="s">
        <v>537</v>
      </c>
      <c r="D386" s="44">
        <v>2020</v>
      </c>
      <c r="F386" s="40" t="s">
        <v>1339</v>
      </c>
      <c r="G386" s="40" t="s">
        <v>457</v>
      </c>
      <c r="I386" s="40" t="s">
        <v>1269</v>
      </c>
      <c r="J386" s="40" t="s">
        <v>1392</v>
      </c>
      <c r="K386" s="40" t="s">
        <v>578</v>
      </c>
      <c r="P386" s="40">
        <v>1</v>
      </c>
      <c r="Q386" s="40">
        <v>1</v>
      </c>
      <c r="Z386" s="40" t="s">
        <v>1646</v>
      </c>
      <c r="AA386" s="78">
        <f>IF(H2ProjectDB689571011[[#This Row],[Dummy_1]]="Electrolysis",
AB386*VLOOKUP(G386,ElectrolysisConvF,3,FALSE),
"")</f>
        <v>9.2602996254681642</v>
      </c>
      <c r="AB386" s="46">
        <f>AC386/(H2dens*HoursInYear/10^6)</f>
        <v>2013.1086142322097</v>
      </c>
      <c r="AC386" s="47">
        <f>4.3*0.365</f>
        <v>1.5694999999999999</v>
      </c>
      <c r="AE386" s="46">
        <f>AB386</f>
        <v>2013.1086142322097</v>
      </c>
      <c r="AF386" s="43" t="s">
        <v>677</v>
      </c>
      <c r="AG386" s="43">
        <v>40.81</v>
      </c>
      <c r="AH386" s="43">
        <v>114.87944</v>
      </c>
      <c r="AI386" s="122" t="s">
        <v>7286</v>
      </c>
      <c r="AJ386" s="41">
        <v>0.4</v>
      </c>
    </row>
    <row r="387" spans="1:36" ht="34.5" hidden="1" customHeight="1" x14ac:dyDescent="0.25">
      <c r="A387" s="40">
        <v>725</v>
      </c>
      <c r="B387" s="40" t="s">
        <v>6048</v>
      </c>
      <c r="C387" s="40" t="s">
        <v>540</v>
      </c>
      <c r="D387" s="40">
        <v>2022</v>
      </c>
      <c r="F387" s="40" t="s">
        <v>1339</v>
      </c>
      <c r="G387" s="40" t="s">
        <v>457</v>
      </c>
      <c r="I387" s="40" t="s">
        <v>1266</v>
      </c>
      <c r="K387" s="40" t="s">
        <v>578</v>
      </c>
      <c r="P387" s="40">
        <v>1</v>
      </c>
      <c r="Q387" s="40">
        <v>1</v>
      </c>
      <c r="Z387" s="40" t="s">
        <v>5898</v>
      </c>
      <c r="AA387" s="45">
        <v>3.1</v>
      </c>
      <c r="AB387" s="46">
        <f>IF(H2ProjectDB689571011[[#This Row],[Dummy_1]]="Electrolysis",
AA387/VLOOKUP(G387,ElectrolysisConvF,3,FALSE),
AC387*10^6/(H2dens*HoursInYear))</f>
        <v>673.91304347826087</v>
      </c>
      <c r="AC387" s="47">
        <f t="shared" ref="AC387:AC398" si="32">AB387*H2dens*HoursInYear/10^6</f>
        <v>0.52540956521739124</v>
      </c>
      <c r="AE387" s="46">
        <f>AB387</f>
        <v>673.91304347826087</v>
      </c>
      <c r="AF387" s="43" t="s">
        <v>6785</v>
      </c>
      <c r="AG387" s="43">
        <v>47.252318369421197</v>
      </c>
      <c r="AH387" s="43">
        <v>11.328082857710999</v>
      </c>
      <c r="AI387" s="122" t="s">
        <v>7286</v>
      </c>
      <c r="AJ387" s="41">
        <v>0.56999999999999995</v>
      </c>
    </row>
    <row r="388" spans="1:36" ht="34.5" hidden="1" customHeight="1" x14ac:dyDescent="0.25">
      <c r="A388" s="40">
        <v>726</v>
      </c>
      <c r="B388" s="40" t="s">
        <v>3411</v>
      </c>
      <c r="C388" s="40" t="s">
        <v>866</v>
      </c>
      <c r="D388" s="44">
        <v>2022</v>
      </c>
      <c r="F388" s="40" t="s">
        <v>1339</v>
      </c>
      <c r="G388" s="40" t="s">
        <v>457</v>
      </c>
      <c r="I388" s="40" t="s">
        <v>5700</v>
      </c>
      <c r="J388" s="40" t="s">
        <v>1395</v>
      </c>
      <c r="K388" s="40" t="s">
        <v>578</v>
      </c>
      <c r="Q388" s="40">
        <v>1</v>
      </c>
      <c r="Z388" s="40" t="s">
        <v>1649</v>
      </c>
      <c r="AA388" s="45">
        <v>3.5</v>
      </c>
      <c r="AB388" s="46">
        <f>IF(H2ProjectDB689571011[[#This Row],[Dummy_1]]="Electrolysis",
AA388/VLOOKUP(G388,ElectrolysisConvF,3,FALSE),
AC388*10^6/(H2dens*HoursInYear))</f>
        <v>760.86956521739137</v>
      </c>
      <c r="AC388" s="47">
        <f t="shared" si="32"/>
        <v>0.59320434782608689</v>
      </c>
      <c r="AE388" s="46">
        <f>AB388</f>
        <v>760.86956521739137</v>
      </c>
      <c r="AF388" s="43" t="s">
        <v>868</v>
      </c>
      <c r="AG388" s="43">
        <v>-23.977877535585801</v>
      </c>
      <c r="AH388" s="43">
        <v>28.916761653413101</v>
      </c>
      <c r="AI388" s="122" t="s">
        <v>7286</v>
      </c>
      <c r="AJ388" s="41">
        <v>0.7</v>
      </c>
    </row>
    <row r="389" spans="1:36" ht="34.5" hidden="1" customHeight="1" x14ac:dyDescent="0.25">
      <c r="A389" s="40">
        <v>727</v>
      </c>
      <c r="B389" s="40" t="s">
        <v>5820</v>
      </c>
      <c r="C389" s="40" t="s">
        <v>560</v>
      </c>
      <c r="D389" s="44">
        <v>2023</v>
      </c>
      <c r="F389" s="40" t="s">
        <v>1339</v>
      </c>
      <c r="G389" s="40" t="s">
        <v>455</v>
      </c>
      <c r="I389" s="40" t="s">
        <v>1269</v>
      </c>
      <c r="J389" s="40" t="s">
        <v>1391</v>
      </c>
      <c r="K389" s="40" t="s">
        <v>578</v>
      </c>
      <c r="Q389" s="40">
        <v>1</v>
      </c>
      <c r="Z389" s="40" t="s">
        <v>6901</v>
      </c>
      <c r="AA389" s="45">
        <v>0.6</v>
      </c>
      <c r="AB389" s="46">
        <f>IF(H2ProjectDB689571011[[#This Row],[Dummy_1]]="Electrolysis",
AA389/VLOOKUP(G389,ElectrolysisConvF,3,FALSE),
AC389*10^6/(H2dens*HoursInYear))</f>
        <v>115.38461538461539</v>
      </c>
      <c r="AC389" s="47">
        <f t="shared" si="32"/>
        <v>8.9958461538461529E-2</v>
      </c>
      <c r="AF389" s="43" t="s">
        <v>5706</v>
      </c>
      <c r="AG389" s="43">
        <v>-33.355780647057102</v>
      </c>
      <c r="AH389" s="43">
        <v>-70.736492424818607</v>
      </c>
      <c r="AI389" s="122" t="s">
        <v>7286</v>
      </c>
      <c r="AJ389" s="41">
        <v>0.3</v>
      </c>
    </row>
    <row r="390" spans="1:36" ht="34.5" hidden="1" customHeight="1" x14ac:dyDescent="0.25">
      <c r="A390" s="40">
        <v>728</v>
      </c>
      <c r="B390" s="40" t="s">
        <v>2193</v>
      </c>
      <c r="C390" s="40" t="s">
        <v>1305</v>
      </c>
      <c r="D390" s="44">
        <v>2020</v>
      </c>
      <c r="F390" s="40" t="s">
        <v>1339</v>
      </c>
      <c r="G390" s="40" t="s">
        <v>455</v>
      </c>
      <c r="I390" s="40" t="s">
        <v>1269</v>
      </c>
      <c r="J390" s="40" t="s">
        <v>1395</v>
      </c>
      <c r="K390" s="40" t="s">
        <v>578</v>
      </c>
      <c r="Q390" s="40">
        <v>1</v>
      </c>
      <c r="Z390" s="40" t="s">
        <v>1500</v>
      </c>
      <c r="AA390" s="45">
        <v>2.5</v>
      </c>
      <c r="AB390" s="46">
        <f>IF(H2ProjectDB689571011[[#This Row],[Dummy_1]]="Electrolysis",
AA390/VLOOKUP(G390,ElectrolysisConvF,3,FALSE),
AC390*10^6/(H2dens*HoursInYear))</f>
        <v>480.76923076923077</v>
      </c>
      <c r="AC390" s="47">
        <f t="shared" si="32"/>
        <v>0.37482692307692306</v>
      </c>
      <c r="AE390" s="46">
        <f t="shared" ref="AE390:AE402" si="33">AB390</f>
        <v>480.76923076923077</v>
      </c>
      <c r="AF390" s="43" t="s">
        <v>2195</v>
      </c>
      <c r="AG390" s="43">
        <v>51.264018</v>
      </c>
      <c r="AH390" s="43">
        <v>7.1780374</v>
      </c>
      <c r="AI390" s="122" t="s">
        <v>7286</v>
      </c>
      <c r="AJ390" s="41">
        <v>0.5</v>
      </c>
    </row>
    <row r="391" spans="1:36" ht="34.5" hidden="1" customHeight="1" x14ac:dyDescent="0.25">
      <c r="A391" s="40">
        <v>730</v>
      </c>
      <c r="B391" s="40" t="s">
        <v>5910</v>
      </c>
      <c r="C391" s="40" t="s">
        <v>1305</v>
      </c>
      <c r="D391" s="44">
        <v>2021</v>
      </c>
      <c r="F391" s="40" t="s">
        <v>1339</v>
      </c>
      <c r="G391" s="40" t="s">
        <v>455</v>
      </c>
      <c r="I391" s="40" t="s">
        <v>1269</v>
      </c>
      <c r="J391" s="40" t="s">
        <v>1392</v>
      </c>
      <c r="K391" s="40" t="s">
        <v>578</v>
      </c>
      <c r="O391" s="40">
        <v>1</v>
      </c>
      <c r="Z391" s="40" t="s">
        <v>2320</v>
      </c>
      <c r="AA391" s="45">
        <v>2.5</v>
      </c>
      <c r="AB391" s="46">
        <f>IF(H2ProjectDB689571011[[#This Row],[Dummy_1]]="Electrolysis",
AA391/VLOOKUP(G391,ElectrolysisConvF,3,FALSE),
AC391*10^6/(H2dens*HoursInYear))</f>
        <v>480.76923076923077</v>
      </c>
      <c r="AC391" s="47">
        <f t="shared" si="32"/>
        <v>0.37482692307692306</v>
      </c>
      <c r="AE391" s="46">
        <f t="shared" si="33"/>
        <v>480.76923076923077</v>
      </c>
      <c r="AF391" s="43" t="s">
        <v>2322</v>
      </c>
      <c r="AG391" s="43">
        <v>52.152343461396299</v>
      </c>
      <c r="AH391" s="43">
        <v>10.4066598815022</v>
      </c>
      <c r="AI391" s="122" t="s">
        <v>7286</v>
      </c>
      <c r="AJ391" s="41">
        <v>0.4</v>
      </c>
    </row>
    <row r="392" spans="1:36" ht="34.5" hidden="1" customHeight="1" x14ac:dyDescent="0.25">
      <c r="A392" s="40">
        <v>732</v>
      </c>
      <c r="B392" s="44" t="s">
        <v>2309</v>
      </c>
      <c r="C392" s="40" t="s">
        <v>537</v>
      </c>
      <c r="D392" s="44">
        <v>2019</v>
      </c>
      <c r="F392" s="40" t="s">
        <v>1339</v>
      </c>
      <c r="G392" s="40" t="s">
        <v>457</v>
      </c>
      <c r="I392" s="40" t="s">
        <v>1269</v>
      </c>
      <c r="J392" s="40" t="s">
        <v>1392</v>
      </c>
      <c r="K392" s="40" t="s">
        <v>578</v>
      </c>
      <c r="Q392" s="40">
        <v>1</v>
      </c>
      <c r="Z392" s="40" t="s">
        <v>1648</v>
      </c>
      <c r="AA392" s="45">
        <v>4</v>
      </c>
      <c r="AB392" s="46">
        <f>IF(H2ProjectDB689571011[[#This Row],[Dummy_1]]="Electrolysis",
AA392/VLOOKUP(G392,ElectrolysisConvF,3,FALSE),
AC392*10^6/(H2dens*HoursInYear))</f>
        <v>869.56521739130437</v>
      </c>
      <c r="AC392" s="47">
        <f t="shared" si="32"/>
        <v>0.67794782608695647</v>
      </c>
      <c r="AE392" s="46">
        <f t="shared" si="33"/>
        <v>869.56521739130437</v>
      </c>
      <c r="AF392" s="43" t="s">
        <v>2311</v>
      </c>
      <c r="AG392" s="43">
        <v>41.560892967097899</v>
      </c>
      <c r="AH392" s="43">
        <v>115.733107055152</v>
      </c>
      <c r="AI392" s="122" t="s">
        <v>7286</v>
      </c>
      <c r="AJ392" s="41">
        <v>0.4</v>
      </c>
    </row>
    <row r="393" spans="1:36" ht="34.5" hidden="1" customHeight="1" x14ac:dyDescent="0.25">
      <c r="A393" s="40">
        <v>733</v>
      </c>
      <c r="B393" s="40" t="s">
        <v>183</v>
      </c>
      <c r="C393" s="40" t="s">
        <v>543</v>
      </c>
      <c r="D393" s="44">
        <v>2021</v>
      </c>
      <c r="F393" s="40" t="s">
        <v>1339</v>
      </c>
      <c r="G393" s="40" t="s">
        <v>455</v>
      </c>
      <c r="I393" s="40" t="s">
        <v>1269</v>
      </c>
      <c r="J393" s="40" t="s">
        <v>1391</v>
      </c>
      <c r="K393" s="40" t="s">
        <v>578</v>
      </c>
      <c r="Q393" s="40">
        <v>1</v>
      </c>
      <c r="Z393" s="40" t="s">
        <v>1439</v>
      </c>
      <c r="AA393" s="45">
        <v>1.25</v>
      </c>
      <c r="AB393" s="46">
        <f>IF(H2ProjectDB689571011[[#This Row],[Dummy_1]]="Electrolysis",
AA393/VLOOKUP(G393,ElectrolysisConvF,3,FALSE),
AC393*10^6/(H2dens*HoursInYear))</f>
        <v>240.38461538461539</v>
      </c>
      <c r="AC393" s="47">
        <f t="shared" si="32"/>
        <v>0.18741346153846153</v>
      </c>
      <c r="AE393" s="46">
        <f t="shared" si="33"/>
        <v>240.38461538461539</v>
      </c>
      <c r="AF393" s="43" t="s">
        <v>2666</v>
      </c>
      <c r="AG393" s="43">
        <v>24.765625726132999</v>
      </c>
      <c r="AH393" s="43">
        <v>55.367650169686101</v>
      </c>
      <c r="AI393" s="122" t="s">
        <v>7286</v>
      </c>
      <c r="AJ393" s="41">
        <v>0.3</v>
      </c>
    </row>
    <row r="394" spans="1:36" ht="34.5" hidden="1" customHeight="1" x14ac:dyDescent="0.25">
      <c r="A394" s="40">
        <v>734</v>
      </c>
      <c r="B394" s="40" t="s">
        <v>2968</v>
      </c>
      <c r="C394" s="40" t="s">
        <v>535</v>
      </c>
      <c r="D394" s="44">
        <v>2021</v>
      </c>
      <c r="F394" s="40" t="s">
        <v>1339</v>
      </c>
      <c r="G394" s="40" t="s">
        <v>455</v>
      </c>
      <c r="I394" s="40" t="s">
        <v>1269</v>
      </c>
      <c r="J394" s="40" t="s">
        <v>1395</v>
      </c>
      <c r="K394" s="40" t="s">
        <v>578</v>
      </c>
      <c r="S394" s="40">
        <v>1</v>
      </c>
      <c r="Z394" s="40" t="s">
        <v>1439</v>
      </c>
      <c r="AA394" s="45">
        <v>1.25</v>
      </c>
      <c r="AB394" s="46">
        <f>IF(H2ProjectDB689571011[[#This Row],[Dummy_1]]="Electrolysis",
AA394/VLOOKUP(G394,ElectrolysisConvF,3,FALSE),
AC394*10^6/(H2dens*HoursInYear))</f>
        <v>240.38461538461539</v>
      </c>
      <c r="AC394" s="47">
        <f t="shared" si="32"/>
        <v>0.18741346153846153</v>
      </c>
      <c r="AE394" s="46">
        <f t="shared" si="33"/>
        <v>240.38461538461539</v>
      </c>
      <c r="AF394" s="43" t="s">
        <v>577</v>
      </c>
      <c r="AG394" s="43">
        <v>0</v>
      </c>
      <c r="AH394" s="43">
        <v>0</v>
      </c>
      <c r="AI394" s="122" t="s">
        <v>7286</v>
      </c>
      <c r="AJ394" s="41">
        <v>0.5</v>
      </c>
    </row>
    <row r="395" spans="1:36" ht="34.5" hidden="1" customHeight="1" x14ac:dyDescent="0.25">
      <c r="A395" s="40">
        <v>735</v>
      </c>
      <c r="B395" s="40" t="s">
        <v>624</v>
      </c>
      <c r="C395" s="40" t="s">
        <v>536</v>
      </c>
      <c r="D395" s="44">
        <v>2021</v>
      </c>
      <c r="F395" s="40" t="s">
        <v>1339</v>
      </c>
      <c r="G395" s="40" t="s">
        <v>455</v>
      </c>
      <c r="I395" s="40" t="s">
        <v>1257</v>
      </c>
      <c r="K395" s="40" t="s">
        <v>578</v>
      </c>
      <c r="Q395" s="40">
        <v>1</v>
      </c>
      <c r="Z395" s="40" t="s">
        <v>1372</v>
      </c>
      <c r="AA395" s="45">
        <v>1</v>
      </c>
      <c r="AB395" s="46">
        <f>IF(H2ProjectDB689571011[[#This Row],[Dummy_1]]="Electrolysis",
AA395/VLOOKUP(G395,ElectrolysisConvF,3,FALSE),
AC395*10^6/(H2dens*HoursInYear))</f>
        <v>192.30769230769232</v>
      </c>
      <c r="AC395" s="47">
        <f t="shared" si="32"/>
        <v>0.14993076923076926</v>
      </c>
      <c r="AE395" s="46">
        <f t="shared" si="33"/>
        <v>192.30769230769232</v>
      </c>
      <c r="AF395" s="43" t="s">
        <v>2910</v>
      </c>
      <c r="AG395" s="43">
        <v>0</v>
      </c>
      <c r="AH395" s="43">
        <v>0</v>
      </c>
      <c r="AI395" s="122" t="s">
        <v>7286</v>
      </c>
      <c r="AJ395" s="41">
        <v>0.56999999999999995</v>
      </c>
    </row>
    <row r="396" spans="1:36" ht="34.5" hidden="1" customHeight="1" x14ac:dyDescent="0.25">
      <c r="A396" s="40">
        <v>736</v>
      </c>
      <c r="B396" s="40" t="s">
        <v>995</v>
      </c>
      <c r="C396" s="40" t="s">
        <v>546</v>
      </c>
      <c r="F396" s="40" t="s">
        <v>1540</v>
      </c>
      <c r="G396" s="40" t="s">
        <v>1259</v>
      </c>
      <c r="H396" s="40" t="s">
        <v>467</v>
      </c>
      <c r="I396" s="40" t="s">
        <v>1257</v>
      </c>
      <c r="K396" s="40" t="s">
        <v>578</v>
      </c>
      <c r="Z396" s="40" t="s">
        <v>1449</v>
      </c>
      <c r="AA396" s="45">
        <v>0.02</v>
      </c>
      <c r="AB396" s="46">
        <f>IF(H2ProjectDB689571011[[#This Row],[Dummy_1]]="Electrolysis",
AA396/VLOOKUP(G396,ElectrolysisConvF,3,FALSE),
AC396*10^6/(H2dens*HoursInYear))</f>
        <v>4.4444444444444446</v>
      </c>
      <c r="AC396" s="47">
        <f t="shared" si="32"/>
        <v>3.4650666666666665E-3</v>
      </c>
      <c r="AE396" s="46">
        <f t="shared" si="33"/>
        <v>4.4444444444444446</v>
      </c>
      <c r="AF396" s="43" t="s">
        <v>1686</v>
      </c>
      <c r="AG396" s="43">
        <v>0</v>
      </c>
      <c r="AH396" s="43">
        <v>0</v>
      </c>
      <c r="AI396" s="122" t="s">
        <v>7286</v>
      </c>
      <c r="AJ396" s="41">
        <v>0.56999999999999995</v>
      </c>
    </row>
    <row r="397" spans="1:36" ht="34.5" hidden="1" customHeight="1" x14ac:dyDescent="0.25">
      <c r="A397" s="40">
        <v>737</v>
      </c>
      <c r="B397" s="40" t="s">
        <v>2196</v>
      </c>
      <c r="C397" s="40" t="s">
        <v>535</v>
      </c>
      <c r="D397" s="44">
        <v>2021</v>
      </c>
      <c r="E397" s="40">
        <v>2026</v>
      </c>
      <c r="F397" s="40" t="s">
        <v>1339</v>
      </c>
      <c r="G397" s="40" t="s">
        <v>455</v>
      </c>
      <c r="I397" s="40" t="s">
        <v>1266</v>
      </c>
      <c r="K397" s="40" t="s">
        <v>578</v>
      </c>
      <c r="S397" s="40">
        <v>1</v>
      </c>
      <c r="Z397" s="40" t="s">
        <v>1650</v>
      </c>
      <c r="AA397" s="45">
        <v>0.5</v>
      </c>
      <c r="AB397" s="46">
        <f>IF(H2ProjectDB689571011[[#This Row],[Dummy_1]]="Electrolysis",
AA397/VLOOKUP(G397,ElectrolysisConvF,3,FALSE),
AC397*10^6/(H2dens*HoursInYear))</f>
        <v>96.15384615384616</v>
      </c>
      <c r="AC397" s="47">
        <f t="shared" si="32"/>
        <v>7.4965384615384628E-2</v>
      </c>
      <c r="AE397" s="46">
        <f t="shared" si="33"/>
        <v>96.15384615384616</v>
      </c>
      <c r="AF397" s="43" t="s">
        <v>3471</v>
      </c>
      <c r="AG397" s="43">
        <v>-33.868564661723802</v>
      </c>
      <c r="AH397" s="43">
        <v>151.20461058342701</v>
      </c>
      <c r="AI397" s="122" t="s">
        <v>7286</v>
      </c>
      <c r="AJ397" s="41">
        <v>0.56999999999999995</v>
      </c>
    </row>
    <row r="398" spans="1:36" ht="34.5" hidden="1" customHeight="1" x14ac:dyDescent="0.25">
      <c r="A398" s="40">
        <v>738</v>
      </c>
      <c r="B398" s="40" t="s">
        <v>1112</v>
      </c>
      <c r="C398" s="40" t="s">
        <v>535</v>
      </c>
      <c r="D398" s="44">
        <v>2022</v>
      </c>
      <c r="F398" s="40" t="s">
        <v>1339</v>
      </c>
      <c r="G398" s="40" t="s">
        <v>455</v>
      </c>
      <c r="I398" s="40" t="s">
        <v>1257</v>
      </c>
      <c r="K398" s="40" t="s">
        <v>578</v>
      </c>
      <c r="Q398" s="40">
        <v>1</v>
      </c>
      <c r="Z398" s="40" t="s">
        <v>1651</v>
      </c>
      <c r="AA398" s="45">
        <v>0.22</v>
      </c>
      <c r="AB398" s="46">
        <f>IF(H2ProjectDB689571011[[#This Row],[Dummy_1]]="Electrolysis",
AA398/VLOOKUP(G398,ElectrolysisConvF,3,FALSE),
AC398*10^6/(H2dens*HoursInYear))</f>
        <v>42.307692307692307</v>
      </c>
      <c r="AC398" s="47">
        <f t="shared" si="32"/>
        <v>3.2984769230769227E-2</v>
      </c>
      <c r="AE398" s="46">
        <f t="shared" si="33"/>
        <v>42.307692307692307</v>
      </c>
      <c r="AF398" s="43" t="s">
        <v>4474</v>
      </c>
      <c r="AG398" s="43">
        <v>0</v>
      </c>
      <c r="AH398" s="43">
        <v>0</v>
      </c>
      <c r="AI398" s="122" t="s">
        <v>7286</v>
      </c>
      <c r="AJ398" s="41">
        <v>0.56999999999999995</v>
      </c>
    </row>
    <row r="399" spans="1:36" ht="34.5" hidden="1" customHeight="1" x14ac:dyDescent="0.25">
      <c r="A399" s="40">
        <v>740</v>
      </c>
      <c r="B399" s="40" t="s">
        <v>1009</v>
      </c>
      <c r="C399" s="40" t="s">
        <v>1764</v>
      </c>
      <c r="D399" s="44">
        <v>2022</v>
      </c>
      <c r="F399" s="40" t="s">
        <v>1339</v>
      </c>
      <c r="G399" s="40" t="s">
        <v>1259</v>
      </c>
      <c r="H399" s="40" t="s">
        <v>455</v>
      </c>
      <c r="I399" s="40" t="s">
        <v>1269</v>
      </c>
      <c r="J399" s="40" t="s">
        <v>1395</v>
      </c>
      <c r="K399" s="40" t="s">
        <v>578</v>
      </c>
      <c r="R399" s="40">
        <v>1</v>
      </c>
      <c r="Z399" s="40" t="s">
        <v>4721</v>
      </c>
      <c r="AA399" s="78">
        <f>IF(H2ProjectDB689571011[[#This Row],[Dummy_1]]="Electrolysis",
AB399*VLOOKUP(G399,ElectrolysisConvF,3,FALSE),
"")</f>
        <v>2.5280898876404494E-2</v>
      </c>
      <c r="AB399" s="46">
        <f>AC399/(H2dens*HoursInYear/10^6)</f>
        <v>5.617977528089888</v>
      </c>
      <c r="AC399" s="47">
        <f>12*365/1000000</f>
        <v>4.3800000000000002E-3</v>
      </c>
      <c r="AE399" s="46">
        <f t="shared" si="33"/>
        <v>5.617977528089888</v>
      </c>
      <c r="AF399" s="43" t="s">
        <v>4722</v>
      </c>
      <c r="AG399" s="43">
        <v>28.522964392109401</v>
      </c>
      <c r="AH399" s="43">
        <v>-16.2646393277277</v>
      </c>
      <c r="AI399" s="122" t="s">
        <v>7286</v>
      </c>
      <c r="AJ399" s="41">
        <v>0.5</v>
      </c>
    </row>
    <row r="400" spans="1:36" ht="34.5" hidden="1" customHeight="1" x14ac:dyDescent="0.25">
      <c r="A400" s="40">
        <v>741</v>
      </c>
      <c r="B400" s="40" t="s">
        <v>1175</v>
      </c>
      <c r="C400" s="40" t="s">
        <v>538</v>
      </c>
      <c r="D400" s="44">
        <v>2020</v>
      </c>
      <c r="F400" s="40" t="s">
        <v>1540</v>
      </c>
      <c r="G400" s="40" t="s">
        <v>1259</v>
      </c>
      <c r="H400" s="40" t="s">
        <v>467</v>
      </c>
      <c r="I400" s="40" t="s">
        <v>1269</v>
      </c>
      <c r="J400" s="40" t="s">
        <v>1395</v>
      </c>
      <c r="K400" s="40" t="s">
        <v>578</v>
      </c>
      <c r="Q400" s="40">
        <v>1</v>
      </c>
      <c r="T400" s="40">
        <v>1</v>
      </c>
      <c r="Z400" s="40" t="s">
        <v>1498</v>
      </c>
      <c r="AA400" s="78">
        <f>IF(H2ProjectDB689571011[[#This Row],[Dummy_1]]="Electrolysis",
AB400*VLOOKUP(G400,ElectrolysisConvF,3,FALSE),
"")</f>
        <v>4.4999999999999998E-2</v>
      </c>
      <c r="AB400" s="46">
        <v>10</v>
      </c>
      <c r="AC400" s="47">
        <f>AB400*H2dens*HoursInYear/10^6</f>
        <v>7.7963999999999985E-3</v>
      </c>
      <c r="AE400" s="46">
        <f t="shared" si="33"/>
        <v>10</v>
      </c>
      <c r="AF400" s="43" t="s">
        <v>1174</v>
      </c>
      <c r="AG400" s="43">
        <v>0</v>
      </c>
      <c r="AH400" s="43">
        <v>0</v>
      </c>
      <c r="AI400" s="122" t="s">
        <v>7286</v>
      </c>
      <c r="AJ400" s="41">
        <v>0.5</v>
      </c>
    </row>
    <row r="401" spans="1:36" ht="34.5" hidden="1" customHeight="1" x14ac:dyDescent="0.25">
      <c r="A401" s="40">
        <v>742</v>
      </c>
      <c r="B401" s="40" t="s">
        <v>55</v>
      </c>
      <c r="C401" s="40" t="s">
        <v>540</v>
      </c>
      <c r="D401" s="40">
        <v>2006</v>
      </c>
      <c r="F401" s="40" t="s">
        <v>1540</v>
      </c>
      <c r="G401" s="40" t="s">
        <v>455</v>
      </c>
      <c r="I401" s="40" t="s">
        <v>1257</v>
      </c>
      <c r="K401" s="40" t="s">
        <v>578</v>
      </c>
      <c r="Q401" s="40">
        <v>1</v>
      </c>
      <c r="R401" s="40">
        <v>1</v>
      </c>
      <c r="T401" s="40">
        <v>1</v>
      </c>
      <c r="Z401" s="40" t="s">
        <v>6888</v>
      </c>
      <c r="AA401" s="78">
        <f>IF(H2ProjectDB689571011[[#This Row],[Dummy_1]]="Electrolysis",
AB401*VLOOKUP(G401,ElectrolysisConvF,3,FALSE),
"")</f>
        <v>1.04E-2</v>
      </c>
      <c r="AB401" s="46">
        <v>2</v>
      </c>
      <c r="AC401" s="47">
        <f>AB401*H2dens*HoursInYear/10^6</f>
        <v>1.5592799999999999E-3</v>
      </c>
      <c r="AE401" s="46">
        <f t="shared" si="33"/>
        <v>2</v>
      </c>
      <c r="AF401" s="43" t="s">
        <v>1652</v>
      </c>
      <c r="AG401" s="43">
        <v>47.517411903043701</v>
      </c>
      <c r="AH401" s="43">
        <v>16.4572751055955</v>
      </c>
      <c r="AI401" s="122" t="s">
        <v>7286</v>
      </c>
      <c r="AJ401" s="41">
        <v>0.56999999999999995</v>
      </c>
    </row>
    <row r="402" spans="1:36" ht="34.5" hidden="1" customHeight="1" x14ac:dyDescent="0.25">
      <c r="A402" s="40">
        <v>743</v>
      </c>
      <c r="B402" s="40" t="s">
        <v>610</v>
      </c>
      <c r="C402" s="40" t="s">
        <v>535</v>
      </c>
      <c r="D402" s="44">
        <v>2020</v>
      </c>
      <c r="F402" s="40" t="s">
        <v>1540</v>
      </c>
      <c r="G402" s="40" t="s">
        <v>1259</v>
      </c>
      <c r="H402" s="40" t="s">
        <v>467</v>
      </c>
      <c r="I402" s="40" t="s">
        <v>1269</v>
      </c>
      <c r="J402" s="40" t="s">
        <v>1395</v>
      </c>
      <c r="K402" s="40" t="s">
        <v>578</v>
      </c>
      <c r="S402" s="40">
        <v>1</v>
      </c>
      <c r="AC402" s="47"/>
      <c r="AE402" s="46">
        <f t="shared" si="33"/>
        <v>0</v>
      </c>
      <c r="AF402" s="43" t="s">
        <v>611</v>
      </c>
      <c r="AG402" s="43">
        <v>0</v>
      </c>
      <c r="AH402" s="43">
        <v>0</v>
      </c>
      <c r="AI402" s="122" t="s">
        <v>7286</v>
      </c>
      <c r="AJ402" s="41">
        <v>0.5</v>
      </c>
    </row>
    <row r="403" spans="1:36" ht="34.5" hidden="1" customHeight="1" x14ac:dyDescent="0.25">
      <c r="A403" s="40">
        <v>744</v>
      </c>
      <c r="B403" s="40" t="s">
        <v>466</v>
      </c>
      <c r="C403" s="40" t="s">
        <v>533</v>
      </c>
      <c r="D403" s="44">
        <v>2020</v>
      </c>
      <c r="F403" s="40" t="s">
        <v>1339</v>
      </c>
      <c r="G403" s="40" t="s">
        <v>1262</v>
      </c>
      <c r="H403" s="40" t="s">
        <v>5711</v>
      </c>
      <c r="K403" s="40" t="s">
        <v>578</v>
      </c>
      <c r="L403" s="40">
        <v>1</v>
      </c>
      <c r="Z403" s="40" t="s">
        <v>1675</v>
      </c>
      <c r="AC403" s="47"/>
      <c r="AD403" s="46">
        <v>1300000</v>
      </c>
      <c r="AE403" s="46">
        <f>IF(AND(G403&lt;&gt;"NG w CCUS",G403&lt;&gt;"Oil w CCUS",G403&lt;&gt;"Coal w CCUS"),AB403,AD403*10^3/(HoursInYear*IF(G403="NG w CCUS",0.9105,1.9075)))</f>
        <v>77799.12266527825</v>
      </c>
      <c r="AF403" s="43" t="s">
        <v>1125</v>
      </c>
      <c r="AG403" s="43">
        <v>53.839351949241703</v>
      </c>
      <c r="AH403" s="43">
        <v>-113.12107223312699</v>
      </c>
      <c r="AI403" s="122" t="s">
        <v>7287</v>
      </c>
      <c r="AJ403" s="41">
        <v>0.9</v>
      </c>
    </row>
    <row r="404" spans="1:36" ht="34.5" hidden="1" customHeight="1" x14ac:dyDescent="0.25">
      <c r="A404" s="40">
        <v>745</v>
      </c>
      <c r="B404" s="40" t="s">
        <v>5063</v>
      </c>
      <c r="C404" s="40" t="s">
        <v>533</v>
      </c>
      <c r="D404" s="40">
        <v>2020</v>
      </c>
      <c r="F404" s="40" t="s">
        <v>1339</v>
      </c>
      <c r="G404" s="40" t="s">
        <v>1261</v>
      </c>
      <c r="H404" s="40" t="s">
        <v>5709</v>
      </c>
      <c r="K404" s="40" t="s">
        <v>1243</v>
      </c>
      <c r="M404" s="40">
        <v>1</v>
      </c>
      <c r="Z404" s="40" t="s">
        <v>1653</v>
      </c>
      <c r="AC404" s="47"/>
      <c r="AD404" s="46">
        <v>300000</v>
      </c>
      <c r="AE404" s="46">
        <f>IF(AND(G404&lt;&gt;"NG w CCUS",G404&lt;&gt;"Oil w CCUS",G404&lt;&gt;"Coal w CCUS"),AB404,AD404*10^3/(HoursInYear*IF(G404="NG w CCUS",0.9105,1.9075)))</f>
        <v>37612.932830824553</v>
      </c>
      <c r="AF404" s="43" t="s">
        <v>1126</v>
      </c>
      <c r="AG404" s="43">
        <v>53.992493840230203</v>
      </c>
      <c r="AH404" s="43">
        <v>-113.126939534757</v>
      </c>
      <c r="AI404" s="122" t="s">
        <v>7287</v>
      </c>
      <c r="AJ404" s="41">
        <v>0.9</v>
      </c>
    </row>
    <row r="405" spans="1:36" ht="34.5" hidden="1" customHeight="1" x14ac:dyDescent="0.25">
      <c r="A405" s="40">
        <v>746</v>
      </c>
      <c r="B405" s="40" t="s">
        <v>145</v>
      </c>
      <c r="C405" s="40" t="s">
        <v>535</v>
      </c>
      <c r="D405" s="44">
        <v>2020</v>
      </c>
      <c r="F405" s="40" t="s">
        <v>1540</v>
      </c>
      <c r="G405" s="40" t="s">
        <v>1259</v>
      </c>
      <c r="H405" s="40" t="s">
        <v>467</v>
      </c>
      <c r="I405" s="40" t="s">
        <v>1269</v>
      </c>
      <c r="J405" s="40" t="s">
        <v>1395</v>
      </c>
      <c r="K405" s="40" t="s">
        <v>578</v>
      </c>
      <c r="S405" s="40">
        <v>1</v>
      </c>
      <c r="AC405" s="47"/>
      <c r="AE405" s="46">
        <f t="shared" ref="AE405:AE414" si="34">AB405</f>
        <v>0</v>
      </c>
      <c r="AF405" s="43" t="s">
        <v>736</v>
      </c>
      <c r="AG405" s="43">
        <v>0</v>
      </c>
      <c r="AH405" s="43">
        <v>0</v>
      </c>
      <c r="AI405" s="122" t="s">
        <v>7286</v>
      </c>
      <c r="AJ405" s="41">
        <v>0.5</v>
      </c>
    </row>
    <row r="406" spans="1:36" ht="34.5" hidden="1" customHeight="1" x14ac:dyDescent="0.25">
      <c r="A406" s="40">
        <v>747</v>
      </c>
      <c r="B406" s="40" t="s">
        <v>143</v>
      </c>
      <c r="C406" s="40" t="s">
        <v>530</v>
      </c>
      <c r="D406" s="44">
        <v>2020</v>
      </c>
      <c r="F406" s="40" t="s">
        <v>1540</v>
      </c>
      <c r="G406" s="40" t="s">
        <v>1259</v>
      </c>
      <c r="H406" s="40" t="s">
        <v>467</v>
      </c>
      <c r="I406" s="40" t="s">
        <v>1257</v>
      </c>
      <c r="K406" s="40" t="s">
        <v>578</v>
      </c>
      <c r="Q406" s="40">
        <v>1</v>
      </c>
      <c r="AC406" s="47"/>
      <c r="AE406" s="46">
        <f t="shared" si="34"/>
        <v>0</v>
      </c>
      <c r="AF406" s="43" t="s">
        <v>750</v>
      </c>
      <c r="AG406" s="43">
        <v>0</v>
      </c>
      <c r="AH406" s="43">
        <v>0</v>
      </c>
      <c r="AI406" s="122" t="s">
        <v>7286</v>
      </c>
      <c r="AJ406" s="41">
        <v>0.56999999999999995</v>
      </c>
    </row>
    <row r="407" spans="1:36" ht="34.5" hidden="1" customHeight="1" x14ac:dyDescent="0.25">
      <c r="A407" s="40">
        <v>748</v>
      </c>
      <c r="B407" s="40" t="s">
        <v>63</v>
      </c>
      <c r="C407" s="40" t="s">
        <v>533</v>
      </c>
      <c r="D407" s="40">
        <v>2001</v>
      </c>
      <c r="F407" s="40" t="s">
        <v>1540</v>
      </c>
      <c r="G407" s="40" t="s">
        <v>457</v>
      </c>
      <c r="I407" s="40" t="s">
        <v>1257</v>
      </c>
      <c r="K407" s="40" t="s">
        <v>578</v>
      </c>
      <c r="S407" s="40">
        <v>1</v>
      </c>
      <c r="Z407" s="40" t="s">
        <v>6530</v>
      </c>
      <c r="AA407" s="78">
        <f>IF(H2ProjectDB689571011[[#This Row],[Dummy_1]]="Electrolysis",
AB407*VLOOKUP(G407,ElectrolysisConvF,3,FALSE),
"")</f>
        <v>4.5999999999999999E-3</v>
      </c>
      <c r="AB407" s="46">
        <v>1</v>
      </c>
      <c r="AC407" s="47">
        <f>AB407*H2dens*HoursInYear/10^6</f>
        <v>7.7963999999999996E-4</v>
      </c>
      <c r="AE407" s="46">
        <f t="shared" si="34"/>
        <v>1</v>
      </c>
      <c r="AF407" s="43" t="s">
        <v>6592</v>
      </c>
      <c r="AG407" s="43">
        <v>0</v>
      </c>
      <c r="AH407" s="43">
        <v>0</v>
      </c>
      <c r="AI407" s="122" t="s">
        <v>7286</v>
      </c>
      <c r="AJ407" s="41">
        <v>0.56999999999999995</v>
      </c>
    </row>
    <row r="408" spans="1:36" ht="34.5" hidden="1" customHeight="1" x14ac:dyDescent="0.25">
      <c r="A408" s="40">
        <v>749</v>
      </c>
      <c r="B408" s="40" t="s">
        <v>58</v>
      </c>
      <c r="C408" s="40" t="s">
        <v>540</v>
      </c>
      <c r="D408" s="40">
        <v>2006</v>
      </c>
      <c r="F408" s="40" t="s">
        <v>1540</v>
      </c>
      <c r="G408" s="40" t="s">
        <v>455</v>
      </c>
      <c r="I408" s="40" t="s">
        <v>1257</v>
      </c>
      <c r="AC408" s="47"/>
      <c r="AE408" s="46">
        <f t="shared" si="34"/>
        <v>0</v>
      </c>
      <c r="AG408" s="43">
        <v>0</v>
      </c>
      <c r="AH408" s="43">
        <v>0</v>
      </c>
      <c r="AI408" s="122" t="s">
        <v>7286</v>
      </c>
      <c r="AJ408" s="41">
        <v>0.56999999999999995</v>
      </c>
    </row>
    <row r="409" spans="1:36" ht="34.5" hidden="1" customHeight="1" x14ac:dyDescent="0.25">
      <c r="A409" s="40">
        <v>750</v>
      </c>
      <c r="B409" s="40" t="s">
        <v>59</v>
      </c>
      <c r="C409" s="40" t="s">
        <v>1305</v>
      </c>
      <c r="D409" s="40">
        <v>2006</v>
      </c>
      <c r="F409" s="40" t="s">
        <v>1540</v>
      </c>
      <c r="G409" s="40" t="s">
        <v>455</v>
      </c>
      <c r="I409" s="40" t="s">
        <v>1257</v>
      </c>
      <c r="AC409" s="47"/>
      <c r="AE409" s="46">
        <f t="shared" si="34"/>
        <v>0</v>
      </c>
      <c r="AG409" s="43">
        <v>0</v>
      </c>
      <c r="AH409" s="43">
        <v>0</v>
      </c>
      <c r="AI409" s="122" t="s">
        <v>7286</v>
      </c>
      <c r="AJ409" s="41">
        <v>0.56999999999999995</v>
      </c>
    </row>
    <row r="410" spans="1:36" ht="36.6" hidden="1" customHeight="1" x14ac:dyDescent="0.25">
      <c r="A410" s="40">
        <v>752</v>
      </c>
      <c r="B410" s="90" t="s">
        <v>4300</v>
      </c>
      <c r="C410" s="40" t="s">
        <v>674</v>
      </c>
      <c r="D410" s="44">
        <v>2030</v>
      </c>
      <c r="E410" s="44"/>
      <c r="F410" s="40" t="s">
        <v>1331</v>
      </c>
      <c r="G410" s="40" t="s">
        <v>1259</v>
      </c>
      <c r="H410" s="40" t="s">
        <v>467</v>
      </c>
      <c r="I410" s="40" t="s">
        <v>1269</v>
      </c>
      <c r="J410" s="40" t="s">
        <v>1395</v>
      </c>
      <c r="K410" s="40" t="s">
        <v>1243</v>
      </c>
      <c r="M410" s="40">
        <v>1</v>
      </c>
      <c r="Z410" s="40" t="s">
        <v>8089</v>
      </c>
      <c r="AA410" s="45">
        <v>500</v>
      </c>
      <c r="AB410" s="46">
        <f>IF(H2ProjectDB689571011[[#This Row],[Dummy_1]]="Electrolysis",
AA410/VLOOKUP(G410,ElectrolysisConvF,3,FALSE),
AC410*10^6/(H2dens*HoursInYear))</f>
        <v>111111.11111111112</v>
      </c>
      <c r="AC410" s="47">
        <f>AB410*H2dens*HoursInYear/10^6</f>
        <v>86.626666666666665</v>
      </c>
      <c r="AE410" s="46">
        <f t="shared" si="34"/>
        <v>111111.11111111112</v>
      </c>
      <c r="AF410" s="43" t="s">
        <v>4304</v>
      </c>
      <c r="AG410" s="43">
        <v>19.666927731033201</v>
      </c>
      <c r="AH410" s="43">
        <v>57.725445010377797</v>
      </c>
      <c r="AI410" s="122" t="s">
        <v>7286</v>
      </c>
      <c r="AJ410" s="41">
        <v>0.5</v>
      </c>
    </row>
    <row r="411" spans="1:36" ht="31.5" hidden="1" customHeight="1" x14ac:dyDescent="0.25">
      <c r="A411" s="40">
        <v>753</v>
      </c>
      <c r="B411" s="40" t="s">
        <v>6808</v>
      </c>
      <c r="C411" s="40" t="s">
        <v>535</v>
      </c>
      <c r="D411" s="44">
        <v>2025</v>
      </c>
      <c r="E411" s="44"/>
      <c r="F411" s="40" t="s">
        <v>5701</v>
      </c>
      <c r="G411" s="40" t="s">
        <v>457</v>
      </c>
      <c r="I411" s="40" t="s">
        <v>1269</v>
      </c>
      <c r="J411" s="40" t="s">
        <v>1391</v>
      </c>
      <c r="K411" s="40" t="s">
        <v>1243</v>
      </c>
      <c r="M411" s="40">
        <v>1</v>
      </c>
      <c r="Z411" s="40" t="s">
        <v>1333</v>
      </c>
      <c r="AA411" s="45">
        <v>10</v>
      </c>
      <c r="AB411" s="46">
        <f>IF(H2ProjectDB689571011[[#This Row],[Dummy_1]]="Electrolysis",
AA411/VLOOKUP(G411,ElectrolysisConvF,3,FALSE),
AC411*10^6/(H2dens*HoursInYear))</f>
        <v>2173.913043478261</v>
      </c>
      <c r="AC411" s="47">
        <f>AB411*H2dens*HoursInYear/10^6</f>
        <v>1.6948695652173913</v>
      </c>
      <c r="AE411" s="46">
        <f t="shared" si="34"/>
        <v>2173.913043478261</v>
      </c>
      <c r="AF411" s="43" t="s">
        <v>4654</v>
      </c>
      <c r="AG411" s="43">
        <v>-20.624544351330801</v>
      </c>
      <c r="AH411" s="43">
        <v>116.783187518457</v>
      </c>
      <c r="AI411" s="122" t="s">
        <v>7286</v>
      </c>
      <c r="AJ411" s="41">
        <v>0.3</v>
      </c>
    </row>
    <row r="412" spans="1:36" ht="34.35" hidden="1" customHeight="1" x14ac:dyDescent="0.25">
      <c r="A412" s="40">
        <v>754</v>
      </c>
      <c r="B412" s="40" t="s">
        <v>4054</v>
      </c>
      <c r="C412" s="40" t="s">
        <v>537</v>
      </c>
      <c r="D412" s="44">
        <v>2026</v>
      </c>
      <c r="E412" s="44"/>
      <c r="F412" s="40" t="s">
        <v>5701</v>
      </c>
      <c r="G412" s="40" t="s">
        <v>457</v>
      </c>
      <c r="I412" s="40" t="s">
        <v>1269</v>
      </c>
      <c r="J412" s="40" t="s">
        <v>1392</v>
      </c>
      <c r="K412" s="40" t="s">
        <v>578</v>
      </c>
      <c r="Q412" s="40">
        <v>1</v>
      </c>
      <c r="R412" s="40">
        <v>1</v>
      </c>
      <c r="Z412" s="40" t="s">
        <v>6181</v>
      </c>
      <c r="AA412" s="78">
        <f>IF(H2ProjectDB689571011[[#This Row],[Dummy_1]]="Electrolysis",
AB412*VLOOKUP(G412,ElectrolysisConvF,3,FALSE),
"")</f>
        <v>147.5039761941409</v>
      </c>
      <c r="AB412" s="46">
        <f>AC412/(H2dens*HoursInYear/10^6)</f>
        <v>32066.081781334979</v>
      </c>
      <c r="AC412" s="47">
        <f>10/H2ProjectDB689571011[[#This Row],[LOWE_CF]]</f>
        <v>25</v>
      </c>
      <c r="AE412" s="46">
        <f t="shared" si="34"/>
        <v>32066.081781334979</v>
      </c>
      <c r="AF412" s="43" t="s">
        <v>6183</v>
      </c>
      <c r="AG412" s="43">
        <v>40.81</v>
      </c>
      <c r="AH412" s="43">
        <v>114.87944</v>
      </c>
      <c r="AI412" s="122" t="s">
        <v>7286</v>
      </c>
      <c r="AJ412" s="41">
        <v>0.4</v>
      </c>
    </row>
    <row r="413" spans="1:36" ht="34.5" hidden="1" customHeight="1" x14ac:dyDescent="0.25">
      <c r="A413" s="40">
        <v>755</v>
      </c>
      <c r="B413" s="40" t="s">
        <v>181</v>
      </c>
      <c r="C413" s="40" t="s">
        <v>535</v>
      </c>
      <c r="D413" s="44">
        <v>2024</v>
      </c>
      <c r="E413" s="44"/>
      <c r="F413" s="40" t="s">
        <v>1331</v>
      </c>
      <c r="G413" s="40" t="s">
        <v>1259</v>
      </c>
      <c r="H413" s="40" t="s">
        <v>467</v>
      </c>
      <c r="I413" s="40" t="s">
        <v>1266</v>
      </c>
      <c r="K413" s="40" t="s">
        <v>578</v>
      </c>
      <c r="Z413" s="40" t="s">
        <v>1483</v>
      </c>
      <c r="AA413" s="45">
        <v>50</v>
      </c>
      <c r="AB413" s="46">
        <f>IF(H2ProjectDB689571011[[#This Row],[Dummy_1]]="Electrolysis",
AA413/VLOOKUP(G413,ElectrolysisConvF,3,FALSE),
AC413*10^6/(H2dens*HoursInYear))</f>
        <v>11111.111111111111</v>
      </c>
      <c r="AC413" s="47">
        <f>AB413*H2dens*HoursInYear/10^6</f>
        <v>8.6626666666666665</v>
      </c>
      <c r="AE413" s="46">
        <f t="shared" si="34"/>
        <v>11111.111111111111</v>
      </c>
      <c r="AF413" s="43" t="s">
        <v>2531</v>
      </c>
      <c r="AG413" s="43">
        <v>-33.353144200000003</v>
      </c>
      <c r="AH413" s="43">
        <v>138.2060764</v>
      </c>
      <c r="AI413" s="122" t="s">
        <v>7286</v>
      </c>
      <c r="AJ413" s="41">
        <v>0.56999999999999995</v>
      </c>
    </row>
    <row r="414" spans="1:36" ht="34.5" hidden="1" customHeight="1" x14ac:dyDescent="0.25">
      <c r="A414" s="40">
        <v>756</v>
      </c>
      <c r="B414" s="40" t="s">
        <v>2559</v>
      </c>
      <c r="C414" s="40" t="s">
        <v>535</v>
      </c>
      <c r="D414" s="44">
        <v>2025</v>
      </c>
      <c r="E414" s="44"/>
      <c r="F414" s="40" t="s">
        <v>1331</v>
      </c>
      <c r="G414" s="40" t="s">
        <v>1259</v>
      </c>
      <c r="H414" s="40" t="s">
        <v>467</v>
      </c>
      <c r="I414" s="40" t="s">
        <v>1269</v>
      </c>
      <c r="J414" s="40" t="s">
        <v>581</v>
      </c>
      <c r="K414" s="40" t="s">
        <v>578</v>
      </c>
      <c r="Z414" s="40" t="s">
        <v>2024</v>
      </c>
      <c r="AA414" s="45">
        <v>300</v>
      </c>
      <c r="AB414" s="46">
        <f>IF(H2ProjectDB689571011[[#This Row],[Dummy_1]]="Electrolysis",
AA414/VLOOKUP(G414,ElectrolysisConvF,3,FALSE),
AC414*10^6/(H2dens*HoursInYear))</f>
        <v>66666.666666666672</v>
      </c>
      <c r="AC414" s="47">
        <f>AB414*H2dens*HoursInYear/10^6</f>
        <v>51.975999999999999</v>
      </c>
      <c r="AE414" s="46">
        <f t="shared" si="34"/>
        <v>66666.666666666672</v>
      </c>
      <c r="AF414" s="43" t="s">
        <v>2561</v>
      </c>
      <c r="AG414" s="43">
        <v>-19.258959559302099</v>
      </c>
      <c r="AH414" s="43">
        <v>146.816321846514</v>
      </c>
      <c r="AI414" s="122" t="s">
        <v>7286</v>
      </c>
      <c r="AJ414" s="41">
        <v>0.5</v>
      </c>
    </row>
    <row r="415" spans="1:36" ht="34.5" hidden="1" customHeight="1" x14ac:dyDescent="0.25">
      <c r="A415" s="40">
        <v>757</v>
      </c>
      <c r="B415" s="40" t="s">
        <v>2961</v>
      </c>
      <c r="C415" s="40" t="s">
        <v>535</v>
      </c>
      <c r="D415" s="44">
        <v>2025</v>
      </c>
      <c r="E415" s="44"/>
      <c r="F415" s="40" t="s">
        <v>1331</v>
      </c>
      <c r="G415" s="40" t="s">
        <v>1259</v>
      </c>
      <c r="H415" s="40" t="s">
        <v>467</v>
      </c>
      <c r="I415" s="40" t="s">
        <v>1269</v>
      </c>
      <c r="J415" s="40" t="s">
        <v>1395</v>
      </c>
      <c r="K415" s="40" t="s">
        <v>1243</v>
      </c>
      <c r="M415" s="40">
        <v>1</v>
      </c>
      <c r="Z415" s="40" t="s">
        <v>1576</v>
      </c>
      <c r="AA415" s="45">
        <v>150</v>
      </c>
      <c r="AB415" s="46">
        <f>IF(H2ProjectDB689571011[[#This Row],[Dummy_1]]="Electrolysis",
AA415/VLOOKUP(G415,ElectrolysisConvF,3,FALSE),
AC415*10^6/(H2dens*HoursInYear))</f>
        <v>33333.333333333336</v>
      </c>
      <c r="AC415" s="47">
        <f>AB415*H2dens*HoursInYear/10^6</f>
        <v>25.988</v>
      </c>
      <c r="AE415" s="46">
        <f>IF(AND(G415&lt;&gt;"NG w CCUS",G415&lt;&gt;"Oil w CCUS",G415&lt;&gt;"Coal w CCUS"),AB415,AD415*10^3/(HoursInYear*IF(G415="NG w CCUS",0.9105,1.9075)))</f>
        <v>33333.333333333336</v>
      </c>
      <c r="AF415" s="43" t="s">
        <v>2964</v>
      </c>
      <c r="AG415" s="43">
        <v>-23.841535520383299</v>
      </c>
      <c r="AH415" s="43">
        <v>151.250589188345</v>
      </c>
      <c r="AI415" s="122" t="s">
        <v>7286</v>
      </c>
      <c r="AJ415" s="41">
        <v>0.5</v>
      </c>
    </row>
    <row r="416" spans="1:36" ht="34.5" hidden="1" customHeight="1" x14ac:dyDescent="0.25">
      <c r="A416" s="40">
        <v>759</v>
      </c>
      <c r="B416" s="40" t="s">
        <v>119</v>
      </c>
      <c r="C416" s="40" t="s">
        <v>534</v>
      </c>
      <c r="D416" s="40">
        <v>2006</v>
      </c>
      <c r="F416" s="40" t="s">
        <v>1540</v>
      </c>
      <c r="G416" s="40" t="s">
        <v>455</v>
      </c>
      <c r="I416" s="40" t="s">
        <v>1257</v>
      </c>
      <c r="K416" s="40" t="s">
        <v>578</v>
      </c>
      <c r="P416" s="40">
        <v>1</v>
      </c>
      <c r="Z416" s="40" t="s">
        <v>1589</v>
      </c>
      <c r="AA416" s="45">
        <v>0.1</v>
      </c>
      <c r="AB416" s="46">
        <f>IF(H2ProjectDB689571011[[#This Row],[Dummy_1]]="Electrolysis",
AA416/VLOOKUP(G416,ElectrolysisConvF,3,FALSE),
AC416*10^6/(H2dens*HoursInYear))</f>
        <v>19.230769230769234</v>
      </c>
      <c r="AC416" s="47">
        <f>AB416*H2dens*HoursInYear/10^6</f>
        <v>1.4993076923076923E-2</v>
      </c>
      <c r="AE416" s="46">
        <f t="shared" ref="AE416:AE441" si="35">AB416</f>
        <v>19.230769230769234</v>
      </c>
      <c r="AF416" s="43" t="s">
        <v>1654</v>
      </c>
      <c r="AG416" s="43">
        <v>0</v>
      </c>
      <c r="AH416" s="43">
        <v>0</v>
      </c>
      <c r="AI416" s="122" t="s">
        <v>7286</v>
      </c>
      <c r="AJ416" s="41">
        <v>0.56999999999999995</v>
      </c>
    </row>
    <row r="417" spans="1:36" ht="34.5" hidden="1" customHeight="1" x14ac:dyDescent="0.25">
      <c r="A417" s="40">
        <v>760</v>
      </c>
      <c r="B417" s="40" t="s">
        <v>23</v>
      </c>
      <c r="C417" s="40" t="s">
        <v>554</v>
      </c>
      <c r="D417" s="40">
        <v>2006</v>
      </c>
      <c r="F417" s="40" t="s">
        <v>1540</v>
      </c>
      <c r="G417" s="40" t="s">
        <v>455</v>
      </c>
      <c r="I417" s="40" t="s">
        <v>1257</v>
      </c>
      <c r="K417" s="40" t="s">
        <v>578</v>
      </c>
      <c r="R417" s="40">
        <v>1</v>
      </c>
      <c r="AC417" s="47"/>
      <c r="AE417" s="46">
        <f t="shared" si="35"/>
        <v>0</v>
      </c>
      <c r="AF417" s="43" t="s">
        <v>1655</v>
      </c>
      <c r="AG417" s="43">
        <v>37.994866989331101</v>
      </c>
      <c r="AH417" s="43">
        <v>23.714301745177</v>
      </c>
      <c r="AI417" s="122" t="s">
        <v>7286</v>
      </c>
      <c r="AJ417" s="41">
        <v>0.56999999999999995</v>
      </c>
    </row>
    <row r="418" spans="1:36" ht="34.5" hidden="1" customHeight="1" x14ac:dyDescent="0.25">
      <c r="A418" s="40">
        <v>761</v>
      </c>
      <c r="B418" s="40" t="s">
        <v>86</v>
      </c>
      <c r="C418" s="40" t="s">
        <v>536</v>
      </c>
      <c r="D418" s="40">
        <v>2006</v>
      </c>
      <c r="F418" s="40" t="s">
        <v>1540</v>
      </c>
      <c r="G418" s="40" t="s">
        <v>455</v>
      </c>
      <c r="I418" s="40" t="s">
        <v>1257</v>
      </c>
      <c r="K418" s="40" t="s">
        <v>578</v>
      </c>
      <c r="Q418" s="40">
        <v>1</v>
      </c>
      <c r="R418" s="40">
        <v>1</v>
      </c>
      <c r="T418" s="40">
        <v>1</v>
      </c>
      <c r="AC418" s="47"/>
      <c r="AE418" s="46">
        <f t="shared" si="35"/>
        <v>0</v>
      </c>
      <c r="AF418" s="43" t="s">
        <v>1656</v>
      </c>
      <c r="AG418" s="43">
        <v>0</v>
      </c>
      <c r="AH418" s="43">
        <v>0</v>
      </c>
      <c r="AI418" s="122" t="s">
        <v>7286</v>
      </c>
      <c r="AJ418" s="41">
        <v>0.56999999999999995</v>
      </c>
    </row>
    <row r="419" spans="1:36" ht="34.5" hidden="1" customHeight="1" x14ac:dyDescent="0.25">
      <c r="A419" s="40">
        <v>762</v>
      </c>
      <c r="B419" s="40" t="s">
        <v>195</v>
      </c>
      <c r="C419" s="40" t="s">
        <v>535</v>
      </c>
      <c r="F419" s="40" t="s">
        <v>1257</v>
      </c>
      <c r="G419" s="40" t="s">
        <v>1259</v>
      </c>
      <c r="H419" s="40" t="s">
        <v>467</v>
      </c>
      <c r="I419" s="40" t="s">
        <v>1257</v>
      </c>
      <c r="K419" s="40" t="s">
        <v>612</v>
      </c>
      <c r="X419" s="40">
        <v>1</v>
      </c>
      <c r="AC419" s="47"/>
      <c r="AE419" s="46">
        <f t="shared" si="35"/>
        <v>0</v>
      </c>
      <c r="AG419" s="43">
        <v>0</v>
      </c>
      <c r="AH419" s="43">
        <v>0</v>
      </c>
      <c r="AI419" s="122" t="s">
        <v>7286</v>
      </c>
      <c r="AJ419" s="41">
        <v>0.56999999999999995</v>
      </c>
    </row>
    <row r="420" spans="1:36" ht="34.5" hidden="1" customHeight="1" x14ac:dyDescent="0.25">
      <c r="A420" s="40">
        <v>764</v>
      </c>
      <c r="B420" s="40" t="s">
        <v>1211</v>
      </c>
      <c r="C420" s="40" t="s">
        <v>546</v>
      </c>
      <c r="D420" s="44">
        <v>2022</v>
      </c>
      <c r="F420" s="40" t="s">
        <v>1339</v>
      </c>
      <c r="G420" s="40" t="s">
        <v>457</v>
      </c>
      <c r="I420" s="40" t="s">
        <v>1269</v>
      </c>
      <c r="J420" s="40" t="s">
        <v>1391</v>
      </c>
      <c r="K420" s="40" t="s">
        <v>578</v>
      </c>
      <c r="P420" s="40">
        <v>1</v>
      </c>
      <c r="Q420" s="40">
        <v>1</v>
      </c>
      <c r="Z420" s="40" t="s">
        <v>1658</v>
      </c>
      <c r="AA420" s="45">
        <v>1.4</v>
      </c>
      <c r="AB420" s="46">
        <f>IF(H2ProjectDB689571011[[#This Row],[Dummy_1]]="Electrolysis",
AA420/VLOOKUP(G420,ElectrolysisConvF,3,FALSE),
AC420*10^6/(H2dens*HoursInYear))</f>
        <v>304.3478260869565</v>
      </c>
      <c r="AC420" s="47">
        <f>AB420*H2dens*HoursInYear/10^6</f>
        <v>0.23728173913043479</v>
      </c>
      <c r="AE420" s="46">
        <f t="shared" si="35"/>
        <v>304.3478260869565</v>
      </c>
      <c r="AF420" s="43" t="s">
        <v>4475</v>
      </c>
      <c r="AG420" s="43">
        <v>53.198099452674803</v>
      </c>
      <c r="AH420" s="43">
        <v>5.79037176930896</v>
      </c>
      <c r="AI420" s="122" t="s">
        <v>7286</v>
      </c>
      <c r="AJ420" s="41">
        <v>0.3</v>
      </c>
    </row>
    <row r="421" spans="1:36" ht="34.5" hidden="1" customHeight="1" x14ac:dyDescent="0.25">
      <c r="A421" s="40">
        <v>765</v>
      </c>
      <c r="B421" s="40" t="s">
        <v>1187</v>
      </c>
      <c r="C421" s="40" t="s">
        <v>537</v>
      </c>
      <c r="D421" s="44">
        <v>2022</v>
      </c>
      <c r="F421" s="40" t="s">
        <v>1540</v>
      </c>
      <c r="G421" s="40" t="s">
        <v>455</v>
      </c>
      <c r="I421" s="40" t="s">
        <v>1266</v>
      </c>
      <c r="K421" s="40" t="s">
        <v>578</v>
      </c>
      <c r="Q421" s="40">
        <v>1</v>
      </c>
      <c r="Z421" s="40" t="s">
        <v>1480</v>
      </c>
      <c r="AA421" s="45">
        <v>1</v>
      </c>
      <c r="AB421" s="46">
        <f>IF(H2ProjectDB689571011[[#This Row],[Dummy_1]]="Electrolysis",
AA421/VLOOKUP(G421,ElectrolysisConvF,3,FALSE),
AC421*10^6/(H2dens*HoursInYear))</f>
        <v>192.30769230769232</v>
      </c>
      <c r="AC421" s="47">
        <f>AB421*H2dens*HoursInYear/10^6</f>
        <v>0.14993076923076926</v>
      </c>
      <c r="AE421" s="46">
        <f t="shared" si="35"/>
        <v>192.30769230769232</v>
      </c>
      <c r="AF421" s="43" t="s">
        <v>1188</v>
      </c>
      <c r="AG421" s="43">
        <v>39.919517089258697</v>
      </c>
      <c r="AH421" s="43">
        <v>116.397311532019</v>
      </c>
      <c r="AI421" s="122" t="s">
        <v>7286</v>
      </c>
      <c r="AJ421" s="41">
        <v>0.56999999999999995</v>
      </c>
    </row>
    <row r="422" spans="1:36" ht="34.5" hidden="1" customHeight="1" x14ac:dyDescent="0.25">
      <c r="A422" s="40">
        <v>768</v>
      </c>
      <c r="B422" s="40" t="s">
        <v>8593</v>
      </c>
      <c r="C422" s="40" t="s">
        <v>1761</v>
      </c>
      <c r="D422" s="44">
        <v>2023</v>
      </c>
      <c r="E422" s="44">
        <v>2024</v>
      </c>
      <c r="F422" s="40" t="s">
        <v>1540</v>
      </c>
      <c r="G422" s="40" t="s">
        <v>455</v>
      </c>
      <c r="I422" s="40" t="s">
        <v>1257</v>
      </c>
      <c r="K422" s="40" t="s">
        <v>578</v>
      </c>
      <c r="R422" s="40">
        <v>1</v>
      </c>
      <c r="Z422" s="40" t="s">
        <v>1480</v>
      </c>
      <c r="AA422" s="45">
        <v>1</v>
      </c>
      <c r="AB422" s="46">
        <f>IF(H2ProjectDB689571011[[#This Row],[Dummy_1]]="Electrolysis",
AA422/VLOOKUP(G422,ElectrolysisConvF,3,FALSE),
AC422*10^6/(H2dens*HoursInYear))</f>
        <v>192.30769230769232</v>
      </c>
      <c r="AC422" s="47">
        <f>AB422*H2dens*HoursInYear/10^6</f>
        <v>0.14993076923076926</v>
      </c>
      <c r="AE422" s="46">
        <f t="shared" si="35"/>
        <v>192.30769230769232</v>
      </c>
      <c r="AF422" s="43" t="s">
        <v>4488</v>
      </c>
      <c r="AG422" s="43">
        <v>39.012545244628697</v>
      </c>
      <c r="AH422" s="43">
        <v>-8.9538102542433897</v>
      </c>
      <c r="AI422" s="122" t="s">
        <v>7286</v>
      </c>
      <c r="AJ422" s="41">
        <v>0.56999999999999995</v>
      </c>
    </row>
    <row r="423" spans="1:36" ht="34.5" hidden="1" customHeight="1" x14ac:dyDescent="0.25">
      <c r="A423" s="40">
        <v>769</v>
      </c>
      <c r="B423" s="40" t="s">
        <v>1161</v>
      </c>
      <c r="C423" s="40" t="s">
        <v>536</v>
      </c>
      <c r="D423" s="44">
        <v>2022</v>
      </c>
      <c r="F423" s="40" t="s">
        <v>1339</v>
      </c>
      <c r="G423" s="40" t="s">
        <v>1263</v>
      </c>
      <c r="H423" s="40" t="s">
        <v>607</v>
      </c>
      <c r="K423" s="40" t="s">
        <v>578</v>
      </c>
      <c r="Q423" s="40">
        <v>1</v>
      </c>
      <c r="Z423" s="40" t="s">
        <v>1659</v>
      </c>
      <c r="AB423" s="46">
        <f>AC423/(0.089*24*365/10^6)</f>
        <v>4681.6479400749058</v>
      </c>
      <c r="AC423" s="47">
        <f>10*365/1000</f>
        <v>3.65</v>
      </c>
      <c r="AE423" s="46">
        <f t="shared" si="35"/>
        <v>4681.6479400749058</v>
      </c>
      <c r="AF423" s="43" t="s">
        <v>1689</v>
      </c>
      <c r="AG423" s="43">
        <v>36.2476699517917</v>
      </c>
      <c r="AH423" s="43">
        <v>-115.355276992509</v>
      </c>
      <c r="AI423" s="122" t="s">
        <v>1255</v>
      </c>
      <c r="AJ423" s="41">
        <v>0.9</v>
      </c>
    </row>
    <row r="424" spans="1:36" ht="34.5" hidden="1" customHeight="1" x14ac:dyDescent="0.25">
      <c r="A424" s="40">
        <v>770</v>
      </c>
      <c r="B424" s="40" t="s">
        <v>2554</v>
      </c>
      <c r="C424" s="40" t="s">
        <v>560</v>
      </c>
      <c r="D424" s="44">
        <v>2022</v>
      </c>
      <c r="F424" s="40" t="s">
        <v>1339</v>
      </c>
      <c r="G424" s="40" t="s">
        <v>455</v>
      </c>
      <c r="I424" s="40" t="s">
        <v>1269</v>
      </c>
      <c r="J424" s="40" t="s">
        <v>1392</v>
      </c>
      <c r="K424" s="40" t="s">
        <v>1267</v>
      </c>
      <c r="N424" s="40">
        <v>1</v>
      </c>
      <c r="W424" s="40">
        <v>1</v>
      </c>
      <c r="Z424" s="40" t="s">
        <v>5816</v>
      </c>
      <c r="AA424" s="45">
        <v>1</v>
      </c>
      <c r="AB424" s="46">
        <f>IF(H2ProjectDB689571011[[#This Row],[Dummy_1]]="Electrolysis",
AA424/VLOOKUP(G424,ElectrolysisConvF,3,FALSE),
AC424*10^6/(H2dens*HoursInYear))</f>
        <v>192.30769230769232</v>
      </c>
      <c r="AC424" s="47">
        <f>AB424*H2dens*HoursInYear/10^6</f>
        <v>0.14993076923076926</v>
      </c>
      <c r="AE424" s="46">
        <f t="shared" si="35"/>
        <v>192.30769230769232</v>
      </c>
      <c r="AF424" s="43" t="s">
        <v>4448</v>
      </c>
      <c r="AG424" s="43">
        <v>-52.027823333262702</v>
      </c>
      <c r="AH424" s="43">
        <v>-72.395013797703697</v>
      </c>
      <c r="AI424" s="122" t="s">
        <v>7286</v>
      </c>
      <c r="AJ424" s="41">
        <v>0.4</v>
      </c>
    </row>
    <row r="425" spans="1:36" ht="39.6" hidden="1" customHeight="1" x14ac:dyDescent="0.25">
      <c r="A425" s="40">
        <v>771</v>
      </c>
      <c r="B425" s="40" t="s">
        <v>4077</v>
      </c>
      <c r="C425" s="40" t="s">
        <v>546</v>
      </c>
      <c r="D425" s="44">
        <v>2025</v>
      </c>
      <c r="E425" s="44"/>
      <c r="F425" s="40" t="s">
        <v>5701</v>
      </c>
      <c r="G425" s="40" t="s">
        <v>457</v>
      </c>
      <c r="I425" s="40" t="s">
        <v>1269</v>
      </c>
      <c r="J425" s="40" t="s">
        <v>1393</v>
      </c>
      <c r="K425" s="40" t="s">
        <v>578</v>
      </c>
      <c r="L425" s="40">
        <v>1</v>
      </c>
      <c r="Z425" s="40" t="s">
        <v>1574</v>
      </c>
      <c r="AA425" s="45">
        <v>200</v>
      </c>
      <c r="AB425" s="46">
        <f>IF(H2ProjectDB689571011[[#This Row],[Dummy_1]]="Electrolysis",
AA425/VLOOKUP(G425,ElectrolysisConvF,3,FALSE),
AC425*10^6/(H2dens*HoursInYear))</f>
        <v>43478.260869565216</v>
      </c>
      <c r="AC425" s="47">
        <f>AB425*H2dens*HoursInYear/10^6</f>
        <v>33.897391304347821</v>
      </c>
      <c r="AE425" s="46">
        <f t="shared" si="35"/>
        <v>43478.260869565216</v>
      </c>
      <c r="AF425" s="43" t="s">
        <v>4079</v>
      </c>
      <c r="AG425" s="43">
        <v>51.946838954609603</v>
      </c>
      <c r="AH425" s="43">
        <v>4.0097518919116197</v>
      </c>
      <c r="AI425" s="122" t="s">
        <v>7286</v>
      </c>
      <c r="AJ425" s="41">
        <v>0.55000000000000004</v>
      </c>
    </row>
    <row r="426" spans="1:36" ht="27" hidden="1" customHeight="1" x14ac:dyDescent="0.25">
      <c r="A426" s="40">
        <v>772</v>
      </c>
      <c r="B426" s="40" t="s">
        <v>3196</v>
      </c>
      <c r="C426" s="40" t="s">
        <v>535</v>
      </c>
      <c r="D426" s="44">
        <v>2024</v>
      </c>
      <c r="E426" s="44"/>
      <c r="F426" s="40" t="s">
        <v>5701</v>
      </c>
      <c r="G426" s="40" t="s">
        <v>455</v>
      </c>
      <c r="I426" s="40" t="s">
        <v>1269</v>
      </c>
      <c r="J426" s="40" t="s">
        <v>1395</v>
      </c>
      <c r="K426" s="40" t="s">
        <v>578</v>
      </c>
      <c r="P426" s="40">
        <v>1</v>
      </c>
      <c r="Q426" s="40">
        <v>1</v>
      </c>
      <c r="Z426" s="40" t="s">
        <v>1480</v>
      </c>
      <c r="AA426" s="45">
        <v>1</v>
      </c>
      <c r="AB426" s="46">
        <f>IF(H2ProjectDB689571011[[#This Row],[Dummy_1]]="Electrolysis",
AA426/VLOOKUP(G426,ElectrolysisConvF,3,FALSE),
AC426*10^6/(H2dens*HoursInYear))</f>
        <v>192.30769230769232</v>
      </c>
      <c r="AC426" s="47">
        <f>AB426*H2dens*HoursInYear/10^6</f>
        <v>0.14993076923076926</v>
      </c>
      <c r="AE426" s="46">
        <f t="shared" si="35"/>
        <v>192.30769230769232</v>
      </c>
      <c r="AF426" s="43" t="s">
        <v>4489</v>
      </c>
      <c r="AG426" s="43">
        <v>-19.331168634470401</v>
      </c>
      <c r="AH426" s="43">
        <v>146.883995766265</v>
      </c>
      <c r="AI426" s="122" t="s">
        <v>7286</v>
      </c>
      <c r="AJ426" s="41">
        <v>0.5</v>
      </c>
    </row>
    <row r="427" spans="1:36" ht="34.5" hidden="1" customHeight="1" x14ac:dyDescent="0.25">
      <c r="A427" s="40">
        <v>773</v>
      </c>
      <c r="B427" s="40" t="s">
        <v>5922</v>
      </c>
      <c r="C427" s="40" t="s">
        <v>1764</v>
      </c>
      <c r="D427" s="44">
        <v>2022</v>
      </c>
      <c r="F427" s="40" t="s">
        <v>1339</v>
      </c>
      <c r="G427" s="40" t="s">
        <v>455</v>
      </c>
      <c r="I427" s="40" t="s">
        <v>1266</v>
      </c>
      <c r="K427" s="40" t="s">
        <v>578</v>
      </c>
      <c r="Q427" s="40">
        <v>1</v>
      </c>
      <c r="Z427" s="40" t="s">
        <v>1336</v>
      </c>
      <c r="AA427" s="47">
        <v>2.5</v>
      </c>
      <c r="AB427" s="46">
        <f>IF(H2ProjectDB689571011[[#This Row],[Dummy_1]]="Electrolysis",
AA427/VLOOKUP(G427,ElectrolysisConvF,3,FALSE),
AC427*10^6/(H2dens*HoursInYear))</f>
        <v>480.76923076923077</v>
      </c>
      <c r="AC427" s="47">
        <f>AB427*H2dens*HoursInYear/10^6</f>
        <v>0.37482692307692306</v>
      </c>
      <c r="AE427" s="46">
        <f t="shared" si="35"/>
        <v>480.76923076923077</v>
      </c>
      <c r="AF427" s="43" t="s">
        <v>3758</v>
      </c>
      <c r="AG427" s="43">
        <v>41.390468304758699</v>
      </c>
      <c r="AH427" s="43">
        <v>2.16988385449095</v>
      </c>
      <c r="AI427" s="122" t="s">
        <v>7286</v>
      </c>
      <c r="AJ427" s="41">
        <v>0.56999999999999995</v>
      </c>
    </row>
    <row r="428" spans="1:36" ht="34.5" hidden="1" customHeight="1" x14ac:dyDescent="0.25">
      <c r="A428" s="40">
        <v>774</v>
      </c>
      <c r="B428" s="40" t="s">
        <v>1167</v>
      </c>
      <c r="C428" s="40" t="s">
        <v>548</v>
      </c>
      <c r="F428" s="40" t="s">
        <v>2222</v>
      </c>
      <c r="G428" s="40" t="s">
        <v>1259</v>
      </c>
      <c r="H428" s="40" t="s">
        <v>467</v>
      </c>
      <c r="I428" s="40" t="s">
        <v>1257</v>
      </c>
      <c r="K428" s="40" t="s">
        <v>578</v>
      </c>
      <c r="Q428" s="40">
        <v>1</v>
      </c>
      <c r="AC428" s="47"/>
      <c r="AE428" s="46">
        <f t="shared" si="35"/>
        <v>0</v>
      </c>
      <c r="AF428" s="43" t="s">
        <v>1168</v>
      </c>
      <c r="AG428" s="43">
        <v>50.471145356184699</v>
      </c>
      <c r="AH428" s="43">
        <v>4.4587235427650498</v>
      </c>
      <c r="AI428" s="122" t="s">
        <v>7286</v>
      </c>
      <c r="AJ428" s="41">
        <v>0.56999999999999995</v>
      </c>
    </row>
    <row r="429" spans="1:36" ht="34.5" hidden="1" customHeight="1" x14ac:dyDescent="0.25">
      <c r="A429" s="40">
        <v>775</v>
      </c>
      <c r="B429" s="40" t="s">
        <v>2161</v>
      </c>
      <c r="C429" s="40" t="s">
        <v>1764</v>
      </c>
      <c r="D429" s="40">
        <v>2015</v>
      </c>
      <c r="F429" s="40" t="s">
        <v>1339</v>
      </c>
      <c r="G429" s="40" t="s">
        <v>457</v>
      </c>
      <c r="I429" s="40" t="s">
        <v>1269</v>
      </c>
      <c r="J429" s="40" t="s">
        <v>1391</v>
      </c>
      <c r="K429" s="40" t="s">
        <v>578</v>
      </c>
      <c r="Q429" s="40">
        <v>1</v>
      </c>
      <c r="Z429" s="40" t="s">
        <v>2162</v>
      </c>
      <c r="AA429" s="45">
        <v>0.06</v>
      </c>
      <c r="AB429" s="46">
        <f>IF(H2ProjectDB689571011[[#This Row],[Dummy_1]]="Electrolysis",
AA429/VLOOKUP(G429,ElectrolysisConvF,3,FALSE),
AC429*10^6/(H2dens*HoursInYear))</f>
        <v>13.043478260869565</v>
      </c>
      <c r="AC429" s="47">
        <f>AB429*H2dens*HoursInYear/10^6</f>
        <v>1.0169217391304348E-2</v>
      </c>
      <c r="AE429" s="46">
        <f t="shared" si="35"/>
        <v>13.043478260869565</v>
      </c>
      <c r="AG429" s="43">
        <v>38.689084167774702</v>
      </c>
      <c r="AH429" s="43">
        <v>-4.1064114933609099</v>
      </c>
      <c r="AI429" s="122" t="s">
        <v>7286</v>
      </c>
      <c r="AJ429" s="41">
        <v>0.3</v>
      </c>
    </row>
    <row r="430" spans="1:36" ht="41.85" hidden="1" customHeight="1" x14ac:dyDescent="0.25">
      <c r="A430" s="40">
        <v>776</v>
      </c>
      <c r="B430" s="40" t="s">
        <v>6154</v>
      </c>
      <c r="C430" s="40" t="s">
        <v>1764</v>
      </c>
      <c r="D430" s="44">
        <v>2026</v>
      </c>
      <c r="E430" s="44"/>
      <c r="F430" s="40" t="s">
        <v>1331</v>
      </c>
      <c r="G430" s="40" t="s">
        <v>1259</v>
      </c>
      <c r="H430" s="40" t="s">
        <v>467</v>
      </c>
      <c r="I430" s="40" t="s">
        <v>1269</v>
      </c>
      <c r="J430" s="40" t="s">
        <v>1391</v>
      </c>
      <c r="K430" s="40" t="s">
        <v>1243</v>
      </c>
      <c r="M430" s="40">
        <v>1</v>
      </c>
      <c r="Z430" s="40" t="s">
        <v>1574</v>
      </c>
      <c r="AA430" s="45">
        <v>200</v>
      </c>
      <c r="AB430" s="46">
        <f>IF(H2ProjectDB689571011[[#This Row],[Dummy_1]]="Electrolysis",
AA430/VLOOKUP(G430,ElectrolysisConvF,3,FALSE),
AC430*10^6/(H2dens*HoursInYear))</f>
        <v>44444.444444444445</v>
      </c>
      <c r="AC430" s="47">
        <f>AB430*H2dens*HoursInYear/10^6</f>
        <v>34.650666666666666</v>
      </c>
      <c r="AE430" s="46">
        <f t="shared" si="35"/>
        <v>44444.444444444445</v>
      </c>
      <c r="AF430" s="43" t="s">
        <v>1663</v>
      </c>
      <c r="AG430" s="43">
        <v>37.1822851369487</v>
      </c>
      <c r="AH430" s="43">
        <v>-6.8886557029640096</v>
      </c>
      <c r="AI430" s="122" t="s">
        <v>7286</v>
      </c>
      <c r="AJ430" s="41">
        <v>0.3</v>
      </c>
    </row>
    <row r="431" spans="1:36" ht="34.5" hidden="1" customHeight="1" x14ac:dyDescent="0.25">
      <c r="A431" s="40">
        <v>777</v>
      </c>
      <c r="B431" s="40" t="s">
        <v>1021</v>
      </c>
      <c r="C431" s="40" t="s">
        <v>530</v>
      </c>
      <c r="D431" s="44">
        <v>2022</v>
      </c>
      <c r="F431" s="40" t="s">
        <v>1540</v>
      </c>
      <c r="G431" s="40" t="s">
        <v>455</v>
      </c>
      <c r="I431" s="40" t="s">
        <v>1266</v>
      </c>
      <c r="K431" s="40" t="s">
        <v>578</v>
      </c>
      <c r="R431" s="40">
        <v>1</v>
      </c>
      <c r="Z431" s="40" t="s">
        <v>4447</v>
      </c>
      <c r="AA431" s="45">
        <v>1.6</v>
      </c>
      <c r="AB431" s="46">
        <f>IF(H2ProjectDB689571011[[#This Row],[Dummy_1]]="Electrolysis",
AA431/VLOOKUP(G431,ElectrolysisConvF,3,FALSE),
AC431*10^6/(H2dens*HoursInYear))</f>
        <v>307.69230769230774</v>
      </c>
      <c r="AC431" s="47">
        <f>AB431*H2dens*HoursInYear/10^6</f>
        <v>0.23988923076923077</v>
      </c>
      <c r="AE431" s="46">
        <f t="shared" si="35"/>
        <v>307.69230769230774</v>
      </c>
      <c r="AF431" s="43" t="s">
        <v>4491</v>
      </c>
      <c r="AG431" s="43">
        <v>45.873089326097897</v>
      </c>
      <c r="AH431" s="43">
        <v>0.83345199679682502</v>
      </c>
      <c r="AI431" s="122" t="s">
        <v>7286</v>
      </c>
      <c r="AJ431" s="41">
        <v>0.56999999999999995</v>
      </c>
    </row>
    <row r="432" spans="1:36" ht="34.5" hidden="1" customHeight="1" x14ac:dyDescent="0.25">
      <c r="A432" s="40">
        <v>778</v>
      </c>
      <c r="B432" s="40" t="s">
        <v>1223</v>
      </c>
      <c r="C432" s="40" t="s">
        <v>1305</v>
      </c>
      <c r="D432" s="44">
        <v>2026</v>
      </c>
      <c r="E432" s="44"/>
      <c r="F432" s="40" t="s">
        <v>5701</v>
      </c>
      <c r="G432" s="40" t="s">
        <v>455</v>
      </c>
      <c r="I432" s="40" t="s">
        <v>1269</v>
      </c>
      <c r="J432" s="40" t="s">
        <v>1395</v>
      </c>
      <c r="K432" s="40" t="s">
        <v>578</v>
      </c>
      <c r="P432" s="40">
        <v>1</v>
      </c>
      <c r="Q432" s="40">
        <v>1</v>
      </c>
      <c r="S432" s="40">
        <v>1</v>
      </c>
      <c r="Z432" s="40" t="s">
        <v>5390</v>
      </c>
      <c r="AA432" s="45">
        <v>53</v>
      </c>
      <c r="AB432" s="46">
        <f>IF(H2ProjectDB689571011[[#This Row],[Dummy_1]]="Electrolysis",
AA432/VLOOKUP(G432,ElectrolysisConvF,3,FALSE),
AC432*10^6/(H2dens*HoursInYear))</f>
        <v>10192.307692307693</v>
      </c>
      <c r="AC432" s="47">
        <f>AB432*H2dens*HoursInYear/10^6</f>
        <v>7.9463307692307694</v>
      </c>
      <c r="AE432" s="46">
        <f t="shared" si="35"/>
        <v>10192.307692307693</v>
      </c>
      <c r="AF432" s="43" t="s">
        <v>3809</v>
      </c>
      <c r="AG432" s="43">
        <v>49.239995</v>
      </c>
      <c r="AH432" s="43">
        <v>6.8413500000000003</v>
      </c>
      <c r="AI432" s="122" t="s">
        <v>7286</v>
      </c>
      <c r="AJ432" s="41">
        <v>0.5</v>
      </c>
    </row>
    <row r="433" spans="1:36" ht="34.5" hidden="1" customHeight="1" x14ac:dyDescent="0.25">
      <c r="A433" s="40">
        <v>779</v>
      </c>
      <c r="B433" s="40" t="s">
        <v>1012</v>
      </c>
      <c r="C433" s="40" t="s">
        <v>536</v>
      </c>
      <c r="D433" s="44">
        <v>2024</v>
      </c>
      <c r="E433" s="44"/>
      <c r="F433" s="40" t="s">
        <v>5701</v>
      </c>
      <c r="G433" s="40" t="s">
        <v>1263</v>
      </c>
      <c r="H433" s="40" t="s">
        <v>4561</v>
      </c>
      <c r="K433" s="40" t="s">
        <v>578</v>
      </c>
      <c r="Q433" s="40">
        <v>1</v>
      </c>
      <c r="Z433" s="40" t="s">
        <v>4562</v>
      </c>
      <c r="AB433" s="46">
        <f>AC433/(0.089*24*365/10^6)</f>
        <v>5617.9775280898866</v>
      </c>
      <c r="AC433" s="47">
        <f>12000*365/1000/1000</f>
        <v>4.38</v>
      </c>
      <c r="AE433" s="46">
        <f t="shared" si="35"/>
        <v>5617.9775280898866</v>
      </c>
      <c r="AF433" s="43" t="s">
        <v>7351</v>
      </c>
      <c r="AG433" s="43">
        <v>34.721182216610202</v>
      </c>
      <c r="AH433" s="43">
        <v>-118.16634675688201</v>
      </c>
      <c r="AI433" s="122" t="s">
        <v>1255</v>
      </c>
      <c r="AJ433" s="41">
        <v>0.9</v>
      </c>
    </row>
    <row r="434" spans="1:36" ht="34.5" hidden="1" customHeight="1" x14ac:dyDescent="0.25">
      <c r="A434" s="40">
        <v>780</v>
      </c>
      <c r="B434" s="40" t="s">
        <v>6633</v>
      </c>
      <c r="C434" s="40" t="s">
        <v>1357</v>
      </c>
      <c r="D434" s="44">
        <v>2025</v>
      </c>
      <c r="E434" s="44"/>
      <c r="F434" s="40" t="s">
        <v>1331</v>
      </c>
      <c r="G434" s="40" t="s">
        <v>1259</v>
      </c>
      <c r="H434" s="40" t="s">
        <v>467</v>
      </c>
      <c r="I434" s="40" t="s">
        <v>1257</v>
      </c>
      <c r="J434" s="40" t="s">
        <v>1391</v>
      </c>
      <c r="K434" s="40" t="s">
        <v>578</v>
      </c>
      <c r="Q434" s="40">
        <v>1</v>
      </c>
      <c r="Z434" s="40" t="s">
        <v>1484</v>
      </c>
      <c r="AA434" s="45">
        <v>5</v>
      </c>
      <c r="AB434" s="46">
        <f>IF(H2ProjectDB689571011[[#This Row],[Dummy_1]]="Electrolysis",
AA434/VLOOKUP(G434,ElectrolysisConvF,3,FALSE),
AC434*10^6/(H2dens*HoursInYear))</f>
        <v>1111.1111111111111</v>
      </c>
      <c r="AC434" s="47">
        <f>AB434*H2dens*HoursInYear/10^6</f>
        <v>0.86626666666666663</v>
      </c>
      <c r="AE434" s="46">
        <f t="shared" si="35"/>
        <v>1111.1111111111111</v>
      </c>
      <c r="AF434" s="93" t="s">
        <v>1358</v>
      </c>
      <c r="AG434" s="43">
        <v>-34.8003441277612</v>
      </c>
      <c r="AH434" s="43">
        <v>-56.196098300143802</v>
      </c>
      <c r="AI434" s="122" t="s">
        <v>7286</v>
      </c>
      <c r="AJ434" s="41">
        <v>0.56999999999999995</v>
      </c>
    </row>
    <row r="435" spans="1:36" ht="34.5" hidden="1" customHeight="1" x14ac:dyDescent="0.25">
      <c r="A435" s="40">
        <v>781</v>
      </c>
      <c r="B435" s="40" t="s">
        <v>1359</v>
      </c>
      <c r="C435" s="40" t="s">
        <v>536</v>
      </c>
      <c r="D435" s="40">
        <v>2021</v>
      </c>
      <c r="F435" s="40" t="s">
        <v>1339</v>
      </c>
      <c r="G435" s="40" t="s">
        <v>1255</v>
      </c>
      <c r="H435" s="40" t="s">
        <v>2727</v>
      </c>
      <c r="K435" s="40" t="s">
        <v>578</v>
      </c>
      <c r="Z435" s="40" t="s">
        <v>2579</v>
      </c>
      <c r="AB435" s="46">
        <f>AC435/(0.089*24*365/10^6)</f>
        <v>6413.2163562669948</v>
      </c>
      <c r="AC435" s="47">
        <v>5</v>
      </c>
      <c r="AE435" s="46">
        <f t="shared" si="35"/>
        <v>6413.2163562669948</v>
      </c>
      <c r="AF435" s="43" t="s">
        <v>3376</v>
      </c>
      <c r="AG435" s="43">
        <v>40.565791533858203</v>
      </c>
      <c r="AH435" s="43">
        <v>-96.813264213196703</v>
      </c>
      <c r="AI435" s="122" t="s">
        <v>1255</v>
      </c>
      <c r="AJ435" s="41">
        <v>0.9</v>
      </c>
    </row>
    <row r="436" spans="1:36" ht="34.5" hidden="1" customHeight="1" x14ac:dyDescent="0.25">
      <c r="A436" s="40">
        <v>782</v>
      </c>
      <c r="B436" s="40" t="s">
        <v>1360</v>
      </c>
      <c r="C436" s="40" t="s">
        <v>536</v>
      </c>
      <c r="D436" s="44">
        <v>2025</v>
      </c>
      <c r="E436" s="44"/>
      <c r="F436" s="40" t="s">
        <v>1331</v>
      </c>
      <c r="G436" s="40" t="s">
        <v>1255</v>
      </c>
      <c r="H436" s="40" t="s">
        <v>2727</v>
      </c>
      <c r="K436" s="40" t="s">
        <v>1243</v>
      </c>
      <c r="M436" s="40">
        <v>1</v>
      </c>
      <c r="Z436" s="40" t="s">
        <v>1660</v>
      </c>
      <c r="AB436" s="46">
        <f>AC436/(0.089*24*365/10^6)</f>
        <v>63516.23826381407</v>
      </c>
      <c r="AC436" s="47">
        <f>275*0.180072</f>
        <v>49.519800000000004</v>
      </c>
      <c r="AE436" s="46">
        <f t="shared" si="35"/>
        <v>63516.23826381407</v>
      </c>
      <c r="AF436" s="43" t="s">
        <v>3376</v>
      </c>
      <c r="AG436" s="43">
        <v>40.565791533858203</v>
      </c>
      <c r="AH436" s="43">
        <v>-96.813264213196703</v>
      </c>
      <c r="AI436" s="122" t="s">
        <v>1255</v>
      </c>
      <c r="AJ436" s="41">
        <v>0.9</v>
      </c>
    </row>
    <row r="437" spans="1:36" ht="37.5" hidden="1" customHeight="1" x14ac:dyDescent="0.25">
      <c r="A437" s="40">
        <v>783</v>
      </c>
      <c r="B437" s="40" t="s">
        <v>6155</v>
      </c>
      <c r="C437" s="40" t="s">
        <v>1764</v>
      </c>
      <c r="D437" s="44">
        <v>2028</v>
      </c>
      <c r="E437" s="44"/>
      <c r="F437" s="40" t="s">
        <v>1331</v>
      </c>
      <c r="G437" s="40" t="s">
        <v>1259</v>
      </c>
      <c r="H437" s="40" t="s">
        <v>467</v>
      </c>
      <c r="I437" s="40" t="s">
        <v>1269</v>
      </c>
      <c r="J437" s="40" t="s">
        <v>1391</v>
      </c>
      <c r="K437" s="40" t="s">
        <v>1243</v>
      </c>
      <c r="M437" s="40">
        <v>1</v>
      </c>
      <c r="Z437" s="40" t="s">
        <v>6184</v>
      </c>
      <c r="AA437" s="45">
        <v>360</v>
      </c>
      <c r="AB437" s="46">
        <f>IF(H2ProjectDB689571011[[#This Row],[Dummy_1]]="Electrolysis",
AA437/VLOOKUP(G437,ElectrolysisConvF,3,FALSE),
AC437*10^6/(H2dens*HoursInYear))</f>
        <v>80000</v>
      </c>
      <c r="AC437" s="47">
        <f>AB437*H2dens*HoursInYear/10^6</f>
        <v>62.371200000000002</v>
      </c>
      <c r="AE437" s="46">
        <f t="shared" si="35"/>
        <v>80000</v>
      </c>
      <c r="AF437" s="43" t="s">
        <v>1662</v>
      </c>
      <c r="AG437" s="43">
        <v>37.1822851369487</v>
      </c>
      <c r="AH437" s="43">
        <v>-6.8886557029640096</v>
      </c>
      <c r="AI437" s="122" t="s">
        <v>7286</v>
      </c>
      <c r="AJ437" s="41">
        <v>0.3</v>
      </c>
    </row>
    <row r="438" spans="1:36" ht="34.5" hidden="1" customHeight="1" x14ac:dyDescent="0.25">
      <c r="A438" s="40">
        <v>784</v>
      </c>
      <c r="B438" s="40" t="s">
        <v>2397</v>
      </c>
      <c r="C438" s="40" t="s">
        <v>536</v>
      </c>
      <c r="D438" s="44">
        <v>2024</v>
      </c>
      <c r="E438" s="44"/>
      <c r="F438" s="40" t="s">
        <v>5701</v>
      </c>
      <c r="G438" s="40" t="s">
        <v>455</v>
      </c>
      <c r="I438" s="40" t="s">
        <v>1266</v>
      </c>
      <c r="K438" s="40" t="s">
        <v>578</v>
      </c>
      <c r="R438" s="40">
        <v>1</v>
      </c>
      <c r="Z438" s="40" t="s">
        <v>1484</v>
      </c>
      <c r="AA438" s="45">
        <v>5</v>
      </c>
      <c r="AB438" s="46">
        <f>IF(H2ProjectDB689571011[[#This Row],[Dummy_1]]="Electrolysis",
AA438/VLOOKUP(G438,ElectrolysisConvF,3,FALSE),
AC438*10^6/(H2dens*HoursInYear))</f>
        <v>961.53846153846155</v>
      </c>
      <c r="AC438" s="47">
        <f>AB438*H2dens*HoursInYear/10^6</f>
        <v>0.74965384615384612</v>
      </c>
      <c r="AE438" s="46">
        <f t="shared" si="35"/>
        <v>961.53846153846155</v>
      </c>
      <c r="AF438" s="43" t="s">
        <v>4460</v>
      </c>
      <c r="AG438" s="43">
        <v>47.493448473082204</v>
      </c>
      <c r="AH438" s="43">
        <v>-120.303227967588</v>
      </c>
      <c r="AI438" s="122" t="s">
        <v>7286</v>
      </c>
      <c r="AJ438" s="41">
        <v>0.56999999999999995</v>
      </c>
    </row>
    <row r="439" spans="1:36" ht="34.5" hidden="1" customHeight="1" x14ac:dyDescent="0.25">
      <c r="A439" s="40">
        <v>785</v>
      </c>
      <c r="B439" s="44" t="s">
        <v>2313</v>
      </c>
      <c r="C439" s="40" t="s">
        <v>537</v>
      </c>
      <c r="D439" s="40">
        <v>2021</v>
      </c>
      <c r="F439" s="40" t="s">
        <v>1339</v>
      </c>
      <c r="G439" s="40" t="s">
        <v>455</v>
      </c>
      <c r="I439" s="40" t="s">
        <v>1269</v>
      </c>
      <c r="J439" s="40" t="s">
        <v>1395</v>
      </c>
      <c r="K439" s="40" t="s">
        <v>578</v>
      </c>
      <c r="Q439" s="40">
        <v>1</v>
      </c>
      <c r="Z439" s="40" t="s">
        <v>1667</v>
      </c>
      <c r="AA439" s="78">
        <f>IF(H2ProjectDB689571011[[#This Row],[Dummy_1]]="Electrolysis",
AB439*VLOOKUP(G439,ElectrolysisConvF,3,FALSE),
"")</f>
        <v>4.1385767790262173</v>
      </c>
      <c r="AB439" s="46">
        <f>AC439/(H2dens*HoursInYear/10^6)</f>
        <v>795.8801498127342</v>
      </c>
      <c r="AC439" s="47">
        <f>1.7*365/1000</f>
        <v>0.62050000000000005</v>
      </c>
      <c r="AE439" s="46">
        <f t="shared" si="35"/>
        <v>795.8801498127342</v>
      </c>
      <c r="AF439" s="43" t="s">
        <v>677</v>
      </c>
      <c r="AG439" s="43">
        <v>40.7541708417371</v>
      </c>
      <c r="AH439" s="43">
        <v>115.032602305937</v>
      </c>
      <c r="AI439" s="122" t="s">
        <v>7286</v>
      </c>
      <c r="AJ439" s="41">
        <v>0.5</v>
      </c>
    </row>
    <row r="440" spans="1:36" ht="34.5" hidden="1" customHeight="1" x14ac:dyDescent="0.25">
      <c r="A440" s="40">
        <v>786</v>
      </c>
      <c r="B440" s="40" t="s">
        <v>987</v>
      </c>
      <c r="C440" s="40" t="s">
        <v>546</v>
      </c>
      <c r="D440" s="44">
        <v>2026</v>
      </c>
      <c r="E440" s="44"/>
      <c r="F440" s="40" t="s">
        <v>1331</v>
      </c>
      <c r="G440" s="40" t="s">
        <v>455</v>
      </c>
      <c r="H440" s="40" t="s">
        <v>467</v>
      </c>
      <c r="I440" s="40" t="s">
        <v>1269</v>
      </c>
      <c r="J440" s="40" t="s">
        <v>1395</v>
      </c>
      <c r="K440" s="40" t="s">
        <v>578</v>
      </c>
      <c r="P440" s="40">
        <v>1</v>
      </c>
      <c r="Q440" s="40">
        <v>1</v>
      </c>
      <c r="S440" s="40">
        <v>1</v>
      </c>
      <c r="Z440" s="40" t="s">
        <v>2663</v>
      </c>
      <c r="AA440" s="45">
        <v>5</v>
      </c>
      <c r="AB440" s="46">
        <f>IF(H2ProjectDB689571011[[#This Row],[Dummy_1]]="Electrolysis",
AA440/VLOOKUP(G440,ElectrolysisConvF,3,FALSE),
AC440*10^6/(H2dens*HoursInYear))</f>
        <v>961.53846153846155</v>
      </c>
      <c r="AC440" s="47">
        <f>AB440*H2dens*HoursInYear/10^6</f>
        <v>0.74965384615384612</v>
      </c>
      <c r="AE440" s="46">
        <f t="shared" si="35"/>
        <v>961.53846153846155</v>
      </c>
      <c r="AF440" s="43" t="s">
        <v>4705</v>
      </c>
      <c r="AG440" s="43">
        <v>51.571079780489796</v>
      </c>
      <c r="AH440" s="43">
        <v>5.2672179341125398</v>
      </c>
      <c r="AI440" s="122" t="s">
        <v>7286</v>
      </c>
      <c r="AJ440" s="41">
        <v>0.5</v>
      </c>
    </row>
    <row r="441" spans="1:36" ht="34.5" hidden="1" customHeight="1" x14ac:dyDescent="0.25">
      <c r="A441" s="40">
        <v>787</v>
      </c>
      <c r="B441" s="40" t="s">
        <v>185</v>
      </c>
      <c r="C441" s="40" t="s">
        <v>546</v>
      </c>
      <c r="D441" s="44">
        <v>2026</v>
      </c>
      <c r="E441" s="44"/>
      <c r="F441" s="40" t="s">
        <v>1331</v>
      </c>
      <c r="G441" s="40" t="s">
        <v>455</v>
      </c>
      <c r="I441" s="40" t="s">
        <v>1269</v>
      </c>
      <c r="J441" s="40" t="s">
        <v>1392</v>
      </c>
      <c r="K441" s="40" t="s">
        <v>578</v>
      </c>
      <c r="Q441" s="40">
        <v>1</v>
      </c>
      <c r="Z441" s="40" t="s">
        <v>1436</v>
      </c>
      <c r="AA441" s="45">
        <v>5</v>
      </c>
      <c r="AB441" s="46">
        <f>IF(H2ProjectDB689571011[[#This Row],[Dummy_1]]="Electrolysis",
AA441/VLOOKUP(G441,ElectrolysisConvF,3,FALSE),
AC441*10^6/(H2dens*HoursInYear))</f>
        <v>961.53846153846155</v>
      </c>
      <c r="AC441" s="47">
        <f>AB441*H2dens*HoursInYear/10^6</f>
        <v>0.74965384615384612</v>
      </c>
      <c r="AE441" s="46">
        <f t="shared" si="35"/>
        <v>961.53846153846155</v>
      </c>
      <c r="AF441" s="43" t="s">
        <v>7353</v>
      </c>
      <c r="AG441" s="43">
        <v>52.632355588033001</v>
      </c>
      <c r="AH441" s="43">
        <v>4.7497231417900299</v>
      </c>
      <c r="AI441" s="122" t="s">
        <v>7286</v>
      </c>
      <c r="AJ441" s="41">
        <v>0.4</v>
      </c>
    </row>
    <row r="442" spans="1:36" ht="34.5" hidden="1" customHeight="1" x14ac:dyDescent="0.25">
      <c r="A442" s="40">
        <v>788</v>
      </c>
      <c r="B442" s="44" t="s">
        <v>2314</v>
      </c>
      <c r="C442" s="40" t="s">
        <v>537</v>
      </c>
      <c r="D442" s="44">
        <v>2022</v>
      </c>
      <c r="F442" s="40" t="s">
        <v>1339</v>
      </c>
      <c r="G442" s="40" t="s">
        <v>455</v>
      </c>
      <c r="I442" s="40" t="s">
        <v>1269</v>
      </c>
      <c r="J442" s="40" t="s">
        <v>1395</v>
      </c>
      <c r="K442" s="40" t="s">
        <v>578</v>
      </c>
      <c r="Q442" s="40">
        <v>1</v>
      </c>
      <c r="Z442" s="40" t="s">
        <v>4741</v>
      </c>
      <c r="AA442" s="78">
        <f>IF(H2ProjectDB689571011[[#This Row],[Dummy_1]]="Electrolysis",
AB442*VLOOKUP(G442,ElectrolysisConvF,3,FALSE),
"")</f>
        <v>9.8378738905135723</v>
      </c>
      <c r="AB442" s="46">
        <f>AC442/(H2dens*HoursInYear/10^6)</f>
        <v>1891.8988250987638</v>
      </c>
      <c r="AC442" s="47">
        <f>1475/1000</f>
        <v>1.4750000000000001</v>
      </c>
      <c r="AE442" s="46">
        <f>IF(AND(G442&lt;&gt;"NG w CCUS",G442&lt;&gt;"Oil w CCUS",G442&lt;&gt;"Coal w CCUS"),AB442,AD442*10^3/(HoursInYear*IF(G442="NG w CCUS",0.9105,1.9075)))</f>
        <v>1891.8988250987638</v>
      </c>
      <c r="AF442" s="43" t="s">
        <v>4744</v>
      </c>
      <c r="AG442" s="43">
        <v>40.7541708417371</v>
      </c>
      <c r="AH442" s="43">
        <v>115.032602305937</v>
      </c>
      <c r="AI442" s="122" t="s">
        <v>7286</v>
      </c>
      <c r="AJ442" s="41">
        <v>0.5</v>
      </c>
    </row>
    <row r="443" spans="1:36" ht="34.5" hidden="1" customHeight="1" x14ac:dyDescent="0.25">
      <c r="A443" s="40">
        <v>789</v>
      </c>
      <c r="B443" s="40" t="s">
        <v>998</v>
      </c>
      <c r="C443" s="40" t="s">
        <v>546</v>
      </c>
      <c r="D443" s="44">
        <v>2022</v>
      </c>
      <c r="E443" s="44"/>
      <c r="F443" s="40" t="s">
        <v>1339</v>
      </c>
      <c r="G443" s="40" t="s">
        <v>455</v>
      </c>
      <c r="I443" s="40" t="s">
        <v>1269</v>
      </c>
      <c r="J443" s="40" t="s">
        <v>1391</v>
      </c>
      <c r="K443" s="40" t="s">
        <v>578</v>
      </c>
      <c r="Q443" s="40">
        <v>1</v>
      </c>
      <c r="Z443" s="40" t="s">
        <v>1345</v>
      </c>
      <c r="AA443" s="45">
        <v>2.5</v>
      </c>
      <c r="AB443" s="46">
        <f>IF(H2ProjectDB689571011[[#This Row],[Dummy_1]]="Electrolysis",
AA443/VLOOKUP(G443,ElectrolysisConvF,3,FALSE),
AC443*10^6/(H2dens*HoursInYear))</f>
        <v>480.76923076923077</v>
      </c>
      <c r="AC443" s="47">
        <f>AB443*H2dens*HoursInYear/10^6</f>
        <v>0.37482692307692306</v>
      </c>
      <c r="AE443" s="46">
        <f>AB443</f>
        <v>480.76923076923077</v>
      </c>
      <c r="AF443" s="43" t="s">
        <v>4666</v>
      </c>
      <c r="AG443" s="43">
        <v>52.035025485284102</v>
      </c>
      <c r="AH443" s="43">
        <v>5.0992064780967796</v>
      </c>
      <c r="AI443" s="122" t="s">
        <v>7286</v>
      </c>
      <c r="AJ443" s="41">
        <v>0.3</v>
      </c>
    </row>
    <row r="444" spans="1:36" ht="34.5" hidden="1" customHeight="1" x14ac:dyDescent="0.25">
      <c r="A444" s="40">
        <v>790</v>
      </c>
      <c r="B444" s="40" t="s">
        <v>862</v>
      </c>
      <c r="C444" s="40" t="s">
        <v>549</v>
      </c>
      <c r="D444" s="44">
        <v>2021</v>
      </c>
      <c r="F444" s="40" t="s">
        <v>1339</v>
      </c>
      <c r="G444" s="40" t="s">
        <v>455</v>
      </c>
      <c r="I444" s="40" t="s">
        <v>1269</v>
      </c>
      <c r="J444" s="40" t="s">
        <v>1395</v>
      </c>
      <c r="K444" s="40" t="s">
        <v>578</v>
      </c>
      <c r="Q444" s="40">
        <v>1</v>
      </c>
      <c r="R444" s="40">
        <v>1</v>
      </c>
      <c r="Z444" s="40" t="s">
        <v>1669</v>
      </c>
      <c r="AA444" s="45">
        <v>1.5</v>
      </c>
      <c r="AB444" s="46">
        <f>IF(H2ProjectDB689571011[[#This Row],[Dummy_1]]="Electrolysis",
AA444/VLOOKUP(G444,ElectrolysisConvF,3,FALSE),
AC444*10^6/(H2dens*HoursInYear))</f>
        <v>288.46153846153845</v>
      </c>
      <c r="AC444" s="47">
        <f>AB444*H2dens*HoursInYear/10^6</f>
        <v>0.2248961538461538</v>
      </c>
      <c r="AE444" s="46">
        <f>AB444</f>
        <v>288.46153846153845</v>
      </c>
      <c r="AF444" s="43" t="s">
        <v>3469</v>
      </c>
      <c r="AG444" s="43">
        <v>0</v>
      </c>
      <c r="AH444" s="43">
        <v>0</v>
      </c>
      <c r="AI444" s="122" t="s">
        <v>7286</v>
      </c>
      <c r="AJ444" s="41">
        <v>0.5</v>
      </c>
    </row>
    <row r="445" spans="1:36" ht="34.5" hidden="1" customHeight="1" x14ac:dyDescent="0.25">
      <c r="A445" s="40">
        <v>791</v>
      </c>
      <c r="B445" s="40" t="s">
        <v>994</v>
      </c>
      <c r="C445" s="40" t="s">
        <v>546</v>
      </c>
      <c r="D445" s="44">
        <v>2022</v>
      </c>
      <c r="F445" s="40" t="s">
        <v>1339</v>
      </c>
      <c r="G445" s="40" t="s">
        <v>1259</v>
      </c>
      <c r="H445" s="40" t="s">
        <v>467</v>
      </c>
      <c r="I445" s="40" t="s">
        <v>1266</v>
      </c>
      <c r="K445" s="40" t="s">
        <v>578</v>
      </c>
      <c r="R445" s="40">
        <v>1</v>
      </c>
      <c r="Z445" s="40" t="s">
        <v>5914</v>
      </c>
      <c r="AA445" s="45">
        <v>1.3</v>
      </c>
      <c r="AB445" s="46">
        <f>IF(H2ProjectDB689571011[[#This Row],[Dummy_1]]="Electrolysis",
AA445/VLOOKUP(G445,ElectrolysisConvF,3,FALSE),
AC445*10^6/(H2dens*HoursInYear))</f>
        <v>288.88888888888891</v>
      </c>
      <c r="AC445" s="47">
        <f>AB445*H2dens*HoursInYear/10^6</f>
        <v>0.22522933333333334</v>
      </c>
      <c r="AE445" s="46">
        <f>AB445</f>
        <v>288.88888888888891</v>
      </c>
      <c r="AF445" s="43" t="s">
        <v>6787</v>
      </c>
      <c r="AG445" s="43">
        <v>53.001968699999999</v>
      </c>
      <c r="AH445" s="43">
        <v>6.2921335639056499</v>
      </c>
      <c r="AI445" s="122" t="s">
        <v>7286</v>
      </c>
      <c r="AJ445" s="41">
        <v>0.56999999999999995</v>
      </c>
    </row>
    <row r="446" spans="1:36" ht="34.5" hidden="1" customHeight="1" x14ac:dyDescent="0.25">
      <c r="A446" s="40">
        <v>792</v>
      </c>
      <c r="B446" s="40" t="s">
        <v>853</v>
      </c>
      <c r="C446" s="40" t="s">
        <v>1305</v>
      </c>
      <c r="D446" s="44">
        <v>2023</v>
      </c>
      <c r="F446" s="40" t="s">
        <v>1540</v>
      </c>
      <c r="G446" s="40" t="s">
        <v>456</v>
      </c>
      <c r="I446" s="40" t="s">
        <v>1266</v>
      </c>
      <c r="K446" s="40" t="s">
        <v>1267</v>
      </c>
      <c r="W446" s="40">
        <v>1</v>
      </c>
      <c r="Z446" s="40" t="s">
        <v>1491</v>
      </c>
      <c r="AA446" s="45">
        <v>0.25</v>
      </c>
      <c r="AB446" s="46">
        <f>IF(H2ProjectDB689571011[[#This Row],[Dummy_1]]="Electrolysis",
AA446/VLOOKUP(G446,ElectrolysisConvF,3,FALSE),
AC446*10^6/(H2dens*HoursInYear))</f>
        <v>65.78947368421052</v>
      </c>
      <c r="AC446" s="47">
        <f>AB446*H2dens*HoursInYear/10^6</f>
        <v>5.1292105263157896E-2</v>
      </c>
      <c r="AE446" s="46">
        <f>AB446</f>
        <v>65.78947368421052</v>
      </c>
      <c r="AF446" s="43" t="s">
        <v>1222</v>
      </c>
      <c r="AG446" s="43">
        <v>49.012525083905999</v>
      </c>
      <c r="AH446" s="43">
        <v>8.4169444693089606</v>
      </c>
      <c r="AI446" s="122" t="s">
        <v>7286</v>
      </c>
      <c r="AJ446" s="41">
        <v>0.56999999999999995</v>
      </c>
    </row>
    <row r="447" spans="1:36" ht="34.5" hidden="1" customHeight="1" x14ac:dyDescent="0.25">
      <c r="A447" s="40">
        <v>793</v>
      </c>
      <c r="B447" s="40" t="s">
        <v>649</v>
      </c>
      <c r="C447" s="40" t="s">
        <v>1305</v>
      </c>
      <c r="D447" s="44">
        <v>2023</v>
      </c>
      <c r="F447" s="40" t="s">
        <v>1540</v>
      </c>
      <c r="G447" s="40" t="s">
        <v>456</v>
      </c>
      <c r="I447" s="40" t="s">
        <v>1257</v>
      </c>
      <c r="K447" s="40" t="s">
        <v>1242</v>
      </c>
      <c r="L447" s="40">
        <v>1</v>
      </c>
      <c r="N447" s="40">
        <v>1</v>
      </c>
      <c r="Z447" s="40" t="s">
        <v>1480</v>
      </c>
      <c r="AA447" s="45">
        <v>1</v>
      </c>
      <c r="AB447" s="46">
        <f>IF(H2ProjectDB689571011[[#This Row],[Dummy_1]]="Electrolysis",
AA447/VLOOKUP(G447,ElectrolysisConvF,3,FALSE),
AC447*10^6/(H2dens*HoursInYear))</f>
        <v>263.15789473684208</v>
      </c>
      <c r="AC447" s="47">
        <f>AB447*H2dens*HoursInYear/10^6</f>
        <v>0.20516842105263158</v>
      </c>
      <c r="AE447" s="46">
        <f>IF(AND(G447&lt;&gt;"NG w CCUS",G447&lt;&gt;"Oil w CCUS",G447&lt;&gt;"Coal w CCUS"),AB447,AD447*10^3/(HoursInYear*IF(G447="NG w CCUS",0.9105,1.9075)))</f>
        <v>263.15789473684208</v>
      </c>
      <c r="AF447" s="43" t="s">
        <v>2932</v>
      </c>
      <c r="AG447" s="43">
        <v>51.281474168882198</v>
      </c>
      <c r="AH447" s="43">
        <v>11.987718759652299</v>
      </c>
      <c r="AI447" s="122" t="s">
        <v>7286</v>
      </c>
      <c r="AJ447" s="41">
        <v>0.56999999999999995</v>
      </c>
    </row>
    <row r="448" spans="1:36" ht="34.5" hidden="1" customHeight="1" x14ac:dyDescent="0.25">
      <c r="A448" s="40">
        <v>794</v>
      </c>
      <c r="B448" s="40" t="s">
        <v>4422</v>
      </c>
      <c r="C448" s="40" t="s">
        <v>535</v>
      </c>
      <c r="D448" s="44">
        <v>2030</v>
      </c>
      <c r="E448" s="44"/>
      <c r="F448" s="40" t="s">
        <v>1331</v>
      </c>
      <c r="G448" s="40" t="s">
        <v>1260</v>
      </c>
      <c r="H448" s="40" t="s">
        <v>5712</v>
      </c>
      <c r="K448" s="40" t="s">
        <v>578</v>
      </c>
      <c r="Z448" s="40" t="s">
        <v>2130</v>
      </c>
      <c r="AB448" s="46">
        <f>AC448/0.089*10^6/24/365</f>
        <v>360486.89138576784</v>
      </c>
      <c r="AC448" s="47">
        <f>770*365/1000</f>
        <v>281.05</v>
      </c>
      <c r="AD448" s="46">
        <f>4.39*10^6</f>
        <v>4390000</v>
      </c>
      <c r="AE448" s="46">
        <f>IF(AND(G448&lt;&gt;"NG w CCUS",G448&lt;&gt;"Oil w CCUS",G448&lt;&gt;"Coal w CCUS"),AB448,AD448*10^3/(HoursInYear*IF(G448="NG w CCUS",0.9105,1.9075)))</f>
        <v>262721.6526927473</v>
      </c>
      <c r="AF448" s="43" t="s">
        <v>705</v>
      </c>
      <c r="AG448" s="43">
        <v>-38.253186999999997</v>
      </c>
      <c r="AH448" s="43">
        <v>146.57651799999999</v>
      </c>
      <c r="AI448" s="122" t="s">
        <v>7287</v>
      </c>
      <c r="AJ448" s="41">
        <v>0.9</v>
      </c>
    </row>
    <row r="449" spans="1:36" ht="34.5" hidden="1" customHeight="1" x14ac:dyDescent="0.25">
      <c r="A449" s="40">
        <v>795</v>
      </c>
      <c r="B449" s="40" t="s">
        <v>1727</v>
      </c>
      <c r="C449" s="40" t="s">
        <v>546</v>
      </c>
      <c r="D449" s="44">
        <v>2030</v>
      </c>
      <c r="E449" s="44"/>
      <c r="F449" s="40" t="s">
        <v>1331</v>
      </c>
      <c r="G449" s="40" t="s">
        <v>1261</v>
      </c>
      <c r="H449" s="40" t="s">
        <v>5708</v>
      </c>
      <c r="K449" s="40" t="s">
        <v>578</v>
      </c>
      <c r="L449" s="40">
        <v>1</v>
      </c>
      <c r="P449" s="40">
        <v>1</v>
      </c>
      <c r="Z449" s="40" t="s">
        <v>5078</v>
      </c>
      <c r="AB449" s="46">
        <f>AC449/(0.089*24*365/10^6)</f>
        <v>128264.32712533989</v>
      </c>
      <c r="AC449" s="47">
        <v>100</v>
      </c>
      <c r="AD449" s="46">
        <v>1300000</v>
      </c>
      <c r="AE449" s="46">
        <f>IF(AND(G449&lt;&gt;"NG w CCUS",G449&lt;&gt;"Oil w CCUS",G449&lt;&gt;"Coal w CCUS"),AB449,AD449*10^3/(HoursInYear*IF(G449="NG w CCUS",0.9105,1.9075)))</f>
        <v>162989.37560023973</v>
      </c>
      <c r="AF449" s="43" t="s">
        <v>1691</v>
      </c>
      <c r="AG449" s="43">
        <v>51.954538395076298</v>
      </c>
      <c r="AH449" s="43">
        <v>4.1450786170262104</v>
      </c>
      <c r="AI449" s="122" t="s">
        <v>7287</v>
      </c>
      <c r="AJ449" s="41">
        <v>0.9</v>
      </c>
    </row>
    <row r="450" spans="1:36" ht="34.5" hidden="1" customHeight="1" x14ac:dyDescent="0.25">
      <c r="A450" s="40">
        <v>796</v>
      </c>
      <c r="B450" s="40" t="s">
        <v>5080</v>
      </c>
      <c r="C450" s="40" t="s">
        <v>559</v>
      </c>
      <c r="D450" s="44">
        <v>2026</v>
      </c>
      <c r="E450" s="44"/>
      <c r="F450" s="40" t="s">
        <v>1331</v>
      </c>
      <c r="G450" s="40" t="s">
        <v>1261</v>
      </c>
      <c r="H450" s="40" t="s">
        <v>5709</v>
      </c>
      <c r="K450" s="40" t="s">
        <v>578</v>
      </c>
      <c r="L450" s="40">
        <v>1</v>
      </c>
      <c r="Z450" s="40" t="s">
        <v>5081</v>
      </c>
      <c r="AC450" s="47"/>
      <c r="AD450" s="46">
        <v>600000</v>
      </c>
      <c r="AE450" s="46">
        <f>IF(AND(G450&lt;&gt;"NG w CCUS",G450&lt;&gt;"Oil w CCUS",G450&lt;&gt;"Coal w CCUS"),AB450,AD450*10^3/(HoursInYear*IF(G450="NG w CCUS",0.9105,1.9075)))</f>
        <v>75225.865661649106</v>
      </c>
      <c r="AF450" s="43" t="s">
        <v>1020</v>
      </c>
      <c r="AG450" s="43">
        <v>58.348783677001798</v>
      </c>
      <c r="AH450" s="43">
        <v>11.4175033074146</v>
      </c>
      <c r="AI450" s="122" t="s">
        <v>7287</v>
      </c>
      <c r="AJ450" s="41">
        <v>0.9</v>
      </c>
    </row>
    <row r="451" spans="1:36" ht="34.5" hidden="1" customHeight="1" x14ac:dyDescent="0.25">
      <c r="A451" s="40">
        <v>797</v>
      </c>
      <c r="B451" s="40" t="s">
        <v>138</v>
      </c>
      <c r="C451" s="40" t="s">
        <v>530</v>
      </c>
      <c r="D451" s="44">
        <v>2021</v>
      </c>
      <c r="E451" s="44"/>
      <c r="F451" s="40" t="s">
        <v>1540</v>
      </c>
      <c r="G451" s="40" t="s">
        <v>455</v>
      </c>
      <c r="I451" s="40" t="s">
        <v>1257</v>
      </c>
      <c r="K451" s="40" t="s">
        <v>1268</v>
      </c>
      <c r="Q451" s="40">
        <v>1</v>
      </c>
      <c r="X451" s="40">
        <v>1</v>
      </c>
      <c r="Y451" s="40">
        <v>1</v>
      </c>
      <c r="Z451" s="40" t="s">
        <v>1491</v>
      </c>
      <c r="AA451" s="45">
        <v>0.25</v>
      </c>
      <c r="AB451" s="46">
        <f>IF(H2ProjectDB689571011[[#This Row],[Dummy_1]]="Electrolysis",
AA451/VLOOKUP(G451,ElectrolysisConvF,3,FALSE),
AC451*10^6/(H2dens*HoursInYear))</f>
        <v>48.07692307692308</v>
      </c>
      <c r="AC451" s="47">
        <f>AB451*H2dens*HoursInYear/10^6</f>
        <v>3.7482692307692314E-2</v>
      </c>
      <c r="AE451" s="46">
        <f>AB451</f>
        <v>48.07692307692308</v>
      </c>
      <c r="AF451" s="43" t="s">
        <v>631</v>
      </c>
      <c r="AG451" s="43">
        <v>0</v>
      </c>
      <c r="AH451" s="43">
        <v>0</v>
      </c>
      <c r="AI451" s="122" t="s">
        <v>7286</v>
      </c>
      <c r="AJ451" s="41">
        <v>0.56999999999999995</v>
      </c>
    </row>
    <row r="452" spans="1:36" ht="34.5" hidden="1" customHeight="1" x14ac:dyDescent="0.25">
      <c r="A452" s="40">
        <v>798</v>
      </c>
      <c r="B452" s="40" t="s">
        <v>695</v>
      </c>
      <c r="C452" s="40" t="s">
        <v>535</v>
      </c>
      <c r="D452" s="44">
        <v>2024</v>
      </c>
      <c r="E452" s="44"/>
      <c r="F452" s="40" t="s">
        <v>5701</v>
      </c>
      <c r="G452" s="40" t="s">
        <v>455</v>
      </c>
      <c r="I452" s="40" t="s">
        <v>1257</v>
      </c>
      <c r="K452" s="40" t="s">
        <v>578</v>
      </c>
      <c r="S452" s="40">
        <v>1</v>
      </c>
      <c r="Z452" s="40" t="s">
        <v>1670</v>
      </c>
      <c r="AA452" s="45">
        <v>0.17499999999999999</v>
      </c>
      <c r="AB452" s="46">
        <f>IF(H2ProjectDB689571011[[#This Row],[Dummy_1]]="Electrolysis",
AA452/VLOOKUP(G452,ElectrolysisConvF,3,FALSE),
AC452*10^6/(H2dens*HoursInYear))</f>
        <v>33.653846153846153</v>
      </c>
      <c r="AC452" s="47">
        <f>AB452*H2dens*HoursInYear/10^6</f>
        <v>2.6237884615384614E-2</v>
      </c>
      <c r="AE452" s="46">
        <f>AB452</f>
        <v>33.653846153846153</v>
      </c>
      <c r="AF452" s="43" t="s">
        <v>697</v>
      </c>
      <c r="AG452" s="43">
        <v>-23.841535520383299</v>
      </c>
      <c r="AH452" s="43">
        <v>151.250589188345</v>
      </c>
      <c r="AI452" s="122" t="s">
        <v>7286</v>
      </c>
      <c r="AJ452" s="41">
        <v>0.56999999999999995</v>
      </c>
    </row>
    <row r="453" spans="1:36" ht="34.5" hidden="1" customHeight="1" x14ac:dyDescent="0.25">
      <c r="A453" s="40">
        <v>799</v>
      </c>
      <c r="B453" s="40" t="s">
        <v>1676</v>
      </c>
      <c r="C453" s="40" t="s">
        <v>535</v>
      </c>
      <c r="D453" s="44">
        <v>2021</v>
      </c>
      <c r="F453" s="40" t="s">
        <v>1339</v>
      </c>
      <c r="G453" s="40" t="s">
        <v>455</v>
      </c>
      <c r="I453" s="40" t="s">
        <v>1266</v>
      </c>
      <c r="K453" s="40" t="s">
        <v>578</v>
      </c>
      <c r="Q453" s="40">
        <v>1</v>
      </c>
      <c r="Z453" s="40" t="s">
        <v>1440</v>
      </c>
      <c r="AA453" s="45">
        <v>0.2</v>
      </c>
      <c r="AB453" s="46">
        <f>IF(H2ProjectDB689571011[[#This Row],[Dummy_1]]="Electrolysis",
AA453/VLOOKUP(G453,ElectrolysisConvF,3,FALSE),
AC453*10^6/(H2dens*HoursInYear))</f>
        <v>38.461538461538467</v>
      </c>
      <c r="AC453" s="47">
        <f>AB453*H2dens*HoursInYear/10^6</f>
        <v>2.9986153846153846E-2</v>
      </c>
      <c r="AE453" s="46">
        <f>AB453</f>
        <v>38.461538461538467</v>
      </c>
      <c r="AF453" s="43" t="s">
        <v>2396</v>
      </c>
      <c r="AG453" s="43">
        <v>-37.864815096339299</v>
      </c>
      <c r="AH453" s="43">
        <v>144.834049951216</v>
      </c>
      <c r="AI453" s="122" t="s">
        <v>7286</v>
      </c>
      <c r="AJ453" s="41">
        <v>0.56999999999999995</v>
      </c>
    </row>
    <row r="454" spans="1:36" ht="34.5" hidden="1" customHeight="1" x14ac:dyDescent="0.25">
      <c r="A454" s="40">
        <v>800</v>
      </c>
      <c r="B454" s="40" t="s">
        <v>809</v>
      </c>
      <c r="C454" s="40" t="s">
        <v>546</v>
      </c>
      <c r="D454" s="44">
        <v>2025</v>
      </c>
      <c r="E454" s="44"/>
      <c r="F454" s="40" t="s">
        <v>1331</v>
      </c>
      <c r="G454" s="40" t="s">
        <v>455</v>
      </c>
      <c r="I454" s="40" t="s">
        <v>1269</v>
      </c>
      <c r="J454" s="40" t="s">
        <v>1395</v>
      </c>
      <c r="K454" s="40" t="s">
        <v>578</v>
      </c>
      <c r="P454" s="40">
        <v>1</v>
      </c>
      <c r="Q454" s="40">
        <v>1</v>
      </c>
      <c r="Z454" s="40" t="s">
        <v>1333</v>
      </c>
      <c r="AA454" s="45">
        <v>10</v>
      </c>
      <c r="AB454" s="46">
        <f>IF(H2ProjectDB689571011[[#This Row],[Dummy_1]]="Electrolysis",
AA454/VLOOKUP(G454,ElectrolysisConvF,3,FALSE),
AC454*10^6/(H2dens*HoursInYear))</f>
        <v>1923.0769230769231</v>
      </c>
      <c r="AC454" s="47">
        <f>AB454*H2dens*HoursInYear/10^6</f>
        <v>1.4993076923076922</v>
      </c>
      <c r="AE454" s="46">
        <f>AB454</f>
        <v>1923.0769230769231</v>
      </c>
      <c r="AF454" s="43" t="s">
        <v>810</v>
      </c>
      <c r="AG454" s="43">
        <v>0</v>
      </c>
      <c r="AH454" s="43">
        <v>0</v>
      </c>
      <c r="AI454" s="122" t="s">
        <v>7286</v>
      </c>
      <c r="AJ454" s="41">
        <v>0.5</v>
      </c>
    </row>
    <row r="455" spans="1:36" ht="34.5" hidden="1" customHeight="1" x14ac:dyDescent="0.25">
      <c r="A455" s="40">
        <v>803</v>
      </c>
      <c r="B455" s="40" t="s">
        <v>470</v>
      </c>
      <c r="C455" s="40" t="s">
        <v>537</v>
      </c>
      <c r="D455" s="44">
        <v>2022</v>
      </c>
      <c r="E455" s="44"/>
      <c r="F455" s="40" t="s">
        <v>1339</v>
      </c>
      <c r="G455" s="40" t="s">
        <v>1260</v>
      </c>
      <c r="H455" s="40" t="s">
        <v>5712</v>
      </c>
      <c r="K455" s="40" t="s">
        <v>578</v>
      </c>
      <c r="L455" s="40">
        <v>1</v>
      </c>
      <c r="P455" s="40">
        <v>1</v>
      </c>
      <c r="Z455" s="40" t="s">
        <v>1653</v>
      </c>
      <c r="AC455" s="47"/>
      <c r="AD455" s="46">
        <v>300000</v>
      </c>
      <c r="AE455" s="46">
        <f>IF(AND(G455&lt;&gt;"NG w CCUS",G455&lt;&gt;"Oil w CCUS",G455&lt;&gt;"Coal w CCUS"),AB455,AD455*10^3/(HoursInYear*IF(G455="NG w CCUS",0.9105,1.9075)))</f>
        <v>17953.643691987287</v>
      </c>
      <c r="AF455" s="43" t="s">
        <v>633</v>
      </c>
      <c r="AG455" s="43">
        <v>36.563222836468299</v>
      </c>
      <c r="AH455" s="43">
        <v>110.10082506846599</v>
      </c>
      <c r="AI455" s="122" t="s">
        <v>7287</v>
      </c>
      <c r="AJ455" s="41">
        <v>0.9</v>
      </c>
    </row>
    <row r="456" spans="1:36" ht="34.5" hidden="1" customHeight="1" x14ac:dyDescent="0.25">
      <c r="A456" s="40">
        <v>804</v>
      </c>
      <c r="B456" s="40" t="s">
        <v>615</v>
      </c>
      <c r="C456" s="40" t="s">
        <v>535</v>
      </c>
      <c r="D456" s="44">
        <v>2024</v>
      </c>
      <c r="F456" s="40" t="s">
        <v>1339</v>
      </c>
      <c r="G456" s="40" t="s">
        <v>1263</v>
      </c>
      <c r="H456" s="40" t="s">
        <v>2727</v>
      </c>
      <c r="K456" s="40" t="s">
        <v>578</v>
      </c>
      <c r="Z456" s="40" t="s">
        <v>2729</v>
      </c>
      <c r="AB456" s="46">
        <f>AC456/(0.089*24*365/10^6)</f>
        <v>128.26432712533989</v>
      </c>
      <c r="AC456" s="47">
        <v>0.1</v>
      </c>
      <c r="AE456" s="46">
        <f t="shared" ref="AE456:AE463" si="36">AB456</f>
        <v>128.26432712533989</v>
      </c>
      <c r="AF456" s="43" t="s">
        <v>6937</v>
      </c>
      <c r="AG456" s="43">
        <v>-32.151256662532603</v>
      </c>
      <c r="AH456" s="43">
        <v>115.810742714228</v>
      </c>
      <c r="AI456" s="122" t="s">
        <v>1255</v>
      </c>
      <c r="AJ456" s="41">
        <v>0.9</v>
      </c>
    </row>
    <row r="457" spans="1:36" ht="34.5" hidden="1" customHeight="1" x14ac:dyDescent="0.25">
      <c r="A457" s="40">
        <v>805</v>
      </c>
      <c r="B457" s="40" t="s">
        <v>1349</v>
      </c>
      <c r="C457" s="40" t="s">
        <v>547</v>
      </c>
      <c r="D457" s="44">
        <v>2027</v>
      </c>
      <c r="E457" s="44"/>
      <c r="F457" s="40" t="s">
        <v>1331</v>
      </c>
      <c r="G457" s="40" t="s">
        <v>457</v>
      </c>
      <c r="I457" s="40" t="s">
        <v>1269</v>
      </c>
      <c r="J457" s="40" t="s">
        <v>1395</v>
      </c>
      <c r="K457" s="40" t="s">
        <v>578</v>
      </c>
      <c r="V457" s="40">
        <v>1</v>
      </c>
      <c r="Z457" s="40" t="s">
        <v>1671</v>
      </c>
      <c r="AA457" s="45">
        <v>310</v>
      </c>
      <c r="AB457" s="46">
        <f>IF(H2ProjectDB689571011[[#This Row],[Dummy_1]]="Electrolysis",
AA457/VLOOKUP(G457,ElectrolysisConvF,3,FALSE),
AC457*10^6/(H2dens*HoursInYear))</f>
        <v>67391.304347826095</v>
      </c>
      <c r="AC457" s="47">
        <f t="shared" ref="AC457:AC463" si="37">AB457*H2dens*HoursInYear/10^6</f>
        <v>52.540956521739133</v>
      </c>
      <c r="AE457" s="46">
        <f t="shared" si="36"/>
        <v>67391.304347826095</v>
      </c>
      <c r="AF457" s="43" t="s">
        <v>7355</v>
      </c>
      <c r="AG457" s="43">
        <v>-23.876315569662601</v>
      </c>
      <c r="AH457" s="43">
        <v>-57.036011985396101</v>
      </c>
      <c r="AI457" s="122" t="s">
        <v>7286</v>
      </c>
      <c r="AJ457" s="41">
        <v>0.5</v>
      </c>
    </row>
    <row r="458" spans="1:36" ht="34.5" hidden="1" customHeight="1" x14ac:dyDescent="0.25">
      <c r="A458" s="40">
        <v>807</v>
      </c>
      <c r="B458" s="40" t="s">
        <v>5955</v>
      </c>
      <c r="C458" s="40" t="s">
        <v>530</v>
      </c>
      <c r="D458" s="44">
        <v>2026</v>
      </c>
      <c r="E458" s="44"/>
      <c r="F458" s="40" t="s">
        <v>5701</v>
      </c>
      <c r="G458" s="40" t="s">
        <v>455</v>
      </c>
      <c r="I458" s="40" t="s">
        <v>1266</v>
      </c>
      <c r="K458" s="40" t="s">
        <v>578</v>
      </c>
      <c r="L458" s="40">
        <v>1</v>
      </c>
      <c r="P458" s="40">
        <v>1</v>
      </c>
      <c r="Q458" s="40">
        <v>1</v>
      </c>
      <c r="Z458" s="40" t="s">
        <v>1574</v>
      </c>
      <c r="AA458" s="45">
        <v>200</v>
      </c>
      <c r="AB458" s="46">
        <f>IF(H2ProjectDB689571011[[#This Row],[Dummy_1]]="Electrolysis",
AA458/VLOOKUP(G458,ElectrolysisConvF,3,FALSE),
AC458*10^6/(H2dens*HoursInYear))</f>
        <v>38461.538461538461</v>
      </c>
      <c r="AC458" s="47">
        <f t="shared" si="37"/>
        <v>29.986153846153844</v>
      </c>
      <c r="AE458" s="46">
        <f t="shared" si="36"/>
        <v>38461.538461538461</v>
      </c>
      <c r="AF458" s="43" t="s">
        <v>4621</v>
      </c>
      <c r="AG458" s="43">
        <v>49.481647531260798</v>
      </c>
      <c r="AH458" s="43">
        <v>0.54633467165197402</v>
      </c>
      <c r="AI458" s="122" t="s">
        <v>7286</v>
      </c>
      <c r="AJ458" s="41">
        <v>0.56999999999999995</v>
      </c>
    </row>
    <row r="459" spans="1:36" ht="34.5" hidden="1" customHeight="1" x14ac:dyDescent="0.25">
      <c r="A459" s="40">
        <v>808</v>
      </c>
      <c r="B459" s="40" t="s">
        <v>5951</v>
      </c>
      <c r="C459" s="40" t="s">
        <v>530</v>
      </c>
      <c r="D459" s="44">
        <v>2027</v>
      </c>
      <c r="E459" s="44"/>
      <c r="F459" s="40" t="s">
        <v>1331</v>
      </c>
      <c r="G459" s="40" t="s">
        <v>457</v>
      </c>
      <c r="I459" s="40" t="s">
        <v>1266</v>
      </c>
      <c r="K459" s="40" t="s">
        <v>578</v>
      </c>
      <c r="S459" s="40">
        <v>1</v>
      </c>
      <c r="Z459" s="40" t="s">
        <v>1574</v>
      </c>
      <c r="AA459" s="45">
        <v>200</v>
      </c>
      <c r="AB459" s="46">
        <f>IF(H2ProjectDB689571011[[#This Row],[Dummy_1]]="Electrolysis",
AA459/VLOOKUP(G459,ElectrolysisConvF,3,FALSE),
AC459*10^6/(H2dens*HoursInYear))</f>
        <v>43478.260869565216</v>
      </c>
      <c r="AC459" s="47">
        <f t="shared" si="37"/>
        <v>33.897391304347821</v>
      </c>
      <c r="AE459" s="46">
        <f t="shared" si="36"/>
        <v>43478.260869565216</v>
      </c>
      <c r="AF459" s="43" t="s">
        <v>3745</v>
      </c>
      <c r="AG459" s="43">
        <v>51.033666718416598</v>
      </c>
      <c r="AH459" s="43">
        <v>2.3678197167990902</v>
      </c>
      <c r="AI459" s="122" t="s">
        <v>7286</v>
      </c>
      <c r="AJ459" s="41">
        <v>0.56999999999999995</v>
      </c>
    </row>
    <row r="460" spans="1:36" ht="34.5" hidden="1" customHeight="1" x14ac:dyDescent="0.25">
      <c r="A460" s="40">
        <v>809</v>
      </c>
      <c r="B460" s="40" t="s">
        <v>3329</v>
      </c>
      <c r="C460" s="40" t="s">
        <v>535</v>
      </c>
      <c r="D460" s="44">
        <v>2026</v>
      </c>
      <c r="E460" s="44"/>
      <c r="F460" s="40" t="s">
        <v>1331</v>
      </c>
      <c r="G460" s="40" t="s">
        <v>457</v>
      </c>
      <c r="I460" s="40" t="s">
        <v>1269</v>
      </c>
      <c r="J460" s="40" t="s">
        <v>1395</v>
      </c>
      <c r="K460" s="40" t="s">
        <v>578</v>
      </c>
      <c r="P460" s="40">
        <v>1</v>
      </c>
      <c r="Q460" s="40">
        <v>1</v>
      </c>
      <c r="Z460" s="40" t="s">
        <v>4800</v>
      </c>
      <c r="AA460" s="45">
        <v>55</v>
      </c>
      <c r="AB460" s="46">
        <f>IF(H2ProjectDB689571011[[#This Row],[Dummy_1]]="Electrolysis",
AA460/VLOOKUP(G460,ElectrolysisConvF,3,FALSE),
AC460*10^6/(H2dens*HoursInYear))</f>
        <v>11956.521739130436</v>
      </c>
      <c r="AC460" s="47">
        <f t="shared" si="37"/>
        <v>9.3217826086956528</v>
      </c>
      <c r="AE460" s="46">
        <f t="shared" si="36"/>
        <v>11956.521739130436</v>
      </c>
      <c r="AF460" s="43" t="s">
        <v>4797</v>
      </c>
      <c r="AG460" s="43">
        <v>-29.245342804981799</v>
      </c>
      <c r="AH460" s="43">
        <v>114.93415911585301</v>
      </c>
      <c r="AI460" s="122" t="s">
        <v>7286</v>
      </c>
      <c r="AJ460" s="41">
        <v>0.5</v>
      </c>
    </row>
    <row r="461" spans="1:36" ht="34.5" hidden="1" customHeight="1" x14ac:dyDescent="0.25">
      <c r="A461" s="40">
        <v>811</v>
      </c>
      <c r="B461" s="40" t="s">
        <v>601</v>
      </c>
      <c r="C461" s="40" t="s">
        <v>1305</v>
      </c>
      <c r="D461" s="44">
        <v>2025</v>
      </c>
      <c r="E461" s="44"/>
      <c r="F461" s="40" t="s">
        <v>5701</v>
      </c>
      <c r="G461" s="40" t="s">
        <v>457</v>
      </c>
      <c r="I461" s="40" t="s">
        <v>1269</v>
      </c>
      <c r="J461" s="40" t="s">
        <v>1392</v>
      </c>
      <c r="K461" s="40" t="s">
        <v>578</v>
      </c>
      <c r="L461" s="40">
        <v>1</v>
      </c>
      <c r="S461" s="40">
        <v>1</v>
      </c>
      <c r="T461" s="40">
        <v>1</v>
      </c>
      <c r="Z461" s="40" t="s">
        <v>1510</v>
      </c>
      <c r="AA461" s="45">
        <v>30</v>
      </c>
      <c r="AB461" s="46">
        <f>IF(H2ProjectDB689571011[[#This Row],[Dummy_1]]="Electrolysis",
AA461/VLOOKUP(G461,ElectrolysisConvF,3,FALSE),
AC461*10^6/(H2dens*HoursInYear))</f>
        <v>6521.739130434783</v>
      </c>
      <c r="AC461" s="47">
        <f t="shared" si="37"/>
        <v>5.0846086956521734</v>
      </c>
      <c r="AE461" s="46">
        <f t="shared" si="36"/>
        <v>6521.739130434783</v>
      </c>
      <c r="AF461" s="43" t="s">
        <v>3830</v>
      </c>
      <c r="AG461" s="43">
        <v>51.432015142675802</v>
      </c>
      <c r="AH461" s="43">
        <v>11.8618719963012</v>
      </c>
      <c r="AI461" s="122" t="s">
        <v>7286</v>
      </c>
      <c r="AJ461" s="41">
        <v>0.4</v>
      </c>
    </row>
    <row r="462" spans="1:36" ht="34.5" hidden="1" customHeight="1" x14ac:dyDescent="0.25">
      <c r="A462" s="40">
        <v>812</v>
      </c>
      <c r="B462" s="40" t="s">
        <v>1692</v>
      </c>
      <c r="C462" s="40" t="s">
        <v>546</v>
      </c>
      <c r="D462" s="44">
        <v>2026</v>
      </c>
      <c r="E462" s="44"/>
      <c r="F462" s="40" t="s">
        <v>1331</v>
      </c>
      <c r="G462" s="40" t="s">
        <v>457</v>
      </c>
      <c r="I462" s="40" t="s">
        <v>1269</v>
      </c>
      <c r="J462" s="40" t="s">
        <v>1393</v>
      </c>
      <c r="K462" s="40" t="s">
        <v>1268</v>
      </c>
      <c r="N462" s="40">
        <v>1</v>
      </c>
      <c r="P462" s="40">
        <v>1</v>
      </c>
      <c r="Z462" s="40" t="s">
        <v>1495</v>
      </c>
      <c r="AA462" s="45">
        <v>20</v>
      </c>
      <c r="AB462" s="46">
        <f>IF(H2ProjectDB689571011[[#This Row],[Dummy_1]]="Electrolysis",
AA462/VLOOKUP(G462,ElectrolysisConvF,3,FALSE),
AC462*10^6/(H2dens*HoursInYear))</f>
        <v>4347.826086956522</v>
      </c>
      <c r="AC462" s="47">
        <f t="shared" si="37"/>
        <v>3.3897391304347826</v>
      </c>
      <c r="AE462" s="46">
        <f t="shared" si="36"/>
        <v>4347.826086956522</v>
      </c>
      <c r="AF462" s="43" t="s">
        <v>4464</v>
      </c>
      <c r="AG462" s="43">
        <v>53.334414502966901</v>
      </c>
      <c r="AH462" s="43">
        <v>6.9213599498701699</v>
      </c>
      <c r="AI462" s="122" t="s">
        <v>7286</v>
      </c>
      <c r="AJ462" s="41">
        <v>0.55000000000000004</v>
      </c>
    </row>
    <row r="463" spans="1:36" ht="34.5" hidden="1" customHeight="1" x14ac:dyDescent="0.25">
      <c r="A463" s="40">
        <v>813</v>
      </c>
      <c r="B463" s="40" t="s">
        <v>818</v>
      </c>
      <c r="C463" s="40" t="s">
        <v>540</v>
      </c>
      <c r="D463" s="44">
        <v>2024</v>
      </c>
      <c r="E463" s="44"/>
      <c r="F463" s="40" t="s">
        <v>5701</v>
      </c>
      <c r="G463" s="40" t="s">
        <v>455</v>
      </c>
      <c r="I463" s="40" t="s">
        <v>1257</v>
      </c>
      <c r="K463" s="40" t="s">
        <v>578</v>
      </c>
      <c r="L463" s="40">
        <v>1</v>
      </c>
      <c r="Q463" s="40">
        <v>1</v>
      </c>
      <c r="Z463" s="40" t="s">
        <v>1333</v>
      </c>
      <c r="AA463" s="45">
        <v>10</v>
      </c>
      <c r="AB463" s="46">
        <f>IF(H2ProjectDB689571011[[#This Row],[Dummy_1]]="Electrolysis",
AA463/VLOOKUP(G463,ElectrolysisConvF,3,FALSE),
AC463*10^6/(H2dens*HoursInYear))</f>
        <v>1923.0769230769231</v>
      </c>
      <c r="AC463" s="47">
        <f t="shared" si="37"/>
        <v>1.4993076923076922</v>
      </c>
      <c r="AE463" s="46">
        <f t="shared" si="36"/>
        <v>1923.0769230769231</v>
      </c>
      <c r="AF463" s="43" t="s">
        <v>6050</v>
      </c>
      <c r="AG463" s="43">
        <v>48.1467281264798</v>
      </c>
      <c r="AH463" s="43">
        <v>16.495715879876698</v>
      </c>
      <c r="AI463" s="122" t="s">
        <v>7286</v>
      </c>
      <c r="AJ463" s="41">
        <v>0.56999999999999995</v>
      </c>
    </row>
    <row r="464" spans="1:36" ht="35.85" hidden="1" customHeight="1" x14ac:dyDescent="0.25">
      <c r="A464" s="40">
        <v>815</v>
      </c>
      <c r="B464" s="40" t="s">
        <v>469</v>
      </c>
      <c r="C464" s="40" t="s">
        <v>536</v>
      </c>
      <c r="D464" s="44">
        <v>2027</v>
      </c>
      <c r="E464" s="44"/>
      <c r="F464" s="40" t="s">
        <v>1331</v>
      </c>
      <c r="G464" s="40" t="s">
        <v>1262</v>
      </c>
      <c r="H464" s="40" t="s">
        <v>5713</v>
      </c>
      <c r="K464" s="40" t="s">
        <v>1242</v>
      </c>
      <c r="N464" s="40">
        <v>1</v>
      </c>
      <c r="Z464" s="40" t="s">
        <v>1674</v>
      </c>
      <c r="AC464" s="47"/>
      <c r="AD464" s="46">
        <v>4200000</v>
      </c>
      <c r="AE464" s="46">
        <f>IF(AND(G464&lt;&gt;"NG w CCUS",G464&lt;&gt;"Oil w CCUS",G464&lt;&gt;"Coal w CCUS"),AB464,AD464*10^3/(HoursInYear*IF(G464="NG w CCUS",0.9105,1.9075)))</f>
        <v>251351.01168782203</v>
      </c>
      <c r="AF464" s="43" t="s">
        <v>661</v>
      </c>
      <c r="AG464" s="43">
        <v>30.228465554088601</v>
      </c>
      <c r="AH464" s="43">
        <v>-93.209819684962298</v>
      </c>
      <c r="AI464" s="122" t="s">
        <v>7287</v>
      </c>
      <c r="AJ464" s="41">
        <v>0.9</v>
      </c>
    </row>
    <row r="465" spans="1:36" ht="34.5" hidden="1" customHeight="1" x14ac:dyDescent="0.25">
      <c r="A465" s="40">
        <v>818</v>
      </c>
      <c r="B465" s="40" t="s">
        <v>1693</v>
      </c>
      <c r="C465" s="40" t="s">
        <v>546</v>
      </c>
      <c r="D465" s="44">
        <v>2026</v>
      </c>
      <c r="E465" s="44"/>
      <c r="F465" s="40" t="s">
        <v>1331</v>
      </c>
      <c r="G465" s="40" t="s">
        <v>457</v>
      </c>
      <c r="I465" s="40" t="s">
        <v>1269</v>
      </c>
      <c r="J465" s="40" t="s">
        <v>1393</v>
      </c>
      <c r="K465" s="40" t="s">
        <v>1267</v>
      </c>
      <c r="W465" s="40">
        <v>1</v>
      </c>
      <c r="Z465" s="40" t="s">
        <v>1577</v>
      </c>
      <c r="AA465" s="45">
        <v>40</v>
      </c>
      <c r="AB465" s="46">
        <f>IF(H2ProjectDB689571011[[#This Row],[Dummy_1]]="Electrolysis",
AA465/VLOOKUP(G465,ElectrolysisConvF,3,FALSE),
AC465*10^6/(H2dens*HoursInYear))</f>
        <v>8695.652173913044</v>
      </c>
      <c r="AC465" s="47">
        <f>AB465*H2dens*HoursInYear/10^6</f>
        <v>6.7794782608695652</v>
      </c>
      <c r="AE465" s="46">
        <f>AB465</f>
        <v>8695.652173913044</v>
      </c>
      <c r="AF465" s="43" t="s">
        <v>2499</v>
      </c>
      <c r="AG465" s="43">
        <v>53.334414502966901</v>
      </c>
      <c r="AH465" s="43">
        <v>6.9213599498701699</v>
      </c>
      <c r="AI465" s="122" t="s">
        <v>7286</v>
      </c>
      <c r="AJ465" s="41">
        <v>0.55000000000000004</v>
      </c>
    </row>
    <row r="466" spans="1:36" ht="40.35" hidden="1" customHeight="1" x14ac:dyDescent="0.25">
      <c r="A466" s="40">
        <v>819</v>
      </c>
      <c r="B466" s="40" t="s">
        <v>991</v>
      </c>
      <c r="C466" s="40" t="s">
        <v>546</v>
      </c>
      <c r="D466" s="44">
        <v>2025</v>
      </c>
      <c r="E466" s="44"/>
      <c r="F466" s="40" t="s">
        <v>1331</v>
      </c>
      <c r="G466" s="40" t="s">
        <v>1259</v>
      </c>
      <c r="H466" s="40" t="s">
        <v>467</v>
      </c>
      <c r="I466" s="40" t="s">
        <v>1257</v>
      </c>
      <c r="K466" s="40" t="s">
        <v>578</v>
      </c>
      <c r="O466" s="40">
        <v>1</v>
      </c>
      <c r="Z466" s="40" t="s">
        <v>1485</v>
      </c>
      <c r="AA466" s="45">
        <v>100</v>
      </c>
      <c r="AB466" s="46">
        <f>IF(H2ProjectDB689571011[[#This Row],[Dummy_1]]="Electrolysis",
AA466/VLOOKUP(G466,ElectrolysisConvF,3,FALSE),
AC466*10^6/(H2dens*HoursInYear))</f>
        <v>22222.222222222223</v>
      </c>
      <c r="AC466" s="47">
        <f>AB466*H2dens*HoursInYear/10^6</f>
        <v>17.325333333333333</v>
      </c>
      <c r="AE466" s="46">
        <f>AB466</f>
        <v>22222.222222222223</v>
      </c>
      <c r="AF466" s="43" t="s">
        <v>706</v>
      </c>
      <c r="AG466" s="43">
        <v>52.472469270404197</v>
      </c>
      <c r="AH466" s="43">
        <v>4.5142967808249699</v>
      </c>
      <c r="AI466" s="122" t="s">
        <v>7286</v>
      </c>
      <c r="AJ466" s="41">
        <v>0.56999999999999995</v>
      </c>
    </row>
    <row r="467" spans="1:36" s="89" customFormat="1" ht="34.5" hidden="1" customHeight="1" x14ac:dyDescent="0.25">
      <c r="A467" s="40">
        <v>821</v>
      </c>
      <c r="B467" s="40" t="s">
        <v>5952</v>
      </c>
      <c r="C467" s="40" t="s">
        <v>530</v>
      </c>
      <c r="D467" s="44">
        <v>2029</v>
      </c>
      <c r="E467" s="44"/>
      <c r="F467" s="40" t="s">
        <v>1331</v>
      </c>
      <c r="G467" s="40" t="s">
        <v>457</v>
      </c>
      <c r="H467" s="40"/>
      <c r="I467" s="40" t="s">
        <v>1266</v>
      </c>
      <c r="J467" s="40"/>
      <c r="K467" s="40" t="s">
        <v>578</v>
      </c>
      <c r="L467" s="40"/>
      <c r="M467" s="40"/>
      <c r="N467" s="40"/>
      <c r="O467" s="40"/>
      <c r="P467" s="40"/>
      <c r="Q467" s="40"/>
      <c r="R467" s="40"/>
      <c r="S467" s="40">
        <v>1</v>
      </c>
      <c r="T467" s="40"/>
      <c r="U467" s="40"/>
      <c r="V467" s="40"/>
      <c r="W467" s="40"/>
      <c r="X467" s="40"/>
      <c r="Y467" s="40"/>
      <c r="Z467" s="40" t="s">
        <v>2054</v>
      </c>
      <c r="AA467" s="45">
        <f>500-200</f>
        <v>300</v>
      </c>
      <c r="AB467" s="46">
        <f>IF(H2ProjectDB689571011[[#This Row],[Dummy_1]]="Electrolysis",
AA467/VLOOKUP(G467,ElectrolysisConvF,3,FALSE),
AC467*10^6/(H2dens*HoursInYear))</f>
        <v>65217.391304347824</v>
      </c>
      <c r="AC467" s="47">
        <f>AB467*H2dens*HoursInYear/10^6</f>
        <v>50.846086956521738</v>
      </c>
      <c r="AD467" s="46"/>
      <c r="AE467" s="46">
        <f>AB467</f>
        <v>65217.391304347824</v>
      </c>
      <c r="AF467" s="43" t="s">
        <v>3744</v>
      </c>
      <c r="AG467" s="43">
        <v>51.033666718416598</v>
      </c>
      <c r="AH467" s="43">
        <v>2.3678197167990902</v>
      </c>
      <c r="AI467" s="122" t="s">
        <v>7286</v>
      </c>
      <c r="AJ467" s="41">
        <v>0.56999999999999995</v>
      </c>
    </row>
    <row r="468" spans="1:36" ht="34.5" hidden="1" customHeight="1" x14ac:dyDescent="0.25">
      <c r="A468" s="40">
        <v>823</v>
      </c>
      <c r="B468" s="40" t="s">
        <v>5079</v>
      </c>
      <c r="C468" s="40" t="s">
        <v>546</v>
      </c>
      <c r="D468" s="44">
        <v>2027</v>
      </c>
      <c r="E468" s="44"/>
      <c r="F468" s="40" t="s">
        <v>1331</v>
      </c>
      <c r="G468" s="40" t="s">
        <v>1261</v>
      </c>
      <c r="H468" s="40" t="s">
        <v>5708</v>
      </c>
      <c r="K468" s="40" t="s">
        <v>578</v>
      </c>
      <c r="R468" s="40">
        <v>1</v>
      </c>
      <c r="Z468" s="40" t="s">
        <v>1675</v>
      </c>
      <c r="AC468" s="47"/>
      <c r="AD468" s="46">
        <v>1300000</v>
      </c>
      <c r="AE468" s="46">
        <f>IF(AND(G468&lt;&gt;"NG w CCUS",G468&lt;&gt;"Oil w CCUS",G468&lt;&gt;"Coal w CCUS"),AB468,AD468*10^3/(HoursInYear*IF(G468="NG w CCUS",0.9105,1.9075)))</f>
        <v>162989.37560023973</v>
      </c>
      <c r="AF468" s="43" t="s">
        <v>6593</v>
      </c>
      <c r="AG468" s="43">
        <v>53.356343056050903</v>
      </c>
      <c r="AH468" s="43">
        <v>6.6049155082883901</v>
      </c>
      <c r="AI468" s="122" t="s">
        <v>7287</v>
      </c>
      <c r="AJ468" s="41">
        <v>0.9</v>
      </c>
    </row>
    <row r="469" spans="1:36" ht="34.5" hidden="1" customHeight="1" x14ac:dyDescent="0.25">
      <c r="A469" s="40">
        <v>825</v>
      </c>
      <c r="B469" s="40" t="s">
        <v>3030</v>
      </c>
      <c r="C469" s="40" t="s">
        <v>536</v>
      </c>
      <c r="D469" s="44">
        <v>2025</v>
      </c>
      <c r="E469" s="44"/>
      <c r="F469" s="40" t="s">
        <v>1331</v>
      </c>
      <c r="G469" s="40" t="s">
        <v>1262</v>
      </c>
      <c r="H469" s="40" t="s">
        <v>5714</v>
      </c>
      <c r="K469" s="40" t="s">
        <v>578</v>
      </c>
      <c r="Z469" s="40" t="s">
        <v>5083</v>
      </c>
      <c r="AB469" s="46">
        <f>IF(H2ProjectDB689571011[[#This Row],[Dummy_1]]="Electrolysis",
AA469/VLOOKUP(G469,ElectrolysisConvF,3,FALSE),
AC469*10^6/(H2dens*HoursInYear))</f>
        <v>157303.37078651687</v>
      </c>
      <c r="AC469" s="47">
        <f>0.336*365</f>
        <v>122.64</v>
      </c>
      <c r="AD469" s="46">
        <v>1650000</v>
      </c>
      <c r="AE469" s="46">
        <f>IF(AND(G469&lt;&gt;"NG w CCUS",G469&lt;&gt;"Oil w CCUS",G469&lt;&gt;"Coal w CCUS"),AB469,AD469*10^3/(HoursInYear*IF(G469="NG w CCUS",0.9105,1.9075)))</f>
        <v>98745.040305930088</v>
      </c>
      <c r="AF469" s="43" t="s">
        <v>2537</v>
      </c>
      <c r="AG469" s="43">
        <v>39.533769515334299</v>
      </c>
      <c r="AH469" s="43">
        <v>-87.425959077240407</v>
      </c>
      <c r="AI469" s="122" t="s">
        <v>7287</v>
      </c>
      <c r="AJ469" s="41">
        <v>0.9</v>
      </c>
    </row>
    <row r="470" spans="1:36" ht="34.5" hidden="1" customHeight="1" x14ac:dyDescent="0.25">
      <c r="A470" s="40">
        <v>826</v>
      </c>
      <c r="B470" s="40" t="s">
        <v>101</v>
      </c>
      <c r="C470" s="40" t="s">
        <v>1305</v>
      </c>
      <c r="D470" s="40">
        <v>2007</v>
      </c>
      <c r="F470" s="40" t="s">
        <v>1540</v>
      </c>
      <c r="G470" s="40" t="s">
        <v>1259</v>
      </c>
      <c r="H470" s="40" t="s">
        <v>467</v>
      </c>
      <c r="I470" s="40" t="s">
        <v>1257</v>
      </c>
      <c r="K470" s="40" t="s">
        <v>578</v>
      </c>
      <c r="Q470" s="40">
        <v>1</v>
      </c>
      <c r="R470" s="40">
        <v>1</v>
      </c>
      <c r="S470" s="40">
        <v>1</v>
      </c>
      <c r="AC470" s="47"/>
      <c r="AE470" s="46">
        <f>AB470</f>
        <v>0</v>
      </c>
      <c r="AF470" s="43" t="s">
        <v>6594</v>
      </c>
      <c r="AG470" s="43">
        <v>0</v>
      </c>
      <c r="AH470" s="43">
        <v>0</v>
      </c>
      <c r="AI470" s="122" t="s">
        <v>7286</v>
      </c>
      <c r="AJ470" s="41">
        <v>0.56999999999999995</v>
      </c>
    </row>
    <row r="471" spans="1:36" ht="34.5" hidden="1" customHeight="1" x14ac:dyDescent="0.25">
      <c r="A471" s="40">
        <v>827</v>
      </c>
      <c r="B471" s="40" t="s">
        <v>6756</v>
      </c>
      <c r="C471" s="40" t="s">
        <v>546</v>
      </c>
      <c r="D471" s="40">
        <v>2005</v>
      </c>
      <c r="E471" s="40">
        <v>2026</v>
      </c>
      <c r="F471" s="40" t="s">
        <v>1339</v>
      </c>
      <c r="G471" s="40" t="s">
        <v>1262</v>
      </c>
      <c r="H471" s="40" t="s">
        <v>5715</v>
      </c>
      <c r="K471" s="40" t="s">
        <v>578</v>
      </c>
      <c r="L471" s="40">
        <v>1</v>
      </c>
      <c r="Z471" s="40" t="s">
        <v>6757</v>
      </c>
      <c r="AB471" s="46">
        <f>AC471/(0.089*24*365/10^6)</f>
        <v>128264.32712533989</v>
      </c>
      <c r="AC471" s="47">
        <v>100</v>
      </c>
      <c r="AD471" s="46">
        <v>1000000</v>
      </c>
      <c r="AE471" s="46">
        <f>IF(AND(G471&lt;&gt;"NG w CCUS",G471&lt;&gt;"Oil w CCUS",G471&lt;&gt;"Coal w CCUS"),AB471,AD471*10^3/(HoursInYear*IF(G471="NG w CCUS",0.9105,1.9075)))</f>
        <v>59845.478973290963</v>
      </c>
      <c r="AF471" s="43" t="s">
        <v>652</v>
      </c>
      <c r="AG471" s="43">
        <v>51.880510447997104</v>
      </c>
      <c r="AH471" s="43">
        <v>4.3156403172471496</v>
      </c>
      <c r="AI471" s="122" t="s">
        <v>7287</v>
      </c>
      <c r="AJ471" s="41">
        <v>0.9</v>
      </c>
    </row>
    <row r="472" spans="1:36" ht="34.5" hidden="1" customHeight="1" x14ac:dyDescent="0.25">
      <c r="A472" s="40">
        <v>828</v>
      </c>
      <c r="B472" s="40" t="s">
        <v>989</v>
      </c>
      <c r="C472" s="40" t="s">
        <v>546</v>
      </c>
      <c r="D472" s="40">
        <v>2022</v>
      </c>
      <c r="F472" s="40" t="s">
        <v>1339</v>
      </c>
      <c r="G472" s="40" t="s">
        <v>1263</v>
      </c>
      <c r="H472" s="40" t="s">
        <v>990</v>
      </c>
      <c r="K472" s="40" t="s">
        <v>578</v>
      </c>
      <c r="Z472" s="40" t="s">
        <v>7524</v>
      </c>
      <c r="AC472" s="47"/>
      <c r="AE472" s="46">
        <f>AB472</f>
        <v>0</v>
      </c>
      <c r="AF472" s="43" t="s">
        <v>1686</v>
      </c>
      <c r="AG472" s="43">
        <v>0</v>
      </c>
      <c r="AH472" s="43">
        <v>0</v>
      </c>
      <c r="AI472" s="122" t="s">
        <v>1255</v>
      </c>
      <c r="AJ472" s="41">
        <v>0.9</v>
      </c>
    </row>
    <row r="473" spans="1:36" ht="34.5" hidden="1" customHeight="1" x14ac:dyDescent="0.25">
      <c r="A473" s="40">
        <v>829</v>
      </c>
      <c r="B473" s="40" t="s">
        <v>992</v>
      </c>
      <c r="C473" s="40" t="s">
        <v>546</v>
      </c>
      <c r="F473" s="40" t="s">
        <v>1331</v>
      </c>
      <c r="G473" s="40" t="s">
        <v>1255</v>
      </c>
      <c r="H473" s="40" t="s">
        <v>5716</v>
      </c>
      <c r="K473" s="40" t="s">
        <v>578</v>
      </c>
      <c r="S473" s="40">
        <v>1</v>
      </c>
      <c r="AC473" s="47"/>
      <c r="AE473" s="46">
        <f>AB473</f>
        <v>0</v>
      </c>
      <c r="AF473" s="43" t="s">
        <v>1686</v>
      </c>
      <c r="AG473" s="43">
        <v>0</v>
      </c>
      <c r="AH473" s="43">
        <v>0</v>
      </c>
      <c r="AI473" s="122" t="s">
        <v>1255</v>
      </c>
      <c r="AJ473" s="41">
        <v>0.9</v>
      </c>
    </row>
    <row r="474" spans="1:36" ht="34.5" hidden="1" customHeight="1" x14ac:dyDescent="0.25">
      <c r="A474" s="40">
        <v>830</v>
      </c>
      <c r="B474" s="40" t="s">
        <v>2642</v>
      </c>
      <c r="C474" s="40" t="s">
        <v>554</v>
      </c>
      <c r="D474" s="44">
        <v>2025</v>
      </c>
      <c r="E474" s="44"/>
      <c r="F474" s="40" t="s">
        <v>2222</v>
      </c>
      <c r="G474" s="40" t="s">
        <v>1259</v>
      </c>
      <c r="H474" s="40" t="s">
        <v>467</v>
      </c>
      <c r="I474" s="40" t="s">
        <v>1269</v>
      </c>
      <c r="J474" s="40" t="s">
        <v>1391</v>
      </c>
      <c r="K474" s="40" t="s">
        <v>578</v>
      </c>
      <c r="L474" s="40">
        <v>1</v>
      </c>
      <c r="M474" s="40">
        <v>1</v>
      </c>
      <c r="O474" s="40">
        <v>1</v>
      </c>
      <c r="P474" s="40">
        <v>1</v>
      </c>
      <c r="Z474" s="40" t="s">
        <v>1485</v>
      </c>
      <c r="AA474" s="45">
        <v>100</v>
      </c>
      <c r="AB474" s="46">
        <f>IF(H2ProjectDB689571011[[#This Row],[Dummy_1]]="Electrolysis",
AA474/VLOOKUP(G474,ElectrolysisConvF,3,FALSE),
AC474*10^6/(H2dens*HoursInYear))</f>
        <v>22222.222222222223</v>
      </c>
      <c r="AC474" s="47">
        <f>AB474*H2dens*HoursInYear/10^6</f>
        <v>17.325333333333333</v>
      </c>
      <c r="AG474" s="43">
        <v>37.845672</v>
      </c>
      <c r="AH474" s="43">
        <v>23.790579000000001</v>
      </c>
      <c r="AI474" s="122" t="s">
        <v>7286</v>
      </c>
      <c r="AJ474" s="41">
        <v>0.3</v>
      </c>
    </row>
    <row r="475" spans="1:36" ht="34.5" hidden="1" customHeight="1" x14ac:dyDescent="0.25">
      <c r="A475" s="40">
        <v>831</v>
      </c>
      <c r="B475" s="40" t="s">
        <v>2445</v>
      </c>
      <c r="C475" s="40" t="s">
        <v>537</v>
      </c>
      <c r="D475" s="44">
        <v>2023</v>
      </c>
      <c r="E475" s="44"/>
      <c r="F475" s="40" t="s">
        <v>1339</v>
      </c>
      <c r="G475" s="40" t="s">
        <v>1259</v>
      </c>
      <c r="H475" s="40" t="s">
        <v>1666</v>
      </c>
      <c r="I475" s="40" t="s">
        <v>1269</v>
      </c>
      <c r="J475" s="40" t="s">
        <v>1391</v>
      </c>
      <c r="K475" s="40" t="s">
        <v>578</v>
      </c>
      <c r="Q475" s="40">
        <v>1</v>
      </c>
      <c r="Z475" s="40" t="s">
        <v>4476</v>
      </c>
      <c r="AA475" s="45">
        <v>6</v>
      </c>
      <c r="AB475" s="46">
        <f>IF(H2ProjectDB689571011[[#This Row],[Dummy_1]]="Electrolysis",
AA475/VLOOKUP(G475,ElectrolysisConvF,3,FALSE),
AC475*10^6/(H2dens*HoursInYear))</f>
        <v>1333.3333333333335</v>
      </c>
      <c r="AC475" s="47">
        <f>AB475*H2dens*HoursInYear/10^6</f>
        <v>1.03952</v>
      </c>
      <c r="AE475" s="46">
        <f t="shared" ref="AE475:AE493" si="38">AB475</f>
        <v>1333.3333333333335</v>
      </c>
      <c r="AF475" s="43" t="s">
        <v>2437</v>
      </c>
      <c r="AG475" s="43">
        <v>45.622681</v>
      </c>
      <c r="AH475" s="43">
        <v>122.848434</v>
      </c>
      <c r="AI475" s="122" t="s">
        <v>7286</v>
      </c>
      <c r="AJ475" s="41">
        <v>0.3</v>
      </c>
    </row>
    <row r="476" spans="1:36" ht="34.5" hidden="1" customHeight="1" x14ac:dyDescent="0.25">
      <c r="A476" s="40">
        <v>833</v>
      </c>
      <c r="B476" s="40" t="s">
        <v>5786</v>
      </c>
      <c r="C476" s="40" t="s">
        <v>1764</v>
      </c>
      <c r="D476" s="44">
        <v>2027</v>
      </c>
      <c r="E476" s="44"/>
      <c r="F476" s="40" t="s">
        <v>1331</v>
      </c>
      <c r="G476" s="40" t="s">
        <v>457</v>
      </c>
      <c r="I476" s="40" t="s">
        <v>1266</v>
      </c>
      <c r="J476" s="40" t="s">
        <v>1395</v>
      </c>
      <c r="K476" s="40" t="s">
        <v>578</v>
      </c>
      <c r="L476" s="40">
        <v>1</v>
      </c>
      <c r="S476" s="40">
        <v>1</v>
      </c>
      <c r="Z476" s="40" t="s">
        <v>1487</v>
      </c>
      <c r="AA476" s="45">
        <v>100</v>
      </c>
      <c r="AB476" s="46">
        <f>IF(H2ProjectDB689571011[[#This Row],[Dummy_1]]="Electrolysis",
AA476/VLOOKUP(G476,ElectrolysisConvF,3,FALSE),
AC476*10^6/(H2dens*HoursInYear))</f>
        <v>21739.130434782608</v>
      </c>
      <c r="AC476" s="47">
        <f>AB476*H2dens*HoursInYear/10^6</f>
        <v>16.94869565217391</v>
      </c>
      <c r="AE476" s="46">
        <f t="shared" si="38"/>
        <v>21739.130434782608</v>
      </c>
      <c r="AF476" s="43" t="s">
        <v>1426</v>
      </c>
      <c r="AG476" s="43">
        <v>37.569713476212499</v>
      </c>
      <c r="AH476" s="43">
        <v>-0.94744981233630698</v>
      </c>
      <c r="AI476" s="122" t="s">
        <v>7286</v>
      </c>
      <c r="AJ476" s="41">
        <v>0.56999999999999995</v>
      </c>
    </row>
    <row r="477" spans="1:36" ht="34.5" hidden="1" customHeight="1" x14ac:dyDescent="0.25">
      <c r="A477" s="40">
        <v>834</v>
      </c>
      <c r="B477" s="40" t="s">
        <v>580</v>
      </c>
      <c r="C477" s="40" t="s">
        <v>546</v>
      </c>
      <c r="F477" s="40" t="s">
        <v>5701</v>
      </c>
      <c r="G477" s="40" t="s">
        <v>1259</v>
      </c>
      <c r="H477" s="40" t="s">
        <v>467</v>
      </c>
      <c r="I477" s="40" t="s">
        <v>1257</v>
      </c>
      <c r="K477" s="40" t="s">
        <v>578</v>
      </c>
      <c r="U477" s="40">
        <v>1</v>
      </c>
      <c r="AC477" s="47"/>
      <c r="AE477" s="46">
        <f t="shared" si="38"/>
        <v>0</v>
      </c>
      <c r="AF477" s="43" t="s">
        <v>583</v>
      </c>
      <c r="AG477" s="43">
        <v>0</v>
      </c>
      <c r="AH477" s="43">
        <v>0</v>
      </c>
      <c r="AI477" s="122" t="s">
        <v>7286</v>
      </c>
      <c r="AJ477" s="41">
        <v>0.56999999999999995</v>
      </c>
    </row>
    <row r="478" spans="1:36" ht="34.5" hidden="1" customHeight="1" x14ac:dyDescent="0.25">
      <c r="A478" s="40">
        <v>835</v>
      </c>
      <c r="B478" s="40" t="s">
        <v>598</v>
      </c>
      <c r="C478" s="40" t="s">
        <v>1764</v>
      </c>
      <c r="F478" s="40" t="s">
        <v>2222</v>
      </c>
      <c r="G478" s="40" t="s">
        <v>1259</v>
      </c>
      <c r="H478" s="40" t="s">
        <v>467</v>
      </c>
      <c r="I478" s="40" t="s">
        <v>1269</v>
      </c>
      <c r="J478" s="40" t="s">
        <v>1391</v>
      </c>
      <c r="K478" s="40" t="s">
        <v>578</v>
      </c>
      <c r="S478" s="40">
        <v>1</v>
      </c>
      <c r="Z478" s="40" t="s">
        <v>3611</v>
      </c>
      <c r="AA478" s="45">
        <v>1.4999999999999999E-2</v>
      </c>
      <c r="AB478" s="46">
        <f>IF(H2ProjectDB689571011[[#This Row],[Dummy_1]]="Electrolysis",
AA478/VLOOKUP(G478,ElectrolysisConvF,3,FALSE),
AC478*10^6/(H2dens*HoursInYear))</f>
        <v>3.3333333333333335</v>
      </c>
      <c r="AC478" s="47">
        <f>AB478*H2dens*HoursInYear/10^6</f>
        <v>2.5988000000000001E-3</v>
      </c>
      <c r="AE478" s="46">
        <f t="shared" si="38"/>
        <v>3.3333333333333335</v>
      </c>
      <c r="AF478" s="43" t="s">
        <v>604</v>
      </c>
      <c r="AG478" s="43">
        <v>0</v>
      </c>
      <c r="AH478" s="43">
        <v>0</v>
      </c>
      <c r="AI478" s="122" t="s">
        <v>7286</v>
      </c>
      <c r="AJ478" s="41">
        <v>0.3</v>
      </c>
    </row>
    <row r="479" spans="1:36" ht="34.5" hidden="1" customHeight="1" x14ac:dyDescent="0.25">
      <c r="A479" s="40">
        <v>836</v>
      </c>
      <c r="B479" s="40" t="s">
        <v>606</v>
      </c>
      <c r="C479" s="40" t="s">
        <v>536</v>
      </c>
      <c r="D479" s="44">
        <v>2023</v>
      </c>
      <c r="F479" s="40" t="s">
        <v>1339</v>
      </c>
      <c r="G479" s="40" t="s">
        <v>1263</v>
      </c>
      <c r="H479" s="40" t="s">
        <v>607</v>
      </c>
      <c r="K479" s="40" t="s">
        <v>578</v>
      </c>
      <c r="Q479" s="40">
        <v>1</v>
      </c>
      <c r="Z479" s="40" t="s">
        <v>6323</v>
      </c>
      <c r="AB479" s="92">
        <f>AC479/(H2dens*HoursInYear/10^6)</f>
        <v>561.79775280898878</v>
      </c>
      <c r="AC479" s="47">
        <f>1.2*365/1000</f>
        <v>0.438</v>
      </c>
      <c r="AE479" s="46">
        <f t="shared" si="38"/>
        <v>561.79775280898878</v>
      </c>
      <c r="AF479" s="43" t="s">
        <v>608</v>
      </c>
      <c r="AG479" s="43">
        <v>33.872533373317999</v>
      </c>
      <c r="AH479" s="43">
        <v>-117.960258640284</v>
      </c>
      <c r="AI479" s="122" t="s">
        <v>1255</v>
      </c>
      <c r="AJ479" s="41">
        <v>0.9</v>
      </c>
    </row>
    <row r="480" spans="1:36" ht="34.5" hidden="1" customHeight="1" x14ac:dyDescent="0.25">
      <c r="A480" s="40">
        <v>837</v>
      </c>
      <c r="B480" s="40" t="s">
        <v>4698</v>
      </c>
      <c r="C480" s="40" t="s">
        <v>546</v>
      </c>
      <c r="D480" s="44">
        <v>2023</v>
      </c>
      <c r="E480" s="44"/>
      <c r="F480" s="40" t="s">
        <v>1540</v>
      </c>
      <c r="G480" s="40" t="s">
        <v>1263</v>
      </c>
      <c r="H480" s="40" t="s">
        <v>990</v>
      </c>
      <c r="K480" s="40" t="s">
        <v>578</v>
      </c>
      <c r="P480" s="40">
        <v>1</v>
      </c>
      <c r="Z480" s="40" t="s">
        <v>4699</v>
      </c>
      <c r="AB480" s="46">
        <f>IF(H2ProjectDB689571011[[#This Row],[Dummy_1]]="Electrolysis",
AA480/VLOOKUP(G480,ElectrolysisConvF,3,FALSE),
AC480*10^6/(H2dens*HoursInYear))</f>
        <v>234.08239700374531</v>
      </c>
      <c r="AC480" s="78">
        <f>500/1000*365/1000</f>
        <v>0.1825</v>
      </c>
      <c r="AE480" s="46">
        <f t="shared" si="38"/>
        <v>234.08239700374531</v>
      </c>
      <c r="AF480" s="43" t="s">
        <v>4703</v>
      </c>
      <c r="AG480" s="43">
        <v>0</v>
      </c>
      <c r="AH480" s="43">
        <v>0</v>
      </c>
      <c r="AI480" s="122" t="s">
        <v>1255</v>
      </c>
      <c r="AJ480" s="41">
        <v>0.9</v>
      </c>
    </row>
    <row r="481" spans="1:36" ht="34.35" hidden="1" customHeight="1" x14ac:dyDescent="0.25">
      <c r="A481" s="40">
        <v>838</v>
      </c>
      <c r="B481" s="40" t="s">
        <v>579</v>
      </c>
      <c r="C481" s="40" t="s">
        <v>545</v>
      </c>
      <c r="F481" s="40" t="s">
        <v>1331</v>
      </c>
      <c r="G481" s="40" t="s">
        <v>1259</v>
      </c>
      <c r="H481" s="40" t="s">
        <v>467</v>
      </c>
      <c r="I481" s="40" t="s">
        <v>1269</v>
      </c>
      <c r="J481" s="40" t="s">
        <v>1394</v>
      </c>
      <c r="K481" s="40" t="s">
        <v>1242</v>
      </c>
      <c r="N481" s="40">
        <v>1</v>
      </c>
      <c r="AC481" s="47"/>
      <c r="AE481" s="46">
        <f t="shared" si="38"/>
        <v>0</v>
      </c>
      <c r="AF481" s="43" t="s">
        <v>586</v>
      </c>
      <c r="AG481" s="43">
        <v>0</v>
      </c>
      <c r="AH481" s="43">
        <v>0</v>
      </c>
      <c r="AI481" s="122" t="s">
        <v>7286</v>
      </c>
      <c r="AJ481" s="41">
        <v>0.8</v>
      </c>
    </row>
    <row r="482" spans="1:36" ht="34.5" hidden="1" customHeight="1" x14ac:dyDescent="0.25">
      <c r="A482" s="40">
        <v>839</v>
      </c>
      <c r="B482" s="40" t="s">
        <v>5972</v>
      </c>
      <c r="C482" s="40" t="s">
        <v>530</v>
      </c>
      <c r="D482" s="44">
        <v>2025</v>
      </c>
      <c r="E482" s="44"/>
      <c r="F482" s="40" t="s">
        <v>1331</v>
      </c>
      <c r="G482" s="40" t="s">
        <v>1259</v>
      </c>
      <c r="H482" s="40" t="s">
        <v>467</v>
      </c>
      <c r="I482" s="40" t="s">
        <v>1269</v>
      </c>
      <c r="J482" s="40" t="s">
        <v>1392</v>
      </c>
      <c r="K482" s="40" t="s">
        <v>578</v>
      </c>
      <c r="Q482" s="40">
        <v>1</v>
      </c>
      <c r="Z482" s="40" t="s">
        <v>1648</v>
      </c>
      <c r="AA482" s="45">
        <v>4</v>
      </c>
      <c r="AB482" s="46">
        <f>IF(H2ProjectDB689571011[[#This Row],[Dummy_1]]="Electrolysis",
AA482/VLOOKUP(G482,ElectrolysisConvF,3,FALSE),
AC482*10^6/(H2dens*HoursInYear))</f>
        <v>888.88888888888891</v>
      </c>
      <c r="AC482" s="47">
        <f>AB482*H2dens*HoursInYear/10^6</f>
        <v>0.69301333333333337</v>
      </c>
      <c r="AE482" s="46">
        <f t="shared" si="38"/>
        <v>888.88888888888891</v>
      </c>
      <c r="AF482" s="43" t="s">
        <v>4675</v>
      </c>
      <c r="AG482" s="43">
        <v>48.489636385429499</v>
      </c>
      <c r="AH482" s="43">
        <v>-2.7356076568805898</v>
      </c>
      <c r="AI482" s="122" t="s">
        <v>7286</v>
      </c>
      <c r="AJ482" s="41">
        <v>0.4</v>
      </c>
    </row>
    <row r="483" spans="1:36" ht="34.5" hidden="1" customHeight="1" x14ac:dyDescent="0.25">
      <c r="A483" s="40">
        <v>840</v>
      </c>
      <c r="B483" s="40" t="s">
        <v>2912</v>
      </c>
      <c r="C483" s="40" t="s">
        <v>536</v>
      </c>
      <c r="D483" s="44">
        <v>2021</v>
      </c>
      <c r="E483" s="44"/>
      <c r="F483" s="40" t="s">
        <v>1540</v>
      </c>
      <c r="G483" s="40" t="s">
        <v>455</v>
      </c>
      <c r="I483" s="40" t="s">
        <v>1266</v>
      </c>
      <c r="K483" s="40" t="s">
        <v>578</v>
      </c>
      <c r="R483" s="40">
        <v>1</v>
      </c>
      <c r="Z483" s="40" t="s">
        <v>1650</v>
      </c>
      <c r="AA483" s="45">
        <v>0.5</v>
      </c>
      <c r="AB483" s="46">
        <f>IF(H2ProjectDB689571011[[#This Row],[Dummy_1]]="Electrolysis",
AA483/VLOOKUP(G483,ElectrolysisConvF,3,FALSE),
AC483*10^6/(H2dens*HoursInYear))</f>
        <v>96.15384615384616</v>
      </c>
      <c r="AC483" s="47">
        <f>AB483*H2dens*HoursInYear/10^6</f>
        <v>7.4965384615384628E-2</v>
      </c>
      <c r="AE483" s="46">
        <f t="shared" si="38"/>
        <v>96.15384615384616</v>
      </c>
      <c r="AF483" s="43" t="s">
        <v>2914</v>
      </c>
      <c r="AG483" s="43">
        <v>28.5327821834335</v>
      </c>
      <c r="AH483" s="43">
        <v>-81.275830045945995</v>
      </c>
      <c r="AI483" s="122" t="s">
        <v>7286</v>
      </c>
      <c r="AJ483" s="41">
        <v>0.56999999999999995</v>
      </c>
    </row>
    <row r="484" spans="1:36" ht="34.5" hidden="1" customHeight="1" x14ac:dyDescent="0.25">
      <c r="A484" s="40">
        <v>842</v>
      </c>
      <c r="B484" s="40" t="s">
        <v>2923</v>
      </c>
      <c r="C484" s="40" t="s">
        <v>536</v>
      </c>
      <c r="D484" s="44">
        <v>2020</v>
      </c>
      <c r="E484" s="44"/>
      <c r="F484" s="40" t="s">
        <v>1540</v>
      </c>
      <c r="G484" s="40" t="s">
        <v>455</v>
      </c>
      <c r="I484" s="40" t="s">
        <v>1269</v>
      </c>
      <c r="J484" s="40" t="s">
        <v>1395</v>
      </c>
      <c r="K484" s="40" t="s">
        <v>578</v>
      </c>
      <c r="Q484" s="40">
        <v>1</v>
      </c>
      <c r="R484" s="40">
        <v>1</v>
      </c>
      <c r="Z484" s="40" t="s">
        <v>2924</v>
      </c>
      <c r="AA484" s="78">
        <f>IF(H2ProjectDB689571011[[#This Row],[Dummy_1]]="Electrolysis",
AB484*VLOOKUP(G484,ElectrolysisConvF,3,FALSE),
"")</f>
        <v>4.8689138576779027E-2</v>
      </c>
      <c r="AB484" s="46">
        <f>AC484/(H2dens*HoursInYear/10^6)</f>
        <v>9.3632958801498134</v>
      </c>
      <c r="AC484" s="47">
        <f>20*365/1000000</f>
        <v>7.3000000000000001E-3</v>
      </c>
      <c r="AE484" s="46">
        <f t="shared" si="38"/>
        <v>9.3632958801498134</v>
      </c>
      <c r="AF484" s="43" t="s">
        <v>2925</v>
      </c>
      <c r="AG484" s="43">
        <v>30.692228549044099</v>
      </c>
      <c r="AH484" s="43">
        <v>-97.279218205306293</v>
      </c>
      <c r="AI484" s="122" t="s">
        <v>7286</v>
      </c>
      <c r="AJ484" s="41">
        <v>0.5</v>
      </c>
    </row>
    <row r="485" spans="1:36" ht="37.35" hidden="1" customHeight="1" x14ac:dyDescent="0.25">
      <c r="A485" s="40">
        <v>843</v>
      </c>
      <c r="B485" s="40" t="s">
        <v>1722</v>
      </c>
      <c r="C485" s="40" t="s">
        <v>546</v>
      </c>
      <c r="D485" s="44">
        <v>2030</v>
      </c>
      <c r="E485" s="44"/>
      <c r="F485" s="40" t="s">
        <v>1331</v>
      </c>
      <c r="G485" s="40" t="s">
        <v>457</v>
      </c>
      <c r="I485" s="40" t="s">
        <v>1269</v>
      </c>
      <c r="J485" s="40" t="s">
        <v>1393</v>
      </c>
      <c r="K485" s="40" t="s">
        <v>1242</v>
      </c>
      <c r="N485" s="40">
        <v>1</v>
      </c>
      <c r="Z485" s="40" t="s">
        <v>1672</v>
      </c>
      <c r="AA485" s="45">
        <v>40</v>
      </c>
      <c r="AB485" s="46">
        <f>IF(H2ProjectDB689571011[[#This Row],[Dummy_1]]="Electrolysis",
AA485/VLOOKUP(G485,ElectrolysisConvF,3,FALSE),
AC485*10^6/(H2dens*HoursInYear))</f>
        <v>8695.652173913044</v>
      </c>
      <c r="AC485" s="47">
        <f t="shared" ref="AC485:AC502" si="39">AB485*H2dens*HoursInYear/10^6</f>
        <v>6.7794782608695652</v>
      </c>
      <c r="AE485" s="46">
        <f t="shared" si="38"/>
        <v>8695.652173913044</v>
      </c>
      <c r="AF485" s="43" t="s">
        <v>2499</v>
      </c>
      <c r="AG485" s="43">
        <v>53.334414502966901</v>
      </c>
      <c r="AH485" s="43">
        <v>6.9213599498701699</v>
      </c>
      <c r="AI485" s="122" t="s">
        <v>7286</v>
      </c>
      <c r="AJ485" s="41">
        <v>0.55000000000000004</v>
      </c>
    </row>
    <row r="486" spans="1:36" ht="34.5" hidden="1" customHeight="1" x14ac:dyDescent="0.25">
      <c r="A486" s="40">
        <v>844</v>
      </c>
      <c r="B486" s="40" t="s">
        <v>1694</v>
      </c>
      <c r="C486" s="40" t="s">
        <v>546</v>
      </c>
      <c r="D486" s="44">
        <v>2028</v>
      </c>
      <c r="E486" s="44"/>
      <c r="F486" s="40" t="s">
        <v>1331</v>
      </c>
      <c r="G486" s="40" t="s">
        <v>1259</v>
      </c>
      <c r="H486" s="40" t="s">
        <v>467</v>
      </c>
      <c r="I486" s="40" t="s">
        <v>1269</v>
      </c>
      <c r="J486" s="40" t="s">
        <v>1393</v>
      </c>
      <c r="K486" s="40" t="s">
        <v>578</v>
      </c>
      <c r="P486" s="40">
        <v>1</v>
      </c>
      <c r="Z486" s="40" t="s">
        <v>1574</v>
      </c>
      <c r="AA486" s="45">
        <v>200</v>
      </c>
      <c r="AB486" s="46">
        <f>IF(H2ProjectDB689571011[[#This Row],[Dummy_1]]="Electrolysis",
AA486/VLOOKUP(G486,ElectrolysisConvF,3,FALSE),
AC486*10^6/(H2dens*HoursInYear))</f>
        <v>44444.444444444445</v>
      </c>
      <c r="AC486" s="47">
        <f t="shared" si="39"/>
        <v>34.650666666666666</v>
      </c>
      <c r="AE486" s="46">
        <f t="shared" si="38"/>
        <v>44444.444444444445</v>
      </c>
      <c r="AF486" s="43" t="s">
        <v>7517</v>
      </c>
      <c r="AG486" s="43">
        <v>51.955617169176897</v>
      </c>
      <c r="AH486" s="43">
        <v>4.0148897004464903</v>
      </c>
      <c r="AI486" s="122" t="s">
        <v>7286</v>
      </c>
      <c r="AJ486" s="41">
        <v>0.55000000000000004</v>
      </c>
    </row>
    <row r="487" spans="1:36" ht="34.5" hidden="1" customHeight="1" x14ac:dyDescent="0.25">
      <c r="A487" s="40">
        <v>845</v>
      </c>
      <c r="B487" s="40" t="s">
        <v>1695</v>
      </c>
      <c r="C487" s="40" t="s">
        <v>546</v>
      </c>
      <c r="D487" s="44">
        <v>2026</v>
      </c>
      <c r="E487" s="44"/>
      <c r="F487" s="40" t="s">
        <v>1331</v>
      </c>
      <c r="G487" s="40" t="s">
        <v>1259</v>
      </c>
      <c r="H487" s="40" t="s">
        <v>467</v>
      </c>
      <c r="I487" s="40" t="s">
        <v>1257</v>
      </c>
      <c r="K487" s="40" t="s">
        <v>578</v>
      </c>
      <c r="L487" s="40">
        <v>1</v>
      </c>
      <c r="Z487" s="40" t="s">
        <v>1698</v>
      </c>
      <c r="AA487" s="45">
        <v>150</v>
      </c>
      <c r="AB487" s="46">
        <f>IF(H2ProjectDB689571011[[#This Row],[Dummy_1]]="Electrolysis",
AA487/VLOOKUP(G487,ElectrolysisConvF,3,FALSE),
AC487*10^6/(H2dens*HoursInYear))</f>
        <v>33333.333333333336</v>
      </c>
      <c r="AC487" s="47">
        <f t="shared" si="39"/>
        <v>25.988</v>
      </c>
      <c r="AE487" s="46">
        <f t="shared" si="38"/>
        <v>33333.333333333336</v>
      </c>
      <c r="AF487" s="43" t="s">
        <v>1697</v>
      </c>
      <c r="AG487" s="43">
        <v>0</v>
      </c>
      <c r="AH487" s="43">
        <v>0</v>
      </c>
      <c r="AI487" s="122" t="s">
        <v>7286</v>
      </c>
      <c r="AJ487" s="41">
        <v>0.56999999999999995</v>
      </c>
    </row>
    <row r="488" spans="1:36" ht="34.5" hidden="1" customHeight="1" x14ac:dyDescent="0.25">
      <c r="A488" s="40">
        <v>846</v>
      </c>
      <c r="B488" s="40" t="s">
        <v>1699</v>
      </c>
      <c r="C488" s="40" t="s">
        <v>546</v>
      </c>
      <c r="D488" s="44">
        <v>2027</v>
      </c>
      <c r="E488" s="44"/>
      <c r="F488" s="40" t="s">
        <v>1331</v>
      </c>
      <c r="G488" s="40" t="s">
        <v>1259</v>
      </c>
      <c r="H488" s="40" t="s">
        <v>467</v>
      </c>
      <c r="I488" s="40" t="s">
        <v>1257</v>
      </c>
      <c r="K488" s="40" t="s">
        <v>578</v>
      </c>
      <c r="P488" s="40">
        <v>1</v>
      </c>
      <c r="S488" s="40">
        <v>1</v>
      </c>
      <c r="Z488" s="40" t="s">
        <v>1511</v>
      </c>
      <c r="AA488" s="45">
        <v>700</v>
      </c>
      <c r="AB488" s="46">
        <f>IF(H2ProjectDB689571011[[#This Row],[Dummy_1]]="Electrolysis",
AA488/VLOOKUP(G488,ElectrolysisConvF,3,FALSE),
AC488*10^6/(H2dens*HoursInYear))</f>
        <v>155555.55555555556</v>
      </c>
      <c r="AC488" s="47">
        <f t="shared" si="39"/>
        <v>121.27733333333335</v>
      </c>
      <c r="AE488" s="46">
        <f t="shared" si="38"/>
        <v>155555.55555555556</v>
      </c>
      <c r="AF488" s="43" t="s">
        <v>1697</v>
      </c>
      <c r="AG488" s="43">
        <v>0</v>
      </c>
      <c r="AH488" s="43">
        <v>0</v>
      </c>
      <c r="AI488" s="122" t="s">
        <v>7286</v>
      </c>
      <c r="AJ488" s="41">
        <v>0.56999999999999995</v>
      </c>
    </row>
    <row r="489" spans="1:36" ht="34.5" hidden="1" customHeight="1" x14ac:dyDescent="0.25">
      <c r="A489" s="40">
        <v>847</v>
      </c>
      <c r="B489" s="40" t="s">
        <v>2037</v>
      </c>
      <c r="C489" s="40" t="s">
        <v>548</v>
      </c>
      <c r="D489" s="44">
        <v>2030</v>
      </c>
      <c r="E489" s="44"/>
      <c r="F489" s="40" t="s">
        <v>1331</v>
      </c>
      <c r="G489" s="40" t="s">
        <v>1259</v>
      </c>
      <c r="H489" s="40" t="s">
        <v>467</v>
      </c>
      <c r="I489" s="40" t="s">
        <v>1269</v>
      </c>
      <c r="J489" s="40" t="s">
        <v>1393</v>
      </c>
      <c r="K489" s="40" t="s">
        <v>1268</v>
      </c>
      <c r="P489" s="40">
        <v>1</v>
      </c>
      <c r="Z489" s="40" t="s">
        <v>2038</v>
      </c>
      <c r="AA489" s="45">
        <v>300</v>
      </c>
      <c r="AB489" s="46">
        <f>IF(H2ProjectDB689571011[[#This Row],[Dummy_1]]="Electrolysis",
AA489/VLOOKUP(G489,ElectrolysisConvF,3,FALSE),
AC489*10^6/(H2dens*HoursInYear))</f>
        <v>66666.666666666672</v>
      </c>
      <c r="AC489" s="47">
        <f t="shared" si="39"/>
        <v>51.975999999999999</v>
      </c>
      <c r="AE489" s="46">
        <f t="shared" si="38"/>
        <v>66666.666666666672</v>
      </c>
      <c r="AF489" s="43" t="s">
        <v>1697</v>
      </c>
      <c r="AG489" s="43">
        <v>51.107824279311799</v>
      </c>
      <c r="AH489" s="43">
        <v>3.7501375967007</v>
      </c>
      <c r="AI489" s="122" t="s">
        <v>7286</v>
      </c>
      <c r="AJ489" s="41">
        <v>0.55000000000000004</v>
      </c>
    </row>
    <row r="490" spans="1:36" ht="34.5" hidden="1" customHeight="1" x14ac:dyDescent="0.25">
      <c r="A490" s="40">
        <v>848</v>
      </c>
      <c r="B490" s="40" t="s">
        <v>3107</v>
      </c>
      <c r="C490" s="40" t="s">
        <v>546</v>
      </c>
      <c r="D490" s="44">
        <v>2025</v>
      </c>
      <c r="E490" s="44"/>
      <c r="F490" s="40" t="s">
        <v>1331</v>
      </c>
      <c r="G490" s="40" t="s">
        <v>1259</v>
      </c>
      <c r="H490" s="40" t="s">
        <v>467</v>
      </c>
      <c r="I490" s="40" t="s">
        <v>1269</v>
      </c>
      <c r="J490" s="40" t="s">
        <v>1393</v>
      </c>
      <c r="K490" s="40" t="s">
        <v>578</v>
      </c>
      <c r="Z490" s="40" t="s">
        <v>1481</v>
      </c>
      <c r="AA490" s="45">
        <v>25</v>
      </c>
      <c r="AB490" s="46">
        <f>IF(H2ProjectDB689571011[[#This Row],[Dummy_1]]="Electrolysis",
AA490/VLOOKUP(G490,ElectrolysisConvF,3,FALSE),
AC490*10^6/(H2dens*HoursInYear))</f>
        <v>5555.5555555555557</v>
      </c>
      <c r="AC490" s="47">
        <f t="shared" si="39"/>
        <v>4.3313333333333333</v>
      </c>
      <c r="AE490" s="46">
        <f t="shared" si="38"/>
        <v>5555.5555555555557</v>
      </c>
      <c r="AF490" s="43" t="s">
        <v>4706</v>
      </c>
      <c r="AG490" s="43">
        <v>51.455464389284003</v>
      </c>
      <c r="AH490" s="43">
        <v>3.56485156907884</v>
      </c>
      <c r="AI490" s="122" t="s">
        <v>7286</v>
      </c>
      <c r="AJ490" s="41">
        <v>0.55000000000000004</v>
      </c>
    </row>
    <row r="491" spans="1:36" ht="34.5" hidden="1" customHeight="1" x14ac:dyDescent="0.25">
      <c r="A491" s="40">
        <v>849</v>
      </c>
      <c r="B491" s="40" t="s">
        <v>1704</v>
      </c>
      <c r="C491" s="40" t="s">
        <v>545</v>
      </c>
      <c r="D491" s="44">
        <v>2027</v>
      </c>
      <c r="E491" s="44"/>
      <c r="F491" s="40" t="s">
        <v>1331</v>
      </c>
      <c r="G491" s="40" t="s">
        <v>1259</v>
      </c>
      <c r="H491" s="40" t="s">
        <v>467</v>
      </c>
      <c r="I491" s="40" t="s">
        <v>1269</v>
      </c>
      <c r="J491" s="40" t="s">
        <v>1395</v>
      </c>
      <c r="K491" s="40" t="s">
        <v>578</v>
      </c>
      <c r="L491" s="40">
        <v>1</v>
      </c>
      <c r="Q491" s="40">
        <v>1</v>
      </c>
      <c r="Z491" s="40" t="s">
        <v>2773</v>
      </c>
      <c r="AA491" s="45">
        <v>280</v>
      </c>
      <c r="AB491" s="46">
        <f>IF(H2ProjectDB689571011[[#This Row],[Dummy_1]]="Electrolysis",
AA491/VLOOKUP(G491,ElectrolysisConvF,3,FALSE),
AC491*10^6/(H2dens*HoursInYear))</f>
        <v>62222.222222222226</v>
      </c>
      <c r="AC491" s="47">
        <f t="shared" si="39"/>
        <v>48.510933333333334</v>
      </c>
      <c r="AE491" s="46">
        <f t="shared" si="38"/>
        <v>62222.222222222226</v>
      </c>
      <c r="AF491" s="43" t="s">
        <v>2686</v>
      </c>
      <c r="AG491" s="43">
        <v>55.591385038418998</v>
      </c>
      <c r="AH491" s="43">
        <v>9.7526436745635507</v>
      </c>
      <c r="AI491" s="122" t="s">
        <v>7286</v>
      </c>
      <c r="AJ491" s="41">
        <v>0.5</v>
      </c>
    </row>
    <row r="492" spans="1:36" ht="34.5" hidden="1" customHeight="1" x14ac:dyDescent="0.25">
      <c r="A492" s="40">
        <v>850</v>
      </c>
      <c r="B492" s="40" t="s">
        <v>2674</v>
      </c>
      <c r="C492" s="40" t="s">
        <v>545</v>
      </c>
      <c r="D492" s="44">
        <v>2024</v>
      </c>
      <c r="F492" s="40" t="s">
        <v>1339</v>
      </c>
      <c r="G492" s="40" t="s">
        <v>1259</v>
      </c>
      <c r="H492" s="40" t="s">
        <v>467</v>
      </c>
      <c r="I492" s="40" t="s">
        <v>1269</v>
      </c>
      <c r="J492" s="40" t="s">
        <v>1395</v>
      </c>
      <c r="K492" s="40" t="s">
        <v>1242</v>
      </c>
      <c r="N492" s="40">
        <v>1</v>
      </c>
      <c r="Z492" s="40" t="s">
        <v>1581</v>
      </c>
      <c r="AA492" s="45">
        <v>6</v>
      </c>
      <c r="AB492" s="46">
        <f>IF(H2ProjectDB689571011[[#This Row],[Dummy_1]]="Electrolysis",
AA492/VLOOKUP(G492,ElectrolysisConvF,3,FALSE),
AC492*10^6/(H2dens*HoursInYear))</f>
        <v>1333.3333333333335</v>
      </c>
      <c r="AC492" s="47">
        <f t="shared" si="39"/>
        <v>1.03952</v>
      </c>
      <c r="AE492" s="46">
        <f t="shared" si="38"/>
        <v>1333.3333333333335</v>
      </c>
      <c r="AF492" s="43" t="s">
        <v>3534</v>
      </c>
      <c r="AG492" s="43">
        <v>56.565301947196097</v>
      </c>
      <c r="AH492" s="43">
        <v>9.0296588701011302</v>
      </c>
      <c r="AI492" s="122" t="s">
        <v>7286</v>
      </c>
      <c r="AJ492" s="41">
        <v>0.5</v>
      </c>
    </row>
    <row r="493" spans="1:36" ht="34.5" hidden="1" customHeight="1" x14ac:dyDescent="0.25">
      <c r="A493" s="40">
        <v>851</v>
      </c>
      <c r="B493" s="40" t="s">
        <v>6994</v>
      </c>
      <c r="C493" s="40" t="s">
        <v>537</v>
      </c>
      <c r="D493" s="44">
        <v>2022</v>
      </c>
      <c r="F493" s="40" t="s">
        <v>1339</v>
      </c>
      <c r="G493" s="40" t="s">
        <v>457</v>
      </c>
      <c r="I493" s="40" t="s">
        <v>1269</v>
      </c>
      <c r="J493" s="40" t="s">
        <v>1392</v>
      </c>
      <c r="K493" s="40" t="s">
        <v>578</v>
      </c>
      <c r="Q493" s="40">
        <v>1</v>
      </c>
      <c r="Z493" s="40" t="s">
        <v>1495</v>
      </c>
      <c r="AA493" s="45">
        <v>20</v>
      </c>
      <c r="AB493" s="46">
        <f>IF(H2ProjectDB689571011[[#This Row],[Dummy_1]]="Electrolysis",
AA493/VLOOKUP(G493,ElectrolysisConvF,3,FALSE),
AC493*10^6/(H2dens*HoursInYear))</f>
        <v>4347.826086956522</v>
      </c>
      <c r="AC493" s="47">
        <f t="shared" si="39"/>
        <v>3.3897391304347826</v>
      </c>
      <c r="AE493" s="46">
        <f t="shared" si="38"/>
        <v>4347.826086956522</v>
      </c>
      <c r="AF493" s="43" t="s">
        <v>3441</v>
      </c>
      <c r="AG493" s="43">
        <v>40.781632150911399</v>
      </c>
      <c r="AH493" s="43">
        <v>114.867657780727</v>
      </c>
      <c r="AI493" s="122" t="s">
        <v>7286</v>
      </c>
      <c r="AJ493" s="41">
        <v>0.4</v>
      </c>
    </row>
    <row r="494" spans="1:36" ht="34.5" hidden="1" customHeight="1" x14ac:dyDescent="0.25">
      <c r="A494" s="40">
        <v>853</v>
      </c>
      <c r="B494" s="40" t="s">
        <v>3241</v>
      </c>
      <c r="C494" s="40" t="s">
        <v>542</v>
      </c>
      <c r="D494" s="44">
        <v>2026</v>
      </c>
      <c r="E494" s="44"/>
      <c r="F494" s="40" t="s">
        <v>5701</v>
      </c>
      <c r="G494" s="40" t="s">
        <v>1259</v>
      </c>
      <c r="H494" s="40" t="s">
        <v>467</v>
      </c>
      <c r="I494" s="40" t="s">
        <v>1269</v>
      </c>
      <c r="J494" s="40" t="s">
        <v>1391</v>
      </c>
      <c r="K494" s="40" t="s">
        <v>578</v>
      </c>
      <c r="Q494" s="40">
        <v>1</v>
      </c>
      <c r="S494" s="40">
        <v>1</v>
      </c>
      <c r="U494" s="40">
        <v>1</v>
      </c>
      <c r="Z494" s="40" t="s">
        <v>8078</v>
      </c>
      <c r="AA494" s="78">
        <v>1.63</v>
      </c>
      <c r="AB494" s="46">
        <f>IF(H2ProjectDB689571011[[#This Row],[Dummy_1]]="Electrolysis",
AA494/VLOOKUP(G494,ElectrolysisConvF,3,FALSE),
AC494*10^6/(H2dens*HoursInYear))</f>
        <v>362.22222222222223</v>
      </c>
      <c r="AC494" s="47">
        <f t="shared" si="39"/>
        <v>0.28240293333333333</v>
      </c>
      <c r="AE494" s="46">
        <f>IF(AND(G494&lt;&gt;"NG w CCUS",G494&lt;&gt;"Oil w CCUS",G494&lt;&gt;"Coal w CCUS"),AB494,AD494*10^3/(HoursInYear*IF(G494="NG w CCUS",0.9105,1.9075)))</f>
        <v>362.22222222222223</v>
      </c>
      <c r="AF494" s="43" t="s">
        <v>3242</v>
      </c>
      <c r="AG494" s="43">
        <v>57.179129750426497</v>
      </c>
      <c r="AH494" s="43">
        <v>-2.1016546560573701</v>
      </c>
      <c r="AI494" s="122" t="s">
        <v>7286</v>
      </c>
      <c r="AJ494" s="41">
        <v>0.3</v>
      </c>
    </row>
    <row r="495" spans="1:36" ht="34.5" hidden="1" customHeight="1" x14ac:dyDescent="0.25">
      <c r="A495" s="40">
        <v>854</v>
      </c>
      <c r="B495" s="40" t="s">
        <v>1711</v>
      </c>
      <c r="C495" s="40" t="s">
        <v>535</v>
      </c>
      <c r="D495" s="44">
        <v>2026</v>
      </c>
      <c r="E495" s="44"/>
      <c r="F495" s="40" t="s">
        <v>1331</v>
      </c>
      <c r="G495" s="40" t="s">
        <v>1259</v>
      </c>
      <c r="H495" s="40" t="s">
        <v>467</v>
      </c>
      <c r="I495" s="40" t="s">
        <v>1269</v>
      </c>
      <c r="J495" s="40" t="s">
        <v>1395</v>
      </c>
      <c r="K495" s="40" t="s">
        <v>1243</v>
      </c>
      <c r="M495" s="40">
        <v>1</v>
      </c>
      <c r="Z495" s="40" t="s">
        <v>1712</v>
      </c>
      <c r="AA495" s="45">
        <v>250</v>
      </c>
      <c r="AB495" s="46">
        <f>IF(H2ProjectDB689571011[[#This Row],[Dummy_1]]="Electrolysis",
AA495/VLOOKUP(G495,ElectrolysisConvF,3,FALSE),
AC495*10^6/(H2dens*HoursInYear))</f>
        <v>55555.555555555562</v>
      </c>
      <c r="AC495" s="47">
        <f t="shared" si="39"/>
        <v>43.313333333333333</v>
      </c>
      <c r="AE495" s="46">
        <f>AB495</f>
        <v>55555.555555555562</v>
      </c>
      <c r="AF495" s="43" t="s">
        <v>1714</v>
      </c>
      <c r="AG495" s="43">
        <v>-41.112803774582602</v>
      </c>
      <c r="AH495" s="43">
        <v>146.85769685981401</v>
      </c>
      <c r="AI495" s="122" t="s">
        <v>7286</v>
      </c>
      <c r="AJ495" s="41">
        <v>0.5</v>
      </c>
    </row>
    <row r="496" spans="1:36" ht="34.5" hidden="1" customHeight="1" x14ac:dyDescent="0.25">
      <c r="A496" s="40">
        <v>855</v>
      </c>
      <c r="B496" s="40" t="s">
        <v>1715</v>
      </c>
      <c r="C496" s="40" t="s">
        <v>530</v>
      </c>
      <c r="F496" s="40" t="s">
        <v>2222</v>
      </c>
      <c r="G496" s="40" t="s">
        <v>1259</v>
      </c>
      <c r="H496" s="40" t="s">
        <v>467</v>
      </c>
      <c r="I496" s="40" t="s">
        <v>1269</v>
      </c>
      <c r="J496" s="40" t="s">
        <v>1391</v>
      </c>
      <c r="K496" s="40" t="s">
        <v>578</v>
      </c>
      <c r="Q496" s="40">
        <v>1</v>
      </c>
      <c r="Z496" s="40" t="s">
        <v>1493</v>
      </c>
      <c r="AA496" s="45">
        <v>2</v>
      </c>
      <c r="AB496" s="46">
        <f>IF(H2ProjectDB689571011[[#This Row],[Dummy_1]]="Electrolysis",
AA496/VLOOKUP(G496,ElectrolysisConvF,3,FALSE),
AC496*10^6/(H2dens*HoursInYear))</f>
        <v>444.44444444444446</v>
      </c>
      <c r="AC496" s="47">
        <f t="shared" si="39"/>
        <v>0.34650666666666669</v>
      </c>
      <c r="AE496" s="46">
        <f>AB496</f>
        <v>444.44444444444446</v>
      </c>
      <c r="AF496" s="43" t="s">
        <v>1716</v>
      </c>
      <c r="AG496" s="43">
        <v>47.902221629614097</v>
      </c>
      <c r="AH496" s="43">
        <v>1.9069906317127401</v>
      </c>
      <c r="AI496" s="122" t="s">
        <v>7286</v>
      </c>
      <c r="AJ496" s="41">
        <v>0.3</v>
      </c>
    </row>
    <row r="497" spans="1:36" ht="34.5" hidden="1" customHeight="1" x14ac:dyDescent="0.25">
      <c r="A497" s="40">
        <v>857</v>
      </c>
      <c r="B497" s="40" t="s">
        <v>2996</v>
      </c>
      <c r="C497" s="40" t="s">
        <v>1764</v>
      </c>
      <c r="D497" s="44">
        <v>2026</v>
      </c>
      <c r="E497" s="44"/>
      <c r="F497" s="40" t="s">
        <v>1331</v>
      </c>
      <c r="G497" s="40" t="s">
        <v>455</v>
      </c>
      <c r="I497" s="40" t="s">
        <v>5700</v>
      </c>
      <c r="J497" s="40" t="s">
        <v>1392</v>
      </c>
      <c r="K497" s="40" t="s">
        <v>578</v>
      </c>
      <c r="L497" s="40">
        <v>1</v>
      </c>
      <c r="Q497" s="40">
        <v>1</v>
      </c>
      <c r="S497" s="40">
        <v>1</v>
      </c>
      <c r="Z497" s="40" t="s">
        <v>1510</v>
      </c>
      <c r="AA497" s="45">
        <v>30</v>
      </c>
      <c r="AB497" s="46">
        <f>IF(H2ProjectDB689571011[[#This Row],[Dummy_1]]="Electrolysis",
AA497/VLOOKUP(G497,ElectrolysisConvF,3,FALSE),
AC497*10^6/(H2dens*HoursInYear))</f>
        <v>5769.2307692307695</v>
      </c>
      <c r="AC497" s="47">
        <f t="shared" si="39"/>
        <v>4.4979230769230769</v>
      </c>
      <c r="AE497" s="46">
        <f>AB497</f>
        <v>5769.2307692307695</v>
      </c>
      <c r="AF497" s="43" t="s">
        <v>8441</v>
      </c>
      <c r="AG497" s="43">
        <v>43.174441090854302</v>
      </c>
      <c r="AH497" s="43">
        <v>-8.4077004880178503</v>
      </c>
      <c r="AI497" s="122" t="s">
        <v>7286</v>
      </c>
      <c r="AJ497" s="41">
        <v>0.7</v>
      </c>
    </row>
    <row r="498" spans="1:36" ht="34.5" hidden="1" customHeight="1" x14ac:dyDescent="0.25">
      <c r="A498" s="40">
        <v>858</v>
      </c>
      <c r="B498" s="40" t="s">
        <v>1719</v>
      </c>
      <c r="C498" s="40" t="s">
        <v>542</v>
      </c>
      <c r="D498" s="44">
        <v>2025</v>
      </c>
      <c r="E498" s="44"/>
      <c r="F498" s="40" t="s">
        <v>1540</v>
      </c>
      <c r="G498" s="40" t="s">
        <v>455</v>
      </c>
      <c r="I498" s="40" t="s">
        <v>1269</v>
      </c>
      <c r="J498" s="40" t="s">
        <v>1395</v>
      </c>
      <c r="K498" s="40" t="s">
        <v>578</v>
      </c>
      <c r="Z498" s="40" t="s">
        <v>3298</v>
      </c>
      <c r="AA498" s="45">
        <v>0.67</v>
      </c>
      <c r="AB498" s="46">
        <f>IF(H2ProjectDB689571011[[#This Row],[Dummy_1]]="Electrolysis",
AA498/VLOOKUP(G498,ElectrolysisConvF,3,FALSE),
AC498*10^6/(H2dens*HoursInYear))</f>
        <v>128.84615384615387</v>
      </c>
      <c r="AC498" s="47">
        <f t="shared" si="39"/>
        <v>0.10045361538461539</v>
      </c>
      <c r="AF498" s="43" t="s">
        <v>3299</v>
      </c>
      <c r="AG498" s="43">
        <v>0</v>
      </c>
      <c r="AH498" s="43">
        <v>0</v>
      </c>
      <c r="AI498" s="122" t="s">
        <v>7286</v>
      </c>
      <c r="AJ498" s="41">
        <v>0.5</v>
      </c>
    </row>
    <row r="499" spans="1:36" ht="34.5" hidden="1" customHeight="1" x14ac:dyDescent="0.25">
      <c r="A499" s="40">
        <v>859</v>
      </c>
      <c r="B499" s="40" t="s">
        <v>2180</v>
      </c>
      <c r="C499" s="40" t="s">
        <v>1764</v>
      </c>
      <c r="F499" s="40" t="s">
        <v>2222</v>
      </c>
      <c r="G499" s="40" t="s">
        <v>1259</v>
      </c>
      <c r="H499" s="40" t="s">
        <v>467</v>
      </c>
      <c r="I499" s="40" t="s">
        <v>1266</v>
      </c>
      <c r="K499" s="40" t="s">
        <v>578</v>
      </c>
      <c r="Z499" s="40" t="s">
        <v>1487</v>
      </c>
      <c r="AA499" s="45">
        <v>100</v>
      </c>
      <c r="AB499" s="46">
        <f>IF(H2ProjectDB689571011[[#This Row],[Dummy_1]]="Electrolysis",
AA499/VLOOKUP(G499,ElectrolysisConvF,3,FALSE),
AC499*10^6/(H2dens*HoursInYear))</f>
        <v>22222.222222222223</v>
      </c>
      <c r="AC499" s="47">
        <f t="shared" si="39"/>
        <v>17.325333333333333</v>
      </c>
      <c r="AF499" s="43" t="s">
        <v>3724</v>
      </c>
      <c r="AG499" s="43">
        <v>39.449078442426398</v>
      </c>
      <c r="AH499" s="43">
        <v>-0.316883814420793</v>
      </c>
      <c r="AI499" s="122" t="s">
        <v>7286</v>
      </c>
      <c r="AJ499" s="41">
        <v>0.56999999999999995</v>
      </c>
    </row>
    <row r="500" spans="1:36" ht="34.5" hidden="1" customHeight="1" x14ac:dyDescent="0.25">
      <c r="A500" s="40">
        <v>860</v>
      </c>
      <c r="B500" s="40" t="s">
        <v>1723</v>
      </c>
      <c r="C500" s="40" t="s">
        <v>537</v>
      </c>
      <c r="F500" s="40" t="s">
        <v>5701</v>
      </c>
      <c r="G500" s="40" t="s">
        <v>1259</v>
      </c>
      <c r="H500" s="40" t="s">
        <v>467</v>
      </c>
      <c r="I500" s="40" t="s">
        <v>1269</v>
      </c>
      <c r="J500" s="40" t="s">
        <v>1394</v>
      </c>
      <c r="K500" s="40" t="s">
        <v>578</v>
      </c>
      <c r="R500" s="40">
        <v>1</v>
      </c>
      <c r="Z500" s="40" t="s">
        <v>1726</v>
      </c>
      <c r="AA500" s="78">
        <f>IF(H2ProjectDB689571011[[#This Row],[Dummy_1]]="Electrolysis",
AB500*VLOOKUP(G500,ElectrolysisConvF,3,FALSE),
"")</f>
        <v>26.999999999999996</v>
      </c>
      <c r="AB500" s="46">
        <v>6000</v>
      </c>
      <c r="AC500" s="47">
        <f t="shared" si="39"/>
        <v>4.6778399999999998</v>
      </c>
      <c r="AE500" s="46">
        <f>AB500</f>
        <v>6000</v>
      </c>
      <c r="AF500" s="43" t="s">
        <v>2316</v>
      </c>
      <c r="AG500" s="43">
        <v>30.794755817405001</v>
      </c>
      <c r="AH500" s="43">
        <v>99.917563422317301</v>
      </c>
      <c r="AI500" s="122" t="s">
        <v>7286</v>
      </c>
      <c r="AJ500" s="41">
        <v>0.8</v>
      </c>
    </row>
    <row r="501" spans="1:36" ht="34.5" hidden="1" customHeight="1" x14ac:dyDescent="0.25">
      <c r="A501" s="40">
        <v>862</v>
      </c>
      <c r="B501" s="40" t="s">
        <v>1728</v>
      </c>
      <c r="C501" s="40" t="s">
        <v>548</v>
      </c>
      <c r="D501" s="44">
        <v>2024</v>
      </c>
      <c r="E501" s="44"/>
      <c r="F501" s="40" t="s">
        <v>1331</v>
      </c>
      <c r="G501" s="40" t="s">
        <v>457</v>
      </c>
      <c r="I501" s="40" t="s">
        <v>1257</v>
      </c>
      <c r="K501" s="40" t="s">
        <v>578</v>
      </c>
      <c r="Q501" s="40">
        <v>1</v>
      </c>
      <c r="Z501" s="40" t="s">
        <v>1729</v>
      </c>
      <c r="AA501" s="45">
        <v>0.75</v>
      </c>
      <c r="AB501" s="46">
        <f>IF(H2ProjectDB689571011[[#This Row],[Dummy_1]]="Electrolysis",
AA501/VLOOKUP(G501,ElectrolysisConvF,3,FALSE),
AC501*10^6/(H2dens*HoursInYear))</f>
        <v>163.04347826086956</v>
      </c>
      <c r="AC501" s="47">
        <f t="shared" si="39"/>
        <v>0.12711521739130432</v>
      </c>
      <c r="AE501" s="46">
        <f>AB501</f>
        <v>163.04347826086956</v>
      </c>
      <c r="AF501" s="43" t="s">
        <v>4493</v>
      </c>
      <c r="AG501" s="43">
        <v>50.6454721398147</v>
      </c>
      <c r="AH501" s="43">
        <v>5.4413028260513903</v>
      </c>
      <c r="AI501" s="122" t="s">
        <v>7286</v>
      </c>
      <c r="AJ501" s="41">
        <v>0.56999999999999995</v>
      </c>
    </row>
    <row r="502" spans="1:36" ht="34.5" hidden="1" customHeight="1" x14ac:dyDescent="0.25">
      <c r="A502" s="81">
        <v>865</v>
      </c>
      <c r="B502" s="81" t="s">
        <v>2033</v>
      </c>
      <c r="C502" s="81" t="s">
        <v>541</v>
      </c>
      <c r="D502" s="81"/>
      <c r="E502" s="81"/>
      <c r="F502" s="81" t="s">
        <v>2222</v>
      </c>
      <c r="G502" s="81" t="s">
        <v>1259</v>
      </c>
      <c r="H502" s="81" t="s">
        <v>467</v>
      </c>
      <c r="I502" s="81" t="s">
        <v>1269</v>
      </c>
      <c r="J502" s="81" t="s">
        <v>1395</v>
      </c>
      <c r="K502" s="81" t="s">
        <v>578</v>
      </c>
      <c r="L502" s="81"/>
      <c r="M502" s="81"/>
      <c r="N502" s="81"/>
      <c r="O502" s="81"/>
      <c r="P502" s="81"/>
      <c r="Q502" s="81"/>
      <c r="R502" s="81"/>
      <c r="S502" s="81"/>
      <c r="T502" s="81"/>
      <c r="U502" s="81"/>
      <c r="V502" s="81"/>
      <c r="W502" s="81"/>
      <c r="X502" s="81"/>
      <c r="Y502" s="81"/>
      <c r="Z502" s="81" t="s">
        <v>2478</v>
      </c>
      <c r="AA502" s="83"/>
      <c r="AB502" s="84"/>
      <c r="AC502" s="85">
        <f t="shared" si="39"/>
        <v>0</v>
      </c>
      <c r="AD502" s="84"/>
      <c r="AE502" s="84">
        <f>AB502</f>
        <v>0</v>
      </c>
      <c r="AF502" s="82"/>
      <c r="AG502" s="82">
        <v>0</v>
      </c>
      <c r="AH502" s="82">
        <v>0</v>
      </c>
      <c r="AI502" s="122" t="s">
        <v>7286</v>
      </c>
      <c r="AJ502" s="41">
        <v>0.5</v>
      </c>
    </row>
    <row r="503" spans="1:36" s="81" customFormat="1" ht="34.5" hidden="1" customHeight="1" x14ac:dyDescent="0.25">
      <c r="A503" s="40">
        <v>866</v>
      </c>
      <c r="B503" s="40" t="s">
        <v>2698</v>
      </c>
      <c r="C503" s="40" t="s">
        <v>554</v>
      </c>
      <c r="D503" s="44">
        <v>2029</v>
      </c>
      <c r="E503" s="44"/>
      <c r="F503" s="40" t="s">
        <v>1331</v>
      </c>
      <c r="G503" s="40" t="s">
        <v>1259</v>
      </c>
      <c r="H503" s="40" t="s">
        <v>1268</v>
      </c>
      <c r="I503" s="40" t="s">
        <v>1269</v>
      </c>
      <c r="J503" s="40" t="s">
        <v>1395</v>
      </c>
      <c r="K503" s="40" t="s">
        <v>578</v>
      </c>
      <c r="L503" s="40"/>
      <c r="M503" s="40"/>
      <c r="N503" s="40"/>
      <c r="O503" s="40"/>
      <c r="P503" s="40"/>
      <c r="Q503" s="40"/>
      <c r="R503" s="40">
        <v>1</v>
      </c>
      <c r="S503" s="40"/>
      <c r="T503" s="40">
        <v>1</v>
      </c>
      <c r="U503" s="40">
        <v>1</v>
      </c>
      <c r="V503" s="40"/>
      <c r="W503" s="40"/>
      <c r="X503" s="40"/>
      <c r="Y503" s="40"/>
      <c r="Z503" s="40" t="s">
        <v>4975</v>
      </c>
      <c r="AA503" s="78">
        <f>IF(H2ProjectDB689571011[[#This Row],[Dummy_1]]="Electrolysis",
AB503*VLOOKUP(G503,ElectrolysisConvF,3,FALSE),
"")</f>
        <v>2885.9473603201477</v>
      </c>
      <c r="AB503" s="46">
        <f>AC503/(H2dens*HoursInYear/10^6)</f>
        <v>641321.63562669954</v>
      </c>
      <c r="AC503" s="47">
        <f>250/H2ProjectDB689571011[[#This Row],[LOWE_CF]]</f>
        <v>500</v>
      </c>
      <c r="AD503" s="46"/>
      <c r="AE503" s="46">
        <f>AB503</f>
        <v>641321.63562669954</v>
      </c>
      <c r="AF503" s="43" t="s">
        <v>2697</v>
      </c>
      <c r="AG503" s="43">
        <v>41.059489090397797</v>
      </c>
      <c r="AH503" s="43">
        <v>23.0023097884322</v>
      </c>
      <c r="AI503" s="122" t="s">
        <v>7286</v>
      </c>
      <c r="AJ503" s="41">
        <v>0.5</v>
      </c>
    </row>
    <row r="504" spans="1:36" ht="34.5" hidden="1" customHeight="1" x14ac:dyDescent="0.25">
      <c r="A504" s="40">
        <v>867</v>
      </c>
      <c r="B504" s="40" t="s">
        <v>2036</v>
      </c>
      <c r="C504" s="40" t="s">
        <v>548</v>
      </c>
      <c r="D504" s="44">
        <v>2028</v>
      </c>
      <c r="E504" s="44"/>
      <c r="F504" s="40" t="s">
        <v>2222</v>
      </c>
      <c r="G504" s="40" t="s">
        <v>1259</v>
      </c>
      <c r="H504" s="40" t="s">
        <v>467</v>
      </c>
      <c r="I504" s="40" t="s">
        <v>1269</v>
      </c>
      <c r="J504" s="40" t="s">
        <v>1395</v>
      </c>
      <c r="K504" s="40" t="s">
        <v>1268</v>
      </c>
      <c r="M504" s="40">
        <v>1</v>
      </c>
      <c r="Z504" s="40" t="s">
        <v>2024</v>
      </c>
      <c r="AA504" s="45">
        <f>300-63</f>
        <v>237</v>
      </c>
      <c r="AB504" s="46">
        <f>IF(H2ProjectDB689571011[[#This Row],[Dummy_1]]="Electrolysis",
AA504/VLOOKUP(G504,ElectrolysisConvF,3,FALSE),
AC504*10^6/(H2dens*HoursInYear))</f>
        <v>52666.666666666672</v>
      </c>
      <c r="AC504" s="47">
        <f>AB504*H2dens*HoursInYear/10^6</f>
        <v>41.061040000000006</v>
      </c>
      <c r="AE504" s="46">
        <f>AB504</f>
        <v>52666.666666666672</v>
      </c>
      <c r="AF504" s="43" t="s">
        <v>2035</v>
      </c>
      <c r="AG504" s="43">
        <v>51.040977890772801</v>
      </c>
      <c r="AH504" s="43">
        <v>3.84433114911818</v>
      </c>
      <c r="AI504" s="122" t="s">
        <v>7286</v>
      </c>
      <c r="AJ504" s="41">
        <v>0.5</v>
      </c>
    </row>
    <row r="505" spans="1:36" ht="34.5" hidden="1" customHeight="1" x14ac:dyDescent="0.25">
      <c r="A505" s="40">
        <v>868</v>
      </c>
      <c r="B505" s="40" t="s">
        <v>2041</v>
      </c>
      <c r="C505" s="40" t="s">
        <v>548</v>
      </c>
      <c r="E505" s="40">
        <v>2014</v>
      </c>
      <c r="F505" s="40" t="s">
        <v>1540</v>
      </c>
      <c r="G505" s="40" t="s">
        <v>457</v>
      </c>
      <c r="I505" s="40" t="s">
        <v>1269</v>
      </c>
      <c r="J505" s="40" t="s">
        <v>1392</v>
      </c>
      <c r="K505" s="40" t="s">
        <v>578</v>
      </c>
      <c r="Q505" s="40">
        <v>1</v>
      </c>
      <c r="Z505" s="40" t="s">
        <v>6537</v>
      </c>
      <c r="AA505" s="45">
        <v>0.3</v>
      </c>
      <c r="AB505" s="46">
        <f>IF(H2ProjectDB689571011[[#This Row],[Dummy_1]]="Electrolysis",
AA505/VLOOKUP(G505,ElectrolysisConvF,3,FALSE),
AC505*10^6/(H2dens*HoursInYear))</f>
        <v>65.217391304347828</v>
      </c>
      <c r="AC505" s="47">
        <f>AB505*H2dens*HoursInYear/10^6</f>
        <v>5.0846086956521735E-2</v>
      </c>
      <c r="AE505" s="46">
        <f>IF(AND(G505&lt;&gt;"NG w CCUS",G505&lt;&gt;"Oil w CCUS",G505&lt;&gt;"Coal w CCUS"),AB505,AD505*10^3/(HoursInYear*IF(G505="NG w CCUS",0.9105,1.9075)))</f>
        <v>65.217391304347828</v>
      </c>
      <c r="AF505" s="43" t="s">
        <v>2040</v>
      </c>
      <c r="AG505" s="43">
        <v>50.731274859455503</v>
      </c>
      <c r="AH505" s="43">
        <v>4.2192673806246797</v>
      </c>
      <c r="AI505" s="122" t="s">
        <v>7286</v>
      </c>
      <c r="AJ505" s="41">
        <v>0.4</v>
      </c>
    </row>
    <row r="506" spans="1:36" ht="34.5" hidden="1" customHeight="1" x14ac:dyDescent="0.25">
      <c r="A506" s="40">
        <v>870</v>
      </c>
      <c r="B506" s="40" t="s">
        <v>2046</v>
      </c>
      <c r="C506" s="40" t="s">
        <v>535</v>
      </c>
      <c r="D506" s="44">
        <v>2025</v>
      </c>
      <c r="E506" s="44"/>
      <c r="F506" s="40" t="s">
        <v>1331</v>
      </c>
      <c r="G506" s="40" t="s">
        <v>1259</v>
      </c>
      <c r="H506" s="40" t="s">
        <v>467</v>
      </c>
      <c r="I506" s="40" t="s">
        <v>1269</v>
      </c>
      <c r="J506" s="40" t="s">
        <v>1395</v>
      </c>
      <c r="K506" s="40" t="s">
        <v>1243</v>
      </c>
      <c r="M506" s="40">
        <v>1</v>
      </c>
      <c r="Z506" s="40" t="s">
        <v>2048</v>
      </c>
      <c r="AA506" s="45">
        <v>500</v>
      </c>
      <c r="AB506" s="46">
        <f>IF(H2ProjectDB689571011[[#This Row],[Dummy_1]]="Electrolysis",
AA506/VLOOKUP(G506,ElectrolysisConvF,3,FALSE),
AC506*10^6/(H2dens*HoursInYear))</f>
        <v>111111.11111111112</v>
      </c>
      <c r="AC506" s="47">
        <f>420*0.180072</f>
        <v>75.630240000000001</v>
      </c>
      <c r="AE506" s="46">
        <f>IF(AND(G506&lt;&gt;"NG w CCUS",G506&lt;&gt;"Oil w CCUS",G506&lt;&gt;"Coal w CCUS"),AB506,AD506*10^3/(HoursInYear*IF(G506="NG w CCUS",0.9105,1.9075)))</f>
        <v>111111.11111111112</v>
      </c>
      <c r="AF506" s="43" t="s">
        <v>2970</v>
      </c>
      <c r="AG506" s="43">
        <v>-41.1306284511302</v>
      </c>
      <c r="AH506" s="43">
        <v>146.866701359541</v>
      </c>
      <c r="AI506" s="122" t="s">
        <v>7286</v>
      </c>
      <c r="AJ506" s="41">
        <v>0.5</v>
      </c>
    </row>
    <row r="507" spans="1:36" ht="34.5" hidden="1" customHeight="1" x14ac:dyDescent="0.25">
      <c r="A507" s="40">
        <v>871</v>
      </c>
      <c r="B507" s="40" t="s">
        <v>2051</v>
      </c>
      <c r="C507" s="40" t="s">
        <v>538</v>
      </c>
      <c r="D507" s="40">
        <v>2020</v>
      </c>
      <c r="F507" s="40" t="s">
        <v>1339</v>
      </c>
      <c r="G507" s="40" t="s">
        <v>455</v>
      </c>
      <c r="I507" s="40" t="s">
        <v>1266</v>
      </c>
      <c r="K507" s="40" t="s">
        <v>578</v>
      </c>
      <c r="Q507" s="40">
        <v>1</v>
      </c>
      <c r="R507" s="40">
        <v>1</v>
      </c>
      <c r="Z507" s="40" t="s">
        <v>6525</v>
      </c>
      <c r="AA507" s="78">
        <f>IF(H2ProjectDB689571011[[#This Row],[Dummy_1]]="Electrolysis",
AB507*VLOOKUP(G507,ElectrolysisConvF,3,FALSE),
"")</f>
        <v>5.1999999999999998E-3</v>
      </c>
      <c r="AB507" s="46">
        <v>1</v>
      </c>
      <c r="AC507" s="47">
        <f t="shared" ref="AC507:AC515" si="40">AB507*H2dens*HoursInYear/10^6</f>
        <v>7.7963999999999996E-4</v>
      </c>
      <c r="AE507" s="46">
        <f>AB507</f>
        <v>1</v>
      </c>
      <c r="AF507" s="43" t="s">
        <v>2052</v>
      </c>
      <c r="AG507" s="43">
        <v>35.658820381883402</v>
      </c>
      <c r="AH507" s="43">
        <v>136.06324166222001</v>
      </c>
      <c r="AI507" s="122" t="s">
        <v>7286</v>
      </c>
      <c r="AJ507" s="41">
        <v>0.56999999999999995</v>
      </c>
    </row>
    <row r="508" spans="1:36" ht="34.5" hidden="1" customHeight="1" x14ac:dyDescent="0.25">
      <c r="A508" s="40">
        <v>872</v>
      </c>
      <c r="B508" s="40" t="s">
        <v>3099</v>
      </c>
      <c r="C508" s="40" t="s">
        <v>542</v>
      </c>
      <c r="D508" s="44">
        <v>2025</v>
      </c>
      <c r="E508" s="44"/>
      <c r="F508" s="40" t="s">
        <v>5701</v>
      </c>
      <c r="G508" s="40" t="s">
        <v>457</v>
      </c>
      <c r="I508" s="40" t="s">
        <v>1269</v>
      </c>
      <c r="J508" s="40" t="s">
        <v>1395</v>
      </c>
      <c r="K508" s="40" t="s">
        <v>578</v>
      </c>
      <c r="U508" s="40">
        <v>1</v>
      </c>
      <c r="Z508" s="40" t="s">
        <v>1436</v>
      </c>
      <c r="AA508" s="45">
        <v>5</v>
      </c>
      <c r="AB508" s="46">
        <f>IF(H2ProjectDB689571011[[#This Row],[Dummy_1]]="Electrolysis",
AA508/VLOOKUP(G508,ElectrolysisConvF,3,FALSE),
AC508*10^6/(H2dens*HoursInYear))</f>
        <v>1086.9565217391305</v>
      </c>
      <c r="AC508" s="47">
        <f t="shared" si="40"/>
        <v>0.84743478260869565</v>
      </c>
      <c r="AE508" s="46">
        <f>IF(AND(G508&lt;&gt;"NG w CCUS",G508&lt;&gt;"Oil w CCUS",G508&lt;&gt;"Coal w CCUS"),AB508,AD508*10^3/(HoursInYear*IF(G508="NG w CCUS",0.9105,1.9075)))</f>
        <v>1086.9565217391305</v>
      </c>
      <c r="AF508" s="43" t="s">
        <v>3098</v>
      </c>
      <c r="AG508" s="43">
        <v>56.182001778831797</v>
      </c>
      <c r="AH508" s="43">
        <v>-3.0139368346573101</v>
      </c>
      <c r="AI508" s="122" t="s">
        <v>7286</v>
      </c>
      <c r="AJ508" s="41">
        <v>0.5</v>
      </c>
    </row>
    <row r="509" spans="1:36" ht="34.5" hidden="1" customHeight="1" x14ac:dyDescent="0.25">
      <c r="A509" s="40">
        <v>873</v>
      </c>
      <c r="B509" s="40" t="s">
        <v>7697</v>
      </c>
      <c r="C509" s="40" t="s">
        <v>1305</v>
      </c>
      <c r="D509" s="44">
        <v>2027</v>
      </c>
      <c r="E509" s="44"/>
      <c r="F509" s="40" t="s">
        <v>1331</v>
      </c>
      <c r="G509" s="40" t="s">
        <v>455</v>
      </c>
      <c r="I509" s="40" t="s">
        <v>1266</v>
      </c>
      <c r="K509" s="40" t="s">
        <v>578</v>
      </c>
      <c r="O509" s="40">
        <v>1</v>
      </c>
      <c r="P509" s="40">
        <v>1</v>
      </c>
      <c r="Z509" s="40" t="s">
        <v>7698</v>
      </c>
      <c r="AA509" s="45">
        <v>157</v>
      </c>
      <c r="AB509" s="46">
        <f>IF(H2ProjectDB689571011[[#This Row],[Dummy_1]]="Electrolysis",
AA509/VLOOKUP(G509,ElectrolysisConvF,3,FALSE),
AC509*10^6/(H2dens*HoursInYear))</f>
        <v>30192.307692307695</v>
      </c>
      <c r="AC509" s="47">
        <f t="shared" si="40"/>
        <v>23.539130769230773</v>
      </c>
      <c r="AE509" s="46">
        <f>AB509</f>
        <v>30192.307692307695</v>
      </c>
      <c r="AF509" s="43" t="s">
        <v>7702</v>
      </c>
      <c r="AG509" s="43">
        <v>51.444854155168301</v>
      </c>
      <c r="AH509" s="43">
        <v>6.7221927045360399</v>
      </c>
      <c r="AI509" s="122" t="s">
        <v>7286</v>
      </c>
      <c r="AJ509" s="41">
        <v>0.56999999999999995</v>
      </c>
    </row>
    <row r="510" spans="1:36" ht="34.5" hidden="1" customHeight="1" x14ac:dyDescent="0.25">
      <c r="A510" s="40">
        <v>874</v>
      </c>
      <c r="B510" s="44" t="s">
        <v>2934</v>
      </c>
      <c r="C510" s="40" t="s">
        <v>541</v>
      </c>
      <c r="D510" s="44">
        <v>2026</v>
      </c>
      <c r="E510" s="44"/>
      <c r="F510" s="40" t="s">
        <v>1331</v>
      </c>
      <c r="G510" s="40" t="s">
        <v>455</v>
      </c>
      <c r="I510" s="40" t="s">
        <v>1266</v>
      </c>
      <c r="K510" s="40" t="s">
        <v>578</v>
      </c>
      <c r="L510" s="40">
        <v>1</v>
      </c>
      <c r="Z510" s="40" t="s">
        <v>8422</v>
      </c>
      <c r="AA510" s="45">
        <v>20</v>
      </c>
      <c r="AB510" s="46">
        <f>IF(H2ProjectDB689571011[[#This Row],[Dummy_1]]="Electrolysis",
AA510/VLOOKUP(G510,ElectrolysisConvF,3,FALSE),
AC510*10^6/(H2dens*HoursInYear))</f>
        <v>3846.1538461538462</v>
      </c>
      <c r="AC510" s="47">
        <f t="shared" si="40"/>
        <v>2.9986153846153845</v>
      </c>
      <c r="AE510" s="46">
        <f t="shared" ref="AE510:AE519" si="41">IF(AND(G510&lt;&gt;"NG w CCUS",G510&lt;&gt;"Oil w CCUS",G510&lt;&gt;"Coal w CCUS"),AB510,AD510*10^3/(HoursInYear*IF(G510="NG w CCUS",0.9105,1.9075)))</f>
        <v>3846.1538461538462</v>
      </c>
      <c r="AF510" s="43" t="s">
        <v>4648</v>
      </c>
      <c r="AG510" s="43">
        <v>37.059597412754002</v>
      </c>
      <c r="AH510" s="43">
        <v>14.2662871867576</v>
      </c>
      <c r="AI510" s="122" t="s">
        <v>7286</v>
      </c>
      <c r="AJ510" s="41">
        <v>0.56999999999999995</v>
      </c>
    </row>
    <row r="511" spans="1:36" ht="34.5" hidden="1" customHeight="1" x14ac:dyDescent="0.25">
      <c r="A511" s="40">
        <v>875</v>
      </c>
      <c r="B511" s="94" t="s">
        <v>2640</v>
      </c>
      <c r="C511" s="40" t="s">
        <v>541</v>
      </c>
      <c r="D511" s="44">
        <v>2026</v>
      </c>
      <c r="E511" s="44"/>
      <c r="F511" s="40" t="s">
        <v>1331</v>
      </c>
      <c r="G511" s="40" t="s">
        <v>455</v>
      </c>
      <c r="I511" s="40" t="s">
        <v>1269</v>
      </c>
      <c r="J511" s="40" t="s">
        <v>1391</v>
      </c>
      <c r="K511" s="40" t="s">
        <v>578</v>
      </c>
      <c r="L511" s="40">
        <v>1</v>
      </c>
      <c r="Z511" s="40" t="s">
        <v>8423</v>
      </c>
      <c r="AA511" s="45">
        <v>10</v>
      </c>
      <c r="AB511" s="46">
        <f>IF(H2ProjectDB689571011[[#This Row],[Dummy_1]]="Electrolysis",
AA511/VLOOKUP(G511,ElectrolysisConvF,3,FALSE),
AC511*10^6/(H2dens*HoursInYear))</f>
        <v>1923.0769230769231</v>
      </c>
      <c r="AC511" s="47">
        <f t="shared" si="40"/>
        <v>1.4993076923076922</v>
      </c>
      <c r="AE511" s="46">
        <f t="shared" si="41"/>
        <v>1923.0769230769231</v>
      </c>
      <c r="AF511" s="43" t="s">
        <v>4648</v>
      </c>
      <c r="AG511" s="43">
        <v>40.492837489543099</v>
      </c>
      <c r="AH511" s="43">
        <v>17.196715679642299</v>
      </c>
      <c r="AI511" s="122" t="s">
        <v>7286</v>
      </c>
      <c r="AJ511" s="41">
        <v>0.3</v>
      </c>
    </row>
    <row r="512" spans="1:36" ht="34.5" hidden="1" customHeight="1" x14ac:dyDescent="0.25">
      <c r="A512" s="40">
        <v>878</v>
      </c>
      <c r="B512" s="40" t="s">
        <v>2066</v>
      </c>
      <c r="C512" s="40" t="s">
        <v>1764</v>
      </c>
      <c r="D512" s="44">
        <v>2025</v>
      </c>
      <c r="E512" s="44"/>
      <c r="F512" s="40" t="s">
        <v>5701</v>
      </c>
      <c r="G512" s="40" t="s">
        <v>1259</v>
      </c>
      <c r="H512" s="40" t="s">
        <v>467</v>
      </c>
      <c r="I512" s="40" t="s">
        <v>1266</v>
      </c>
      <c r="K512" s="40" t="s">
        <v>578</v>
      </c>
      <c r="Q512" s="40">
        <v>1</v>
      </c>
      <c r="R512" s="40">
        <v>1</v>
      </c>
      <c r="S512" s="40">
        <v>1</v>
      </c>
      <c r="Z512" s="40" t="s">
        <v>1495</v>
      </c>
      <c r="AA512" s="45">
        <v>20</v>
      </c>
      <c r="AB512" s="46">
        <f>IF(H2ProjectDB689571011[[#This Row],[Dummy_1]]="Electrolysis",
AA512/VLOOKUP(G512,ElectrolysisConvF,3,FALSE),
AC512*10^6/(H2dens*HoursInYear))</f>
        <v>4444.4444444444443</v>
      </c>
      <c r="AC512" s="47">
        <f t="shared" si="40"/>
        <v>3.4650666666666665</v>
      </c>
      <c r="AE512" s="46">
        <f t="shared" si="41"/>
        <v>4444.4444444444443</v>
      </c>
      <c r="AF512" s="43" t="s">
        <v>2106</v>
      </c>
      <c r="AG512" s="43">
        <v>43.233837397145997</v>
      </c>
      <c r="AH512" s="43">
        <v>-2.7500715847214598</v>
      </c>
      <c r="AI512" s="122" t="s">
        <v>7286</v>
      </c>
      <c r="AJ512" s="41">
        <v>0.56999999999999995</v>
      </c>
    </row>
    <row r="513" spans="1:36" ht="34.5" hidden="1" customHeight="1" x14ac:dyDescent="0.25">
      <c r="A513" s="40">
        <v>879</v>
      </c>
      <c r="B513" s="40" t="s">
        <v>2067</v>
      </c>
      <c r="C513" s="40" t="s">
        <v>1764</v>
      </c>
      <c r="D513" s="44">
        <v>2030</v>
      </c>
      <c r="E513" s="44"/>
      <c r="F513" s="40" t="s">
        <v>1331</v>
      </c>
      <c r="G513" s="40" t="s">
        <v>1259</v>
      </c>
      <c r="H513" s="40" t="s">
        <v>467</v>
      </c>
      <c r="I513" s="40" t="s">
        <v>1266</v>
      </c>
      <c r="K513" s="40" t="s">
        <v>578</v>
      </c>
      <c r="Q513" s="40">
        <v>1</v>
      </c>
      <c r="R513" s="40">
        <v>1</v>
      </c>
      <c r="S513" s="40">
        <v>1</v>
      </c>
      <c r="Z513" s="40" t="s">
        <v>1574</v>
      </c>
      <c r="AA513" s="45">
        <v>180</v>
      </c>
      <c r="AB513" s="46">
        <f>IF(H2ProjectDB689571011[[#This Row],[Dummy_1]]="Electrolysis",
AA513/VLOOKUP(G513,ElectrolysisConvF,3,FALSE),
AC513*10^6/(H2dens*HoursInYear))</f>
        <v>40000</v>
      </c>
      <c r="AC513" s="47">
        <f t="shared" si="40"/>
        <v>31.185600000000001</v>
      </c>
      <c r="AE513" s="46">
        <f t="shared" si="41"/>
        <v>40000</v>
      </c>
      <c r="AF513" s="43" t="s">
        <v>2106</v>
      </c>
      <c r="AG513" s="43">
        <v>43.233837397145997</v>
      </c>
      <c r="AH513" s="43">
        <v>-2.7500715847214598</v>
      </c>
      <c r="AI513" s="122" t="s">
        <v>7286</v>
      </c>
      <c r="AJ513" s="41">
        <v>0.56999999999999995</v>
      </c>
    </row>
    <row r="514" spans="1:36" ht="34.5" hidden="1" customHeight="1" x14ac:dyDescent="0.25">
      <c r="A514" s="40">
        <v>880</v>
      </c>
      <c r="B514" s="40" t="s">
        <v>2398</v>
      </c>
      <c r="C514" s="40" t="s">
        <v>535</v>
      </c>
      <c r="D514" s="44">
        <v>2021</v>
      </c>
      <c r="F514" s="40" t="s">
        <v>1339</v>
      </c>
      <c r="G514" s="40" t="s">
        <v>455</v>
      </c>
      <c r="I514" s="40" t="s">
        <v>1269</v>
      </c>
      <c r="J514" s="40" t="s">
        <v>1395</v>
      </c>
      <c r="K514" s="40" t="s">
        <v>578</v>
      </c>
      <c r="Q514" s="40">
        <v>1</v>
      </c>
      <c r="Z514" s="40" t="s">
        <v>6529</v>
      </c>
      <c r="AA514" s="78">
        <f>IF(H2ProjectDB689571011[[#This Row],[Dummy_1]]="Electrolysis",
AB514*VLOOKUP(G514,ElectrolysisConvF,3,FALSE),
"")</f>
        <v>5.1999999999999998E-2</v>
      </c>
      <c r="AB514" s="46">
        <v>10</v>
      </c>
      <c r="AC514" s="47">
        <f t="shared" si="40"/>
        <v>7.7963999999999985E-3</v>
      </c>
      <c r="AE514" s="46">
        <f t="shared" si="41"/>
        <v>10</v>
      </c>
      <c r="AF514" s="43" t="s">
        <v>2401</v>
      </c>
      <c r="AG514" s="43">
        <v>0</v>
      </c>
      <c r="AH514" s="43">
        <v>0</v>
      </c>
      <c r="AI514" s="122" t="s">
        <v>7286</v>
      </c>
      <c r="AJ514" s="41">
        <v>0.5</v>
      </c>
    </row>
    <row r="515" spans="1:36" ht="34.5" hidden="1" customHeight="1" x14ac:dyDescent="0.25">
      <c r="A515" s="40">
        <v>881</v>
      </c>
      <c r="B515" s="40" t="s">
        <v>2063</v>
      </c>
      <c r="C515" s="40" t="s">
        <v>533</v>
      </c>
      <c r="D515" s="44">
        <v>2026</v>
      </c>
      <c r="E515" s="44"/>
      <c r="F515" s="40" t="s">
        <v>5701</v>
      </c>
      <c r="G515" s="40" t="s">
        <v>455</v>
      </c>
      <c r="I515" s="40" t="s">
        <v>1269</v>
      </c>
      <c r="J515" s="40" t="s">
        <v>1395</v>
      </c>
      <c r="K515" s="40" t="s">
        <v>578</v>
      </c>
      <c r="V515" s="40">
        <v>1</v>
      </c>
      <c r="Z515" s="40" t="s">
        <v>8659</v>
      </c>
      <c r="AA515" s="45">
        <v>90</v>
      </c>
      <c r="AB515" s="46">
        <f>IF(H2ProjectDB689571011[[#This Row],[Dummy_1]]="Electrolysis",
AA515/VLOOKUP(G515,ElectrolysisConvF,3,FALSE),
AC515*10^6/(H2dens*HoursInYear))</f>
        <v>17307.692307692309</v>
      </c>
      <c r="AC515" s="47">
        <f t="shared" si="40"/>
        <v>13.493769230769232</v>
      </c>
      <c r="AE515" s="46">
        <f t="shared" si="41"/>
        <v>17307.692307692309</v>
      </c>
      <c r="AF515" s="43" t="s">
        <v>2115</v>
      </c>
      <c r="AG515" s="43">
        <v>49.225971293693497</v>
      </c>
      <c r="AH515" s="43">
        <v>5.01630170800372</v>
      </c>
      <c r="AI515" s="122" t="s">
        <v>7286</v>
      </c>
      <c r="AJ515" s="41">
        <v>0.5</v>
      </c>
    </row>
    <row r="516" spans="1:36" ht="34.5" hidden="1" customHeight="1" x14ac:dyDescent="0.25">
      <c r="A516" s="40">
        <v>882</v>
      </c>
      <c r="B516" s="40" t="s">
        <v>2068</v>
      </c>
      <c r="C516" s="40" t="s">
        <v>537</v>
      </c>
      <c r="D516" s="44"/>
      <c r="E516" s="44"/>
      <c r="F516" s="40" t="s">
        <v>2222</v>
      </c>
      <c r="G516" s="40" t="s">
        <v>1259</v>
      </c>
      <c r="H516" s="40" t="s">
        <v>467</v>
      </c>
      <c r="I516" s="40" t="s">
        <v>1269</v>
      </c>
      <c r="J516" s="40" t="s">
        <v>1395</v>
      </c>
      <c r="K516" s="40" t="s">
        <v>578</v>
      </c>
      <c r="Z516" s="40" t="s">
        <v>2071</v>
      </c>
      <c r="AA516" s="78">
        <f>IF(H2ProjectDB689571011[[#This Row],[Dummy_1]]="Electrolysis",
AB516*VLOOKUP(G516,ElectrolysisConvF,3,FALSE),
"")</f>
        <v>2885.9473603201477</v>
      </c>
      <c r="AB516" s="46">
        <f>AC516/(H2dens*HoursInYear/10^6)</f>
        <v>641321.63562669954</v>
      </c>
      <c r="AC516" s="47">
        <v>500</v>
      </c>
      <c r="AE516" s="46">
        <f t="shared" si="41"/>
        <v>641321.63562669954</v>
      </c>
      <c r="AF516" s="43" t="s">
        <v>2069</v>
      </c>
      <c r="AG516" s="43">
        <v>40.056064855782502</v>
      </c>
      <c r="AH516" s="43">
        <v>115.54291944550801</v>
      </c>
      <c r="AI516" s="122" t="s">
        <v>7286</v>
      </c>
      <c r="AJ516" s="41">
        <v>0.5</v>
      </c>
    </row>
    <row r="517" spans="1:36" ht="34.5" hidden="1" customHeight="1" x14ac:dyDescent="0.25">
      <c r="A517" s="40">
        <v>883</v>
      </c>
      <c r="B517" s="40" t="s">
        <v>5901</v>
      </c>
      <c r="C517" s="40" t="s">
        <v>545</v>
      </c>
      <c r="D517" s="44">
        <v>2024</v>
      </c>
      <c r="E517" s="44"/>
      <c r="F517" s="40" t="s">
        <v>1339</v>
      </c>
      <c r="G517" s="40" t="s">
        <v>457</v>
      </c>
      <c r="I517" s="40" t="s">
        <v>1269</v>
      </c>
      <c r="J517" s="40" t="s">
        <v>1395</v>
      </c>
      <c r="K517" s="40" t="s">
        <v>1243</v>
      </c>
      <c r="M517" s="40">
        <v>1</v>
      </c>
      <c r="Z517" s="40" t="s">
        <v>1333</v>
      </c>
      <c r="AA517" s="45">
        <v>10</v>
      </c>
      <c r="AB517" s="46">
        <f>IF(H2ProjectDB689571011[[#This Row],[Dummy_1]]="Electrolysis",
AA517/VLOOKUP(G517,ElectrolysisConvF,3,FALSE),
AC517*10^6/(H2dens*HoursInYear))</f>
        <v>2173.913043478261</v>
      </c>
      <c r="AC517" s="47">
        <f t="shared" ref="AC517:AC524" si="42">AB517*H2dens*HoursInYear/10^6</f>
        <v>1.6948695652173913</v>
      </c>
      <c r="AE517" s="46">
        <f t="shared" si="41"/>
        <v>2173.913043478261</v>
      </c>
      <c r="AF517" s="43" t="s">
        <v>8599</v>
      </c>
      <c r="AG517" s="43">
        <v>56.545167783373003</v>
      </c>
      <c r="AH517" s="43">
        <v>9.1522958589574905</v>
      </c>
      <c r="AI517" s="122" t="s">
        <v>7286</v>
      </c>
      <c r="AJ517" s="41">
        <v>0.5</v>
      </c>
    </row>
    <row r="518" spans="1:36" ht="34.5" hidden="1" customHeight="1" x14ac:dyDescent="0.25">
      <c r="A518" s="40">
        <v>884</v>
      </c>
      <c r="B518" s="40" t="s">
        <v>2074</v>
      </c>
      <c r="C518" s="40" t="s">
        <v>548</v>
      </c>
      <c r="D518" s="44">
        <v>2025</v>
      </c>
      <c r="E518" s="44"/>
      <c r="F518" s="40" t="s">
        <v>1331</v>
      </c>
      <c r="G518" s="40" t="s">
        <v>457</v>
      </c>
      <c r="I518" s="40" t="s">
        <v>1269</v>
      </c>
      <c r="J518" s="40" t="s">
        <v>1395</v>
      </c>
      <c r="K518" s="40" t="s">
        <v>612</v>
      </c>
      <c r="X518" s="40">
        <v>1</v>
      </c>
      <c r="Z518" s="40" t="s">
        <v>2075</v>
      </c>
      <c r="AA518" s="45">
        <v>75</v>
      </c>
      <c r="AB518" s="46">
        <f>IF(H2ProjectDB689571011[[#This Row],[Dummy_1]]="Electrolysis",
AA518/VLOOKUP(G518,ElectrolysisConvF,3,FALSE),
AC518*10^6/(H2dens*HoursInYear))</f>
        <v>16304.347826086956</v>
      </c>
      <c r="AC518" s="47">
        <f t="shared" si="42"/>
        <v>12.711521739130434</v>
      </c>
      <c r="AE518" s="46">
        <f t="shared" si="41"/>
        <v>16304.347826086956</v>
      </c>
      <c r="AF518" s="43" t="s">
        <v>2077</v>
      </c>
      <c r="AG518" s="43">
        <v>50.336408448345303</v>
      </c>
      <c r="AH518" s="43">
        <v>4.79180408997117</v>
      </c>
      <c r="AI518" s="122" t="s">
        <v>7286</v>
      </c>
      <c r="AJ518" s="41">
        <v>0.5</v>
      </c>
    </row>
    <row r="519" spans="1:36" ht="34.5" hidden="1" customHeight="1" x14ac:dyDescent="0.25">
      <c r="A519" s="40">
        <v>885</v>
      </c>
      <c r="B519" s="40" t="s">
        <v>8838</v>
      </c>
      <c r="C519" s="40" t="s">
        <v>1305</v>
      </c>
      <c r="D519" s="44">
        <v>2027</v>
      </c>
      <c r="E519" s="44"/>
      <c r="F519" s="40" t="s">
        <v>5701</v>
      </c>
      <c r="G519" s="40" t="s">
        <v>455</v>
      </c>
      <c r="I519" s="40" t="s">
        <v>1269</v>
      </c>
      <c r="J519" s="40" t="s">
        <v>1393</v>
      </c>
      <c r="K519" s="40" t="s">
        <v>578</v>
      </c>
      <c r="L519" s="40">
        <v>1</v>
      </c>
      <c r="O519" s="40">
        <v>1</v>
      </c>
      <c r="P519" s="40">
        <v>1</v>
      </c>
      <c r="Q519" s="40">
        <v>1</v>
      </c>
      <c r="R519" s="40">
        <v>1</v>
      </c>
      <c r="S519" s="40">
        <v>1</v>
      </c>
      <c r="Z519" s="40" t="s">
        <v>2323</v>
      </c>
      <c r="AA519" s="45">
        <f>200-100</f>
        <v>100</v>
      </c>
      <c r="AB519" s="46">
        <f>IF(H2ProjectDB689571011[[#This Row],[Dummy_1]]="Electrolysis",
AA519/VLOOKUP(G519,ElectrolysisConvF,3,FALSE),
AC519*10^6/(H2dens*HoursInYear))</f>
        <v>19230.76923076923</v>
      </c>
      <c r="AC519" s="47">
        <f t="shared" si="42"/>
        <v>14.993076923076922</v>
      </c>
      <c r="AE519" s="46">
        <f t="shared" si="41"/>
        <v>19230.76923076923</v>
      </c>
      <c r="AF519" s="43" t="s">
        <v>3431</v>
      </c>
      <c r="AG519" s="43">
        <v>52.482556513702299</v>
      </c>
      <c r="AH519" s="43">
        <v>7.2996678118249898</v>
      </c>
      <c r="AI519" s="122" t="s">
        <v>7286</v>
      </c>
      <c r="AJ519" s="41">
        <v>0.55000000000000004</v>
      </c>
    </row>
    <row r="520" spans="1:36" ht="34.5" hidden="1" customHeight="1" x14ac:dyDescent="0.25">
      <c r="A520" s="40">
        <v>886</v>
      </c>
      <c r="B520" s="40" t="s">
        <v>2082</v>
      </c>
      <c r="C520" s="40" t="s">
        <v>546</v>
      </c>
      <c r="D520" s="44">
        <v>2040</v>
      </c>
      <c r="E520" s="44"/>
      <c r="F520" s="40" t="s">
        <v>2222</v>
      </c>
      <c r="G520" s="40" t="s">
        <v>1259</v>
      </c>
      <c r="H520" s="40" t="s">
        <v>467</v>
      </c>
      <c r="I520" s="40" t="s">
        <v>1269</v>
      </c>
      <c r="J520" s="40" t="s">
        <v>1393</v>
      </c>
      <c r="K520" s="40" t="s">
        <v>578</v>
      </c>
      <c r="L520" s="40">
        <v>1</v>
      </c>
      <c r="P520" s="40">
        <v>1</v>
      </c>
      <c r="Z520" s="40" t="s">
        <v>2083</v>
      </c>
      <c r="AA520" s="45">
        <v>6000</v>
      </c>
      <c r="AB520" s="46">
        <f>IF(H2ProjectDB689571011[[#This Row],[Dummy_1]]="Electrolysis",
AA520/VLOOKUP(G520,ElectrolysisConvF,3,FALSE),
AC520*10^6/(H2dens*HoursInYear))</f>
        <v>1333333.3333333335</v>
      </c>
      <c r="AC520" s="47">
        <f t="shared" si="42"/>
        <v>1039.52</v>
      </c>
      <c r="AE520" s="46">
        <f>AB520</f>
        <v>1333333.3333333335</v>
      </c>
      <c r="AF520" s="43" t="s">
        <v>701</v>
      </c>
      <c r="AG520" s="43">
        <v>53.465207938353302</v>
      </c>
      <c r="AH520" s="43">
        <v>6.6329845630844</v>
      </c>
      <c r="AI520" s="122" t="s">
        <v>7286</v>
      </c>
      <c r="AJ520" s="41">
        <v>0.55000000000000004</v>
      </c>
    </row>
    <row r="521" spans="1:36" ht="34.5" hidden="1" customHeight="1" x14ac:dyDescent="0.25">
      <c r="A521" s="40">
        <v>888</v>
      </c>
      <c r="B521" s="40" t="s">
        <v>2721</v>
      </c>
      <c r="C521" s="40" t="s">
        <v>1305</v>
      </c>
      <c r="D521" s="44">
        <v>2025</v>
      </c>
      <c r="E521" s="44"/>
      <c r="F521" s="40" t="s">
        <v>1331</v>
      </c>
      <c r="G521" s="40" t="s">
        <v>1259</v>
      </c>
      <c r="H521" s="40" t="s">
        <v>467</v>
      </c>
      <c r="I521" s="40" t="s">
        <v>1269</v>
      </c>
      <c r="J521" s="40" t="s">
        <v>1393</v>
      </c>
      <c r="K521" s="40" t="s">
        <v>578</v>
      </c>
      <c r="Z521" s="40" t="s">
        <v>2473</v>
      </c>
      <c r="AA521" s="45">
        <v>28</v>
      </c>
      <c r="AB521" s="46">
        <f>IF(H2ProjectDB689571011[[#This Row],[Dummy_1]]="Electrolysis",
AA521/VLOOKUP(G521,ElectrolysisConvF,3,FALSE),
AC521*10^6/(H2dens*HoursInYear))</f>
        <v>6222.2222222222226</v>
      </c>
      <c r="AC521" s="47">
        <f t="shared" si="42"/>
        <v>4.8510933333333339</v>
      </c>
      <c r="AE521" s="46">
        <f t="shared" ref="AE521:AE541" si="43">IF(AND(G521&lt;&gt;"NG w CCUS",G521&lt;&gt;"Oil w CCUS",G521&lt;&gt;"Coal w CCUS"),AB521,AD521*10^3/(HoursInYear*IF(G521="NG w CCUS",0.9105,1.9075)))</f>
        <v>6222.2222222222226</v>
      </c>
      <c r="AF521" s="43" t="s">
        <v>2808</v>
      </c>
      <c r="AG521" s="43">
        <v>54.2023436057572</v>
      </c>
      <c r="AH521" s="43">
        <v>7.9212686088641799</v>
      </c>
      <c r="AI521" s="122" t="s">
        <v>7286</v>
      </c>
      <c r="AJ521" s="41">
        <v>0.55000000000000004</v>
      </c>
    </row>
    <row r="522" spans="1:36" ht="34.5" hidden="1" customHeight="1" x14ac:dyDescent="0.25">
      <c r="A522" s="40">
        <v>890</v>
      </c>
      <c r="B522" s="40" t="s">
        <v>2962</v>
      </c>
      <c r="C522" s="40" t="s">
        <v>535</v>
      </c>
      <c r="D522" s="44">
        <v>2030</v>
      </c>
      <c r="E522" s="44"/>
      <c r="F522" s="40" t="s">
        <v>1331</v>
      </c>
      <c r="G522" s="40" t="s">
        <v>1259</v>
      </c>
      <c r="H522" s="40" t="s">
        <v>467</v>
      </c>
      <c r="I522" s="40" t="s">
        <v>1269</v>
      </c>
      <c r="J522" s="40" t="s">
        <v>1395</v>
      </c>
      <c r="K522" s="40" t="s">
        <v>1243</v>
      </c>
      <c r="M522" s="40">
        <v>1</v>
      </c>
      <c r="Z522" s="40" t="s">
        <v>2081</v>
      </c>
      <c r="AA522" s="45">
        <v>2850</v>
      </c>
      <c r="AB522" s="46">
        <f>IF(H2ProjectDB689571011[[#This Row],[Dummy_1]]="Electrolysis",
AA522/VLOOKUP(G522,ElectrolysisConvF,3,FALSE),
AC522*10^6/(H2dens*HoursInYear))</f>
        <v>633333.33333333337</v>
      </c>
      <c r="AC522" s="47">
        <f t="shared" si="42"/>
        <v>493.77199999999999</v>
      </c>
      <c r="AE522" s="46">
        <f t="shared" si="43"/>
        <v>633333.33333333337</v>
      </c>
      <c r="AF522" s="43" t="s">
        <v>2964</v>
      </c>
      <c r="AG522" s="43">
        <v>-23.841535520383299</v>
      </c>
      <c r="AH522" s="43">
        <v>151.250589188345</v>
      </c>
      <c r="AI522" s="122" t="s">
        <v>7286</v>
      </c>
      <c r="AJ522" s="41">
        <v>0.5</v>
      </c>
    </row>
    <row r="523" spans="1:36" ht="34.5" hidden="1" customHeight="1" x14ac:dyDescent="0.25">
      <c r="A523" s="40">
        <v>891</v>
      </c>
      <c r="B523" s="40" t="s">
        <v>2089</v>
      </c>
      <c r="C523" s="40" t="s">
        <v>545</v>
      </c>
      <c r="D523" s="40">
        <v>2021</v>
      </c>
      <c r="F523" s="40" t="s">
        <v>1540</v>
      </c>
      <c r="G523" s="40" t="s">
        <v>455</v>
      </c>
      <c r="I523" s="40" t="s">
        <v>1269</v>
      </c>
      <c r="J523" s="40" t="s">
        <v>1393</v>
      </c>
      <c r="K523" s="40" t="s">
        <v>578</v>
      </c>
      <c r="Q523" s="40">
        <v>1</v>
      </c>
      <c r="Z523" s="40" t="s">
        <v>2090</v>
      </c>
      <c r="AA523" s="45">
        <v>0.4</v>
      </c>
      <c r="AB523" s="46">
        <f>IF(H2ProjectDB689571011[[#This Row],[Dummy_1]]="Electrolysis",
AA523/VLOOKUP(G523,ElectrolysisConvF,3,FALSE),
AC523*10^6/(H2dens*HoursInYear))</f>
        <v>76.923076923076934</v>
      </c>
      <c r="AC523" s="47">
        <f t="shared" si="42"/>
        <v>5.9972307692307693E-2</v>
      </c>
      <c r="AE523" s="46">
        <f t="shared" si="43"/>
        <v>76.923076923076934</v>
      </c>
      <c r="AF523" s="43" t="s">
        <v>2103</v>
      </c>
      <c r="AG523" s="43">
        <v>55.945149684330801</v>
      </c>
      <c r="AH523" s="43">
        <v>9.09658139087656</v>
      </c>
      <c r="AI523" s="122" t="s">
        <v>7286</v>
      </c>
      <c r="AJ523" s="41">
        <v>0.55000000000000004</v>
      </c>
    </row>
    <row r="524" spans="1:36" ht="34.5" hidden="1" customHeight="1" x14ac:dyDescent="0.25">
      <c r="A524" s="40">
        <v>893</v>
      </c>
      <c r="B524" s="40" t="s">
        <v>2094</v>
      </c>
      <c r="C524" s="40" t="s">
        <v>530</v>
      </c>
      <c r="D524" s="44">
        <v>2027</v>
      </c>
      <c r="E524" s="44"/>
      <c r="F524" s="40" t="s">
        <v>1331</v>
      </c>
      <c r="G524" s="40" t="s">
        <v>1259</v>
      </c>
      <c r="H524" s="40" t="s">
        <v>467</v>
      </c>
      <c r="I524" s="40" t="s">
        <v>1269</v>
      </c>
      <c r="J524" s="40" t="s">
        <v>1391</v>
      </c>
      <c r="K524" s="40" t="s">
        <v>578</v>
      </c>
      <c r="P524" s="40">
        <v>1</v>
      </c>
      <c r="Z524" s="40" t="s">
        <v>1348</v>
      </c>
      <c r="AA524" s="45">
        <v>10</v>
      </c>
      <c r="AB524" s="46">
        <f>IF(H2ProjectDB689571011[[#This Row],[Dummy_1]]="Electrolysis",
AA524/VLOOKUP(G524,ElectrolysisConvF,3,FALSE),
AC524*10^6/(H2dens*HoursInYear))</f>
        <v>2222.2222222222222</v>
      </c>
      <c r="AC524" s="47">
        <f t="shared" si="42"/>
        <v>1.7325333333333333</v>
      </c>
      <c r="AE524" s="46">
        <f t="shared" si="43"/>
        <v>2222.2222222222222</v>
      </c>
      <c r="AF524" s="43" t="s">
        <v>2095</v>
      </c>
      <c r="AG524" s="43">
        <v>44.648941999999998</v>
      </c>
      <c r="AH524" s="43">
        <v>-0.59775900000000004</v>
      </c>
      <c r="AI524" s="122" t="s">
        <v>7286</v>
      </c>
      <c r="AJ524" s="41">
        <v>0.3</v>
      </c>
    </row>
    <row r="525" spans="1:36" ht="34.5" hidden="1" customHeight="1" x14ac:dyDescent="0.25">
      <c r="A525" s="40">
        <v>894</v>
      </c>
      <c r="B525" s="40" t="s">
        <v>2097</v>
      </c>
      <c r="C525" s="40" t="s">
        <v>531</v>
      </c>
      <c r="F525" s="40" t="s">
        <v>1540</v>
      </c>
      <c r="G525" s="40" t="s">
        <v>1259</v>
      </c>
      <c r="H525" s="40" t="s">
        <v>467</v>
      </c>
      <c r="I525" s="40" t="s">
        <v>1269</v>
      </c>
      <c r="J525" s="40" t="s">
        <v>1393</v>
      </c>
      <c r="K525" s="40" t="s">
        <v>578</v>
      </c>
      <c r="P525" s="40">
        <v>1</v>
      </c>
      <c r="Q525" s="40">
        <v>1</v>
      </c>
      <c r="R525" s="40">
        <v>1</v>
      </c>
      <c r="AC525" s="47"/>
      <c r="AE525" s="46">
        <f t="shared" si="43"/>
        <v>0</v>
      </c>
      <c r="AF525" s="43" t="s">
        <v>2099</v>
      </c>
      <c r="AG525" s="43">
        <v>0</v>
      </c>
      <c r="AH525" s="43">
        <v>0</v>
      </c>
      <c r="AI525" s="122" t="s">
        <v>7286</v>
      </c>
      <c r="AJ525" s="41">
        <v>0.55000000000000004</v>
      </c>
    </row>
    <row r="526" spans="1:36" ht="34.5" hidden="1" customHeight="1" x14ac:dyDescent="0.25">
      <c r="A526" s="40">
        <v>895</v>
      </c>
      <c r="B526" s="40" t="s">
        <v>2238</v>
      </c>
      <c r="C526" s="40" t="s">
        <v>1764</v>
      </c>
      <c r="D526" s="44">
        <v>2024</v>
      </c>
      <c r="E526" s="44"/>
      <c r="F526" s="40" t="s">
        <v>5701</v>
      </c>
      <c r="G526" s="40" t="s">
        <v>1259</v>
      </c>
      <c r="H526" s="40" t="s">
        <v>467</v>
      </c>
      <c r="I526" s="40" t="s">
        <v>1269</v>
      </c>
      <c r="J526" s="40" t="s">
        <v>1395</v>
      </c>
      <c r="K526" s="40" t="s">
        <v>578</v>
      </c>
      <c r="P526" s="40">
        <v>1</v>
      </c>
      <c r="Z526" s="40" t="s">
        <v>4840</v>
      </c>
      <c r="AA526" s="78">
        <f>IF(H2ProjectDB689571011[[#This Row],[Dummy_1]]="Electrolysis",
AB526*VLOOKUP(G526,ElectrolysisConvF,3,FALSE),
"")</f>
        <v>0.46175157765122365</v>
      </c>
      <c r="AB526" s="46">
        <f>AC526/(H2dens*HoursInYear/10^6)</f>
        <v>102.61146170027193</v>
      </c>
      <c r="AC526" s="47">
        <v>0.08</v>
      </c>
      <c r="AE526" s="46">
        <f t="shared" si="43"/>
        <v>102.61146170027193</v>
      </c>
      <c r="AF526" s="43" t="s">
        <v>4842</v>
      </c>
      <c r="AG526" s="43">
        <v>40.238279490518998</v>
      </c>
      <c r="AH526" s="43">
        <v>-3.6922974519949499</v>
      </c>
      <c r="AI526" s="122" t="s">
        <v>7286</v>
      </c>
      <c r="AJ526" s="41">
        <v>0.5</v>
      </c>
    </row>
    <row r="527" spans="1:36" ht="34.5" hidden="1" customHeight="1" x14ac:dyDescent="0.25">
      <c r="A527" s="40">
        <v>896</v>
      </c>
      <c r="B527" s="40" t="s">
        <v>2109</v>
      </c>
      <c r="C527" s="40" t="s">
        <v>1305</v>
      </c>
      <c r="D527" s="44">
        <v>2024</v>
      </c>
      <c r="E527" s="44"/>
      <c r="F527" s="40" t="s">
        <v>5701</v>
      </c>
      <c r="G527" s="40" t="s">
        <v>455</v>
      </c>
      <c r="I527" s="40" t="s">
        <v>1269</v>
      </c>
      <c r="J527" s="40" t="s">
        <v>581</v>
      </c>
      <c r="K527" s="40" t="s">
        <v>578</v>
      </c>
      <c r="P527" s="40">
        <v>1</v>
      </c>
      <c r="Q527" s="40">
        <v>1</v>
      </c>
      <c r="Z527" s="40" t="s">
        <v>2110</v>
      </c>
      <c r="AA527" s="45">
        <v>24</v>
      </c>
      <c r="AB527" s="46">
        <f>IF(H2ProjectDB689571011[[#This Row],[Dummy_1]]="Electrolysis",
AA527/VLOOKUP(G527,ElectrolysisConvF,3,FALSE),
AC527*10^6/(H2dens*HoursInYear))</f>
        <v>4615.3846153846152</v>
      </c>
      <c r="AC527" s="47">
        <f>AB527*H2dens*HoursInYear/10^6</f>
        <v>3.5983384615384608</v>
      </c>
      <c r="AE527" s="46">
        <f t="shared" si="43"/>
        <v>4615.3846153846152</v>
      </c>
      <c r="AF527" s="43" t="s">
        <v>2112</v>
      </c>
      <c r="AG527" s="43">
        <v>51.324711167337902</v>
      </c>
      <c r="AH527" s="43">
        <v>12.024311061848</v>
      </c>
      <c r="AI527" s="122" t="s">
        <v>7286</v>
      </c>
      <c r="AJ527" s="41">
        <v>0.5</v>
      </c>
    </row>
    <row r="528" spans="1:36" ht="34.5" hidden="1" customHeight="1" x14ac:dyDescent="0.25">
      <c r="A528" s="40">
        <v>898</v>
      </c>
      <c r="B528" s="40" t="s">
        <v>3336</v>
      </c>
      <c r="C528" s="40" t="s">
        <v>535</v>
      </c>
      <c r="D528" s="44">
        <v>2024</v>
      </c>
      <c r="E528" s="44"/>
      <c r="F528" s="40" t="s">
        <v>1331</v>
      </c>
      <c r="G528" s="40" t="s">
        <v>1259</v>
      </c>
      <c r="H528" s="40" t="s">
        <v>467</v>
      </c>
      <c r="I528" s="40" t="s">
        <v>1269</v>
      </c>
      <c r="J528" s="40" t="s">
        <v>1392</v>
      </c>
      <c r="K528" s="40" t="s">
        <v>578</v>
      </c>
      <c r="S528" s="40">
        <v>1</v>
      </c>
      <c r="Z528" s="40" t="s">
        <v>1333</v>
      </c>
      <c r="AA528" s="45">
        <v>10</v>
      </c>
      <c r="AB528" s="46">
        <f>IF(H2ProjectDB689571011[[#This Row],[Dummy_1]]="Electrolysis",
AA528/VLOOKUP(G528,ElectrolysisConvF,3,FALSE),
AC528*10^6/(H2dens*HoursInYear))</f>
        <v>2222.2222222222222</v>
      </c>
      <c r="AC528" s="47">
        <f>AB528*H2dens*HoursInYear/10^6</f>
        <v>1.7325333333333333</v>
      </c>
      <c r="AE528" s="46">
        <f t="shared" si="43"/>
        <v>2222.2222222222222</v>
      </c>
      <c r="AF528" s="43" t="s">
        <v>3339</v>
      </c>
      <c r="AG528" s="43">
        <v>-28.830068687080001</v>
      </c>
      <c r="AH528" s="43">
        <v>114.67835148314499</v>
      </c>
      <c r="AI528" s="122" t="s">
        <v>7286</v>
      </c>
      <c r="AJ528" s="41">
        <v>0.4</v>
      </c>
    </row>
    <row r="529" spans="1:36" ht="34.5" hidden="1" customHeight="1" x14ac:dyDescent="0.25">
      <c r="A529" s="40">
        <v>899</v>
      </c>
      <c r="B529" s="40" t="s">
        <v>2118</v>
      </c>
      <c r="C529" s="40" t="s">
        <v>561</v>
      </c>
      <c r="D529" s="44">
        <v>2027</v>
      </c>
      <c r="E529" s="44"/>
      <c r="F529" s="40" t="s">
        <v>1331</v>
      </c>
      <c r="G529" s="40" t="s">
        <v>1259</v>
      </c>
      <c r="H529" s="40" t="s">
        <v>467</v>
      </c>
      <c r="I529" s="40" t="s">
        <v>1269</v>
      </c>
      <c r="J529" s="40" t="s">
        <v>1395</v>
      </c>
      <c r="K529" s="40" t="s">
        <v>578</v>
      </c>
      <c r="L529" s="40">
        <v>1</v>
      </c>
      <c r="Z529" s="40" t="s">
        <v>1485</v>
      </c>
      <c r="AA529" s="45">
        <v>100</v>
      </c>
      <c r="AB529" s="46">
        <f>IF(H2ProjectDB689571011[[#This Row],[Dummy_1]]="Electrolysis",
AA529/VLOOKUP(G529,ElectrolysisConvF,3,FALSE),
AC529*10^6/(H2dens*HoursInYear))</f>
        <v>22222.222222222223</v>
      </c>
      <c r="AC529" s="47">
        <f>AB529*H2dens*HoursInYear/10^6</f>
        <v>17.325333333333333</v>
      </c>
      <c r="AE529" s="46">
        <f t="shared" si="43"/>
        <v>22222.222222222223</v>
      </c>
      <c r="AF529" s="43" t="s">
        <v>2120</v>
      </c>
      <c r="AG529" s="43">
        <v>54.375563781454403</v>
      </c>
      <c r="AH529" s="43">
        <v>18.587005720026099</v>
      </c>
      <c r="AI529" s="122" t="s">
        <v>7286</v>
      </c>
      <c r="AJ529" s="41">
        <v>0.5</v>
      </c>
    </row>
    <row r="530" spans="1:36" ht="34.5" hidden="1" customHeight="1" x14ac:dyDescent="0.25">
      <c r="A530" s="40">
        <v>900</v>
      </c>
      <c r="B530" s="40" t="s">
        <v>6455</v>
      </c>
      <c r="C530" s="40" t="s">
        <v>1305</v>
      </c>
      <c r="D530" s="44">
        <v>2027</v>
      </c>
      <c r="E530" s="44"/>
      <c r="F530" s="40" t="s">
        <v>1331</v>
      </c>
      <c r="G530" s="40" t="s">
        <v>455</v>
      </c>
      <c r="I530" s="40" t="s">
        <v>1269</v>
      </c>
      <c r="J530" s="40" t="s">
        <v>1395</v>
      </c>
      <c r="K530" s="40" t="s">
        <v>578</v>
      </c>
      <c r="Z530" s="40" t="s">
        <v>1485</v>
      </c>
      <c r="AA530" s="45">
        <v>100</v>
      </c>
      <c r="AB530" s="46">
        <f>IF(H2ProjectDB689571011[[#This Row],[Dummy_1]]="Electrolysis",
AA530/VLOOKUP(G530,ElectrolysisConvF,3,FALSE),
AC530*10^6/(H2dens*HoursInYear))</f>
        <v>19230.76923076923</v>
      </c>
      <c r="AC530" s="47">
        <f>AB530*H2dens*HoursInYear/10^6</f>
        <v>14.993076923076922</v>
      </c>
      <c r="AE530" s="46">
        <f t="shared" si="43"/>
        <v>19230.76923076923</v>
      </c>
      <c r="AF530" s="43" t="s">
        <v>6454</v>
      </c>
      <c r="AG530" s="43">
        <v>53.506730655775002</v>
      </c>
      <c r="AH530" s="43">
        <v>9.9365498223203197</v>
      </c>
      <c r="AI530" s="122" t="s">
        <v>7286</v>
      </c>
      <c r="AJ530" s="41">
        <v>0.5</v>
      </c>
    </row>
    <row r="531" spans="1:36" ht="34.5" hidden="1" customHeight="1" x14ac:dyDescent="0.25">
      <c r="A531" s="40">
        <v>902</v>
      </c>
      <c r="B531" s="40" t="s">
        <v>2123</v>
      </c>
      <c r="C531" s="40" t="s">
        <v>535</v>
      </c>
      <c r="D531" s="44">
        <v>2024</v>
      </c>
      <c r="E531" s="44"/>
      <c r="F531" s="40" t="s">
        <v>1331</v>
      </c>
      <c r="G531" s="40" t="s">
        <v>455</v>
      </c>
      <c r="H531" s="40" t="s">
        <v>467</v>
      </c>
      <c r="I531" s="40" t="s">
        <v>1269</v>
      </c>
      <c r="J531" s="40" t="s">
        <v>1391</v>
      </c>
      <c r="K531" s="40" t="s">
        <v>578</v>
      </c>
      <c r="P531" s="40">
        <v>1</v>
      </c>
      <c r="Q531" s="40">
        <v>1</v>
      </c>
      <c r="Z531" s="40" t="s">
        <v>8660</v>
      </c>
      <c r="AA531" s="163">
        <v>2.5</v>
      </c>
      <c r="AB531" s="46">
        <f>IF(H2ProjectDB689571011[[#This Row],[Dummy_1]]="Electrolysis",
AA531/VLOOKUP(G531,ElectrolysisConvF,3,FALSE),
AC531*10^6/(H2dens*HoursInYear))</f>
        <v>480.76923076923077</v>
      </c>
      <c r="AC531" s="47">
        <f>AB531*H2dens*HoursInYear/10^6</f>
        <v>0.37482692307692306</v>
      </c>
      <c r="AE531" s="46">
        <f t="shared" si="43"/>
        <v>480.76923076923077</v>
      </c>
      <c r="AF531" s="43" t="s">
        <v>3327</v>
      </c>
      <c r="AG531" s="43">
        <v>0</v>
      </c>
      <c r="AH531" s="43">
        <v>0</v>
      </c>
      <c r="AI531" s="122" t="s">
        <v>7286</v>
      </c>
      <c r="AJ531" s="41">
        <v>0.3</v>
      </c>
    </row>
    <row r="532" spans="1:36" ht="34.5" hidden="1" customHeight="1" x14ac:dyDescent="0.25">
      <c r="A532" s="40">
        <v>903</v>
      </c>
      <c r="B532" s="40" t="s">
        <v>2126</v>
      </c>
      <c r="C532" s="40" t="s">
        <v>674</v>
      </c>
      <c r="D532" s="44">
        <v>2025</v>
      </c>
      <c r="E532" s="44"/>
      <c r="F532" s="40" t="s">
        <v>2222</v>
      </c>
      <c r="G532" s="40" t="s">
        <v>1261</v>
      </c>
      <c r="H532" s="40" t="s">
        <v>1665</v>
      </c>
      <c r="K532" s="40" t="s">
        <v>578</v>
      </c>
      <c r="Q532" s="40">
        <v>1</v>
      </c>
      <c r="Z532" s="40" t="s">
        <v>2127</v>
      </c>
      <c r="AA532" s="78" t="str">
        <f>IF(H2ProjectDB689571011[[#This Row],[Dummy_1]]="Electrolysis",
AB532*VLOOKUP(G532,ElectrolysisConvF,3,FALSE),
"")</f>
        <v/>
      </c>
      <c r="AB532" s="46">
        <f>AC532*10^6/(H2dens*HoursInYear)</f>
        <v>448.92514493868964</v>
      </c>
      <c r="AC532" s="47">
        <v>0.35</v>
      </c>
      <c r="AE532" s="46">
        <f t="shared" si="43"/>
        <v>0</v>
      </c>
      <c r="AF532" s="43" t="s">
        <v>2637</v>
      </c>
      <c r="AG532" s="43">
        <v>0</v>
      </c>
      <c r="AH532" s="43">
        <v>0</v>
      </c>
      <c r="AI532" s="122" t="s">
        <v>7287</v>
      </c>
      <c r="AJ532" s="41">
        <v>0.9</v>
      </c>
    </row>
    <row r="533" spans="1:36" ht="34.5" hidden="1" customHeight="1" x14ac:dyDescent="0.25">
      <c r="A533" s="40">
        <v>904</v>
      </c>
      <c r="B533" s="40" t="s">
        <v>7786</v>
      </c>
      <c r="C533" s="40" t="s">
        <v>534</v>
      </c>
      <c r="F533" s="40" t="s">
        <v>1331</v>
      </c>
      <c r="G533" s="40" t="s">
        <v>1259</v>
      </c>
      <c r="H533" s="40" t="s">
        <v>467</v>
      </c>
      <c r="I533" s="40" t="s">
        <v>1269</v>
      </c>
      <c r="J533" s="40" t="s">
        <v>1394</v>
      </c>
      <c r="K533" s="40" t="s">
        <v>578</v>
      </c>
      <c r="Z533" s="40" t="s">
        <v>7787</v>
      </c>
      <c r="AA533" s="47">
        <f>IF(H2ProjectDB689571011[[#This Row],[Dummy_1]]="Electrolysis",
AB533*VLOOKUP(G533,ElectrolysisConvF,3,FALSE),
"")</f>
        <v>649.33815607203314</v>
      </c>
      <c r="AB533" s="47">
        <f>AC533/(H2dens*HoursInYear/10^6)</f>
        <v>144297.36801600739</v>
      </c>
      <c r="AC533" s="92">
        <f>90/H2ProjectDB689571011[[#This Row],[LOWE_CF]]</f>
        <v>112.5</v>
      </c>
      <c r="AE533" s="46">
        <f t="shared" si="43"/>
        <v>144297.36801600739</v>
      </c>
      <c r="AF533" s="43" t="s">
        <v>7789</v>
      </c>
      <c r="AG533" s="43">
        <v>1.55311</v>
      </c>
      <c r="AH533" s="43">
        <v>110.345032</v>
      </c>
      <c r="AI533" s="122" t="s">
        <v>7286</v>
      </c>
      <c r="AJ533" s="41">
        <v>0.8</v>
      </c>
    </row>
    <row r="534" spans="1:36" ht="34.5" hidden="1" customHeight="1" x14ac:dyDescent="0.25">
      <c r="A534" s="40">
        <v>906</v>
      </c>
      <c r="B534" s="40" t="s">
        <v>2134</v>
      </c>
      <c r="C534" s="40" t="s">
        <v>1764</v>
      </c>
      <c r="D534" s="44">
        <v>2025</v>
      </c>
      <c r="E534" s="44"/>
      <c r="F534" s="40" t="s">
        <v>1331</v>
      </c>
      <c r="G534" s="40" t="s">
        <v>1259</v>
      </c>
      <c r="H534" s="40" t="s">
        <v>467</v>
      </c>
      <c r="I534" s="40" t="s">
        <v>1269</v>
      </c>
      <c r="J534" s="40" t="s">
        <v>1392</v>
      </c>
      <c r="K534" s="40" t="s">
        <v>578</v>
      </c>
      <c r="Z534" s="40" t="s">
        <v>1485</v>
      </c>
      <c r="AA534" s="45">
        <v>100</v>
      </c>
      <c r="AB534" s="46">
        <f>IF(H2ProjectDB689571011[[#This Row],[Dummy_1]]="Electrolysis",
AA534/VLOOKUP(G534,ElectrolysisConvF,3,FALSE),
AC534*10^6/(H2dens*HoursInYear))</f>
        <v>22222.222222222223</v>
      </c>
      <c r="AC534" s="47">
        <f t="shared" ref="AC534:AC543" si="44">AB534*H2dens*HoursInYear/10^6</f>
        <v>17.325333333333333</v>
      </c>
      <c r="AE534" s="46">
        <f t="shared" si="43"/>
        <v>22222.222222222223</v>
      </c>
      <c r="AF534" s="43" t="s">
        <v>2136</v>
      </c>
      <c r="AG534" s="43">
        <v>43.441326658964897</v>
      </c>
      <c r="AH534" s="43">
        <v>-7.8635065915953701</v>
      </c>
      <c r="AI534" s="122" t="s">
        <v>7286</v>
      </c>
      <c r="AJ534" s="41">
        <v>0.4</v>
      </c>
    </row>
    <row r="535" spans="1:36" ht="34.5" hidden="1" customHeight="1" x14ac:dyDescent="0.25">
      <c r="A535" s="40">
        <v>907</v>
      </c>
      <c r="B535" s="40" t="s">
        <v>5915</v>
      </c>
      <c r="C535" s="40" t="s">
        <v>1305</v>
      </c>
      <c r="D535" s="44">
        <v>2021</v>
      </c>
      <c r="F535" s="40" t="s">
        <v>1339</v>
      </c>
      <c r="G535" s="40" t="s">
        <v>457</v>
      </c>
      <c r="I535" s="40" t="s">
        <v>1266</v>
      </c>
      <c r="J535" s="40" t="str">
        <f>IF(I535&lt;&gt;"Dedicated renewable","N/A",)</f>
        <v>N/A</v>
      </c>
      <c r="K535" s="40" t="s">
        <v>578</v>
      </c>
      <c r="Q535" s="40">
        <v>1</v>
      </c>
      <c r="S535" s="40">
        <v>1</v>
      </c>
      <c r="Z535" s="40" t="s">
        <v>1650</v>
      </c>
      <c r="AA535" s="45">
        <v>0.5</v>
      </c>
      <c r="AB535" s="46">
        <f>IF(H2ProjectDB689571011[[#This Row],[Dummy_1]]="Electrolysis",
AA535/VLOOKUP(G535,ElectrolysisConvF,3,FALSE),
AC535*10^6/(H2dens*HoursInYear))</f>
        <v>108.69565217391305</v>
      </c>
      <c r="AC535" s="47">
        <f t="shared" si="44"/>
        <v>8.4743478260869559E-2</v>
      </c>
      <c r="AE535" s="46">
        <f t="shared" si="43"/>
        <v>108.69565217391305</v>
      </c>
      <c r="AF535" s="43" t="s">
        <v>3762</v>
      </c>
      <c r="AG535" s="43">
        <v>48.731081417628701</v>
      </c>
      <c r="AH535" s="43">
        <v>9.3180477042850001</v>
      </c>
      <c r="AI535" s="122" t="s">
        <v>7286</v>
      </c>
      <c r="AJ535" s="41">
        <v>0.56999999999999995</v>
      </c>
    </row>
    <row r="536" spans="1:36" ht="34.5" hidden="1" customHeight="1" x14ac:dyDescent="0.25">
      <c r="A536" s="40">
        <v>910</v>
      </c>
      <c r="B536" s="40" t="s">
        <v>2146</v>
      </c>
      <c r="C536" s="40" t="s">
        <v>1764</v>
      </c>
      <c r="D536" s="44">
        <v>2027</v>
      </c>
      <c r="E536" s="44"/>
      <c r="F536" s="40" t="s">
        <v>1331</v>
      </c>
      <c r="G536" s="40" t="s">
        <v>1259</v>
      </c>
      <c r="H536" s="40" t="s">
        <v>467</v>
      </c>
      <c r="I536" s="40" t="s">
        <v>5700</v>
      </c>
      <c r="K536" s="40" t="s">
        <v>578</v>
      </c>
      <c r="Z536" s="40" t="s">
        <v>1485</v>
      </c>
      <c r="AA536" s="45">
        <v>100</v>
      </c>
      <c r="AB536" s="46">
        <f>IF(H2ProjectDB689571011[[#This Row],[Dummy_1]]="Electrolysis",
AA536/VLOOKUP(G536,ElectrolysisConvF,3,FALSE),
AC536*10^6/(H2dens*HoursInYear))</f>
        <v>22222.222222222223</v>
      </c>
      <c r="AC536" s="47">
        <f t="shared" si="44"/>
        <v>17.325333333333333</v>
      </c>
      <c r="AE536" s="46">
        <f t="shared" si="43"/>
        <v>22222.222222222223</v>
      </c>
      <c r="AF536" s="43" t="s">
        <v>2157</v>
      </c>
      <c r="AG536" s="43">
        <v>37.261963881012697</v>
      </c>
      <c r="AH536" s="43">
        <v>-6.9412846461681603</v>
      </c>
      <c r="AI536" s="122" t="s">
        <v>7286</v>
      </c>
      <c r="AJ536" s="41">
        <v>0.7</v>
      </c>
    </row>
    <row r="537" spans="1:36" ht="34.5" hidden="1" customHeight="1" x14ac:dyDescent="0.25">
      <c r="A537" s="40">
        <v>911</v>
      </c>
      <c r="B537" s="40" t="s">
        <v>2147</v>
      </c>
      <c r="C537" s="40" t="s">
        <v>1764</v>
      </c>
      <c r="D537" s="44">
        <v>2028</v>
      </c>
      <c r="E537" s="44"/>
      <c r="F537" s="40" t="s">
        <v>1331</v>
      </c>
      <c r="G537" s="40" t="s">
        <v>1259</v>
      </c>
      <c r="H537" s="40" t="s">
        <v>467</v>
      </c>
      <c r="I537" s="40" t="s">
        <v>5700</v>
      </c>
      <c r="K537" s="40" t="s">
        <v>578</v>
      </c>
      <c r="Z537" s="40" t="s">
        <v>2152</v>
      </c>
      <c r="AA537" s="45">
        <v>7.2</v>
      </c>
      <c r="AB537" s="46">
        <f>IF(H2ProjectDB689571011[[#This Row],[Dummy_1]]="Electrolysis",
AA537/VLOOKUP(G537,ElectrolysisConvF,3,FALSE),
AC537*10^6/(H2dens*HoursInYear))</f>
        <v>1600.0000000000002</v>
      </c>
      <c r="AC537" s="47">
        <f t="shared" si="44"/>
        <v>1.2474240000000001</v>
      </c>
      <c r="AE537" s="46">
        <f t="shared" si="43"/>
        <v>1600.0000000000002</v>
      </c>
      <c r="AF537" s="43" t="s">
        <v>2157</v>
      </c>
      <c r="AG537" s="43">
        <v>42.437453731784203</v>
      </c>
      <c r="AH537" s="43">
        <v>-2.2912242715166302</v>
      </c>
      <c r="AI537" s="122" t="s">
        <v>7286</v>
      </c>
      <c r="AJ537" s="41">
        <v>0.7</v>
      </c>
    </row>
    <row r="538" spans="1:36" ht="34.5" hidden="1" customHeight="1" x14ac:dyDescent="0.25">
      <c r="A538" s="40">
        <v>913</v>
      </c>
      <c r="B538" s="40" t="s">
        <v>2148</v>
      </c>
      <c r="C538" s="40" t="s">
        <v>1764</v>
      </c>
      <c r="D538" s="44">
        <v>2028</v>
      </c>
      <c r="E538" s="44"/>
      <c r="F538" s="40" t="s">
        <v>1331</v>
      </c>
      <c r="G538" s="40" t="s">
        <v>1259</v>
      </c>
      <c r="H538" s="40" t="s">
        <v>467</v>
      </c>
      <c r="I538" s="40" t="s">
        <v>5700</v>
      </c>
      <c r="K538" s="40" t="s">
        <v>578</v>
      </c>
      <c r="Z538" s="40" t="s">
        <v>3158</v>
      </c>
      <c r="AA538" s="45">
        <v>15</v>
      </c>
      <c r="AB538" s="46">
        <f>IF(H2ProjectDB689571011[[#This Row],[Dummy_1]]="Electrolysis",
AA538/VLOOKUP(G538,ElectrolysisConvF,3,FALSE),
AC538*10^6/(H2dens*HoursInYear))</f>
        <v>3333.3333333333335</v>
      </c>
      <c r="AC538" s="47">
        <f t="shared" si="44"/>
        <v>2.5988000000000002</v>
      </c>
      <c r="AE538" s="46">
        <f t="shared" si="43"/>
        <v>3333.3333333333335</v>
      </c>
      <c r="AF538" s="43" t="s">
        <v>2157</v>
      </c>
      <c r="AG538" s="43">
        <v>40.345678866875197</v>
      </c>
      <c r="AH538" s="43">
        <v>-1.1063896443893</v>
      </c>
      <c r="AI538" s="122" t="s">
        <v>7286</v>
      </c>
      <c r="AJ538" s="41">
        <v>0.7</v>
      </c>
    </row>
    <row r="539" spans="1:36" ht="34.5" hidden="1" customHeight="1" x14ac:dyDescent="0.25">
      <c r="A539" s="40">
        <v>914</v>
      </c>
      <c r="B539" s="40" t="s">
        <v>2149</v>
      </c>
      <c r="C539" s="40" t="s">
        <v>1764</v>
      </c>
      <c r="D539" s="44">
        <v>2026</v>
      </c>
      <c r="E539" s="44"/>
      <c r="F539" s="40" t="s">
        <v>1331</v>
      </c>
      <c r="G539" s="40" t="s">
        <v>1259</v>
      </c>
      <c r="H539" s="40" t="s">
        <v>467</v>
      </c>
      <c r="I539" s="40" t="s">
        <v>5700</v>
      </c>
      <c r="K539" s="40" t="s">
        <v>578</v>
      </c>
      <c r="Z539" s="40" t="s">
        <v>7639</v>
      </c>
      <c r="AA539" s="45">
        <v>50</v>
      </c>
      <c r="AB539" s="46">
        <f>IF(H2ProjectDB689571011[[#This Row],[Dummy_1]]="Electrolysis",
AA539/VLOOKUP(G539,ElectrolysisConvF,3,FALSE),
AC539*10^6/(H2dens*HoursInYear))</f>
        <v>11111.111111111111</v>
      </c>
      <c r="AC539" s="47">
        <f t="shared" si="44"/>
        <v>8.6626666666666665</v>
      </c>
      <c r="AE539" s="46">
        <f t="shared" si="43"/>
        <v>11111.111111111111</v>
      </c>
      <c r="AF539" s="43" t="s">
        <v>2157</v>
      </c>
      <c r="AG539" s="43">
        <v>36.833780550115399</v>
      </c>
      <c r="AH539" s="43">
        <v>-2.46467047823525</v>
      </c>
      <c r="AI539" s="122" t="s">
        <v>7286</v>
      </c>
      <c r="AJ539" s="41">
        <v>0.7</v>
      </c>
    </row>
    <row r="540" spans="1:36" ht="34.5" hidden="1" customHeight="1" x14ac:dyDescent="0.25">
      <c r="A540" s="40">
        <v>915</v>
      </c>
      <c r="B540" s="40" t="s">
        <v>2150</v>
      </c>
      <c r="C540" s="40" t="s">
        <v>1764</v>
      </c>
      <c r="D540" s="44">
        <v>2025</v>
      </c>
      <c r="E540" s="44"/>
      <c r="F540" s="40" t="s">
        <v>1331</v>
      </c>
      <c r="G540" s="40" t="s">
        <v>1259</v>
      </c>
      <c r="H540" s="40" t="s">
        <v>467</v>
      </c>
      <c r="I540" s="40" t="s">
        <v>1269</v>
      </c>
      <c r="J540" s="40" t="s">
        <v>1391</v>
      </c>
      <c r="K540" s="40" t="s">
        <v>578</v>
      </c>
      <c r="Z540" s="40" t="s">
        <v>2153</v>
      </c>
      <c r="AA540" s="45">
        <v>7</v>
      </c>
      <c r="AB540" s="46">
        <f>IF(H2ProjectDB689571011[[#This Row],[Dummy_1]]="Electrolysis",
AA540/VLOOKUP(G540,ElectrolysisConvF,3,FALSE),
AC540*10^6/(H2dens*HoursInYear))</f>
        <v>1555.5555555555557</v>
      </c>
      <c r="AC540" s="47">
        <f t="shared" si="44"/>
        <v>1.2127733333333335</v>
      </c>
      <c r="AE540" s="46">
        <f t="shared" si="43"/>
        <v>1555.5555555555557</v>
      </c>
      <c r="AF540" s="43" t="s">
        <v>2157</v>
      </c>
      <c r="AG540" s="43">
        <v>27.8743676461958</v>
      </c>
      <c r="AH540" s="43">
        <v>-15.5066711471455</v>
      </c>
      <c r="AI540" s="122" t="s">
        <v>7286</v>
      </c>
      <c r="AJ540" s="41">
        <v>0.3</v>
      </c>
    </row>
    <row r="541" spans="1:36" ht="34.5" hidden="1" customHeight="1" x14ac:dyDescent="0.25">
      <c r="A541" s="40">
        <v>916</v>
      </c>
      <c r="B541" s="40" t="s">
        <v>2151</v>
      </c>
      <c r="C541" s="40" t="s">
        <v>1764</v>
      </c>
      <c r="D541" s="44">
        <v>2025</v>
      </c>
      <c r="E541" s="44"/>
      <c r="F541" s="40" t="s">
        <v>1331</v>
      </c>
      <c r="G541" s="40" t="s">
        <v>1259</v>
      </c>
      <c r="H541" s="40" t="s">
        <v>467</v>
      </c>
      <c r="I541" s="40" t="s">
        <v>1269</v>
      </c>
      <c r="J541" s="40" t="s">
        <v>1395</v>
      </c>
      <c r="K541" s="40" t="s">
        <v>578</v>
      </c>
      <c r="Z541" s="40" t="s">
        <v>1333</v>
      </c>
      <c r="AA541" s="45">
        <v>10</v>
      </c>
      <c r="AB541" s="46">
        <f>IF(H2ProjectDB689571011[[#This Row],[Dummy_1]]="Electrolysis",
AA541/VLOOKUP(G541,ElectrolysisConvF,3,FALSE),
AC541*10^6/(H2dens*HoursInYear))</f>
        <v>2222.2222222222222</v>
      </c>
      <c r="AC541" s="47">
        <f t="shared" si="44"/>
        <v>1.7325333333333333</v>
      </c>
      <c r="AE541" s="46">
        <f t="shared" si="43"/>
        <v>2222.2222222222222</v>
      </c>
      <c r="AF541" s="43" t="s">
        <v>2157</v>
      </c>
      <c r="AG541" s="43">
        <v>28.122488789373101</v>
      </c>
      <c r="AH541" s="43">
        <v>-16.575599319282698</v>
      </c>
      <c r="AI541" s="122" t="s">
        <v>7286</v>
      </c>
      <c r="AJ541" s="41">
        <v>0.5</v>
      </c>
    </row>
    <row r="542" spans="1:36" ht="34.5" hidden="1" customHeight="1" x14ac:dyDescent="0.25">
      <c r="A542" s="40">
        <v>918</v>
      </c>
      <c r="B542" s="40" t="s">
        <v>2995</v>
      </c>
      <c r="C542" s="40" t="s">
        <v>1764</v>
      </c>
      <c r="F542" s="40" t="s">
        <v>1331</v>
      </c>
      <c r="G542" s="40" t="s">
        <v>1259</v>
      </c>
      <c r="H542" s="40" t="s">
        <v>467</v>
      </c>
      <c r="I542" s="40" t="s">
        <v>1269</v>
      </c>
      <c r="J542" s="40" t="s">
        <v>1393</v>
      </c>
      <c r="K542" s="40" t="s">
        <v>578</v>
      </c>
      <c r="P542" s="40">
        <v>1</v>
      </c>
      <c r="Z542" s="40" t="s">
        <v>1484</v>
      </c>
      <c r="AA542" s="45">
        <v>5</v>
      </c>
      <c r="AB542" s="46">
        <f>IF(H2ProjectDB689571011[[#This Row],[Dummy_1]]="Electrolysis",
AA542/VLOOKUP(G542,ElectrolysisConvF,3,FALSE),
AC542*10^6/(H2dens*HoursInYear))</f>
        <v>1111.1111111111111</v>
      </c>
      <c r="AC542" s="47">
        <f t="shared" si="44"/>
        <v>0.86626666666666663</v>
      </c>
      <c r="AE542" s="46">
        <f>AB542</f>
        <v>1111.1111111111111</v>
      </c>
      <c r="AF542" s="43" t="s">
        <v>2186</v>
      </c>
      <c r="AG542" s="43">
        <v>43.464737332950598</v>
      </c>
      <c r="AH542" s="43">
        <v>-5.9461230615423197</v>
      </c>
      <c r="AI542" s="122" t="s">
        <v>7286</v>
      </c>
      <c r="AJ542" s="41">
        <v>0.55000000000000004</v>
      </c>
    </row>
    <row r="543" spans="1:36" ht="34.5" hidden="1" customHeight="1" x14ac:dyDescent="0.25">
      <c r="A543" s="40">
        <v>919</v>
      </c>
      <c r="B543" s="40" t="s">
        <v>3612</v>
      </c>
      <c r="C543" s="40" t="s">
        <v>1764</v>
      </c>
      <c r="F543" s="40" t="s">
        <v>1331</v>
      </c>
      <c r="G543" s="40" t="s">
        <v>1259</v>
      </c>
      <c r="H543" s="40" t="s">
        <v>467</v>
      </c>
      <c r="I543" s="40" t="s">
        <v>1269</v>
      </c>
      <c r="J543" s="40" t="s">
        <v>1393</v>
      </c>
      <c r="K543" s="40" t="s">
        <v>578</v>
      </c>
      <c r="P543" s="40">
        <v>1</v>
      </c>
      <c r="Z543" s="40" t="s">
        <v>3610</v>
      </c>
      <c r="AA543" s="45">
        <v>100</v>
      </c>
      <c r="AB543" s="46">
        <f>IF(H2ProjectDB689571011[[#This Row],[Dummy_1]]="Electrolysis",
AA543/VLOOKUP(G543,ElectrolysisConvF,3,FALSE),
AC543*10^6/(H2dens*HoursInYear))</f>
        <v>22222.222222222223</v>
      </c>
      <c r="AC543" s="47">
        <f t="shared" si="44"/>
        <v>17.325333333333333</v>
      </c>
      <c r="AE543" s="46">
        <f>AB543</f>
        <v>22222.222222222223</v>
      </c>
      <c r="AF543" s="43" t="s">
        <v>2186</v>
      </c>
      <c r="AG543" s="43">
        <v>43.464737332950598</v>
      </c>
      <c r="AH543" s="43">
        <v>-5.9461230615423197</v>
      </c>
      <c r="AI543" s="122" t="s">
        <v>7286</v>
      </c>
      <c r="AJ543" s="41">
        <v>0.55000000000000004</v>
      </c>
    </row>
    <row r="544" spans="1:36" ht="34.5" hidden="1" customHeight="1" x14ac:dyDescent="0.25">
      <c r="A544" s="40">
        <v>920</v>
      </c>
      <c r="B544" s="40" t="s">
        <v>7430</v>
      </c>
      <c r="C544" s="40" t="s">
        <v>542</v>
      </c>
      <c r="D544" s="44">
        <v>2030</v>
      </c>
      <c r="E544" s="44"/>
      <c r="F544" s="40" t="s">
        <v>1331</v>
      </c>
      <c r="G544" s="40" t="s">
        <v>1261</v>
      </c>
      <c r="H544" s="40" t="s">
        <v>5708</v>
      </c>
      <c r="K544" s="40" t="s">
        <v>578</v>
      </c>
      <c r="L544" s="40">
        <v>1</v>
      </c>
      <c r="P544" s="40">
        <v>1</v>
      </c>
      <c r="Q544" s="40">
        <v>1</v>
      </c>
      <c r="R544" s="40">
        <v>1</v>
      </c>
      <c r="S544" s="40">
        <v>1</v>
      </c>
      <c r="Z544" s="40" t="s">
        <v>5069</v>
      </c>
      <c r="AB544" s="46">
        <f>AC544/365/24/0.089*10^6</f>
        <v>1038941.0497152532</v>
      </c>
      <c r="AC544" s="47">
        <f>(30-3)*3.6/0.12</f>
        <v>810</v>
      </c>
      <c r="AD544" s="118">
        <f>8.1*10^6-AD1912-AD90</f>
        <v>7450000</v>
      </c>
      <c r="AE544" s="46">
        <f>IF(AND(G544&lt;&gt;"NG w CCUS",G544&lt;&gt;"Oil w CCUS",G544&lt;&gt;"Coal w CCUS"),AB544,AD544*10^3/(HoursInYear*IF(G544="NG w CCUS",0.9105,1.9075)))</f>
        <v>934054.49863214302</v>
      </c>
      <c r="AF544" s="43" t="s">
        <v>2142</v>
      </c>
      <c r="AG544" s="43">
        <v>53.277031209918</v>
      </c>
      <c r="AH544" s="43">
        <v>-2.8418691477882398</v>
      </c>
      <c r="AI544" s="122" t="s">
        <v>7287</v>
      </c>
      <c r="AJ544" s="41">
        <v>0.9</v>
      </c>
    </row>
    <row r="545" spans="1:36" ht="34.5" hidden="1" customHeight="1" x14ac:dyDescent="0.25">
      <c r="A545" s="40">
        <v>921</v>
      </c>
      <c r="B545" s="40" t="s">
        <v>5970</v>
      </c>
      <c r="C545" s="40" t="s">
        <v>530</v>
      </c>
      <c r="D545" s="44">
        <v>2023</v>
      </c>
      <c r="E545" s="44"/>
      <c r="F545" s="40" t="s">
        <v>1339</v>
      </c>
      <c r="G545" s="40" t="s">
        <v>457</v>
      </c>
      <c r="I545" s="40" t="s">
        <v>1266</v>
      </c>
      <c r="K545" s="40" t="s">
        <v>578</v>
      </c>
      <c r="Q545" s="40">
        <v>1</v>
      </c>
      <c r="Z545" s="40" t="s">
        <v>1368</v>
      </c>
      <c r="AA545" s="45">
        <v>2</v>
      </c>
      <c r="AB545" s="46">
        <f>IF(H2ProjectDB689571011[[#This Row],[Dummy_1]]="Electrolysis",
AA545/VLOOKUP(G545,ElectrolysisConvF,3,FALSE),
AC545*10^6/(H2dens*HoursInYear))</f>
        <v>434.78260869565219</v>
      </c>
      <c r="AC545" s="47">
        <f>AB545*H2dens*HoursInYear/10^6</f>
        <v>0.33897391304347824</v>
      </c>
      <c r="AE545" s="46">
        <f>IF(AND(G545&lt;&gt;"NG w CCUS",G545&lt;&gt;"Oil w CCUS",G545&lt;&gt;"Coal w CCUS"),AB545,AD545*10^3/(HoursInYear*IF(G545="NG w CCUS",0.9105,1.9075)))</f>
        <v>434.78260869565219</v>
      </c>
      <c r="AF545" s="43" t="s">
        <v>4677</v>
      </c>
      <c r="AG545" s="43">
        <v>45.776147501132101</v>
      </c>
      <c r="AH545" s="43">
        <v>3.0951971847550701</v>
      </c>
      <c r="AI545" s="122" t="s">
        <v>7286</v>
      </c>
      <c r="AJ545" s="41">
        <v>0.56999999999999995</v>
      </c>
    </row>
    <row r="546" spans="1:36" ht="34.5" hidden="1" customHeight="1" x14ac:dyDescent="0.25">
      <c r="A546" s="40">
        <v>922</v>
      </c>
      <c r="B546" s="40" t="s">
        <v>5575</v>
      </c>
      <c r="C546" s="40" t="s">
        <v>1764</v>
      </c>
      <c r="D546" s="44">
        <v>2026</v>
      </c>
      <c r="E546" s="44"/>
      <c r="F546" s="40" t="s">
        <v>1331</v>
      </c>
      <c r="G546" s="40" t="s">
        <v>455</v>
      </c>
      <c r="I546" s="40" t="s">
        <v>1269</v>
      </c>
      <c r="J546" s="40" t="s">
        <v>1395</v>
      </c>
      <c r="K546" s="40" t="s">
        <v>1243</v>
      </c>
      <c r="AC546" s="47"/>
      <c r="AF546" s="43" t="s">
        <v>2163</v>
      </c>
      <c r="AG546" s="43">
        <v>43.436299060037697</v>
      </c>
      <c r="AH546" s="43">
        <v>-3.8039848097878601</v>
      </c>
      <c r="AI546" s="122" t="s">
        <v>7286</v>
      </c>
      <c r="AJ546" s="41">
        <v>0.5</v>
      </c>
    </row>
    <row r="547" spans="1:36" ht="34.5" hidden="1" customHeight="1" x14ac:dyDescent="0.25">
      <c r="A547" s="40">
        <v>924</v>
      </c>
      <c r="B547" s="40" t="s">
        <v>2165</v>
      </c>
      <c r="C547" s="40" t="s">
        <v>535</v>
      </c>
      <c r="D547" s="44">
        <v>2024</v>
      </c>
      <c r="E547" s="44"/>
      <c r="F547" s="40" t="s">
        <v>5701</v>
      </c>
      <c r="G547" s="40" t="s">
        <v>455</v>
      </c>
      <c r="I547" s="40" t="s">
        <v>1269</v>
      </c>
      <c r="J547" s="40" t="s">
        <v>1391</v>
      </c>
      <c r="K547" s="40" t="s">
        <v>578</v>
      </c>
      <c r="Q547" s="40">
        <v>1</v>
      </c>
      <c r="R547" s="40">
        <v>1</v>
      </c>
      <c r="Z547" s="40" t="s">
        <v>1480</v>
      </c>
      <c r="AA547" s="45">
        <v>1</v>
      </c>
      <c r="AB547" s="46">
        <f>IF(H2ProjectDB689571011[[#This Row],[Dummy_1]]="Electrolysis",
AA547/VLOOKUP(G547,ElectrolysisConvF,3,FALSE),
AC547*10^6/(H2dens*HoursInYear))</f>
        <v>192.30769230769232</v>
      </c>
      <c r="AC547" s="47">
        <f>AB547*H2dens*HoursInYear/10^6</f>
        <v>0.14993076923076926</v>
      </c>
      <c r="AE547" s="46">
        <f t="shared" ref="AE547:AE576" si="45">IF(AND(G547&lt;&gt;"NG w CCUS",G547&lt;&gt;"Oil w CCUS",G547&lt;&gt;"Coal w CCUS"),AB547,AD547*10^3/(HoursInYear*IF(G547="NG w CCUS",0.9105,1.9075)))</f>
        <v>192.30769230769232</v>
      </c>
      <c r="AF547" s="43" t="s">
        <v>6731</v>
      </c>
      <c r="AG547" s="43">
        <v>-26.914849</v>
      </c>
      <c r="AH547" s="43">
        <v>150.74710400000001</v>
      </c>
      <c r="AI547" s="122" t="s">
        <v>7286</v>
      </c>
      <c r="AJ547" s="41">
        <v>0.3</v>
      </c>
    </row>
    <row r="548" spans="1:36" ht="34.5" hidden="1" customHeight="1" x14ac:dyDescent="0.25">
      <c r="A548" s="40">
        <v>925</v>
      </c>
      <c r="B548" s="40" t="s">
        <v>2167</v>
      </c>
      <c r="C548" s="40" t="s">
        <v>543</v>
      </c>
      <c r="D548" s="44"/>
      <c r="E548" s="44"/>
      <c r="F548" s="40" t="s">
        <v>5701</v>
      </c>
      <c r="G548" s="40" t="s">
        <v>1259</v>
      </c>
      <c r="H548" s="40" t="s">
        <v>467</v>
      </c>
      <c r="I548" s="40" t="s">
        <v>1269</v>
      </c>
      <c r="J548" s="40" t="s">
        <v>1395</v>
      </c>
      <c r="K548" s="40" t="s">
        <v>1268</v>
      </c>
      <c r="Q548" s="40">
        <v>1</v>
      </c>
      <c r="W548" s="40">
        <v>1</v>
      </c>
      <c r="Z548" s="40" t="s">
        <v>2622</v>
      </c>
      <c r="AA548" s="78">
        <f>IF(H2ProjectDB689571011[[#This Row],[Dummy_1]]="Electrolysis",
AB548*VLOOKUP(G548,ElectrolysisConvF,3,FALSE),
"")</f>
        <v>5.7718947206402955</v>
      </c>
      <c r="AB548" s="46">
        <f>AC548/(H2dens*HoursInYear/10^6)</f>
        <v>1282.643271253399</v>
      </c>
      <c r="AC548" s="47">
        <v>1</v>
      </c>
      <c r="AE548" s="46">
        <f t="shared" si="45"/>
        <v>1282.643271253399</v>
      </c>
      <c r="AF548" s="43" t="s">
        <v>2624</v>
      </c>
      <c r="AG548" s="43">
        <v>24.4852421565258</v>
      </c>
      <c r="AH548" s="43">
        <v>54.392728038977801</v>
      </c>
      <c r="AI548" s="122" t="s">
        <v>7286</v>
      </c>
      <c r="AJ548" s="41">
        <v>0.5</v>
      </c>
    </row>
    <row r="549" spans="1:36" ht="34.5" hidden="1" customHeight="1" x14ac:dyDescent="0.25">
      <c r="A549" s="40">
        <v>926</v>
      </c>
      <c r="B549" s="40" t="s">
        <v>2895</v>
      </c>
      <c r="C549" s="40" t="s">
        <v>559</v>
      </c>
      <c r="F549" s="40" t="s">
        <v>1331</v>
      </c>
      <c r="G549" s="40" t="s">
        <v>1259</v>
      </c>
      <c r="H549" s="40" t="s">
        <v>467</v>
      </c>
      <c r="I549" s="40" t="s">
        <v>1269</v>
      </c>
      <c r="J549" s="40" t="s">
        <v>1395</v>
      </c>
      <c r="K549" s="40" t="s">
        <v>578</v>
      </c>
      <c r="V549" s="40">
        <v>1</v>
      </c>
      <c r="Z549" s="40" t="s">
        <v>1483</v>
      </c>
      <c r="AA549" s="45">
        <v>50</v>
      </c>
      <c r="AB549" s="46">
        <f>IF(H2ProjectDB689571011[[#This Row],[Dummy_1]]="Electrolysis",
AA549/VLOOKUP(G549,ElectrolysisConvF,3,FALSE),
AC549*10^6/(H2dens*HoursInYear))</f>
        <v>11111.111111111111</v>
      </c>
      <c r="AC549" s="47">
        <f t="shared" ref="AC549:AC560" si="46">AB549*H2dens*HoursInYear/10^6</f>
        <v>8.6626666666666665</v>
      </c>
      <c r="AE549" s="46">
        <f t="shared" si="45"/>
        <v>11111.111111111111</v>
      </c>
      <c r="AG549" s="43">
        <v>58.3506380753564</v>
      </c>
      <c r="AH549" s="43">
        <v>11.4360084573101</v>
      </c>
      <c r="AI549" s="122" t="s">
        <v>7286</v>
      </c>
      <c r="AJ549" s="41">
        <v>0.5</v>
      </c>
    </row>
    <row r="550" spans="1:36" ht="34.5" hidden="1" customHeight="1" x14ac:dyDescent="0.25">
      <c r="A550" s="40">
        <v>927</v>
      </c>
      <c r="B550" s="40" t="s">
        <v>3178</v>
      </c>
      <c r="C550" s="40" t="s">
        <v>546</v>
      </c>
      <c r="D550" s="44">
        <v>2028</v>
      </c>
      <c r="E550" s="44"/>
      <c r="F550" s="40" t="s">
        <v>1331</v>
      </c>
      <c r="G550" s="40" t="s">
        <v>455</v>
      </c>
      <c r="I550" s="40" t="s">
        <v>1269</v>
      </c>
      <c r="J550" s="40" t="s">
        <v>1393</v>
      </c>
      <c r="K550" s="40" t="s">
        <v>578</v>
      </c>
      <c r="Z550" s="40" t="s">
        <v>1485</v>
      </c>
      <c r="AA550" s="45">
        <v>100</v>
      </c>
      <c r="AB550" s="46">
        <f>IF(H2ProjectDB689571011[[#This Row],[Dummy_1]]="Electrolysis",
AA550/VLOOKUP(G550,ElectrolysisConvF,3,FALSE),
AC550*10^6/(H2dens*HoursInYear))</f>
        <v>19230.76923076923</v>
      </c>
      <c r="AC550" s="47">
        <f t="shared" si="46"/>
        <v>14.993076923076922</v>
      </c>
      <c r="AE550" s="46">
        <f t="shared" si="45"/>
        <v>19230.76923076923</v>
      </c>
      <c r="AF550" s="43" t="s">
        <v>7359</v>
      </c>
      <c r="AG550" s="43">
        <v>51.963315441408902</v>
      </c>
      <c r="AH550" s="43">
        <v>4.0225740875889402</v>
      </c>
      <c r="AI550" s="122" t="s">
        <v>7286</v>
      </c>
      <c r="AJ550" s="41">
        <v>0.55000000000000004</v>
      </c>
    </row>
    <row r="551" spans="1:36" ht="34.5" hidden="1" customHeight="1" x14ac:dyDescent="0.25">
      <c r="A551" s="40">
        <v>928</v>
      </c>
      <c r="B551" s="40" t="s">
        <v>3179</v>
      </c>
      <c r="C551" s="40" t="s">
        <v>546</v>
      </c>
      <c r="D551" s="44">
        <v>2030</v>
      </c>
      <c r="E551" s="44"/>
      <c r="F551" s="40" t="s">
        <v>1331</v>
      </c>
      <c r="G551" s="40" t="s">
        <v>1259</v>
      </c>
      <c r="H551" s="40" t="s">
        <v>467</v>
      </c>
      <c r="I551" s="40" t="s">
        <v>1269</v>
      </c>
      <c r="J551" s="40" t="s">
        <v>1393</v>
      </c>
      <c r="K551" s="40" t="s">
        <v>578</v>
      </c>
      <c r="Z551" s="40" t="s">
        <v>2054</v>
      </c>
      <c r="AA551" s="45">
        <v>400</v>
      </c>
      <c r="AB551" s="46">
        <f>IF(H2ProjectDB689571011[[#This Row],[Dummy_1]]="Electrolysis",
AA551/VLOOKUP(G551,ElectrolysisConvF,3,FALSE),
AC551*10^6/(H2dens*HoursInYear))</f>
        <v>88888.888888888891</v>
      </c>
      <c r="AC551" s="47">
        <f t="shared" si="46"/>
        <v>69.301333333333332</v>
      </c>
      <c r="AE551" s="46">
        <f t="shared" si="45"/>
        <v>88888.888888888891</v>
      </c>
      <c r="AF551" s="43" t="s">
        <v>7360</v>
      </c>
      <c r="AG551" s="43">
        <v>51.963315441408902</v>
      </c>
      <c r="AH551" s="43">
        <v>4.0225740875889402</v>
      </c>
      <c r="AI551" s="122" t="s">
        <v>7286</v>
      </c>
      <c r="AJ551" s="41">
        <v>0.55000000000000004</v>
      </c>
    </row>
    <row r="552" spans="1:36" ht="34.5" hidden="1" customHeight="1" x14ac:dyDescent="0.25">
      <c r="A552" s="40">
        <v>929</v>
      </c>
      <c r="B552" s="40" t="s">
        <v>2634</v>
      </c>
      <c r="C552" s="40" t="s">
        <v>535</v>
      </c>
      <c r="D552" s="44">
        <v>2025</v>
      </c>
      <c r="E552" s="44"/>
      <c r="F552" s="40" t="s">
        <v>5701</v>
      </c>
      <c r="G552" s="40" t="s">
        <v>457</v>
      </c>
      <c r="I552" s="40" t="s">
        <v>1269</v>
      </c>
      <c r="J552" s="40" t="s">
        <v>1395</v>
      </c>
      <c r="K552" s="40" t="s">
        <v>578</v>
      </c>
      <c r="S552" s="40">
        <v>1</v>
      </c>
      <c r="Z552" s="40" t="s">
        <v>1333</v>
      </c>
      <c r="AA552" s="45">
        <v>10</v>
      </c>
      <c r="AB552" s="46">
        <f>IF(H2ProjectDB689571011[[#This Row],[Dummy_1]]="Electrolysis",
AA552/VLOOKUP(G552,ElectrolysisConvF,3,FALSE),
AC552*10^6/(H2dens*HoursInYear))</f>
        <v>2173.913043478261</v>
      </c>
      <c r="AC552" s="47">
        <f t="shared" si="46"/>
        <v>1.6948695652173913</v>
      </c>
      <c r="AE552" s="46">
        <f t="shared" si="45"/>
        <v>2173.913043478261</v>
      </c>
      <c r="AF552" s="43" t="s">
        <v>2635</v>
      </c>
      <c r="AG552" s="43">
        <v>-36.1178304691026</v>
      </c>
      <c r="AH552" s="43">
        <v>146.878647819972</v>
      </c>
      <c r="AI552" s="122" t="s">
        <v>7286</v>
      </c>
      <c r="AJ552" s="41">
        <v>0.5</v>
      </c>
    </row>
    <row r="553" spans="1:36" ht="34.5" hidden="1" customHeight="1" x14ac:dyDescent="0.25">
      <c r="A553" s="40">
        <v>931</v>
      </c>
      <c r="B553" s="40" t="s">
        <v>2178</v>
      </c>
      <c r="C553" s="40" t="s">
        <v>1764</v>
      </c>
      <c r="D553" s="44">
        <v>2026</v>
      </c>
      <c r="E553" s="44"/>
      <c r="F553" s="40" t="s">
        <v>1331</v>
      </c>
      <c r="G553" s="40" t="s">
        <v>457</v>
      </c>
      <c r="I553" s="40" t="s">
        <v>1269</v>
      </c>
      <c r="J553" s="40" t="s">
        <v>1395</v>
      </c>
      <c r="K553" s="40" t="s">
        <v>578</v>
      </c>
      <c r="P553" s="40">
        <v>1</v>
      </c>
      <c r="Z553" s="40" t="s">
        <v>1485</v>
      </c>
      <c r="AA553" s="45">
        <v>100</v>
      </c>
      <c r="AB553" s="46">
        <f>IF(H2ProjectDB689571011[[#This Row],[Dummy_1]]="Electrolysis",
AA553/VLOOKUP(G553,ElectrolysisConvF,3,FALSE),
AC553*10^6/(H2dens*HoursInYear))</f>
        <v>21739.130434782608</v>
      </c>
      <c r="AC553" s="47">
        <f t="shared" si="46"/>
        <v>16.94869565217391</v>
      </c>
      <c r="AE553" s="46">
        <f t="shared" si="45"/>
        <v>21739.130434782608</v>
      </c>
      <c r="AF553" s="43" t="s">
        <v>2179</v>
      </c>
      <c r="AG553" s="43">
        <v>39.987063558589398</v>
      </c>
      <c r="AH553" s="43">
        <v>-5.0294714561997897E-2</v>
      </c>
      <c r="AI553" s="122" t="s">
        <v>7286</v>
      </c>
      <c r="AJ553" s="41">
        <v>0.5</v>
      </c>
    </row>
    <row r="554" spans="1:36" ht="34.5" hidden="1" customHeight="1" x14ac:dyDescent="0.25">
      <c r="A554" s="40">
        <v>932</v>
      </c>
      <c r="B554" s="40" t="s">
        <v>5231</v>
      </c>
      <c r="C554" s="40" t="s">
        <v>541</v>
      </c>
      <c r="D554" s="44">
        <v>2026</v>
      </c>
      <c r="E554" s="44"/>
      <c r="F554" s="40" t="s">
        <v>1331</v>
      </c>
      <c r="G554" s="40" t="s">
        <v>455</v>
      </c>
      <c r="I554" s="40" t="s">
        <v>5700</v>
      </c>
      <c r="K554" s="40" t="s">
        <v>578</v>
      </c>
      <c r="L554" s="40">
        <v>1</v>
      </c>
      <c r="Z554" s="40" t="s">
        <v>1495</v>
      </c>
      <c r="AA554" s="45">
        <v>20</v>
      </c>
      <c r="AB554" s="46">
        <f>IF(H2ProjectDB689571011[[#This Row],[Dummy_1]]="Electrolysis",
AA554/VLOOKUP(G554,ElectrolysisConvF,3,FALSE),
AC554*10^6/(H2dens*HoursInYear))</f>
        <v>3846.1538461538462</v>
      </c>
      <c r="AC554" s="47">
        <f t="shared" si="46"/>
        <v>2.9986153846153845</v>
      </c>
      <c r="AE554" s="46">
        <f t="shared" si="45"/>
        <v>3846.1538461538462</v>
      </c>
      <c r="AF554" s="43" t="s">
        <v>4650</v>
      </c>
      <c r="AG554" s="43">
        <v>39.086723062047596</v>
      </c>
      <c r="AH554" s="43">
        <v>9.0220646883576503</v>
      </c>
      <c r="AI554" s="122" t="s">
        <v>7286</v>
      </c>
      <c r="AJ554" s="41">
        <v>0.7</v>
      </c>
    </row>
    <row r="555" spans="1:36" ht="34.5" hidden="1" customHeight="1" x14ac:dyDescent="0.25">
      <c r="A555" s="40">
        <v>933</v>
      </c>
      <c r="B555" s="40" t="s">
        <v>2182</v>
      </c>
      <c r="C555" s="40" t="s">
        <v>530</v>
      </c>
      <c r="D555" s="44">
        <v>2025</v>
      </c>
      <c r="E555" s="44"/>
      <c r="F555" s="40" t="s">
        <v>5701</v>
      </c>
      <c r="G555" s="40" t="s">
        <v>1259</v>
      </c>
      <c r="H555" s="40" t="s">
        <v>467</v>
      </c>
      <c r="I555" s="40" t="s">
        <v>1269</v>
      </c>
      <c r="J555" s="40" t="s">
        <v>1395</v>
      </c>
      <c r="K555" s="40" t="s">
        <v>578</v>
      </c>
      <c r="Q555" s="40">
        <v>1</v>
      </c>
      <c r="Z555" s="40" t="s">
        <v>1336</v>
      </c>
      <c r="AA555" s="45">
        <v>2.5</v>
      </c>
      <c r="AB555" s="46">
        <f>IF(H2ProjectDB689571011[[#This Row],[Dummy_1]]="Electrolysis",
AA555/VLOOKUP(G555,ElectrolysisConvF,3,FALSE),
AC555*10^6/(H2dens*HoursInYear))</f>
        <v>555.55555555555554</v>
      </c>
      <c r="AC555" s="47">
        <f t="shared" si="46"/>
        <v>0.43313333333333331</v>
      </c>
      <c r="AE555" s="46">
        <f t="shared" si="45"/>
        <v>555.55555555555554</v>
      </c>
      <c r="AF555" s="43" t="s">
        <v>2183</v>
      </c>
      <c r="AG555" s="43">
        <v>48.778878990624897</v>
      </c>
      <c r="AH555" s="43">
        <v>2.4368744999817702</v>
      </c>
      <c r="AI555" s="122" t="s">
        <v>7286</v>
      </c>
      <c r="AJ555" s="41">
        <v>0.5</v>
      </c>
    </row>
    <row r="556" spans="1:36" ht="34.5" hidden="1" customHeight="1" x14ac:dyDescent="0.25">
      <c r="A556" s="40">
        <v>934</v>
      </c>
      <c r="B556" s="40" t="s">
        <v>2191</v>
      </c>
      <c r="C556" s="40" t="s">
        <v>536</v>
      </c>
      <c r="D556" s="40">
        <v>2018</v>
      </c>
      <c r="F556" s="40" t="s">
        <v>1339</v>
      </c>
      <c r="G556" s="40" t="s">
        <v>455</v>
      </c>
      <c r="I556" s="40" t="s">
        <v>1257</v>
      </c>
      <c r="K556" s="40" t="s">
        <v>578</v>
      </c>
      <c r="Q556" s="40">
        <v>1</v>
      </c>
      <c r="Z556" s="40" t="s">
        <v>1493</v>
      </c>
      <c r="AA556" s="45">
        <v>2</v>
      </c>
      <c r="AB556" s="46">
        <f>IF(H2ProjectDB689571011[[#This Row],[Dummy_1]]="Electrolysis",
AA556/VLOOKUP(G556,ElectrolysisConvF,3,FALSE),
AC556*10^6/(H2dens*HoursInYear))</f>
        <v>384.61538461538464</v>
      </c>
      <c r="AC556" s="47">
        <f t="shared" si="46"/>
        <v>0.29986153846153851</v>
      </c>
      <c r="AE556" s="46">
        <f t="shared" si="45"/>
        <v>384.61538461538464</v>
      </c>
      <c r="AF556" s="43" t="s">
        <v>2192</v>
      </c>
      <c r="AG556" s="43">
        <v>33.833539827522898</v>
      </c>
      <c r="AH556" s="43">
        <v>-116.550900734962</v>
      </c>
      <c r="AI556" s="122" t="s">
        <v>7286</v>
      </c>
      <c r="AJ556" s="41">
        <v>0.56999999999999995</v>
      </c>
    </row>
    <row r="557" spans="1:36" ht="34.5" hidden="1" customHeight="1" x14ac:dyDescent="0.25">
      <c r="A557" s="40">
        <v>936</v>
      </c>
      <c r="B557" s="40" t="s">
        <v>6611</v>
      </c>
      <c r="C557" s="40" t="s">
        <v>559</v>
      </c>
      <c r="D557" s="44">
        <v>2025</v>
      </c>
      <c r="E557" s="44"/>
      <c r="F557" s="40" t="s">
        <v>5701</v>
      </c>
      <c r="G557" s="40" t="s">
        <v>457</v>
      </c>
      <c r="I557" s="40" t="s">
        <v>1269</v>
      </c>
      <c r="J557" s="40" t="s">
        <v>1394</v>
      </c>
      <c r="K557" s="40" t="s">
        <v>578</v>
      </c>
      <c r="O557" s="40">
        <v>1</v>
      </c>
      <c r="Z557" s="40" t="s">
        <v>6334</v>
      </c>
      <c r="AA557" s="45">
        <v>800</v>
      </c>
      <c r="AB557" s="46">
        <f>IF(H2ProjectDB689571011[[#This Row],[Dummy_1]]="Electrolysis",
AA557/VLOOKUP(G557,ElectrolysisConvF,3,FALSE),
AC557*10^6/(H2dens*HoursInYear))</f>
        <v>173913.04347826086</v>
      </c>
      <c r="AC557" s="47">
        <f t="shared" si="46"/>
        <v>135.58956521739128</v>
      </c>
      <c r="AE557" s="46">
        <f t="shared" si="45"/>
        <v>173913.04347826086</v>
      </c>
      <c r="AF557" s="43" t="s">
        <v>6609</v>
      </c>
      <c r="AG557" s="43">
        <v>65.828989202636905</v>
      </c>
      <c r="AH557" s="43">
        <v>21.690453501858499</v>
      </c>
      <c r="AI557" s="122" t="s">
        <v>7286</v>
      </c>
      <c r="AJ557" s="41">
        <v>0.8</v>
      </c>
    </row>
    <row r="558" spans="1:36" ht="34.5" hidden="1" customHeight="1" x14ac:dyDescent="0.25">
      <c r="A558" s="40">
        <v>937</v>
      </c>
      <c r="B558" s="40" t="s">
        <v>2218</v>
      </c>
      <c r="C558" s="40" t="s">
        <v>536</v>
      </c>
      <c r="D558" s="44">
        <v>2025</v>
      </c>
      <c r="E558" s="44"/>
      <c r="F558" s="40" t="s">
        <v>5701</v>
      </c>
      <c r="G558" s="40" t="s">
        <v>455</v>
      </c>
      <c r="I558" s="40" t="s">
        <v>1269</v>
      </c>
      <c r="J558" s="40" t="s">
        <v>1394</v>
      </c>
      <c r="K558" s="40" t="s">
        <v>578</v>
      </c>
      <c r="Q558" s="40">
        <v>1</v>
      </c>
      <c r="Z558" s="40" t="s">
        <v>1527</v>
      </c>
      <c r="AA558" s="45">
        <v>120</v>
      </c>
      <c r="AB558" s="46">
        <f>IF(H2ProjectDB689571011[[#This Row],[Dummy_1]]="Electrolysis",
AA558/VLOOKUP(G558,ElectrolysisConvF,3,FALSE),
AC558*10^6/(H2dens*HoursInYear))</f>
        <v>23076.923076923078</v>
      </c>
      <c r="AC558" s="47">
        <f t="shared" si="46"/>
        <v>17.991692307692308</v>
      </c>
      <c r="AE558" s="46">
        <f t="shared" si="45"/>
        <v>23076.923076923078</v>
      </c>
      <c r="AF558" s="43" t="s">
        <v>6797</v>
      </c>
      <c r="AG558" s="43">
        <v>43.0964478</v>
      </c>
      <c r="AH558" s="43">
        <v>-78.390855900000005</v>
      </c>
      <c r="AI558" s="122" t="s">
        <v>7286</v>
      </c>
      <c r="AJ558" s="41">
        <v>0.8</v>
      </c>
    </row>
    <row r="559" spans="1:36" ht="34.5" hidden="1" customHeight="1" x14ac:dyDescent="0.25">
      <c r="A559" s="40">
        <v>938</v>
      </c>
      <c r="B559" s="40" t="s">
        <v>2221</v>
      </c>
      <c r="C559" s="40" t="s">
        <v>1764</v>
      </c>
      <c r="D559" s="44">
        <v>2023</v>
      </c>
      <c r="F559" s="40" t="s">
        <v>1339</v>
      </c>
      <c r="G559" s="40" t="s">
        <v>457</v>
      </c>
      <c r="I559" s="40" t="s">
        <v>1269</v>
      </c>
      <c r="J559" s="40" t="s">
        <v>581</v>
      </c>
      <c r="K559" s="40" t="s">
        <v>578</v>
      </c>
      <c r="L559" s="40">
        <v>1</v>
      </c>
      <c r="Q559" s="40">
        <v>1</v>
      </c>
      <c r="Z559" s="40" t="s">
        <v>1336</v>
      </c>
      <c r="AA559" s="45">
        <v>2.5</v>
      </c>
      <c r="AB559" s="46">
        <f>IF(H2ProjectDB689571011[[#This Row],[Dummy_1]]="Electrolysis",
AA559/VLOOKUP(G559,ElectrolysisConvF,3,FALSE),
AC559*10^6/(H2dens*HoursInYear))</f>
        <v>543.47826086956525</v>
      </c>
      <c r="AC559" s="47">
        <f t="shared" si="46"/>
        <v>0.42371739130434782</v>
      </c>
      <c r="AE559" s="46">
        <f t="shared" si="45"/>
        <v>543.47826086956525</v>
      </c>
      <c r="AF559" s="43" t="s">
        <v>2257</v>
      </c>
      <c r="AG559" s="43">
        <v>43.325599528719202</v>
      </c>
      <c r="AH559" s="43">
        <v>-3.1139530189764302</v>
      </c>
      <c r="AI559" s="122" t="s">
        <v>7286</v>
      </c>
      <c r="AJ559" s="41">
        <v>0.5</v>
      </c>
    </row>
    <row r="560" spans="1:36" ht="34.5" hidden="1" customHeight="1" x14ac:dyDescent="0.25">
      <c r="A560" s="81">
        <v>939</v>
      </c>
      <c r="B560" s="81" t="s">
        <v>2644</v>
      </c>
      <c r="C560" s="82" t="s">
        <v>2224</v>
      </c>
      <c r="D560" s="101">
        <v>2030</v>
      </c>
      <c r="E560" s="101"/>
      <c r="F560" s="81" t="s">
        <v>2222</v>
      </c>
      <c r="G560" s="81" t="s">
        <v>1259</v>
      </c>
      <c r="H560" s="81" t="s">
        <v>467</v>
      </c>
      <c r="I560" s="81" t="s">
        <v>1269</v>
      </c>
      <c r="J560" s="81" t="s">
        <v>1395</v>
      </c>
      <c r="K560" s="81" t="s">
        <v>578</v>
      </c>
      <c r="L560" s="81"/>
      <c r="M560" s="81"/>
      <c r="N560" s="81"/>
      <c r="O560" s="81"/>
      <c r="P560" s="81">
        <v>1</v>
      </c>
      <c r="Q560" s="81">
        <v>1</v>
      </c>
      <c r="R560" s="81"/>
      <c r="S560" s="81">
        <v>1</v>
      </c>
      <c r="T560" s="81"/>
      <c r="U560" s="81"/>
      <c r="V560" s="81"/>
      <c r="W560" s="81"/>
      <c r="X560" s="81"/>
      <c r="Y560" s="81"/>
      <c r="Z560" s="81" t="s">
        <v>2366</v>
      </c>
      <c r="AA560" s="83"/>
      <c r="AB560" s="84"/>
      <c r="AC560" s="85">
        <f t="shared" si="46"/>
        <v>0</v>
      </c>
      <c r="AD560" s="84"/>
      <c r="AE560" s="84">
        <f t="shared" si="45"/>
        <v>0</v>
      </c>
      <c r="AF560" s="82" t="s">
        <v>2259</v>
      </c>
      <c r="AG560" s="82">
        <v>0</v>
      </c>
      <c r="AH560" s="82">
        <v>0</v>
      </c>
      <c r="AI560" s="122" t="s">
        <v>7286</v>
      </c>
      <c r="AJ560" s="41">
        <v>0.5</v>
      </c>
    </row>
    <row r="561" spans="1:36" s="81" customFormat="1" ht="34.5" hidden="1" customHeight="1" x14ac:dyDescent="0.25">
      <c r="A561" s="40">
        <v>940</v>
      </c>
      <c r="B561" s="40" t="s">
        <v>2225</v>
      </c>
      <c r="C561" s="40" t="s">
        <v>975</v>
      </c>
      <c r="D561" s="44">
        <v>2025</v>
      </c>
      <c r="E561" s="44"/>
      <c r="F561" s="40" t="s">
        <v>1331</v>
      </c>
      <c r="G561" s="40" t="s">
        <v>1261</v>
      </c>
      <c r="H561" s="40" t="s">
        <v>1665</v>
      </c>
      <c r="I561" s="40"/>
      <c r="J561" s="40"/>
      <c r="K561" s="40" t="s">
        <v>578</v>
      </c>
      <c r="L561" s="40"/>
      <c r="M561" s="40"/>
      <c r="N561" s="40"/>
      <c r="O561" s="40"/>
      <c r="P561" s="40"/>
      <c r="Q561" s="40"/>
      <c r="R561" s="40"/>
      <c r="S561" s="40"/>
      <c r="T561" s="40"/>
      <c r="U561" s="40"/>
      <c r="V561" s="40"/>
      <c r="W561" s="40"/>
      <c r="X561" s="40"/>
      <c r="Y561" s="40"/>
      <c r="Z561" s="40" t="s">
        <v>5077</v>
      </c>
      <c r="AA561" s="45" t="str">
        <f>IF(OR(G561="ALK",G561="PEM",G561="SOEC",G561="Other Electrolysis"),
AB561*VLOOKUP(G561,ElectrolysisConvF,3,FALSE),
"")</f>
        <v/>
      </c>
      <c r="AB561" s="46">
        <f>IF(H2ProjectDB689571011[[#This Row],[Dummy_1]]="Electrolysis",
AA561/VLOOKUP(G561,ElectrolysisConvF,3,FALSE),
AC561*10^6/(H2dens*HoursInYear))</f>
        <v>320660.81781334977</v>
      </c>
      <c r="AC561" s="47">
        <v>250</v>
      </c>
      <c r="AD561" s="46">
        <v>150000</v>
      </c>
      <c r="AE561" s="46">
        <f t="shared" si="45"/>
        <v>18806.466415412277</v>
      </c>
      <c r="AF561" s="43" t="s">
        <v>2228</v>
      </c>
      <c r="AG561" s="43">
        <v>36.347190038945797</v>
      </c>
      <c r="AH561" s="43">
        <v>126.546228050541</v>
      </c>
      <c r="AI561" s="122" t="s">
        <v>7287</v>
      </c>
      <c r="AJ561" s="41">
        <v>0.9</v>
      </c>
    </row>
    <row r="562" spans="1:36" ht="34.5" hidden="1" customHeight="1" x14ac:dyDescent="0.25">
      <c r="A562" s="40">
        <v>941</v>
      </c>
      <c r="B562" s="40" t="s">
        <v>3639</v>
      </c>
      <c r="C562" s="40" t="s">
        <v>536</v>
      </c>
      <c r="D562" s="44">
        <v>2023</v>
      </c>
      <c r="F562" s="40" t="s">
        <v>1339</v>
      </c>
      <c r="G562" s="40" t="s">
        <v>455</v>
      </c>
      <c r="I562" s="40" t="s">
        <v>1269</v>
      </c>
      <c r="J562" s="40" t="s">
        <v>1391</v>
      </c>
      <c r="K562" s="40" t="s">
        <v>578</v>
      </c>
      <c r="R562" s="40">
        <v>1</v>
      </c>
      <c r="Z562" s="40" t="s">
        <v>1481</v>
      </c>
      <c r="AA562" s="45">
        <v>25</v>
      </c>
      <c r="AB562" s="46">
        <f>IF(H2ProjectDB689571011[[#This Row],[Dummy_1]]="Electrolysis",
AA562/VLOOKUP(G562,ElectrolysisConvF,3,FALSE),
AC562*10^6/(H2dens*HoursInYear))</f>
        <v>4807.6923076923076</v>
      </c>
      <c r="AC562" s="47">
        <f>AB562*H2dens*HoursInYear/10^6</f>
        <v>3.7482692307692305</v>
      </c>
      <c r="AE562" s="46">
        <f t="shared" si="45"/>
        <v>4807.6923076923076</v>
      </c>
      <c r="AF562" s="43" t="s">
        <v>2229</v>
      </c>
      <c r="AG562" s="43">
        <v>27.643589058237801</v>
      </c>
      <c r="AH562" s="43">
        <v>-80.789925262966094</v>
      </c>
      <c r="AI562" s="122" t="s">
        <v>7286</v>
      </c>
      <c r="AJ562" s="41">
        <v>0.3</v>
      </c>
    </row>
    <row r="563" spans="1:36" ht="34.5" hidden="1" customHeight="1" x14ac:dyDescent="0.25">
      <c r="A563" s="40">
        <v>942</v>
      </c>
      <c r="B563" s="40" t="s">
        <v>2232</v>
      </c>
      <c r="C563" s="40" t="s">
        <v>1305</v>
      </c>
      <c r="D563" s="44">
        <v>2027</v>
      </c>
      <c r="E563" s="44"/>
      <c r="F563" s="40" t="s">
        <v>5701</v>
      </c>
      <c r="G563" s="40" t="s">
        <v>455</v>
      </c>
      <c r="I563" s="40" t="s">
        <v>1266</v>
      </c>
      <c r="K563" s="40" t="s">
        <v>578</v>
      </c>
      <c r="L563" s="40">
        <v>1</v>
      </c>
      <c r="W563" s="40">
        <v>1</v>
      </c>
      <c r="Z563" s="40" t="s">
        <v>1485</v>
      </c>
      <c r="AA563" s="45">
        <v>100</v>
      </c>
      <c r="AB563" s="46">
        <f>IF(H2ProjectDB689571011[[#This Row],[Dummy_1]]="Electrolysis",
AA563/VLOOKUP(G563,ElectrolysisConvF,3,FALSE),
AC563*10^6/(H2dens*HoursInYear))</f>
        <v>19230.76923076923</v>
      </c>
      <c r="AC563" s="47">
        <f>AB563*H2dens*HoursInYear/10^6</f>
        <v>14.993076923076922</v>
      </c>
      <c r="AE563" s="46">
        <f t="shared" si="45"/>
        <v>19230.76923076923</v>
      </c>
      <c r="AF563" s="43" t="s">
        <v>8141</v>
      </c>
      <c r="AG563" s="43">
        <v>50.860561556485102</v>
      </c>
      <c r="AH563" s="43">
        <v>6.9805816155065097</v>
      </c>
      <c r="AI563" s="122" t="s">
        <v>7286</v>
      </c>
      <c r="AJ563" s="41">
        <v>0.56999999999999995</v>
      </c>
    </row>
    <row r="564" spans="1:36" ht="34.5" hidden="1" customHeight="1" x14ac:dyDescent="0.25">
      <c r="A564" s="40">
        <v>943</v>
      </c>
      <c r="B564" s="40" t="s">
        <v>2234</v>
      </c>
      <c r="C564" s="40" t="s">
        <v>1764</v>
      </c>
      <c r="D564" s="44">
        <v>2022</v>
      </c>
      <c r="F564" s="40" t="s">
        <v>1339</v>
      </c>
      <c r="G564" s="40" t="s">
        <v>455</v>
      </c>
      <c r="I564" s="40" t="s">
        <v>1269</v>
      </c>
      <c r="J564" s="40" t="s">
        <v>1391</v>
      </c>
      <c r="K564" s="40" t="s">
        <v>578</v>
      </c>
      <c r="Q564" s="40">
        <v>1</v>
      </c>
      <c r="Z564" s="40" t="s">
        <v>2235</v>
      </c>
      <c r="AA564" s="78">
        <f>IF(H2ProjectDB689571011[[#This Row],[Dummy_1]]="Electrolysis",
AB564*VLOOKUP(G564,ElectrolysisConvF,3,FALSE),
"")</f>
        <v>1.4606741573033709E-2</v>
      </c>
      <c r="AB564" s="46">
        <f>AC564/(H2dens*HoursInYear/10^6)</f>
        <v>2.808988764044944</v>
      </c>
      <c r="AC564" s="47">
        <f>6*365/10^6</f>
        <v>2.1900000000000001E-3</v>
      </c>
      <c r="AD564" s="78"/>
      <c r="AE564" s="46">
        <f t="shared" si="45"/>
        <v>2.808988764044944</v>
      </c>
      <c r="AF564" s="43" t="s">
        <v>4417</v>
      </c>
      <c r="AG564" s="43">
        <v>40.122129999999999</v>
      </c>
      <c r="AH564" s="43">
        <v>-3.8470399999999998</v>
      </c>
      <c r="AI564" s="122" t="s">
        <v>7286</v>
      </c>
      <c r="AJ564" s="41">
        <v>0.3</v>
      </c>
    </row>
    <row r="565" spans="1:36" ht="34.5" hidden="1" customHeight="1" x14ac:dyDescent="0.25">
      <c r="A565" s="40">
        <v>944</v>
      </c>
      <c r="B565" s="40" t="s">
        <v>6959</v>
      </c>
      <c r="C565" s="40" t="s">
        <v>975</v>
      </c>
      <c r="D565" s="44">
        <v>2023</v>
      </c>
      <c r="E565" s="44"/>
      <c r="F565" s="40" t="s">
        <v>1540</v>
      </c>
      <c r="G565" s="40" t="s">
        <v>456</v>
      </c>
      <c r="I565" s="40" t="s">
        <v>1269</v>
      </c>
      <c r="J565" s="40" t="s">
        <v>1391</v>
      </c>
      <c r="K565" s="40" t="s">
        <v>578</v>
      </c>
      <c r="R565" s="40">
        <v>1</v>
      </c>
      <c r="Z565" s="40" t="s">
        <v>6960</v>
      </c>
      <c r="AA565" s="45">
        <f>125/1000</f>
        <v>0.125</v>
      </c>
      <c r="AB565" s="46">
        <f>IF(H2ProjectDB689571011[[#This Row],[Dummy_1]]="Electrolysis",
AA565/VLOOKUP(G565,ElectrolysisConvF,3,FALSE),
AC565*10^6/(H2dens*HoursInYear))</f>
        <v>32.89473684210526</v>
      </c>
      <c r="AC565" s="47">
        <f>AB565*H2dens*HoursInYear/10^6</f>
        <v>2.5646052631578948E-2</v>
      </c>
      <c r="AE565" s="46">
        <f t="shared" si="45"/>
        <v>32.89473684210526</v>
      </c>
      <c r="AF565" s="43" t="s">
        <v>2240</v>
      </c>
      <c r="AG565" s="43">
        <v>35.212283027272001</v>
      </c>
      <c r="AH565" s="43">
        <v>128.61100906098699</v>
      </c>
      <c r="AI565" s="122" t="s">
        <v>7286</v>
      </c>
      <c r="AJ565" s="41">
        <v>0.3</v>
      </c>
    </row>
    <row r="566" spans="1:36" ht="34.5" hidden="1" customHeight="1" x14ac:dyDescent="0.25">
      <c r="A566" s="40">
        <v>945</v>
      </c>
      <c r="B566" s="40" t="s">
        <v>3308</v>
      </c>
      <c r="C566" s="40" t="s">
        <v>1305</v>
      </c>
      <c r="D566" s="44">
        <v>2025</v>
      </c>
      <c r="E566" s="44"/>
      <c r="F566" s="40" t="s">
        <v>1331</v>
      </c>
      <c r="G566" s="40" t="s">
        <v>1259</v>
      </c>
      <c r="H566" s="40" t="s">
        <v>467</v>
      </c>
      <c r="I566" s="40" t="s">
        <v>1269</v>
      </c>
      <c r="J566" s="40" t="s">
        <v>581</v>
      </c>
      <c r="K566" s="40" t="s">
        <v>578</v>
      </c>
      <c r="O566" s="40">
        <v>1</v>
      </c>
      <c r="Z566" s="40" t="s">
        <v>3309</v>
      </c>
      <c r="AA566" s="45">
        <v>70</v>
      </c>
      <c r="AB566" s="46">
        <f>IF(H2ProjectDB689571011[[#This Row],[Dummy_1]]="Electrolysis",
AA566/VLOOKUP(G566,ElectrolysisConvF,3,FALSE),
AC566*10^6/(H2dens*HoursInYear))</f>
        <v>15555.555555555557</v>
      </c>
      <c r="AC566" s="47">
        <f>AB566*H2dens*HoursInYear/10^6</f>
        <v>12.127733333333333</v>
      </c>
      <c r="AE566" s="46">
        <f t="shared" si="45"/>
        <v>15555.555555555557</v>
      </c>
      <c r="AF566" s="43" t="s">
        <v>3616</v>
      </c>
      <c r="AG566" s="43">
        <v>53.5295406441506</v>
      </c>
      <c r="AH566" s="43">
        <v>8.1296932004386608</v>
      </c>
      <c r="AI566" s="122" t="s">
        <v>7286</v>
      </c>
      <c r="AJ566" s="41">
        <v>0.5</v>
      </c>
    </row>
    <row r="567" spans="1:36" ht="34.5" hidden="1" customHeight="1" x14ac:dyDescent="0.25">
      <c r="A567" s="40">
        <v>946</v>
      </c>
      <c r="B567" s="40" t="s">
        <v>2726</v>
      </c>
      <c r="C567" s="40" t="s">
        <v>537</v>
      </c>
      <c r="D567" s="44">
        <v>2022</v>
      </c>
      <c r="F567" s="40" t="s">
        <v>1339</v>
      </c>
      <c r="G567" s="40" t="s">
        <v>1260</v>
      </c>
      <c r="I567" s="40" t="str">
        <f>IF(AND(G567&lt;&gt;"ALK",G567&lt;&gt;"PEM",G567&lt;&gt;"SOEC",G567&lt;&gt;"Other electrolysis"),"N/A","")</f>
        <v>N/A</v>
      </c>
      <c r="J567" s="40" t="str">
        <f>IF(I567&lt;&gt;"Dedicated renewable","N/A",)</f>
        <v>N/A</v>
      </c>
      <c r="K567" s="40" t="s">
        <v>578</v>
      </c>
      <c r="M567" s="40">
        <v>1</v>
      </c>
      <c r="Z567" s="40" t="s">
        <v>4808</v>
      </c>
      <c r="AA567" s="45" t="str">
        <f>IF(OR(G567="ALK",G567="PEM",G567="SOEC",G567="Other Electrolysis"),
AB567*VLOOKUP(G567,ElectrolysisConvF,3,FALSE),
"")</f>
        <v/>
      </c>
      <c r="AC567" s="47"/>
      <c r="AD567" s="46">
        <v>1000000</v>
      </c>
      <c r="AE567" s="46">
        <f t="shared" si="45"/>
        <v>59845.478973290963</v>
      </c>
      <c r="AF567" s="43" t="s">
        <v>3764</v>
      </c>
      <c r="AG567" s="43">
        <v>36.830027221475</v>
      </c>
      <c r="AH567" s="43">
        <v>118.111095381284</v>
      </c>
      <c r="AI567" s="122" t="s">
        <v>7287</v>
      </c>
      <c r="AJ567" s="41">
        <v>0.9</v>
      </c>
    </row>
    <row r="568" spans="1:36" ht="34.5" hidden="1" customHeight="1" x14ac:dyDescent="0.25">
      <c r="A568" s="40">
        <v>947</v>
      </c>
      <c r="B568" s="40" t="s">
        <v>2244</v>
      </c>
      <c r="C568" s="40" t="s">
        <v>537</v>
      </c>
      <c r="D568" s="40">
        <v>2015</v>
      </c>
      <c r="F568" s="40" t="s">
        <v>1339</v>
      </c>
      <c r="G568" s="40" t="s">
        <v>1262</v>
      </c>
      <c r="I568" s="40" t="str">
        <f>IF(AND(G568&lt;&gt;"ALK",G568&lt;&gt;"PEM",G568&lt;&gt;"SOEC",G568&lt;&gt;"Other electrolysis"),"N/A","")</f>
        <v>N/A</v>
      </c>
      <c r="J568" s="40" t="str">
        <f>IF(I568&lt;&gt;"Dedicated renewable","N/A",)</f>
        <v>N/A</v>
      </c>
      <c r="K568" s="40" t="s">
        <v>1242</v>
      </c>
      <c r="N568" s="40">
        <v>1</v>
      </c>
      <c r="Z568" s="40" t="s">
        <v>2247</v>
      </c>
      <c r="AA568" s="45" t="str">
        <f>IF(OR(G568="ALK",G568="PEM",G568="SOEC",G568="Other Electrolysis"),
AB568*VLOOKUP(G568,ElectrolysisConvF,3,FALSE),
"")</f>
        <v/>
      </c>
      <c r="AC568" s="47"/>
      <c r="AD568" s="46">
        <v>100000</v>
      </c>
      <c r="AE568" s="46">
        <f t="shared" si="45"/>
        <v>5984.5478973290956</v>
      </c>
      <c r="AF568" s="43" t="s">
        <v>2246</v>
      </c>
      <c r="AG568" s="43">
        <v>45.582985388523099</v>
      </c>
      <c r="AH568" s="43">
        <v>84.896507275207597</v>
      </c>
      <c r="AI568" s="122" t="s">
        <v>7287</v>
      </c>
      <c r="AJ568" s="41">
        <v>0.9</v>
      </c>
    </row>
    <row r="569" spans="1:36" ht="34.5" hidden="1" customHeight="1" x14ac:dyDescent="0.25">
      <c r="A569" s="40">
        <v>948</v>
      </c>
      <c r="B569" s="40" t="s">
        <v>2248</v>
      </c>
      <c r="C569" s="40" t="s">
        <v>536</v>
      </c>
      <c r="D569" s="40">
        <v>2000</v>
      </c>
      <c r="E569" s="44">
        <v>2025</v>
      </c>
      <c r="F569" s="40" t="s">
        <v>1339</v>
      </c>
      <c r="G569" s="40" t="s">
        <v>1260</v>
      </c>
      <c r="H569" s="40" t="s">
        <v>5710</v>
      </c>
      <c r="I569" s="40" t="str">
        <f>IF(AND(G569&lt;&gt;"ALK",G569&lt;&gt;"PEM",G569&lt;&gt;"SOEC",G569&lt;&gt;"Other electrolysis"),"N/A","")</f>
        <v>N/A</v>
      </c>
      <c r="J569" s="40" t="str">
        <f>IF(I569&lt;&gt;"Dedicated renewable","N/A",)</f>
        <v>N/A</v>
      </c>
      <c r="K569" s="40" t="s">
        <v>612</v>
      </c>
      <c r="X569" s="40">
        <v>1</v>
      </c>
      <c r="Z569" s="40" t="s">
        <v>2249</v>
      </c>
      <c r="AA569" s="45" t="str">
        <f>IF(OR(G569="ALK",G569="PEM",G569="SOEC",G569="Other Electrolysis"),
AB569*VLOOKUP(G569,ElectrolysisConvF,3,FALSE),
"")</f>
        <v/>
      </c>
      <c r="AC569" s="47"/>
      <c r="AD569" s="46">
        <v>3000000</v>
      </c>
      <c r="AE569" s="46">
        <f t="shared" si="45"/>
        <v>179536.43691987288</v>
      </c>
      <c r="AF569" s="43" t="s">
        <v>3039</v>
      </c>
      <c r="AG569" s="43">
        <v>47.263416780580499</v>
      </c>
      <c r="AH569" s="43">
        <v>-101.796925772329</v>
      </c>
      <c r="AI569" s="122" t="s">
        <v>7287</v>
      </c>
      <c r="AJ569" s="41">
        <v>0.9</v>
      </c>
    </row>
    <row r="570" spans="1:36" ht="34.5" hidden="1" customHeight="1" x14ac:dyDescent="0.25">
      <c r="A570" s="40">
        <v>949</v>
      </c>
      <c r="B570" s="40" t="s">
        <v>5061</v>
      </c>
      <c r="C570" s="40" t="s">
        <v>543</v>
      </c>
      <c r="D570" s="40">
        <v>2016</v>
      </c>
      <c r="F570" s="40" t="s">
        <v>1339</v>
      </c>
      <c r="G570" s="40" t="s">
        <v>1261</v>
      </c>
      <c r="H570" s="40" t="s">
        <v>1665</v>
      </c>
      <c r="I570" s="40" t="str">
        <f>IF(AND(G570&lt;&gt;"ALK",G570&lt;&gt;"PEM",G570&lt;&gt;"SOEC",G570&lt;&gt;"Other electrolysis"),"N/A","")</f>
        <v>N/A</v>
      </c>
      <c r="J570" s="40" t="str">
        <f>IF(I570&lt;&gt;"Dedicated renewable","N/A",)</f>
        <v>N/A</v>
      </c>
      <c r="K570" s="40" t="s">
        <v>578</v>
      </c>
      <c r="O570" s="40">
        <v>1</v>
      </c>
      <c r="Z570" s="40" t="s">
        <v>2250</v>
      </c>
      <c r="AA570" s="45" t="str">
        <f>IF(OR(G570="ALK",G570="PEM",G570="SOEC",G570="Other Electrolysis"),
AB570*VLOOKUP(G570,ElectrolysisConvF,3,FALSE),
"")</f>
        <v/>
      </c>
      <c r="AC570" s="47"/>
      <c r="AD570" s="46">
        <v>800000</v>
      </c>
      <c r="AE570" s="46">
        <f t="shared" si="45"/>
        <v>100301.15421553214</v>
      </c>
      <c r="AF570" s="43" t="s">
        <v>2252</v>
      </c>
      <c r="AG570" s="43">
        <v>24.334910112615599</v>
      </c>
      <c r="AH570" s="43">
        <v>54.471010041408398</v>
      </c>
      <c r="AI570" s="122" t="s">
        <v>7287</v>
      </c>
      <c r="AJ570" s="41">
        <v>0.9</v>
      </c>
    </row>
    <row r="571" spans="1:36" ht="34.5" hidden="1" customHeight="1" x14ac:dyDescent="0.25">
      <c r="A571" s="40">
        <v>950</v>
      </c>
      <c r="B571" s="40" t="s">
        <v>3689</v>
      </c>
      <c r="C571" s="40" t="s">
        <v>542</v>
      </c>
      <c r="D571" s="44">
        <v>2025</v>
      </c>
      <c r="E571" s="44"/>
      <c r="F571" s="40" t="s">
        <v>1331</v>
      </c>
      <c r="G571" s="40" t="s">
        <v>455</v>
      </c>
      <c r="I571" s="40" t="s">
        <v>1257</v>
      </c>
      <c r="K571" s="40" t="s">
        <v>578</v>
      </c>
      <c r="Q571" s="40">
        <v>1</v>
      </c>
      <c r="AC571" s="47"/>
      <c r="AE571" s="46">
        <f t="shared" si="45"/>
        <v>0</v>
      </c>
      <c r="AF571" s="43" t="s">
        <v>2256</v>
      </c>
      <c r="AG571" s="43">
        <v>54.451868747641598</v>
      </c>
      <c r="AH571" s="43">
        <v>0.326742451910295</v>
      </c>
      <c r="AI571" s="122" t="s">
        <v>7286</v>
      </c>
      <c r="AJ571" s="41">
        <v>0.56999999999999995</v>
      </c>
    </row>
    <row r="572" spans="1:36" ht="34.5" hidden="1" customHeight="1" x14ac:dyDescent="0.25">
      <c r="A572" s="40">
        <v>951</v>
      </c>
      <c r="B572" s="40" t="s">
        <v>2260</v>
      </c>
      <c r="C572" s="40" t="s">
        <v>536</v>
      </c>
      <c r="F572" s="40" t="s">
        <v>2222</v>
      </c>
      <c r="G572" s="40" t="s">
        <v>1259</v>
      </c>
      <c r="H572" s="40" t="s">
        <v>467</v>
      </c>
      <c r="I572" s="40" t="s">
        <v>1269</v>
      </c>
      <c r="J572" s="40" t="s">
        <v>1395</v>
      </c>
      <c r="K572" s="40" t="s">
        <v>612</v>
      </c>
      <c r="X572" s="40">
        <v>1</v>
      </c>
      <c r="Z572" s="40" t="s">
        <v>2261</v>
      </c>
      <c r="AA572" s="45">
        <v>10</v>
      </c>
      <c r="AB572" s="46">
        <f>IF(H2ProjectDB689571011[[#This Row],[Dummy_1]]="Electrolysis",
AA572/VLOOKUP(G572,ElectrolysisConvF,3,FALSE),
AC572*10^6/(H2dens*HoursInYear))</f>
        <v>2222.2222222222222</v>
      </c>
      <c r="AC572" s="47">
        <f>AB572*H2dens*HoursInYear/10^6</f>
        <v>1.7325333333333333</v>
      </c>
      <c r="AE572" s="46">
        <f t="shared" si="45"/>
        <v>2222.2222222222222</v>
      </c>
      <c r="AF572" s="43" t="s">
        <v>2263</v>
      </c>
      <c r="AG572" s="43">
        <v>0</v>
      </c>
      <c r="AH572" s="43">
        <v>0</v>
      </c>
      <c r="AI572" s="122" t="s">
        <v>7286</v>
      </c>
      <c r="AJ572" s="41">
        <v>0.5</v>
      </c>
    </row>
    <row r="573" spans="1:36" ht="34.5" hidden="1" customHeight="1" x14ac:dyDescent="0.25">
      <c r="A573" s="40">
        <v>952</v>
      </c>
      <c r="B573" s="40" t="s">
        <v>2264</v>
      </c>
      <c r="C573" s="40" t="s">
        <v>536</v>
      </c>
      <c r="F573" s="40" t="s">
        <v>2222</v>
      </c>
      <c r="G573" s="40" t="s">
        <v>1259</v>
      </c>
      <c r="H573" s="40" t="s">
        <v>467</v>
      </c>
      <c r="I573" s="40" t="s">
        <v>1269</v>
      </c>
      <c r="J573" s="40" t="s">
        <v>1395</v>
      </c>
      <c r="K573" s="40" t="s">
        <v>578</v>
      </c>
      <c r="S573" s="40">
        <v>1</v>
      </c>
      <c r="AC573" s="47"/>
      <c r="AE573" s="46">
        <f t="shared" si="45"/>
        <v>0</v>
      </c>
      <c r="AF573" s="43" t="s">
        <v>2265</v>
      </c>
      <c r="AG573" s="43">
        <v>0</v>
      </c>
      <c r="AH573" s="43">
        <v>0</v>
      </c>
      <c r="AI573" s="122" t="s">
        <v>7286</v>
      </c>
      <c r="AJ573" s="41">
        <v>0.5</v>
      </c>
    </row>
    <row r="574" spans="1:36" ht="34.5" hidden="1" customHeight="1" x14ac:dyDescent="0.25">
      <c r="A574" s="40">
        <v>953</v>
      </c>
      <c r="B574" s="40" t="s">
        <v>2267</v>
      </c>
      <c r="C574" s="40" t="s">
        <v>536</v>
      </c>
      <c r="D574" s="44">
        <v>2021</v>
      </c>
      <c r="F574" s="40" t="s">
        <v>1339</v>
      </c>
      <c r="G574" s="40" t="s">
        <v>1259</v>
      </c>
      <c r="H574" s="40" t="s">
        <v>467</v>
      </c>
      <c r="I574" s="40" t="s">
        <v>1257</v>
      </c>
      <c r="K574" s="40" t="s">
        <v>578</v>
      </c>
      <c r="S574" s="40">
        <v>1</v>
      </c>
      <c r="Z574" s="40" t="s">
        <v>3769</v>
      </c>
      <c r="AA574" s="45">
        <v>0.17499999999999999</v>
      </c>
      <c r="AB574" s="46">
        <f>IF(H2ProjectDB689571011[[#This Row],[Dummy_1]]="Electrolysis",
AA574/VLOOKUP(G574,ElectrolysisConvF,3,FALSE),
AC574*10^6/(H2dens*HoursInYear))</f>
        <v>38.888888888888893</v>
      </c>
      <c r="AC574" s="47">
        <f>AB574*H2dens*HoursInYear/10^6</f>
        <v>3.0319333333333337E-2</v>
      </c>
      <c r="AE574" s="46">
        <f t="shared" si="45"/>
        <v>38.888888888888893</v>
      </c>
      <c r="AF574" s="43" t="s">
        <v>3768</v>
      </c>
      <c r="AG574" s="43">
        <v>40.151128</v>
      </c>
      <c r="AH574" s="43">
        <v>-74.213226000000006</v>
      </c>
      <c r="AI574" s="122" t="s">
        <v>7286</v>
      </c>
      <c r="AJ574" s="41">
        <v>0.56999999999999995</v>
      </c>
    </row>
    <row r="575" spans="1:36" ht="34.5" hidden="1" customHeight="1" x14ac:dyDescent="0.25">
      <c r="A575" s="40">
        <v>954</v>
      </c>
      <c r="B575" s="40" t="s">
        <v>2289</v>
      </c>
      <c r="C575" s="40" t="s">
        <v>532</v>
      </c>
      <c r="D575" s="44">
        <v>2025</v>
      </c>
      <c r="E575" s="44"/>
      <c r="F575" s="40" t="s">
        <v>5701</v>
      </c>
      <c r="G575" s="40" t="s">
        <v>1259</v>
      </c>
      <c r="H575" s="40" t="s">
        <v>467</v>
      </c>
      <c r="I575" s="40" t="s">
        <v>1269</v>
      </c>
      <c r="J575" s="40" t="s">
        <v>1392</v>
      </c>
      <c r="K575" s="40" t="s">
        <v>612</v>
      </c>
      <c r="X575" s="40">
        <v>1</v>
      </c>
      <c r="Z575" s="40" t="s">
        <v>1495</v>
      </c>
      <c r="AA575" s="45">
        <v>20</v>
      </c>
      <c r="AB575" s="46">
        <f>IF(H2ProjectDB689571011[[#This Row],[Dummy_1]]="Electrolysis",
AA575/VLOOKUP(G575,ElectrolysisConvF,3,FALSE),
AC575*10^6/(H2dens*HoursInYear))</f>
        <v>4444.4444444444443</v>
      </c>
      <c r="AC575" s="47">
        <f>AB575*H2dens*HoursInYear/10^6</f>
        <v>3.4650666666666665</v>
      </c>
      <c r="AE575" s="46">
        <f t="shared" si="45"/>
        <v>4444.4444444444443</v>
      </c>
      <c r="AF575" s="43" t="s">
        <v>2291</v>
      </c>
      <c r="AG575" s="43">
        <v>60.293118541175701</v>
      </c>
      <c r="AH575" s="43">
        <v>25.0370785617732</v>
      </c>
      <c r="AI575" s="122" t="s">
        <v>7286</v>
      </c>
      <c r="AJ575" s="41">
        <v>0.4</v>
      </c>
    </row>
    <row r="576" spans="1:36" ht="34.5" hidden="1" customHeight="1" x14ac:dyDescent="0.25">
      <c r="A576" s="40">
        <v>955</v>
      </c>
      <c r="B576" s="40" t="s">
        <v>5823</v>
      </c>
      <c r="C576" s="40" t="s">
        <v>560</v>
      </c>
      <c r="D576" s="44">
        <v>2025</v>
      </c>
      <c r="E576" s="44"/>
      <c r="F576" s="40" t="s">
        <v>1331</v>
      </c>
      <c r="G576" s="40" t="s">
        <v>1259</v>
      </c>
      <c r="H576" s="87" t="s">
        <v>467</v>
      </c>
      <c r="I576" s="40" t="s">
        <v>5700</v>
      </c>
      <c r="J576" s="40" t="s">
        <v>1395</v>
      </c>
      <c r="K576" s="40" t="s">
        <v>1243</v>
      </c>
      <c r="M576" s="40">
        <v>1</v>
      </c>
      <c r="Z576" s="40" t="s">
        <v>4976</v>
      </c>
      <c r="AA576" s="78">
        <f>IF(H2ProjectDB689571011[[#This Row],[Dummy_1]]="Electrolysis",
AB576*VLOOKUP(G576,ElectrolysisConvF,3,FALSE),
"")</f>
        <v>412.27819433144964</v>
      </c>
      <c r="AB576" s="46">
        <f>AC576/(H2dens*HoursInYear/10^6)</f>
        <v>91617.376518099933</v>
      </c>
      <c r="AC576" s="47">
        <f>50/H2ProjectDB689571011[[#This Row],[LOWE_CF]]</f>
        <v>71.428571428571431</v>
      </c>
      <c r="AE576" s="46">
        <f t="shared" si="45"/>
        <v>91617.376518099933</v>
      </c>
      <c r="AF576" s="43" t="s">
        <v>3593</v>
      </c>
      <c r="AG576" s="43">
        <v>-32.523042119023401</v>
      </c>
      <c r="AH576" s="43">
        <v>-70.682392484348696</v>
      </c>
      <c r="AI576" s="122" t="s">
        <v>7286</v>
      </c>
      <c r="AJ576" s="41">
        <v>0.7</v>
      </c>
    </row>
    <row r="577" spans="1:36" ht="34.5" hidden="1" customHeight="1" x14ac:dyDescent="0.25">
      <c r="A577" s="40">
        <v>958</v>
      </c>
      <c r="B577" s="40" t="s">
        <v>2296</v>
      </c>
      <c r="C577" s="40" t="s">
        <v>537</v>
      </c>
      <c r="D577" s="44">
        <v>2020</v>
      </c>
      <c r="F577" s="40" t="s">
        <v>1540</v>
      </c>
      <c r="G577" s="40" t="s">
        <v>1259</v>
      </c>
      <c r="H577" s="87" t="s">
        <v>467</v>
      </c>
      <c r="I577" s="40" t="s">
        <v>1269</v>
      </c>
      <c r="J577" s="40" t="s">
        <v>1392</v>
      </c>
      <c r="K577" s="40" t="s">
        <v>578</v>
      </c>
      <c r="AC577" s="47"/>
      <c r="AF577" s="43" t="s">
        <v>2298</v>
      </c>
      <c r="AG577" s="43">
        <v>0</v>
      </c>
      <c r="AH577" s="43">
        <v>0</v>
      </c>
      <c r="AI577" s="122" t="s">
        <v>7286</v>
      </c>
      <c r="AJ577" s="41">
        <v>0.4</v>
      </c>
    </row>
    <row r="578" spans="1:36" ht="34.5" hidden="1" customHeight="1" x14ac:dyDescent="0.25">
      <c r="A578" s="40">
        <v>959</v>
      </c>
      <c r="B578" s="40" t="s">
        <v>2303</v>
      </c>
      <c r="C578" s="40" t="s">
        <v>537</v>
      </c>
      <c r="D578" s="44">
        <v>2020</v>
      </c>
      <c r="F578" s="87" t="s">
        <v>1540</v>
      </c>
      <c r="G578" s="87" t="s">
        <v>1259</v>
      </c>
      <c r="H578" s="87" t="s">
        <v>467</v>
      </c>
      <c r="I578" s="87" t="s">
        <v>1680</v>
      </c>
      <c r="J578" s="40" t="str">
        <f>IF(I578&lt;&gt;"Dedicated renewable","N/A",)</f>
        <v>N/A</v>
      </c>
      <c r="K578" s="40" t="s">
        <v>578</v>
      </c>
      <c r="O578" s="40">
        <v>1</v>
      </c>
      <c r="Z578" s="40" t="s">
        <v>6903</v>
      </c>
      <c r="AA578" s="78">
        <f>IF(H2ProjectDB689571011[[#This Row],[Dummy_1]]="Electrolysis",
AB578*VLOOKUP(G578,ElectrolysisConvF,3,FALSE),
"")</f>
        <v>4.4999999999999999E-4</v>
      </c>
      <c r="AB578" s="46">
        <v>0.1</v>
      </c>
      <c r="AC578" s="47">
        <f>AB578*H2dens*HoursInYear/10^6</f>
        <v>7.7964000000000001E-5</v>
      </c>
      <c r="AE578" s="46">
        <f t="shared" ref="AE578:AE599" si="47">IF(AND(G578&lt;&gt;"NG w CCUS",G578&lt;&gt;"Oil w CCUS",G578&lt;&gt;"Coal w CCUS"),AB578,AD578*10^3/(HoursInYear*IF(G578="NG w CCUS",0.9105,1.9075)))</f>
        <v>0.1</v>
      </c>
      <c r="AF578" s="43" t="s">
        <v>2304</v>
      </c>
      <c r="AG578" s="43">
        <v>0</v>
      </c>
      <c r="AH578" s="43">
        <v>0</v>
      </c>
      <c r="AI578" s="122" t="s">
        <v>7286</v>
      </c>
      <c r="AJ578" s="41">
        <v>0.8</v>
      </c>
    </row>
    <row r="579" spans="1:36" ht="34.5" hidden="1" customHeight="1" x14ac:dyDescent="0.25">
      <c r="A579" s="40">
        <v>960</v>
      </c>
      <c r="B579" s="40" t="s">
        <v>2305</v>
      </c>
      <c r="C579" s="40" t="s">
        <v>537</v>
      </c>
      <c r="F579" s="87" t="s">
        <v>2222</v>
      </c>
      <c r="G579" s="87" t="s">
        <v>1259</v>
      </c>
      <c r="H579" s="87" t="s">
        <v>467</v>
      </c>
      <c r="I579" s="40" t="s">
        <v>1680</v>
      </c>
      <c r="J579" s="40" t="str">
        <f>IF(I579&lt;&gt;"Dedicated renewable","N/A",)</f>
        <v>N/A</v>
      </c>
      <c r="K579" s="40" t="s">
        <v>578</v>
      </c>
      <c r="O579" s="40">
        <v>1</v>
      </c>
      <c r="Z579" s="40" t="s">
        <v>2306</v>
      </c>
      <c r="AA579" s="78">
        <f>IF(H2ProjectDB689571011[[#This Row],[Dummy_1]]="Electrolysis",
AB579*VLOOKUP(G579,ElectrolysisConvF,3,FALSE),
"")</f>
        <v>224.99999999999997</v>
      </c>
      <c r="AB579" s="46">
        <v>50000</v>
      </c>
      <c r="AC579" s="47">
        <f>AB579*H2dens*HoursInYear/10^6</f>
        <v>38.981999999999999</v>
      </c>
      <c r="AE579" s="46">
        <f t="shared" si="47"/>
        <v>50000</v>
      </c>
      <c r="AF579" s="43" t="s">
        <v>2304</v>
      </c>
      <c r="AG579" s="43">
        <v>0</v>
      </c>
      <c r="AH579" s="43">
        <v>0</v>
      </c>
      <c r="AI579" s="122" t="s">
        <v>7286</v>
      </c>
      <c r="AJ579" s="41">
        <v>0.8</v>
      </c>
    </row>
    <row r="580" spans="1:36" ht="34.5" hidden="1" customHeight="1" x14ac:dyDescent="0.25">
      <c r="A580" s="40">
        <v>961</v>
      </c>
      <c r="B580" s="40" t="s">
        <v>2443</v>
      </c>
      <c r="C580" s="40" t="s">
        <v>537</v>
      </c>
      <c r="D580" s="44">
        <v>2025</v>
      </c>
      <c r="E580" s="44"/>
      <c r="F580" s="87" t="s">
        <v>5701</v>
      </c>
      <c r="G580" s="87" t="s">
        <v>1259</v>
      </c>
      <c r="H580" s="87" t="s">
        <v>467</v>
      </c>
      <c r="I580" s="40" t="s">
        <v>1269</v>
      </c>
      <c r="J580" s="40" t="s">
        <v>1391</v>
      </c>
      <c r="K580" s="40" t="s">
        <v>578</v>
      </c>
      <c r="Z580" s="40" t="s">
        <v>1333</v>
      </c>
      <c r="AA580" s="45">
        <v>10</v>
      </c>
      <c r="AB580" s="46">
        <f>IF(H2ProjectDB689571011[[#This Row],[Dummy_1]]="Electrolysis",
AA580/VLOOKUP(G580,ElectrolysisConvF,3,FALSE),
AC580*10^6/(H2dens*HoursInYear))</f>
        <v>2222.2222222222222</v>
      </c>
      <c r="AC580" s="47">
        <f>AB580*H2dens*HoursInYear/10^6</f>
        <v>1.7325333333333333</v>
      </c>
      <c r="AE580" s="46">
        <f t="shared" si="47"/>
        <v>2222.2222222222222</v>
      </c>
      <c r="AF580" s="43" t="s">
        <v>2442</v>
      </c>
      <c r="AG580" s="43">
        <v>40.078283007419401</v>
      </c>
      <c r="AH580" s="43">
        <v>113.308181777702</v>
      </c>
      <c r="AI580" s="122" t="s">
        <v>7286</v>
      </c>
      <c r="AJ580" s="41">
        <v>0.3</v>
      </c>
    </row>
    <row r="581" spans="1:36" ht="34.5" hidden="1" customHeight="1" x14ac:dyDescent="0.25">
      <c r="A581" s="40">
        <v>962</v>
      </c>
      <c r="B581" s="40" t="s">
        <v>4689</v>
      </c>
      <c r="C581" s="40" t="s">
        <v>535</v>
      </c>
      <c r="D581" s="44">
        <v>2024</v>
      </c>
      <c r="E581" s="44"/>
      <c r="F581" s="87" t="s">
        <v>1331</v>
      </c>
      <c r="G581" s="87" t="s">
        <v>1259</v>
      </c>
      <c r="H581" s="87" t="s">
        <v>467</v>
      </c>
      <c r="I581" s="40" t="s">
        <v>1269</v>
      </c>
      <c r="J581" s="40" t="s">
        <v>1391</v>
      </c>
      <c r="K581" s="40" t="s">
        <v>578</v>
      </c>
      <c r="Z581" s="40" t="s">
        <v>2323</v>
      </c>
      <c r="AA581" s="46">
        <v>200</v>
      </c>
      <c r="AB581" s="46">
        <f>IF(H2ProjectDB689571011[[#This Row],[Dummy_1]]="Electrolysis",
AA581/VLOOKUP(G581,ElectrolysisConvF,3,FALSE),
AC581*10^6/(H2dens*HoursInYear))</f>
        <v>44444.444444444445</v>
      </c>
      <c r="AC581" s="47">
        <f>AB581*H2dens*HoursInYear/10^6</f>
        <v>34.650666666666666</v>
      </c>
      <c r="AE581" s="46">
        <f t="shared" si="47"/>
        <v>44444.444444444445</v>
      </c>
      <c r="AF581" s="43" t="s">
        <v>4688</v>
      </c>
      <c r="AG581" s="43">
        <v>-27.471759404210498</v>
      </c>
      <c r="AH581" s="43">
        <v>153.044311992899</v>
      </c>
      <c r="AI581" s="122" t="s">
        <v>7286</v>
      </c>
      <c r="AJ581" s="41">
        <v>0.3</v>
      </c>
    </row>
    <row r="582" spans="1:36" ht="34.5" hidden="1" customHeight="1" x14ac:dyDescent="0.25">
      <c r="A582" s="40">
        <v>965</v>
      </c>
      <c r="B582" s="40" t="s">
        <v>7873</v>
      </c>
      <c r="C582" s="40" t="s">
        <v>541</v>
      </c>
      <c r="D582" s="44">
        <v>2027</v>
      </c>
      <c r="E582" s="44"/>
      <c r="F582" s="87" t="s">
        <v>1331</v>
      </c>
      <c r="G582" s="87" t="s">
        <v>1259</v>
      </c>
      <c r="H582" s="87" t="s">
        <v>467</v>
      </c>
      <c r="I582" s="87" t="s">
        <v>1257</v>
      </c>
      <c r="K582" s="40" t="s">
        <v>578</v>
      </c>
      <c r="O582" s="40">
        <v>1</v>
      </c>
      <c r="P582" s="40">
        <v>1</v>
      </c>
      <c r="S582" s="40">
        <v>1</v>
      </c>
      <c r="Z582" s="40" t="s">
        <v>1485</v>
      </c>
      <c r="AA582" s="45">
        <v>100</v>
      </c>
      <c r="AB582" s="46">
        <f>IF(H2ProjectDB689571011[[#This Row],[Dummy_1]]="Electrolysis",
AA582/VLOOKUP(G582,ElectrolysisConvF,3,FALSE),
AC582*10^6/(H2dens*HoursInYear))</f>
        <v>22222.222222222223</v>
      </c>
      <c r="AC582" s="47">
        <f>AB582*H2dens*HoursInYear/10^6</f>
        <v>17.325333333333333</v>
      </c>
      <c r="AE582" s="46">
        <f t="shared" si="47"/>
        <v>22222.222222222223</v>
      </c>
      <c r="AF582" s="43" t="s">
        <v>8066</v>
      </c>
      <c r="AG582" s="43">
        <v>40.443217302927799</v>
      </c>
      <c r="AH582" s="43">
        <v>17.251013696226501</v>
      </c>
      <c r="AI582" s="122" t="s">
        <v>7286</v>
      </c>
      <c r="AJ582" s="41">
        <v>0.56999999999999995</v>
      </c>
    </row>
    <row r="583" spans="1:36" ht="34.5" hidden="1" customHeight="1" x14ac:dyDescent="0.25">
      <c r="A583" s="40">
        <v>966</v>
      </c>
      <c r="B583" s="40" t="s">
        <v>2327</v>
      </c>
      <c r="C583" s="40" t="s">
        <v>1097</v>
      </c>
      <c r="F583" s="87" t="s">
        <v>2222</v>
      </c>
      <c r="G583" s="87" t="s">
        <v>1259</v>
      </c>
      <c r="H583" s="87" t="s">
        <v>467</v>
      </c>
      <c r="I583" s="40" t="s">
        <v>1257</v>
      </c>
      <c r="K583" s="40" t="s">
        <v>578</v>
      </c>
      <c r="AC583" s="47"/>
      <c r="AE583" s="46">
        <f t="shared" si="47"/>
        <v>0</v>
      </c>
      <c r="AF583" s="43" t="s">
        <v>2326</v>
      </c>
      <c r="AG583" s="43">
        <v>0</v>
      </c>
      <c r="AH583" s="43">
        <v>0</v>
      </c>
      <c r="AI583" s="122" t="s">
        <v>7286</v>
      </c>
      <c r="AJ583" s="41">
        <v>0.56999999999999995</v>
      </c>
    </row>
    <row r="584" spans="1:36" ht="34.5" hidden="1" customHeight="1" x14ac:dyDescent="0.25">
      <c r="A584" s="40">
        <v>967</v>
      </c>
      <c r="B584" s="40" t="s">
        <v>2327</v>
      </c>
      <c r="C584" s="40" t="s">
        <v>1773</v>
      </c>
      <c r="F584" s="87" t="s">
        <v>2222</v>
      </c>
      <c r="G584" s="87" t="s">
        <v>1259</v>
      </c>
      <c r="H584" s="87" t="s">
        <v>467</v>
      </c>
      <c r="I584" s="40" t="s">
        <v>1257</v>
      </c>
      <c r="K584" s="40" t="s">
        <v>578</v>
      </c>
      <c r="AC584" s="47"/>
      <c r="AE584" s="46">
        <f t="shared" si="47"/>
        <v>0</v>
      </c>
      <c r="AF584" s="43" t="s">
        <v>2326</v>
      </c>
      <c r="AG584" s="43">
        <v>0</v>
      </c>
      <c r="AH584" s="43">
        <v>0</v>
      </c>
      <c r="AI584" s="122" t="s">
        <v>7286</v>
      </c>
      <c r="AJ584" s="41">
        <v>0.56999999999999995</v>
      </c>
    </row>
    <row r="585" spans="1:36" ht="34.5" hidden="1" customHeight="1" x14ac:dyDescent="0.25">
      <c r="A585" s="40">
        <v>968</v>
      </c>
      <c r="B585" s="40" t="s">
        <v>2330</v>
      </c>
      <c r="C585" s="40" t="s">
        <v>535</v>
      </c>
      <c r="F585" s="87" t="s">
        <v>5701</v>
      </c>
      <c r="G585" s="87" t="s">
        <v>455</v>
      </c>
      <c r="H585" s="87"/>
      <c r="I585" s="40" t="s">
        <v>1257</v>
      </c>
      <c r="K585" s="40" t="s">
        <v>578</v>
      </c>
      <c r="R585" s="40">
        <v>1</v>
      </c>
      <c r="Z585" s="40" t="s">
        <v>2331</v>
      </c>
      <c r="AA585" s="45">
        <v>0.7</v>
      </c>
      <c r="AB585" s="46">
        <f>IF(H2ProjectDB689571011[[#This Row],[Dummy_1]]="Electrolysis",
AA585/VLOOKUP(G585,ElectrolysisConvF,3,FALSE),
AC585*10^6/(H2dens*HoursInYear))</f>
        <v>134.61538461538461</v>
      </c>
      <c r="AC585" s="47">
        <f>AB585*H2dens*HoursInYear/10^6</f>
        <v>0.10495153846153846</v>
      </c>
      <c r="AE585" s="46">
        <f t="shared" si="47"/>
        <v>134.61538461538461</v>
      </c>
      <c r="AF585" s="43" t="s">
        <v>2333</v>
      </c>
      <c r="AG585" s="43">
        <v>0</v>
      </c>
      <c r="AH585" s="43">
        <v>0</v>
      </c>
      <c r="AI585" s="122" t="s">
        <v>7286</v>
      </c>
      <c r="AJ585" s="41">
        <v>0.56999999999999995</v>
      </c>
    </row>
    <row r="586" spans="1:36" ht="34.5" hidden="1" customHeight="1" x14ac:dyDescent="0.25">
      <c r="A586" s="40">
        <v>970</v>
      </c>
      <c r="B586" s="40" t="s">
        <v>4740</v>
      </c>
      <c r="C586" s="40" t="s">
        <v>542</v>
      </c>
      <c r="F586" s="40" t="s">
        <v>2222</v>
      </c>
      <c r="G586" s="40" t="s">
        <v>455</v>
      </c>
      <c r="I586" s="40" t="s">
        <v>1257</v>
      </c>
      <c r="K586" s="40" t="s">
        <v>578</v>
      </c>
      <c r="P586" s="40">
        <v>1</v>
      </c>
      <c r="Z586" s="40" t="s">
        <v>1334</v>
      </c>
      <c r="AA586" s="45">
        <v>1000</v>
      </c>
      <c r="AB586" s="46">
        <f>IF(H2ProjectDB689571011[[#This Row],[Dummy_1]]="Electrolysis",
AA586/VLOOKUP(G586,ElectrolysisConvF,3,FALSE),
AC586*10^6/(H2dens*HoursInYear))</f>
        <v>192307.69230769231</v>
      </c>
      <c r="AC586" s="47">
        <f>AB586*H2dens*HoursInYear/10^6</f>
        <v>149.93076923076922</v>
      </c>
      <c r="AE586" s="46">
        <f t="shared" si="47"/>
        <v>192307.69230769231</v>
      </c>
      <c r="AF586" s="43" t="s">
        <v>2336</v>
      </c>
      <c r="AG586" s="43">
        <v>53.674006420191397</v>
      </c>
      <c r="AH586" s="43">
        <v>-0.57062759225394699</v>
      </c>
      <c r="AI586" s="122" t="s">
        <v>7286</v>
      </c>
      <c r="AJ586" s="41">
        <v>0.56999999999999995</v>
      </c>
    </row>
    <row r="587" spans="1:36" ht="34.5" hidden="1" customHeight="1" x14ac:dyDescent="0.25">
      <c r="A587" s="40">
        <v>971</v>
      </c>
      <c r="B587" s="40" t="s">
        <v>2337</v>
      </c>
      <c r="C587" s="40" t="s">
        <v>542</v>
      </c>
      <c r="D587" s="40">
        <v>2019</v>
      </c>
      <c r="E587" s="40">
        <v>2022</v>
      </c>
      <c r="F587" s="40" t="s">
        <v>1256</v>
      </c>
      <c r="G587" s="40" t="s">
        <v>455</v>
      </c>
      <c r="I587" s="40" t="s">
        <v>1266</v>
      </c>
      <c r="J587" s="40" t="str">
        <f>IF(I587&lt;&gt;"Dedicated renewable","N/A",)</f>
        <v>N/A</v>
      </c>
      <c r="K587" s="40" t="s">
        <v>578</v>
      </c>
      <c r="Q587" s="40">
        <v>1</v>
      </c>
      <c r="AC587" s="47"/>
      <c r="AE587" s="46">
        <f t="shared" si="47"/>
        <v>0</v>
      </c>
      <c r="AF587" s="43" t="s">
        <v>2338</v>
      </c>
      <c r="AG587" s="43">
        <v>51.160774407405</v>
      </c>
      <c r="AH587" s="43">
        <v>-0.17515171661180901</v>
      </c>
      <c r="AI587" s="122" t="s">
        <v>7286</v>
      </c>
      <c r="AJ587" s="41">
        <v>0.56999999999999995</v>
      </c>
    </row>
    <row r="588" spans="1:36" ht="34.5" hidden="1" customHeight="1" x14ac:dyDescent="0.25">
      <c r="A588" s="40">
        <v>972</v>
      </c>
      <c r="B588" s="40" t="s">
        <v>2342</v>
      </c>
      <c r="C588" s="40" t="s">
        <v>535</v>
      </c>
      <c r="D588" s="40">
        <v>2018</v>
      </c>
      <c r="F588" s="40" t="s">
        <v>1339</v>
      </c>
      <c r="G588" s="40" t="s">
        <v>455</v>
      </c>
      <c r="I588" s="40" t="s">
        <v>1257</v>
      </c>
      <c r="K588" s="40" t="s">
        <v>578</v>
      </c>
      <c r="Z588" s="40" t="s">
        <v>2343</v>
      </c>
      <c r="AA588" s="78">
        <f>4*0.25</f>
        <v>1</v>
      </c>
      <c r="AB588" s="46">
        <f>IF(H2ProjectDB689571011[[#This Row],[Dummy_1]]="Electrolysis",
AA588/VLOOKUP(G588,ElectrolysisConvF,3,FALSE),
AC588*10^6/(H2dens*HoursInYear))</f>
        <v>192.30769230769232</v>
      </c>
      <c r="AC588" s="47">
        <f>AB588*H2dens*HoursInYear/10^6</f>
        <v>0.14993076923076926</v>
      </c>
      <c r="AE588" s="46">
        <f t="shared" si="47"/>
        <v>192.30769230769232</v>
      </c>
      <c r="AF588" s="43" t="s">
        <v>2346</v>
      </c>
      <c r="AG588" s="43">
        <v>0</v>
      </c>
      <c r="AH588" s="43">
        <v>0</v>
      </c>
      <c r="AI588" s="122" t="s">
        <v>7286</v>
      </c>
      <c r="AJ588" s="41">
        <v>0.56999999999999995</v>
      </c>
    </row>
    <row r="589" spans="1:36" ht="34.5" hidden="1" customHeight="1" x14ac:dyDescent="0.25">
      <c r="A589" s="40">
        <v>973</v>
      </c>
      <c r="B589" s="40" t="s">
        <v>2347</v>
      </c>
      <c r="C589" s="40" t="s">
        <v>542</v>
      </c>
      <c r="D589" s="40">
        <v>2018</v>
      </c>
      <c r="F589" s="40" t="s">
        <v>1339</v>
      </c>
      <c r="G589" s="40" t="s">
        <v>455</v>
      </c>
      <c r="I589" s="40" t="s">
        <v>1266</v>
      </c>
      <c r="J589" s="40" t="str">
        <f>IF(I589&lt;&gt;"Dedicated renewable","N/A",)</f>
        <v>N/A</v>
      </c>
      <c r="K589" s="40" t="s">
        <v>578</v>
      </c>
      <c r="Q589" s="40">
        <v>1</v>
      </c>
      <c r="AC589" s="47"/>
      <c r="AE589" s="46">
        <f t="shared" si="47"/>
        <v>0</v>
      </c>
      <c r="AF589" s="43" t="s">
        <v>2349</v>
      </c>
      <c r="AG589" s="43">
        <v>51.559343341797103</v>
      </c>
      <c r="AH589" s="43">
        <v>-1.7820093641491701</v>
      </c>
      <c r="AI589" s="122" t="s">
        <v>7286</v>
      </c>
      <c r="AJ589" s="41">
        <v>0.56999999999999995</v>
      </c>
    </row>
    <row r="590" spans="1:36" ht="34.5" hidden="1" customHeight="1" x14ac:dyDescent="0.25">
      <c r="A590" s="40">
        <v>974</v>
      </c>
      <c r="B590" s="40" t="s">
        <v>2350</v>
      </c>
      <c r="C590" s="40" t="s">
        <v>542</v>
      </c>
      <c r="D590" s="40">
        <v>2018</v>
      </c>
      <c r="E590" s="40">
        <v>2022</v>
      </c>
      <c r="F590" s="40" t="s">
        <v>1256</v>
      </c>
      <c r="G590" s="40" t="s">
        <v>455</v>
      </c>
      <c r="I590" s="40" t="s">
        <v>1266</v>
      </c>
      <c r="J590" s="40" t="str">
        <f>IF(I590&lt;&gt;"Dedicated renewable","N/A",)</f>
        <v>N/A</v>
      </c>
      <c r="K590" s="40" t="s">
        <v>578</v>
      </c>
      <c r="Q590" s="40">
        <v>1</v>
      </c>
      <c r="AC590" s="47"/>
      <c r="AE590" s="46">
        <f t="shared" si="47"/>
        <v>0</v>
      </c>
      <c r="AF590" s="43" t="s">
        <v>2352</v>
      </c>
      <c r="AG590" s="43">
        <v>51.604384721112098</v>
      </c>
      <c r="AH590" s="43">
        <v>-0.647719825717195</v>
      </c>
      <c r="AI590" s="122" t="s">
        <v>7286</v>
      </c>
      <c r="AJ590" s="41">
        <v>0.56999999999999995</v>
      </c>
    </row>
    <row r="591" spans="1:36" ht="34.5" hidden="1" customHeight="1" x14ac:dyDescent="0.25">
      <c r="A591" s="40">
        <v>975</v>
      </c>
      <c r="B591" s="40" t="s">
        <v>2353</v>
      </c>
      <c r="C591" s="40" t="s">
        <v>535</v>
      </c>
      <c r="F591" s="40" t="s">
        <v>2222</v>
      </c>
      <c r="G591" s="40" t="s">
        <v>1259</v>
      </c>
      <c r="H591" s="40" t="s">
        <v>467</v>
      </c>
      <c r="I591" s="40" t="s">
        <v>1269</v>
      </c>
      <c r="J591" s="40" t="s">
        <v>1391</v>
      </c>
      <c r="K591" s="40" t="s">
        <v>578</v>
      </c>
      <c r="L591" s="40">
        <v>1</v>
      </c>
      <c r="AC591" s="47"/>
      <c r="AE591" s="46">
        <f t="shared" si="47"/>
        <v>0</v>
      </c>
      <c r="AF591" s="43" t="s">
        <v>2355</v>
      </c>
      <c r="AG591" s="43">
        <v>-23.840207590899698</v>
      </c>
      <c r="AH591" s="43">
        <v>151.047341874176</v>
      </c>
      <c r="AI591" s="122" t="s">
        <v>7286</v>
      </c>
      <c r="AJ591" s="41">
        <v>0.3</v>
      </c>
    </row>
    <row r="592" spans="1:36" ht="34.5" hidden="1" customHeight="1" x14ac:dyDescent="0.25">
      <c r="A592" s="40">
        <v>976</v>
      </c>
      <c r="B592" s="40" t="s">
        <v>8574</v>
      </c>
      <c r="C592" s="40" t="s">
        <v>531</v>
      </c>
      <c r="D592" s="44">
        <v>2030</v>
      </c>
      <c r="E592" s="44"/>
      <c r="F592" s="87" t="s">
        <v>5701</v>
      </c>
      <c r="G592" s="87" t="s">
        <v>1259</v>
      </c>
      <c r="H592" s="87" t="s">
        <v>467</v>
      </c>
      <c r="I592" s="87" t="s">
        <v>1269</v>
      </c>
      <c r="J592" s="40" t="s">
        <v>581</v>
      </c>
      <c r="K592" s="40" t="s">
        <v>578</v>
      </c>
      <c r="Q592" s="40">
        <v>1</v>
      </c>
      <c r="Z592" s="40" t="s">
        <v>1344</v>
      </c>
      <c r="AA592" s="45">
        <v>20</v>
      </c>
      <c r="AB592" s="46">
        <f>IF(H2ProjectDB689571011[[#This Row],[Dummy_1]]="Electrolysis",
AA592/VLOOKUP(G592,ElectrolysisConvF,3,FALSE),
AC592*10^6/(H2dens*HoursInYear))</f>
        <v>4444.4444444444443</v>
      </c>
      <c r="AC592" s="47">
        <f>AB592*H2dens*HoursInYear/10^6</f>
        <v>3.4650666666666665</v>
      </c>
      <c r="AE592" s="46">
        <f t="shared" si="47"/>
        <v>4444.4444444444443</v>
      </c>
      <c r="AF592" s="43" t="s">
        <v>3287</v>
      </c>
      <c r="AG592" s="43">
        <v>59.135628461250498</v>
      </c>
      <c r="AH592" s="43">
        <v>9.6282477057922797</v>
      </c>
      <c r="AI592" s="122" t="s">
        <v>7286</v>
      </c>
      <c r="AJ592" s="41">
        <v>0.5</v>
      </c>
    </row>
    <row r="593" spans="1:36" ht="34.5" hidden="1" customHeight="1" x14ac:dyDescent="0.25">
      <c r="A593" s="40">
        <v>977</v>
      </c>
      <c r="B593" s="40" t="s">
        <v>2357</v>
      </c>
      <c r="C593" s="40" t="s">
        <v>546</v>
      </c>
      <c r="D593" s="44">
        <v>2027</v>
      </c>
      <c r="E593" s="44"/>
      <c r="F593" s="40" t="s">
        <v>1331</v>
      </c>
      <c r="G593" s="40" t="s">
        <v>1259</v>
      </c>
      <c r="H593" s="87" t="s">
        <v>467</v>
      </c>
      <c r="I593" s="40" t="s">
        <v>1269</v>
      </c>
      <c r="J593" s="40" t="s">
        <v>581</v>
      </c>
      <c r="K593" s="40" t="s">
        <v>1267</v>
      </c>
      <c r="W593" s="40">
        <v>1</v>
      </c>
      <c r="Z593" s="40" t="s">
        <v>1485</v>
      </c>
      <c r="AA593" s="45">
        <v>100</v>
      </c>
      <c r="AB593" s="46">
        <f>IF(H2ProjectDB689571011[[#This Row],[Dummy_1]]="Electrolysis",
AA593/VLOOKUP(G593,ElectrolysisConvF,3,FALSE),
AC593*10^6/(H2dens*HoursInYear))</f>
        <v>22222.222222222223</v>
      </c>
      <c r="AC593" s="47">
        <f>AB593*H2dens*HoursInYear/10^6</f>
        <v>17.325333333333333</v>
      </c>
      <c r="AE593" s="46">
        <f t="shared" si="47"/>
        <v>22222.222222222223</v>
      </c>
      <c r="AF593" s="43" t="s">
        <v>4103</v>
      </c>
      <c r="AG593" s="43">
        <v>52.366101683889397</v>
      </c>
      <c r="AH593" s="43">
        <v>5.0347740334735898</v>
      </c>
      <c r="AI593" s="122" t="s">
        <v>7286</v>
      </c>
      <c r="AJ593" s="41">
        <v>0.5</v>
      </c>
    </row>
    <row r="594" spans="1:36" ht="34.5" hidden="1" customHeight="1" x14ac:dyDescent="0.25">
      <c r="A594" s="40">
        <v>978</v>
      </c>
      <c r="B594" s="40" t="s">
        <v>2360</v>
      </c>
      <c r="C594" s="40" t="s">
        <v>546</v>
      </c>
      <c r="D594" s="44">
        <v>2026</v>
      </c>
      <c r="E594" s="44"/>
      <c r="F594" s="40" t="s">
        <v>1540</v>
      </c>
      <c r="G594" s="40" t="s">
        <v>1259</v>
      </c>
      <c r="H594" s="87" t="s">
        <v>467</v>
      </c>
      <c r="I594" s="40" t="s">
        <v>1257</v>
      </c>
      <c r="K594" s="40" t="s">
        <v>1267</v>
      </c>
      <c r="W594" s="40">
        <v>1</v>
      </c>
      <c r="Z594" s="40" t="s">
        <v>7175</v>
      </c>
      <c r="AA594" s="78">
        <f>IF(H2ProjectDB689571011[[#This Row],[Dummy_1]]="Electrolysis",
AB594*VLOOKUP(G594,ElectrolysisConvF,3,FALSE),
"")</f>
        <v>1.4564983072992816</v>
      </c>
      <c r="AB594" s="46">
        <f>AC594/(H2dens*HoursInYear/10^6)</f>
        <v>323.66629051095151</v>
      </c>
      <c r="AC594" s="47">
        <f>0.28*0.045/0.73/0.12/H2ProjectDB689571011[[#This Row],[LOWE_CF]]</f>
        <v>0.25234318673395822</v>
      </c>
      <c r="AE594" s="46">
        <f t="shared" si="47"/>
        <v>323.66629051095151</v>
      </c>
      <c r="AF594" s="43" t="s">
        <v>2358</v>
      </c>
      <c r="AG594" s="43">
        <v>51.956385105458097</v>
      </c>
      <c r="AH594" s="43">
        <v>4.42022132090338</v>
      </c>
      <c r="AI594" s="122" t="s">
        <v>7286</v>
      </c>
      <c r="AJ594" s="41">
        <v>0.56999999999999995</v>
      </c>
    </row>
    <row r="595" spans="1:36" ht="34.5" hidden="1" customHeight="1" x14ac:dyDescent="0.25">
      <c r="A595" s="40">
        <v>979</v>
      </c>
      <c r="B595" s="40" t="s">
        <v>3940</v>
      </c>
      <c r="C595" s="40" t="s">
        <v>542</v>
      </c>
      <c r="D595" s="44">
        <v>2027</v>
      </c>
      <c r="E595" s="44"/>
      <c r="F595" s="40" t="s">
        <v>1331</v>
      </c>
      <c r="G595" s="40" t="s">
        <v>1261</v>
      </c>
      <c r="H595" s="87" t="s">
        <v>6847</v>
      </c>
      <c r="K595" s="40" t="s">
        <v>578</v>
      </c>
      <c r="P595" s="40">
        <v>1</v>
      </c>
      <c r="T595" s="40">
        <v>1</v>
      </c>
      <c r="Z595" s="40" t="s">
        <v>5726</v>
      </c>
      <c r="AA595" s="78" t="str">
        <f>IF(H2ProjectDB689571011[[#This Row],[Dummy_1]]="Electrolysis",
AB595*VLOOKUP(G595,ElectrolysisConvF,3,FALSE),
"")</f>
        <v/>
      </c>
      <c r="AB595" s="46">
        <f>IF(H2ProjectDB689571011[[#This Row],[Dummy_1]]="Electrolysis",
AA595/VLOOKUP(G595,ElectrolysisConvF,3,FALSE),
AC595*10^6/(H2dens*HoursInYear))</f>
        <v>192134.83146067415</v>
      </c>
      <c r="AC595" s="47">
        <f>600*HoursInYear*0.95*3.6/120/1000</f>
        <v>149.79599999999999</v>
      </c>
      <c r="AD595" s="46">
        <v>1000000</v>
      </c>
      <c r="AE595" s="46">
        <f t="shared" si="47"/>
        <v>125376.44276941518</v>
      </c>
      <c r="AF595" s="43" t="s">
        <v>3942</v>
      </c>
      <c r="AG595" s="43">
        <v>54.552392117875797</v>
      </c>
      <c r="AH595" s="43">
        <v>-1.3119161807415101</v>
      </c>
      <c r="AI595" s="122" t="s">
        <v>7287</v>
      </c>
      <c r="AJ595" s="41">
        <v>0.9</v>
      </c>
    </row>
    <row r="596" spans="1:36" ht="34.5" hidden="1" customHeight="1" x14ac:dyDescent="0.25">
      <c r="A596" s="40">
        <v>980</v>
      </c>
      <c r="B596" s="40" t="s">
        <v>3941</v>
      </c>
      <c r="C596" s="40" t="s">
        <v>542</v>
      </c>
      <c r="D596" s="44">
        <v>2030</v>
      </c>
      <c r="E596" s="44"/>
      <c r="F596" s="40" t="s">
        <v>1331</v>
      </c>
      <c r="G596" s="40" t="s">
        <v>1261</v>
      </c>
      <c r="H596" s="87" t="s">
        <v>6847</v>
      </c>
      <c r="K596" s="40" t="s">
        <v>578</v>
      </c>
      <c r="Z596" s="40" t="s">
        <v>5727</v>
      </c>
      <c r="AA596" s="78" t="str">
        <f>IF(H2ProjectDB689571011[[#This Row],[Dummy_1]]="Electrolysis",
AB596*VLOOKUP(G596,ElectrolysisConvF,3,FALSE),
"")</f>
        <v/>
      </c>
      <c r="AB596" s="46">
        <f>IF(H2ProjectDB689571011[[#This Row],[Dummy_1]]="Electrolysis",
AA596/VLOOKUP(G596,ElectrolysisConvF,3,FALSE),
AC596*10^6/(H2dens*HoursInYear))</f>
        <v>192134.83146067415</v>
      </c>
      <c r="AC596" s="47">
        <f>600*HoursInYear*0.95*3.6/120/1000</f>
        <v>149.79599999999999</v>
      </c>
      <c r="AD596" s="46">
        <v>1000000</v>
      </c>
      <c r="AE596" s="46">
        <f t="shared" si="47"/>
        <v>125376.44276941518</v>
      </c>
      <c r="AF596" s="43" t="s">
        <v>3942</v>
      </c>
      <c r="AG596" s="43">
        <v>54.552392117875797</v>
      </c>
      <c r="AH596" s="43">
        <v>-1.3119161807415101</v>
      </c>
      <c r="AI596" s="122" t="s">
        <v>7287</v>
      </c>
      <c r="AJ596" s="41">
        <v>0.9</v>
      </c>
    </row>
    <row r="597" spans="1:36" ht="34.5" hidden="1" customHeight="1" x14ac:dyDescent="0.25">
      <c r="A597" s="40">
        <v>981</v>
      </c>
      <c r="B597" s="40" t="s">
        <v>2361</v>
      </c>
      <c r="C597" s="40" t="s">
        <v>538</v>
      </c>
      <c r="D597" s="44">
        <v>2024</v>
      </c>
      <c r="E597" s="44"/>
      <c r="F597" s="40" t="s">
        <v>1339</v>
      </c>
      <c r="G597" s="40" t="s">
        <v>455</v>
      </c>
      <c r="I597" s="40" t="s">
        <v>1257</v>
      </c>
      <c r="K597" s="40" t="s">
        <v>578</v>
      </c>
      <c r="W597" s="40">
        <v>1</v>
      </c>
      <c r="Z597" s="40" t="s">
        <v>1368</v>
      </c>
      <c r="AA597" s="45">
        <v>2</v>
      </c>
      <c r="AB597" s="46">
        <f>IF(H2ProjectDB689571011[[#This Row],[Dummy_1]]="Electrolysis",
AA597/VLOOKUP(G597,ElectrolysisConvF,3,FALSE),
AC597*10^6/(H2dens*HoursInYear))</f>
        <v>384.61538461538464</v>
      </c>
      <c r="AC597" s="47">
        <f>AB597*H2dens*HoursInYear/10^6</f>
        <v>0.29986153846153851</v>
      </c>
      <c r="AE597" s="46">
        <f t="shared" si="47"/>
        <v>384.61538461538464</v>
      </c>
      <c r="AF597" s="43" t="s">
        <v>7357</v>
      </c>
      <c r="AG597" s="43">
        <v>35.443707000000003</v>
      </c>
      <c r="AH597" s="43">
        <v>139.63803100000001</v>
      </c>
      <c r="AI597" s="122" t="s">
        <v>7286</v>
      </c>
      <c r="AJ597" s="41">
        <v>0.56999999999999995</v>
      </c>
    </row>
    <row r="598" spans="1:36" ht="34.5" hidden="1" customHeight="1" x14ac:dyDescent="0.25">
      <c r="A598" s="40">
        <v>982</v>
      </c>
      <c r="B598" s="40" t="s">
        <v>5076</v>
      </c>
      <c r="C598" s="40" t="s">
        <v>1062</v>
      </c>
      <c r="D598" s="44"/>
      <c r="E598" s="44"/>
      <c r="F598" s="40" t="s">
        <v>1331</v>
      </c>
      <c r="G598" s="40" t="s">
        <v>1261</v>
      </c>
      <c r="H598" s="40" t="s">
        <v>1665</v>
      </c>
      <c r="K598" s="40" t="s">
        <v>1243</v>
      </c>
      <c r="M598" s="40">
        <v>1</v>
      </c>
      <c r="Z598" s="40" t="s">
        <v>7851</v>
      </c>
      <c r="AC598" s="47"/>
      <c r="AE598" s="46">
        <f t="shared" si="47"/>
        <v>0</v>
      </c>
      <c r="AF598" s="43" t="s">
        <v>2364</v>
      </c>
      <c r="AG598" s="43">
        <v>-0.93882795616842096</v>
      </c>
      <c r="AH598" s="43">
        <v>122.79250042014</v>
      </c>
      <c r="AI598" s="122" t="s">
        <v>7287</v>
      </c>
      <c r="AJ598" s="41">
        <v>0.9</v>
      </c>
    </row>
    <row r="599" spans="1:36" ht="34.5" hidden="1" customHeight="1" x14ac:dyDescent="0.25">
      <c r="A599" s="40">
        <v>984</v>
      </c>
      <c r="B599" s="40" t="s">
        <v>4068</v>
      </c>
      <c r="C599" s="40" t="s">
        <v>531</v>
      </c>
      <c r="D599" s="44">
        <v>2028</v>
      </c>
      <c r="E599" s="44"/>
      <c r="F599" s="40" t="s">
        <v>1331</v>
      </c>
      <c r="G599" s="40" t="s">
        <v>1261</v>
      </c>
      <c r="H599" s="40" t="s">
        <v>5708</v>
      </c>
      <c r="K599" s="40" t="s">
        <v>1243</v>
      </c>
      <c r="M599" s="40">
        <v>1</v>
      </c>
      <c r="Z599" s="40" t="s">
        <v>4069</v>
      </c>
      <c r="AA599" s="78" t="str">
        <f>IF(H2ProjectDB689571011[[#This Row],[Dummy_1]]="Electrolysis",
AB599*VLOOKUP(G599,ElectrolysisConvF,3,FALSE),
"")</f>
        <v/>
      </c>
      <c r="AB599" s="46">
        <f>AC599/(H2dens*HoursInYear/10^6)</f>
        <v>230968.17609605024</v>
      </c>
      <c r="AC599" s="47">
        <f>1000*3/17/0.98</f>
        <v>180.0720288115246</v>
      </c>
      <c r="AD599" s="46">
        <v>2000000</v>
      </c>
      <c r="AE599" s="46">
        <f t="shared" si="47"/>
        <v>250752.88553883036</v>
      </c>
      <c r="AF599" s="43" t="s">
        <v>7263</v>
      </c>
      <c r="AG599" s="43">
        <v>70.479900000000001</v>
      </c>
      <c r="AH599" s="43">
        <v>24.263300000000001</v>
      </c>
      <c r="AI599" s="122" t="s">
        <v>7287</v>
      </c>
      <c r="AJ599" s="41">
        <v>0.9</v>
      </c>
    </row>
    <row r="600" spans="1:36" ht="34.5" hidden="1" customHeight="1" x14ac:dyDescent="0.25">
      <c r="A600" s="40">
        <v>985</v>
      </c>
      <c r="B600" s="40" t="s">
        <v>2375</v>
      </c>
      <c r="C600" s="40" t="s">
        <v>1764</v>
      </c>
      <c r="D600" s="44"/>
      <c r="E600" s="44"/>
      <c r="F600" s="40" t="s">
        <v>2222</v>
      </c>
      <c r="G600" s="40" t="s">
        <v>1259</v>
      </c>
      <c r="H600" s="40" t="s">
        <v>467</v>
      </c>
      <c r="I600" s="40" t="s">
        <v>1269</v>
      </c>
      <c r="J600" s="40" t="s">
        <v>1395</v>
      </c>
      <c r="K600" s="40" t="s">
        <v>578</v>
      </c>
      <c r="P600" s="40">
        <v>1</v>
      </c>
      <c r="Q600" s="40">
        <v>1</v>
      </c>
      <c r="Z600" s="40" t="s">
        <v>1574</v>
      </c>
      <c r="AA600" s="45">
        <v>160</v>
      </c>
      <c r="AB600" s="46">
        <f>IF(H2ProjectDB689571011[[#This Row],[Dummy_1]]="Electrolysis",
AA600/VLOOKUP(G600,ElectrolysisConvF,3,FALSE),
AC600*10^6/(H2dens*HoursInYear))</f>
        <v>35555.555555555555</v>
      </c>
      <c r="AC600" s="47">
        <f>AB600*H2dens*HoursInYear/10^6</f>
        <v>27.720533333333332</v>
      </c>
      <c r="AE600" s="46">
        <f>AB600</f>
        <v>35555.555555555555</v>
      </c>
      <c r="AF600" s="43" t="s">
        <v>2373</v>
      </c>
      <c r="AG600" s="43">
        <v>41.5351238477826</v>
      </c>
      <c r="AH600" s="43">
        <v>-0.89100320772010599</v>
      </c>
      <c r="AI600" s="122" t="s">
        <v>7286</v>
      </c>
      <c r="AJ600" s="41">
        <v>0.5</v>
      </c>
    </row>
    <row r="601" spans="1:36" ht="34.5" hidden="1" customHeight="1" x14ac:dyDescent="0.25">
      <c r="A601" s="40">
        <v>986</v>
      </c>
      <c r="B601" s="40" t="s">
        <v>2376</v>
      </c>
      <c r="C601" s="40" t="s">
        <v>1880</v>
      </c>
      <c r="D601" s="44">
        <v>2026</v>
      </c>
      <c r="E601" s="44"/>
      <c r="F601" s="40" t="s">
        <v>1331</v>
      </c>
      <c r="G601" s="40" t="s">
        <v>455</v>
      </c>
      <c r="I601" s="40" t="s">
        <v>1269</v>
      </c>
      <c r="J601" s="40" t="s">
        <v>1391</v>
      </c>
      <c r="K601" s="40" t="s">
        <v>578</v>
      </c>
      <c r="R601" s="40">
        <v>1</v>
      </c>
      <c r="Z601" s="40" t="s">
        <v>1582</v>
      </c>
      <c r="AA601" s="45">
        <v>15</v>
      </c>
      <c r="AB601" s="46">
        <f>IF(H2ProjectDB689571011[[#This Row],[Dummy_1]]="Electrolysis",
AA601/VLOOKUP(G601,ElectrolysisConvF,3,FALSE),
AC601*10^6/(H2dens*HoursInYear))</f>
        <v>2884.6153846153848</v>
      </c>
      <c r="AC601" s="47">
        <f>AB601*H2dens*HoursInYear/10^6</f>
        <v>2.2489615384615385</v>
      </c>
      <c r="AE601" s="46">
        <f t="shared" ref="AE601:AE618" si="48">IF(AND(G601&lt;&gt;"NG w CCUS",G601&lt;&gt;"Oil w CCUS",G601&lt;&gt;"Coal w CCUS"),AB601,AD601*10^3/(HoursInYear*IF(G601="NG w CCUS",0.9105,1.9075)))</f>
        <v>2884.6153846153848</v>
      </c>
      <c r="AF601" s="43" t="s">
        <v>7039</v>
      </c>
      <c r="AG601" s="43">
        <v>13.1859485660397</v>
      </c>
      <c r="AH601" s="43">
        <v>-59.559888569665702</v>
      </c>
      <c r="AI601" s="122" t="s">
        <v>7286</v>
      </c>
      <c r="AJ601" s="41">
        <v>0.3</v>
      </c>
    </row>
    <row r="602" spans="1:36" ht="34.5" hidden="1" customHeight="1" x14ac:dyDescent="0.25">
      <c r="A602" s="40">
        <v>987</v>
      </c>
      <c r="B602" s="40" t="s">
        <v>5971</v>
      </c>
      <c r="C602" s="40" t="s">
        <v>530</v>
      </c>
      <c r="D602" s="44">
        <v>2026</v>
      </c>
      <c r="E602" s="44"/>
      <c r="F602" s="40" t="s">
        <v>5701</v>
      </c>
      <c r="G602" s="40" t="s">
        <v>457</v>
      </c>
      <c r="I602" s="40" t="s">
        <v>1269</v>
      </c>
      <c r="J602" s="40" t="s">
        <v>1391</v>
      </c>
      <c r="K602" s="40" t="s">
        <v>578</v>
      </c>
      <c r="R602" s="40">
        <v>1</v>
      </c>
      <c r="Z602" s="40" t="s">
        <v>3313</v>
      </c>
      <c r="AA602" s="45">
        <v>16</v>
      </c>
      <c r="AB602" s="46">
        <f>IF(H2ProjectDB689571011[[#This Row],[Dummy_1]]="Electrolysis",
AA602/VLOOKUP(G602,ElectrolysisConvF,3,FALSE),
AC602*10^6/(H2dens*HoursInYear))</f>
        <v>3478.2608695652175</v>
      </c>
      <c r="AC602" s="47">
        <f>AB602*H2dens*HoursInYear/10^6</f>
        <v>2.7117913043478259</v>
      </c>
      <c r="AE602" s="46">
        <f t="shared" si="48"/>
        <v>3478.2608695652175</v>
      </c>
      <c r="AF602" s="40" t="s">
        <v>3314</v>
      </c>
      <c r="AG602" s="43">
        <v>5.6687326999999996</v>
      </c>
      <c r="AH602" s="43">
        <v>-53.778404299999998</v>
      </c>
      <c r="AI602" s="122" t="s">
        <v>7286</v>
      </c>
      <c r="AJ602" s="41">
        <v>0.3</v>
      </c>
    </row>
    <row r="603" spans="1:36" ht="34.5" hidden="1" customHeight="1" x14ac:dyDescent="0.25">
      <c r="A603" s="40">
        <v>988</v>
      </c>
      <c r="B603" s="40" t="s">
        <v>2377</v>
      </c>
      <c r="C603" s="40" t="s">
        <v>1870</v>
      </c>
      <c r="D603" s="44">
        <v>2027</v>
      </c>
      <c r="E603" s="44"/>
      <c r="F603" s="40" t="s">
        <v>1331</v>
      </c>
      <c r="G603" s="40" t="s">
        <v>1259</v>
      </c>
      <c r="H603" s="40" t="s">
        <v>467</v>
      </c>
      <c r="I603" s="40" t="s">
        <v>5700</v>
      </c>
      <c r="J603" s="40" t="s">
        <v>581</v>
      </c>
      <c r="K603" s="40" t="s">
        <v>578</v>
      </c>
      <c r="M603" s="40">
        <v>1</v>
      </c>
      <c r="O603" s="40">
        <v>1</v>
      </c>
      <c r="Z603" s="40" t="s">
        <v>7382</v>
      </c>
      <c r="AA603" s="45">
        <v>140</v>
      </c>
      <c r="AB603" s="46">
        <f>IF(H2ProjectDB689571011[[#This Row],[Dummy_1]]="Electrolysis",
AA603/VLOOKUP(G603,ElectrolysisConvF,3,FALSE),
AC603*10^6/(H2dens*HoursInYear))</f>
        <v>31111.111111111113</v>
      </c>
      <c r="AC603" s="47">
        <f>AB603*H2dens*HoursInYear/10^6</f>
        <v>24.255466666666667</v>
      </c>
      <c r="AE603" s="46">
        <f t="shared" si="48"/>
        <v>31111.111111111113</v>
      </c>
      <c r="AF603" s="40" t="s">
        <v>2389</v>
      </c>
      <c r="AG603" s="43">
        <v>10.4084449566323</v>
      </c>
      <c r="AH603" s="43">
        <v>-61.492371726983698</v>
      </c>
      <c r="AI603" s="122" t="s">
        <v>7286</v>
      </c>
      <c r="AJ603" s="41">
        <v>0.7</v>
      </c>
    </row>
    <row r="604" spans="1:36" ht="34.5" hidden="1" customHeight="1" x14ac:dyDescent="0.25">
      <c r="A604" s="40">
        <v>990</v>
      </c>
      <c r="B604" s="40" t="s">
        <v>2380</v>
      </c>
      <c r="C604" s="40" t="s">
        <v>533</v>
      </c>
      <c r="F604" s="40" t="s">
        <v>5701</v>
      </c>
      <c r="G604" s="40" t="s">
        <v>1259</v>
      </c>
      <c r="H604" s="40" t="s">
        <v>467</v>
      </c>
      <c r="I604" s="40" t="s">
        <v>1269</v>
      </c>
      <c r="J604" s="40" t="s">
        <v>1394</v>
      </c>
      <c r="K604" s="40" t="s">
        <v>578</v>
      </c>
      <c r="S604" s="40">
        <v>1</v>
      </c>
      <c r="Z604" s="40" t="s">
        <v>1495</v>
      </c>
      <c r="AA604" s="45">
        <v>20</v>
      </c>
      <c r="AB604" s="46">
        <f>IF(H2ProjectDB689571011[[#This Row],[Dummy_1]]="Electrolysis",
AA604/VLOOKUP(G604,ElectrolysisConvF,3,FALSE),
AC604*10^6/(H2dens*HoursInYear))</f>
        <v>4444.4444444444443</v>
      </c>
      <c r="AC604" s="47">
        <f>AB604*H2dens*HoursInYear/10^6</f>
        <v>3.4650666666666665</v>
      </c>
      <c r="AE604" s="46">
        <f t="shared" si="48"/>
        <v>4444.4444444444443</v>
      </c>
      <c r="AF604" s="43" t="s">
        <v>2382</v>
      </c>
      <c r="AG604" s="43">
        <v>0</v>
      </c>
      <c r="AH604" s="43">
        <v>0</v>
      </c>
      <c r="AI604" s="122" t="s">
        <v>7286</v>
      </c>
      <c r="AJ604" s="41">
        <v>0.8</v>
      </c>
    </row>
    <row r="605" spans="1:36" ht="34.5" hidden="1" customHeight="1" x14ac:dyDescent="0.25">
      <c r="A605" s="40">
        <v>991</v>
      </c>
      <c r="B605" s="40" t="s">
        <v>2383</v>
      </c>
      <c r="C605" s="40" t="s">
        <v>1806</v>
      </c>
      <c r="D605" s="40">
        <v>2020</v>
      </c>
      <c r="F605" s="40" t="s">
        <v>1540</v>
      </c>
      <c r="G605" s="40" t="s">
        <v>1263</v>
      </c>
      <c r="K605" s="40" t="s">
        <v>578</v>
      </c>
      <c r="AC605" s="47"/>
      <c r="AE605" s="46">
        <f t="shared" si="48"/>
        <v>0</v>
      </c>
      <c r="AF605" s="43" t="s">
        <v>2384</v>
      </c>
      <c r="AG605" s="43">
        <v>0</v>
      </c>
      <c r="AH605" s="43">
        <v>0</v>
      </c>
      <c r="AI605" s="122" t="s">
        <v>1255</v>
      </c>
      <c r="AJ605" s="41">
        <v>0.9</v>
      </c>
    </row>
    <row r="606" spans="1:36" ht="34.5" customHeight="1" x14ac:dyDescent="0.25">
      <c r="A606" s="40">
        <v>992</v>
      </c>
      <c r="B606" s="40" t="s">
        <v>2810</v>
      </c>
      <c r="C606" s="40" t="s">
        <v>1052</v>
      </c>
      <c r="D606" s="44">
        <v>2025</v>
      </c>
      <c r="E606" s="44"/>
      <c r="F606" s="40" t="s">
        <v>1331</v>
      </c>
      <c r="G606" s="40" t="s">
        <v>1259</v>
      </c>
      <c r="H606" s="40" t="s">
        <v>467</v>
      </c>
      <c r="I606" s="40" t="s">
        <v>1269</v>
      </c>
      <c r="J606" s="40" t="s">
        <v>1394</v>
      </c>
      <c r="K606" s="40" t="s">
        <v>578</v>
      </c>
      <c r="Z606" s="40" t="s">
        <v>8340</v>
      </c>
      <c r="AA606" s="78">
        <f>IF(H2ProjectDB689571011[[#This Row],[Dummy_1]]="Electrolysis",
AB606*VLOOKUP(G606,ElectrolysisConvF,3,FALSE),
"")</f>
        <v>3463.1368323841771</v>
      </c>
      <c r="AB606" s="46">
        <f>AC606/(H2dens*HoursInYear/10^6)</f>
        <v>769585.96275203943</v>
      </c>
      <c r="AC606" s="47">
        <f>600</f>
        <v>600</v>
      </c>
      <c r="AE606" s="46">
        <f t="shared" si="48"/>
        <v>769585.96275203943</v>
      </c>
      <c r="AF606" s="43" t="s">
        <v>2386</v>
      </c>
      <c r="AG606" s="43">
        <v>-3.53092803394662</v>
      </c>
      <c r="AH606" s="43">
        <v>-38.792377458297302</v>
      </c>
      <c r="AI606" s="122" t="s">
        <v>7286</v>
      </c>
      <c r="AJ606" s="41">
        <v>0.8</v>
      </c>
    </row>
    <row r="607" spans="1:36" ht="34.5" hidden="1" customHeight="1" x14ac:dyDescent="0.25">
      <c r="A607" s="40">
        <v>993</v>
      </c>
      <c r="B607" s="40" t="s">
        <v>2391</v>
      </c>
      <c r="C607" s="40" t="s">
        <v>1754</v>
      </c>
      <c r="D607" s="44">
        <v>2023</v>
      </c>
      <c r="E607" s="44"/>
      <c r="F607" s="40" t="s">
        <v>1339</v>
      </c>
      <c r="G607" s="40" t="s">
        <v>455</v>
      </c>
      <c r="I607" s="40" t="s">
        <v>1269</v>
      </c>
      <c r="J607" s="40" t="s">
        <v>1395</v>
      </c>
      <c r="K607" s="40" t="s">
        <v>578</v>
      </c>
      <c r="R607" s="40">
        <v>1</v>
      </c>
      <c r="Z607" s="40" t="s">
        <v>1493</v>
      </c>
      <c r="AA607" s="45">
        <v>2</v>
      </c>
      <c r="AB607" s="46">
        <f>IF(H2ProjectDB689571011[[#This Row],[Dummy_1]]="Electrolysis",
AA607/VLOOKUP(G607,ElectrolysisConvF,3,FALSE),
AC607*10^6/(H2dens*HoursInYear))</f>
        <v>384.61538461538464</v>
      </c>
      <c r="AC607" s="47">
        <f>AB607*H2dens*HoursInYear/10^6</f>
        <v>0.29986153846153851</v>
      </c>
      <c r="AE607" s="46">
        <f t="shared" si="48"/>
        <v>384.61538461538464</v>
      </c>
      <c r="AF607" s="43" t="s">
        <v>4669</v>
      </c>
      <c r="AG607" s="43">
        <v>46.4966066</v>
      </c>
      <c r="AH607" s="43">
        <v>20.7015134</v>
      </c>
      <c r="AI607" s="122" t="s">
        <v>7286</v>
      </c>
      <c r="AJ607" s="41">
        <v>0.5</v>
      </c>
    </row>
    <row r="608" spans="1:36" ht="34.5" hidden="1" customHeight="1" x14ac:dyDescent="0.25">
      <c r="A608" s="40">
        <v>1000</v>
      </c>
      <c r="B608" s="40" t="s">
        <v>2408</v>
      </c>
      <c r="C608" s="40" t="s">
        <v>533</v>
      </c>
      <c r="D608" s="44">
        <v>2023</v>
      </c>
      <c r="E608" s="44"/>
      <c r="F608" s="40" t="s">
        <v>1339</v>
      </c>
      <c r="G608" s="40" t="s">
        <v>1263</v>
      </c>
      <c r="K608" s="40" t="s">
        <v>578</v>
      </c>
      <c r="L608" s="40">
        <v>1</v>
      </c>
      <c r="V608" s="40">
        <v>1</v>
      </c>
      <c r="Z608" s="40" t="s">
        <v>5686</v>
      </c>
      <c r="AA608" s="91" t="str">
        <f>IF(OR(G608="ALK",G608="PEM",G608="SOEC",G608="Other Electrolysis"),
AB608*VLOOKUP(G608,ElectrolysisConvF,3,FALSE),
"")</f>
        <v/>
      </c>
      <c r="AB608" s="46">
        <f>10000000*0.0283/24</f>
        <v>11791.666666666666</v>
      </c>
      <c r="AC608" s="47">
        <f>AB608*H2dens*HoursInYear/10^6</f>
        <v>9.1932550000000006</v>
      </c>
      <c r="AE608" s="46">
        <f t="shared" si="48"/>
        <v>11791.666666666666</v>
      </c>
      <c r="AF608" s="43" t="s">
        <v>7215</v>
      </c>
      <c r="AG608" s="43">
        <v>53.927027256398098</v>
      </c>
      <c r="AH608" s="43">
        <v>-122.694135859341</v>
      </c>
      <c r="AI608" s="122" t="s">
        <v>1255</v>
      </c>
      <c r="AJ608" s="41">
        <v>0.9</v>
      </c>
    </row>
    <row r="609" spans="1:36" ht="34.5" hidden="1" customHeight="1" x14ac:dyDescent="0.25">
      <c r="A609" s="40">
        <v>1001</v>
      </c>
      <c r="B609" s="40" t="s">
        <v>2410</v>
      </c>
      <c r="C609" s="40" t="s">
        <v>1808</v>
      </c>
      <c r="D609" s="44">
        <v>2021</v>
      </c>
      <c r="F609" s="40" t="s">
        <v>1339</v>
      </c>
      <c r="G609" s="40" t="s">
        <v>1259</v>
      </c>
      <c r="H609" s="40" t="s">
        <v>467</v>
      </c>
      <c r="I609" s="40" t="s">
        <v>1257</v>
      </c>
      <c r="K609" s="40" t="s">
        <v>578</v>
      </c>
      <c r="P609" s="40">
        <v>1</v>
      </c>
      <c r="Z609" s="40" t="s">
        <v>1481</v>
      </c>
      <c r="AA609" s="45">
        <v>25</v>
      </c>
      <c r="AB609" s="46">
        <f>IF(H2ProjectDB689571011[[#This Row],[Dummy_1]]="Electrolysis",
AA609/VLOOKUP(G609,ElectrolysisConvF,3,FALSE),
AC609*10^6/(H2dens*HoursInYear))</f>
        <v>5555.5555555555557</v>
      </c>
      <c r="AC609" s="47">
        <f>AB609*H2dens*HoursInYear/10^6</f>
        <v>4.3313333333333333</v>
      </c>
      <c r="AE609" s="46">
        <f t="shared" si="48"/>
        <v>5555.5555555555557</v>
      </c>
      <c r="AF609" s="43" t="s">
        <v>4443</v>
      </c>
      <c r="AG609" s="43">
        <v>23.0482273051446</v>
      </c>
      <c r="AH609" s="43">
        <v>120.15202540513</v>
      </c>
      <c r="AI609" s="122" t="s">
        <v>7286</v>
      </c>
      <c r="AJ609" s="41">
        <v>0.56999999999999995</v>
      </c>
    </row>
    <row r="610" spans="1:36" ht="34.5" hidden="1" customHeight="1" x14ac:dyDescent="0.25">
      <c r="A610" s="81">
        <v>1002</v>
      </c>
      <c r="B610" s="81" t="s">
        <v>2412</v>
      </c>
      <c r="C610" s="81" t="s">
        <v>546</v>
      </c>
      <c r="D610" s="101">
        <v>2030</v>
      </c>
      <c r="E610" s="101"/>
      <c r="F610" s="81" t="s">
        <v>1331</v>
      </c>
      <c r="G610" s="81" t="s">
        <v>1259</v>
      </c>
      <c r="H610" s="81" t="s">
        <v>467</v>
      </c>
      <c r="I610" s="81" t="s">
        <v>1269</v>
      </c>
      <c r="J610" s="81" t="s">
        <v>1393</v>
      </c>
      <c r="K610" s="81" t="s">
        <v>578</v>
      </c>
      <c r="L610" s="81">
        <v>1</v>
      </c>
      <c r="M610" s="81">
        <v>1</v>
      </c>
      <c r="N610" s="81">
        <v>1</v>
      </c>
      <c r="O610" s="81">
        <v>1</v>
      </c>
      <c r="P610" s="81">
        <v>1</v>
      </c>
      <c r="Q610" s="81"/>
      <c r="R610" s="81"/>
      <c r="S610" s="81"/>
      <c r="T610" s="81"/>
      <c r="U610" s="81"/>
      <c r="V610" s="81"/>
      <c r="W610" s="81"/>
      <c r="X610" s="81"/>
      <c r="Y610" s="81"/>
      <c r="Z610" s="81" t="s">
        <v>1334</v>
      </c>
      <c r="AA610" s="83"/>
      <c r="AB610" s="84"/>
      <c r="AC610" s="85">
        <f>AB610*H2dens*HoursInYear/10^6</f>
        <v>0</v>
      </c>
      <c r="AD610" s="84"/>
      <c r="AE610" s="84">
        <f t="shared" si="48"/>
        <v>0</v>
      </c>
      <c r="AF610" s="82" t="s">
        <v>4707</v>
      </c>
      <c r="AG610" s="82">
        <v>0</v>
      </c>
      <c r="AH610" s="82">
        <v>0</v>
      </c>
      <c r="AI610" s="122" t="s">
        <v>7286</v>
      </c>
      <c r="AJ610" s="41">
        <v>0.55000000000000004</v>
      </c>
    </row>
    <row r="611" spans="1:36" s="81" customFormat="1" ht="34.5" hidden="1" customHeight="1" x14ac:dyDescent="0.25">
      <c r="A611" s="40">
        <v>1003</v>
      </c>
      <c r="B611" s="40" t="s">
        <v>2414</v>
      </c>
      <c r="C611" s="40" t="s">
        <v>1305</v>
      </c>
      <c r="D611" s="44">
        <v>2022</v>
      </c>
      <c r="E611" s="40"/>
      <c r="F611" s="40" t="s">
        <v>1339</v>
      </c>
      <c r="G611" s="40" t="s">
        <v>455</v>
      </c>
      <c r="H611" s="40"/>
      <c r="I611" s="40" t="s">
        <v>1257</v>
      </c>
      <c r="J611" s="40"/>
      <c r="K611" s="40" t="s">
        <v>578</v>
      </c>
      <c r="L611" s="40"/>
      <c r="M611" s="40"/>
      <c r="N611" s="40"/>
      <c r="O611" s="40"/>
      <c r="P611" s="40"/>
      <c r="Q611" s="40">
        <v>1</v>
      </c>
      <c r="R611" s="40"/>
      <c r="S611" s="40"/>
      <c r="T611" s="40"/>
      <c r="U611" s="40"/>
      <c r="V611" s="40"/>
      <c r="W611" s="40"/>
      <c r="X611" s="40"/>
      <c r="Y611" s="40"/>
      <c r="Z611" s="40" t="s">
        <v>2415</v>
      </c>
      <c r="AA611" s="78">
        <f>IF(H2ProjectDB689571011[[#This Row],[Dummy_1]]="Electrolysis",
AB611*VLOOKUP(G611,ElectrolysisConvF,3,FALSE),
"")</f>
        <v>3.8951310861423214</v>
      </c>
      <c r="AB611" s="46">
        <f>AC611/(H2dens*HoursInYear/10^6)</f>
        <v>749.06367041198496</v>
      </c>
      <c r="AC611" s="47">
        <f>1.6*365/1000</f>
        <v>0.58399999999999996</v>
      </c>
      <c r="AD611" s="46"/>
      <c r="AE611" s="46">
        <f t="shared" si="48"/>
        <v>749.06367041198496</v>
      </c>
      <c r="AF611" s="43" t="s">
        <v>4467</v>
      </c>
      <c r="AG611" s="43">
        <v>53.488537705735403</v>
      </c>
      <c r="AH611" s="43">
        <v>9.1323941157611905</v>
      </c>
      <c r="AI611" s="122" t="s">
        <v>7286</v>
      </c>
      <c r="AJ611" s="41">
        <v>0.56999999999999995</v>
      </c>
    </row>
    <row r="612" spans="1:36" ht="34.5" hidden="1" customHeight="1" x14ac:dyDescent="0.25">
      <c r="A612" s="40">
        <v>1004</v>
      </c>
      <c r="B612" s="40" t="s">
        <v>4850</v>
      </c>
      <c r="C612" s="40" t="s">
        <v>1305</v>
      </c>
      <c r="D612" s="44">
        <v>2024</v>
      </c>
      <c r="E612" s="44"/>
      <c r="F612" s="40" t="s">
        <v>5701</v>
      </c>
      <c r="G612" s="40" t="s">
        <v>1259</v>
      </c>
      <c r="H612" s="40" t="s">
        <v>467</v>
      </c>
      <c r="I612" s="40" t="s">
        <v>1257</v>
      </c>
      <c r="K612" s="40" t="s">
        <v>578</v>
      </c>
      <c r="O612" s="40">
        <v>1</v>
      </c>
      <c r="Z612" s="40" t="s">
        <v>1348</v>
      </c>
      <c r="AA612" s="45">
        <v>10</v>
      </c>
      <c r="AB612" s="46">
        <f>IF(H2ProjectDB689571011[[#This Row],[Dummy_1]]="Electrolysis",
AA612/VLOOKUP(G612,ElectrolysisConvF,3,FALSE),
AC612*10^6/(H2dens*HoursInYear))</f>
        <v>2222.2222222222222</v>
      </c>
      <c r="AC612" s="47">
        <f>AB612*H2dens*HoursInYear/10^6</f>
        <v>1.7325333333333333</v>
      </c>
      <c r="AE612" s="46">
        <f t="shared" si="48"/>
        <v>2222.2222222222222</v>
      </c>
      <c r="AF612" s="43" t="s">
        <v>4852</v>
      </c>
      <c r="AG612" s="43">
        <v>53.137381785431501</v>
      </c>
      <c r="AH612" s="43">
        <v>8.6938995243144301</v>
      </c>
      <c r="AI612" s="122" t="s">
        <v>7286</v>
      </c>
      <c r="AJ612" s="41">
        <v>0.56999999999999995</v>
      </c>
    </row>
    <row r="613" spans="1:36" ht="34.5" hidden="1" customHeight="1" x14ac:dyDescent="0.25">
      <c r="A613" s="40">
        <v>1005</v>
      </c>
      <c r="B613" s="40" t="s">
        <v>2419</v>
      </c>
      <c r="C613" s="40" t="s">
        <v>1764</v>
      </c>
      <c r="D613" s="44">
        <v>2025</v>
      </c>
      <c r="E613" s="44"/>
      <c r="F613" s="40" t="s">
        <v>1331</v>
      </c>
      <c r="G613" s="40" t="s">
        <v>1259</v>
      </c>
      <c r="H613" s="40" t="s">
        <v>467</v>
      </c>
      <c r="I613" s="40" t="s">
        <v>1269</v>
      </c>
      <c r="J613" s="40" t="s">
        <v>1391</v>
      </c>
      <c r="K613" s="40" t="s">
        <v>578</v>
      </c>
      <c r="P613" s="40">
        <v>1</v>
      </c>
      <c r="Q613" s="40">
        <v>1</v>
      </c>
      <c r="AC613" s="47"/>
      <c r="AE613" s="46">
        <f t="shared" si="48"/>
        <v>0</v>
      </c>
      <c r="AF613" s="43" t="s">
        <v>2418</v>
      </c>
      <c r="AG613" s="43">
        <v>41.693898188195497</v>
      </c>
      <c r="AH613" s="43">
        <v>0.59486163756925703</v>
      </c>
      <c r="AI613" s="122" t="s">
        <v>7286</v>
      </c>
      <c r="AJ613" s="41">
        <v>0.3</v>
      </c>
    </row>
    <row r="614" spans="1:36" ht="34.5" hidden="1" customHeight="1" x14ac:dyDescent="0.25">
      <c r="A614" s="40">
        <v>1006</v>
      </c>
      <c r="B614" s="40" t="s">
        <v>2421</v>
      </c>
      <c r="C614" s="40" t="s">
        <v>536</v>
      </c>
      <c r="D614" s="44">
        <v>2028</v>
      </c>
      <c r="E614" s="44"/>
      <c r="F614" s="40" t="s">
        <v>1331</v>
      </c>
      <c r="G614" s="40" t="s">
        <v>457</v>
      </c>
      <c r="I614" s="40" t="s">
        <v>1257</v>
      </c>
      <c r="K614" s="40" t="s">
        <v>578</v>
      </c>
      <c r="W614" s="40">
        <v>1</v>
      </c>
      <c r="Z614" s="40" t="s">
        <v>3145</v>
      </c>
      <c r="AA614" s="45">
        <v>839</v>
      </c>
      <c r="AB614" s="46">
        <f>IF(H2ProjectDB689571011[[#This Row],[Dummy_1]]="Electrolysis",
AA614/VLOOKUP(G614,ElectrolysisConvF,3,FALSE),
AC614*10^6/(H2dens*HoursInYear))</f>
        <v>182391.30434782608</v>
      </c>
      <c r="AC614" s="47">
        <f>AB614*H2dens*HoursInYear/10^6</f>
        <v>142.19955652173911</v>
      </c>
      <c r="AE614" s="46">
        <f t="shared" si="48"/>
        <v>182391.30434782608</v>
      </c>
      <c r="AF614" s="43" t="s">
        <v>7418</v>
      </c>
      <c r="AG614" s="43">
        <v>30.034577209651999</v>
      </c>
      <c r="AH614" s="43">
        <v>-90.775476750242504</v>
      </c>
      <c r="AI614" s="122" t="s">
        <v>7286</v>
      </c>
      <c r="AJ614" s="41">
        <v>0.56999999999999995</v>
      </c>
    </row>
    <row r="615" spans="1:36" ht="34.5" hidden="1" customHeight="1" x14ac:dyDescent="0.25">
      <c r="A615" s="40">
        <v>1007</v>
      </c>
      <c r="B615" s="40" t="s">
        <v>2423</v>
      </c>
      <c r="C615" s="40" t="s">
        <v>1067</v>
      </c>
      <c r="D615" s="44">
        <v>2026</v>
      </c>
      <c r="E615" s="44"/>
      <c r="F615" s="40" t="s">
        <v>1331</v>
      </c>
      <c r="G615" s="40" t="s">
        <v>455</v>
      </c>
      <c r="I615" s="40" t="s">
        <v>1269</v>
      </c>
      <c r="J615" s="40" t="s">
        <v>1391</v>
      </c>
      <c r="K615" s="40" t="s">
        <v>578</v>
      </c>
      <c r="R615" s="40">
        <v>1</v>
      </c>
      <c r="Z615" s="40" t="s">
        <v>1481</v>
      </c>
      <c r="AA615" s="45">
        <v>25</v>
      </c>
      <c r="AB615" s="46">
        <f>IF(H2ProjectDB689571011[[#This Row],[Dummy_1]]="Electrolysis",
AA615/VLOOKUP(G615,ElectrolysisConvF,3,FALSE),
AC615*10^6/(H2dens*HoursInYear))</f>
        <v>4807.6923076923076</v>
      </c>
      <c r="AC615" s="47">
        <f>AB615*H2dens*HoursInYear/10^6</f>
        <v>3.7482692307692305</v>
      </c>
      <c r="AE615" s="46">
        <f t="shared" si="48"/>
        <v>4807.6923076923076</v>
      </c>
      <c r="AF615" s="43" t="s">
        <v>2648</v>
      </c>
      <c r="AG615" s="43">
        <v>23.074769158707301</v>
      </c>
      <c r="AH615" s="43">
        <v>-109.58414134057099</v>
      </c>
      <c r="AI615" s="122" t="s">
        <v>7286</v>
      </c>
      <c r="AJ615" s="41">
        <v>0.3</v>
      </c>
    </row>
    <row r="616" spans="1:36" ht="34.5" hidden="1" customHeight="1" x14ac:dyDescent="0.25">
      <c r="A616" s="40">
        <v>1008</v>
      </c>
      <c r="B616" s="40" t="s">
        <v>2424</v>
      </c>
      <c r="C616" s="40" t="s">
        <v>1061</v>
      </c>
      <c r="F616" s="40" t="s">
        <v>1331</v>
      </c>
      <c r="G616" s="40" t="s">
        <v>1259</v>
      </c>
      <c r="H616" s="40" t="s">
        <v>467</v>
      </c>
      <c r="I616" s="40" t="s">
        <v>1269</v>
      </c>
      <c r="J616" s="40" t="s">
        <v>1393</v>
      </c>
      <c r="K616" s="40" t="s">
        <v>578</v>
      </c>
      <c r="AC616" s="47"/>
      <c r="AE616" s="46">
        <f t="shared" si="48"/>
        <v>0</v>
      </c>
      <c r="AF616" s="43" t="s">
        <v>2426</v>
      </c>
      <c r="AG616" s="43">
        <v>0</v>
      </c>
      <c r="AH616" s="43">
        <v>0</v>
      </c>
      <c r="AI616" s="122" t="s">
        <v>7286</v>
      </c>
      <c r="AJ616" s="41">
        <v>0.55000000000000004</v>
      </c>
    </row>
    <row r="617" spans="1:36" ht="34.5" hidden="1" customHeight="1" x14ac:dyDescent="0.25">
      <c r="A617" s="40">
        <v>1009</v>
      </c>
      <c r="B617" s="40" t="s">
        <v>2427</v>
      </c>
      <c r="C617" s="40" t="s">
        <v>533</v>
      </c>
      <c r="F617" s="40" t="s">
        <v>5701</v>
      </c>
      <c r="G617" s="40" t="s">
        <v>1259</v>
      </c>
      <c r="H617" s="40" t="s">
        <v>467</v>
      </c>
      <c r="I617" s="40" t="s">
        <v>1269</v>
      </c>
      <c r="J617" s="40" t="s">
        <v>1395</v>
      </c>
      <c r="K617" s="40" t="s">
        <v>578</v>
      </c>
      <c r="S617" s="40">
        <v>1</v>
      </c>
      <c r="AC617" s="47"/>
      <c r="AE617" s="46">
        <f t="shared" si="48"/>
        <v>0</v>
      </c>
      <c r="AF617" s="43" t="s">
        <v>2429</v>
      </c>
      <c r="AG617" s="43">
        <v>45.433152004393499</v>
      </c>
      <c r="AH617" s="43">
        <v>-75.7289653331989</v>
      </c>
      <c r="AI617" s="122" t="s">
        <v>7286</v>
      </c>
      <c r="AJ617" s="41">
        <v>0.5</v>
      </c>
    </row>
    <row r="618" spans="1:36" ht="34.5" hidden="1" customHeight="1" x14ac:dyDescent="0.25">
      <c r="A618" s="40">
        <v>1011</v>
      </c>
      <c r="B618" s="40" t="s">
        <v>2431</v>
      </c>
      <c r="C618" s="40" t="s">
        <v>1305</v>
      </c>
      <c r="D618" s="44">
        <v>2024</v>
      </c>
      <c r="E618" s="44"/>
      <c r="F618" s="40" t="s">
        <v>1331</v>
      </c>
      <c r="G618" s="40" t="s">
        <v>455</v>
      </c>
      <c r="I618" s="40" t="s">
        <v>1269</v>
      </c>
      <c r="J618" s="40" t="s">
        <v>1392</v>
      </c>
      <c r="K618" s="40" t="s">
        <v>578</v>
      </c>
      <c r="N618" s="40">
        <v>1</v>
      </c>
      <c r="P618" s="40">
        <v>1</v>
      </c>
      <c r="Q618" s="40">
        <v>1</v>
      </c>
      <c r="Z618" s="40" t="s">
        <v>2432</v>
      </c>
      <c r="AA618" s="45">
        <v>20</v>
      </c>
      <c r="AB618" s="46">
        <f>IF(H2ProjectDB689571011[[#This Row],[Dummy_1]]="Electrolysis",
AA618/VLOOKUP(G618,ElectrolysisConvF,3,FALSE),
AC618*10^6/(H2dens*HoursInYear))</f>
        <v>3846.1538461538462</v>
      </c>
      <c r="AC618" s="47">
        <f>AB618*H2dens*HoursInYear/10^6</f>
        <v>2.9986153846153845</v>
      </c>
      <c r="AE618" s="46">
        <f t="shared" si="48"/>
        <v>3846.1538461538462</v>
      </c>
      <c r="AF618" s="43" t="s">
        <v>3960</v>
      </c>
      <c r="AG618" s="43">
        <v>48.171131000000003</v>
      </c>
      <c r="AH618" s="43">
        <v>12.831759</v>
      </c>
      <c r="AI618" s="122" t="s">
        <v>7286</v>
      </c>
      <c r="AJ618" s="41">
        <v>0.4</v>
      </c>
    </row>
    <row r="619" spans="1:36" ht="34.5" hidden="1" customHeight="1" x14ac:dyDescent="0.25">
      <c r="A619" s="40">
        <v>1012</v>
      </c>
      <c r="B619" s="40" t="s">
        <v>2562</v>
      </c>
      <c r="C619" s="40" t="s">
        <v>537</v>
      </c>
      <c r="D619" s="44">
        <v>2023</v>
      </c>
      <c r="F619" s="40" t="s">
        <v>1339</v>
      </c>
      <c r="G619" s="40" t="s">
        <v>455</v>
      </c>
      <c r="I619" s="40" t="s">
        <v>1269</v>
      </c>
      <c r="J619" s="40" t="s">
        <v>581</v>
      </c>
      <c r="K619" s="40" t="s">
        <v>578</v>
      </c>
      <c r="Q619" s="40">
        <v>1</v>
      </c>
      <c r="Z619" s="40" t="s">
        <v>2563</v>
      </c>
      <c r="AA619" s="78">
        <f>IF(H2ProjectDB689571011[[#This Row],[Dummy_1]]="Electrolysis",
AB619*VLOOKUP(G619,ElectrolysisConvF,3,FALSE),
"")</f>
        <v>6.8164794007490626</v>
      </c>
      <c r="AB619" s="46">
        <f>AC619/(H2dens*HoursInYear/10^6)</f>
        <v>1310.8614232209736</v>
      </c>
      <c r="AC619" s="47">
        <f>2.8*365/1000</f>
        <v>1.0219999999999998</v>
      </c>
      <c r="AE619" s="46">
        <f>AB619</f>
        <v>1310.8614232209736</v>
      </c>
      <c r="AF619" s="43" t="s">
        <v>4701</v>
      </c>
      <c r="AG619" s="43">
        <v>40.513814886920898</v>
      </c>
      <c r="AH619" s="43">
        <v>116.121524302132</v>
      </c>
      <c r="AI619" s="122" t="s">
        <v>7286</v>
      </c>
      <c r="AJ619" s="41">
        <v>0.5</v>
      </c>
    </row>
    <row r="620" spans="1:36" ht="34.5" hidden="1" customHeight="1" x14ac:dyDescent="0.25">
      <c r="A620" s="40">
        <v>1013</v>
      </c>
      <c r="B620" s="40" t="s">
        <v>2436</v>
      </c>
      <c r="C620" s="40" t="s">
        <v>537</v>
      </c>
      <c r="D620" s="44"/>
      <c r="E620" s="44"/>
      <c r="F620" s="40" t="s">
        <v>2222</v>
      </c>
      <c r="G620" s="40" t="s">
        <v>1259</v>
      </c>
      <c r="H620" s="40" t="s">
        <v>467</v>
      </c>
      <c r="I620" s="40" t="s">
        <v>1257</v>
      </c>
      <c r="K620" s="40" t="s">
        <v>578</v>
      </c>
      <c r="AC620" s="47"/>
      <c r="AE620" s="46">
        <f t="shared" ref="AE620:AE626" si="49">IF(AND(G620&lt;&gt;"NG w CCUS",G620&lt;&gt;"Oil w CCUS",G620&lt;&gt;"Coal w CCUS"),AB620,AD620*10^3/(HoursInYear*IF(G620="NG w CCUS",0.9105,1.9075)))</f>
        <v>0</v>
      </c>
      <c r="AF620" s="43" t="s">
        <v>2437</v>
      </c>
      <c r="AG620" s="43">
        <v>38.316698381292603</v>
      </c>
      <c r="AH620" s="43">
        <v>116.840629569924</v>
      </c>
      <c r="AI620" s="122" t="s">
        <v>7286</v>
      </c>
      <c r="AJ620" s="41">
        <v>0.56999999999999995</v>
      </c>
    </row>
    <row r="621" spans="1:36" ht="34.5" hidden="1" customHeight="1" x14ac:dyDescent="0.25">
      <c r="A621" s="40">
        <v>1015</v>
      </c>
      <c r="B621" s="40" t="s">
        <v>2438</v>
      </c>
      <c r="C621" s="40" t="s">
        <v>537</v>
      </c>
      <c r="D621" s="44">
        <v>2026</v>
      </c>
      <c r="E621" s="44"/>
      <c r="F621" s="87" t="s">
        <v>2222</v>
      </c>
      <c r="G621" s="87" t="s">
        <v>1259</v>
      </c>
      <c r="H621" s="87" t="s">
        <v>467</v>
      </c>
      <c r="I621" s="40" t="s">
        <v>1269</v>
      </c>
      <c r="J621" s="40" t="s">
        <v>1392</v>
      </c>
      <c r="K621" s="40" t="s">
        <v>578</v>
      </c>
      <c r="Q621" s="40">
        <v>1</v>
      </c>
      <c r="U621" s="40">
        <v>1</v>
      </c>
      <c r="AC621" s="47"/>
      <c r="AE621" s="46">
        <f t="shared" si="49"/>
        <v>0</v>
      </c>
      <c r="AF621" s="43" t="s">
        <v>2437</v>
      </c>
      <c r="AG621" s="43">
        <v>32.310932860306202</v>
      </c>
      <c r="AH621" s="43">
        <v>120.380302538518</v>
      </c>
      <c r="AI621" s="122" t="s">
        <v>7286</v>
      </c>
      <c r="AJ621" s="41">
        <v>0.4</v>
      </c>
    </row>
    <row r="622" spans="1:36" ht="34.5" hidden="1" customHeight="1" x14ac:dyDescent="0.25">
      <c r="A622" s="40">
        <v>1016</v>
      </c>
      <c r="B622" s="40" t="s">
        <v>2439</v>
      </c>
      <c r="C622" s="40" t="s">
        <v>537</v>
      </c>
      <c r="D622" s="44">
        <v>2026</v>
      </c>
      <c r="E622" s="44"/>
      <c r="F622" s="87" t="s">
        <v>2222</v>
      </c>
      <c r="G622" s="87" t="s">
        <v>1259</v>
      </c>
      <c r="H622" s="87" t="s">
        <v>467</v>
      </c>
      <c r="I622" s="40" t="s">
        <v>1269</v>
      </c>
      <c r="J622" s="40" t="s">
        <v>1395</v>
      </c>
      <c r="K622" s="40" t="s">
        <v>578</v>
      </c>
      <c r="AC622" s="47"/>
      <c r="AE622" s="46">
        <f t="shared" si="49"/>
        <v>0</v>
      </c>
      <c r="AF622" s="43" t="s">
        <v>2437</v>
      </c>
      <c r="AG622" s="43">
        <v>40.786105804206301</v>
      </c>
      <c r="AH622" s="43">
        <v>114.84687855406899</v>
      </c>
      <c r="AI622" s="122" t="s">
        <v>7286</v>
      </c>
      <c r="AJ622" s="41">
        <v>0.5</v>
      </c>
    </row>
    <row r="623" spans="1:36" ht="34.5" hidden="1" customHeight="1" x14ac:dyDescent="0.25">
      <c r="A623" s="40">
        <v>1017</v>
      </c>
      <c r="B623" s="40" t="s">
        <v>2440</v>
      </c>
      <c r="C623" s="40" t="s">
        <v>537</v>
      </c>
      <c r="D623" s="44">
        <v>2023</v>
      </c>
      <c r="F623" s="40" t="s">
        <v>1540</v>
      </c>
      <c r="G623" s="40" t="s">
        <v>1259</v>
      </c>
      <c r="H623" s="40" t="s">
        <v>467</v>
      </c>
      <c r="I623" s="40" t="s">
        <v>1269</v>
      </c>
      <c r="J623" s="40" t="s">
        <v>1392</v>
      </c>
      <c r="K623" s="40" t="s">
        <v>578</v>
      </c>
      <c r="Z623" s="40" t="s">
        <v>6541</v>
      </c>
      <c r="AA623" s="78">
        <f>IF(H2ProjectDB689571011[[#This Row],[Dummy_1]]="Electrolysis",
AB623*VLOOKUP(G623,ElectrolysisConvF,3,FALSE),
"")</f>
        <v>0.22499999999999998</v>
      </c>
      <c r="AB623" s="46">
        <v>50</v>
      </c>
      <c r="AC623" s="47">
        <f>AB623*H2dens*HoursInYear/10^6</f>
        <v>3.8982000000000003E-2</v>
      </c>
      <c r="AE623" s="46">
        <f t="shared" si="49"/>
        <v>50</v>
      </c>
      <c r="AF623" s="43" t="s">
        <v>2441</v>
      </c>
      <c r="AG623" s="43">
        <v>43.8142104604214</v>
      </c>
      <c r="AH623" s="43">
        <v>126.466692422832</v>
      </c>
      <c r="AI623" s="122" t="s">
        <v>7286</v>
      </c>
      <c r="AJ623" s="41">
        <v>0.4</v>
      </c>
    </row>
    <row r="624" spans="1:36" ht="34.5" hidden="1" customHeight="1" x14ac:dyDescent="0.25">
      <c r="A624" s="40">
        <v>1021</v>
      </c>
      <c r="B624" s="40" t="s">
        <v>2444</v>
      </c>
      <c r="C624" s="40" t="s">
        <v>537</v>
      </c>
      <c r="D624" s="44">
        <v>2025</v>
      </c>
      <c r="E624" s="44"/>
      <c r="F624" s="40" t="s">
        <v>5701</v>
      </c>
      <c r="G624" s="40" t="s">
        <v>1259</v>
      </c>
      <c r="H624" s="40" t="s">
        <v>467</v>
      </c>
      <c r="I624" s="40" t="s">
        <v>1269</v>
      </c>
      <c r="J624" s="40" t="s">
        <v>1391</v>
      </c>
      <c r="K624" s="40" t="s">
        <v>578</v>
      </c>
      <c r="Z624" s="40" t="s">
        <v>1483</v>
      </c>
      <c r="AA624" s="45">
        <v>40</v>
      </c>
      <c r="AB624" s="46">
        <f>IF(H2ProjectDB689571011[[#This Row],[Dummy_1]]="Electrolysis",
AA624/VLOOKUP(G624,ElectrolysisConvF,3,FALSE),
AC624*10^6/(H2dens*HoursInYear))</f>
        <v>8888.8888888888887</v>
      </c>
      <c r="AC624" s="47">
        <f>AB624*H2dens*HoursInYear/10^6</f>
        <v>6.930133333333333</v>
      </c>
      <c r="AE624" s="46">
        <f t="shared" si="49"/>
        <v>8888.8888888888887</v>
      </c>
      <c r="AF624" s="43" t="s">
        <v>2442</v>
      </c>
      <c r="AG624" s="43">
        <v>40.078283007419401</v>
      </c>
      <c r="AH624" s="43">
        <v>113.308181777702</v>
      </c>
      <c r="AI624" s="122" t="s">
        <v>7286</v>
      </c>
      <c r="AJ624" s="41">
        <v>0.3</v>
      </c>
    </row>
    <row r="625" spans="1:36" ht="34.5" hidden="1" customHeight="1" x14ac:dyDescent="0.25">
      <c r="A625" s="40">
        <v>1022</v>
      </c>
      <c r="B625" s="40" t="s">
        <v>5899</v>
      </c>
      <c r="C625" s="40" t="s">
        <v>540</v>
      </c>
      <c r="D625" s="44">
        <v>2023</v>
      </c>
      <c r="F625" s="87" t="s">
        <v>1339</v>
      </c>
      <c r="G625" s="87" t="s">
        <v>455</v>
      </c>
      <c r="H625" s="87"/>
      <c r="I625" s="87" t="s">
        <v>1269</v>
      </c>
      <c r="J625" s="40" t="s">
        <v>1395</v>
      </c>
      <c r="K625" s="40" t="s">
        <v>578</v>
      </c>
      <c r="P625" s="40">
        <v>1</v>
      </c>
      <c r="Z625" s="40" t="s">
        <v>1493</v>
      </c>
      <c r="AA625" s="45">
        <v>2</v>
      </c>
      <c r="AB625" s="46">
        <f>IF(H2ProjectDB689571011[[#This Row],[Dummy_1]]="Electrolysis",
AA625/VLOOKUP(G625,ElectrolysisConvF,3,FALSE),
AC625*10^6/(H2dens*HoursInYear))</f>
        <v>384.61538461538464</v>
      </c>
      <c r="AC625" s="47">
        <f>AB625*H2dens*HoursInYear/10^6</f>
        <v>0.29986153846153851</v>
      </c>
      <c r="AE625" s="46">
        <f t="shared" si="49"/>
        <v>384.61538461538464</v>
      </c>
      <c r="AF625" s="43" t="s">
        <v>3041</v>
      </c>
      <c r="AG625" s="43">
        <v>46.594983213755</v>
      </c>
      <c r="AH625" s="43">
        <v>13.856294177482701</v>
      </c>
      <c r="AI625" s="122" t="s">
        <v>7286</v>
      </c>
      <c r="AJ625" s="41">
        <v>0.5</v>
      </c>
    </row>
    <row r="626" spans="1:36" ht="34.5" hidden="1" customHeight="1" x14ac:dyDescent="0.25">
      <c r="A626" s="40">
        <v>1023</v>
      </c>
      <c r="B626" s="40" t="s">
        <v>2448</v>
      </c>
      <c r="C626" s="40" t="s">
        <v>540</v>
      </c>
      <c r="D626" s="44">
        <v>2025</v>
      </c>
      <c r="E626" s="44"/>
      <c r="F626" s="40" t="s">
        <v>5701</v>
      </c>
      <c r="G626" s="40" t="s">
        <v>1259</v>
      </c>
      <c r="H626" s="40" t="s">
        <v>2449</v>
      </c>
      <c r="I626" s="40" t="s">
        <v>1269</v>
      </c>
      <c r="J626" s="40" t="s">
        <v>1395</v>
      </c>
      <c r="K626" s="40" t="s">
        <v>578</v>
      </c>
      <c r="Q626" s="40">
        <v>1</v>
      </c>
      <c r="R626" s="40">
        <v>1</v>
      </c>
      <c r="S626" s="40">
        <v>1</v>
      </c>
      <c r="Z626" s="40" t="s">
        <v>2450</v>
      </c>
      <c r="AA626" s="78">
        <f>IF(H2ProjectDB689571011[[#This Row],[Dummy_1]]="Electrolysis",
AB626*VLOOKUP(G626,ElectrolysisConvF,3,FALSE),
"")</f>
        <v>21.067415730337078</v>
      </c>
      <c r="AB626" s="46">
        <f>AC626/(H2dens*HoursInYear/10^6)</f>
        <v>4681.6479400749067</v>
      </c>
      <c r="AC626" s="47">
        <f>10*365/1000</f>
        <v>3.65</v>
      </c>
      <c r="AE626" s="46">
        <f t="shared" si="49"/>
        <v>4681.6479400749067</v>
      </c>
      <c r="AF626" s="43" t="s">
        <v>2452</v>
      </c>
      <c r="AG626" s="43">
        <v>0</v>
      </c>
      <c r="AH626" s="43">
        <v>0</v>
      </c>
      <c r="AI626" s="122" t="s">
        <v>7286</v>
      </c>
      <c r="AJ626" s="41">
        <v>0.5</v>
      </c>
    </row>
    <row r="627" spans="1:36" ht="34.5" hidden="1" customHeight="1" x14ac:dyDescent="0.25">
      <c r="A627" s="40">
        <v>1026</v>
      </c>
      <c r="B627" s="40" t="s">
        <v>2476</v>
      </c>
      <c r="C627" s="40" t="s">
        <v>1754</v>
      </c>
      <c r="D627" s="44"/>
      <c r="E627" s="44"/>
      <c r="F627" s="40" t="s">
        <v>2222</v>
      </c>
      <c r="G627" s="40" t="s">
        <v>1259</v>
      </c>
      <c r="H627" s="40" t="s">
        <v>467</v>
      </c>
      <c r="I627" s="40" t="s">
        <v>1269</v>
      </c>
      <c r="J627" s="40" t="s">
        <v>581</v>
      </c>
      <c r="K627" s="40" t="s">
        <v>578</v>
      </c>
      <c r="AC627" s="47"/>
      <c r="AF627" s="43" t="s">
        <v>2477</v>
      </c>
      <c r="AG627" s="43">
        <v>47.789379945530499</v>
      </c>
      <c r="AH627" s="43">
        <v>20.068212785619298</v>
      </c>
      <c r="AI627" s="122" t="s">
        <v>7286</v>
      </c>
      <c r="AJ627" s="41">
        <v>0.5</v>
      </c>
    </row>
    <row r="628" spans="1:36" ht="34.5" hidden="1" customHeight="1" x14ac:dyDescent="0.25">
      <c r="A628" s="40">
        <v>1027</v>
      </c>
      <c r="B628" s="40" t="s">
        <v>5262</v>
      </c>
      <c r="C628" s="40" t="s">
        <v>561</v>
      </c>
      <c r="D628" s="44">
        <v>2024</v>
      </c>
      <c r="E628" s="44"/>
      <c r="F628" s="40" t="s">
        <v>5701</v>
      </c>
      <c r="G628" s="40" t="s">
        <v>455</v>
      </c>
      <c r="I628" s="40" t="s">
        <v>1269</v>
      </c>
      <c r="J628" s="40" t="s">
        <v>1395</v>
      </c>
      <c r="K628" s="40" t="s">
        <v>578</v>
      </c>
      <c r="Q628" s="40">
        <v>1</v>
      </c>
      <c r="Z628" s="40" t="s">
        <v>1336</v>
      </c>
      <c r="AA628" s="45">
        <v>2.5</v>
      </c>
      <c r="AB628" s="46">
        <f>IF(H2ProjectDB689571011[[#This Row],[Dummy_1]]="Electrolysis",
AA628/VLOOKUP(G628,ElectrolysisConvF,3,FALSE),
AC628*10^6/(H2dens*HoursInYear))</f>
        <v>480.76923076923077</v>
      </c>
      <c r="AC628" s="47">
        <f>AB628*H2dens*HoursInYear/10^6</f>
        <v>0.37482692307692306</v>
      </c>
      <c r="AE628" s="46">
        <f t="shared" ref="AE628:AE633" si="50">IF(AND(G628&lt;&gt;"NG w CCUS",G628&lt;&gt;"Oil w CCUS",G628&lt;&gt;"Coal w CCUS"),AB628,AD628*10^3/(HoursInYear*IF(G628="NG w CCUS",0.9105,1.9075)))</f>
        <v>480.76923076923077</v>
      </c>
      <c r="AF628" s="43" t="s">
        <v>4523</v>
      </c>
      <c r="AG628" s="43">
        <v>52.2875093003885</v>
      </c>
      <c r="AH628" s="43">
        <v>18.283903696100801</v>
      </c>
      <c r="AI628" s="122" t="s">
        <v>7286</v>
      </c>
      <c r="AJ628" s="41">
        <v>0.5</v>
      </c>
    </row>
    <row r="629" spans="1:36" ht="34.5" hidden="1" customHeight="1" x14ac:dyDescent="0.25">
      <c r="A629" s="40">
        <v>1028</v>
      </c>
      <c r="B629" s="40" t="s">
        <v>2480</v>
      </c>
      <c r="C629" s="40" t="s">
        <v>559</v>
      </c>
      <c r="D629" s="44">
        <v>2025</v>
      </c>
      <c r="E629" s="44"/>
      <c r="F629" s="40" t="s">
        <v>1331</v>
      </c>
      <c r="G629" s="40" t="s">
        <v>457</v>
      </c>
      <c r="I629" s="40" t="s">
        <v>1269</v>
      </c>
      <c r="J629" s="40" t="s">
        <v>1392</v>
      </c>
      <c r="K629" s="40" t="s">
        <v>1242</v>
      </c>
      <c r="N629" s="40">
        <v>1</v>
      </c>
      <c r="Z629" s="40" t="s">
        <v>5456</v>
      </c>
      <c r="AA629" s="45">
        <v>25</v>
      </c>
      <c r="AB629" s="46">
        <f>IF(H2ProjectDB689571011[[#This Row],[Dummy_1]]="Electrolysis",
AA629/VLOOKUP(G629,ElectrolysisConvF,3,FALSE),
AC629*10^6/(H2dens*HoursInYear))</f>
        <v>5434.782608695652</v>
      </c>
      <c r="AC629" s="47">
        <f>AB629*H2dens*HoursInYear/10^6</f>
        <v>4.2371739130434776</v>
      </c>
      <c r="AE629" s="46">
        <f t="shared" si="50"/>
        <v>5434.782608695652</v>
      </c>
      <c r="AF629" s="43" t="s">
        <v>5458</v>
      </c>
      <c r="AG629" s="43">
        <v>58.080205540560897</v>
      </c>
      <c r="AH629" s="43">
        <v>11.818070745548299</v>
      </c>
      <c r="AI629" s="122" t="s">
        <v>7286</v>
      </c>
      <c r="AJ629" s="41">
        <v>0.4</v>
      </c>
    </row>
    <row r="630" spans="1:36" ht="34.5" hidden="1" customHeight="1" x14ac:dyDescent="0.25">
      <c r="A630" s="40">
        <v>1029</v>
      </c>
      <c r="B630" s="40" t="s">
        <v>6817</v>
      </c>
      <c r="C630" s="40" t="s">
        <v>555</v>
      </c>
      <c r="D630" s="44">
        <v>2024</v>
      </c>
      <c r="F630" s="40" t="s">
        <v>1339</v>
      </c>
      <c r="G630" s="40" t="s">
        <v>1259</v>
      </c>
      <c r="H630" s="40" t="s">
        <v>467</v>
      </c>
      <c r="I630" s="40" t="s">
        <v>1269</v>
      </c>
      <c r="J630" s="40" t="s">
        <v>1394</v>
      </c>
      <c r="K630" s="40" t="s">
        <v>578</v>
      </c>
      <c r="Q630" s="40">
        <v>1</v>
      </c>
      <c r="Z630" s="40" t="s">
        <v>1336</v>
      </c>
      <c r="AA630" s="45">
        <v>2.5</v>
      </c>
      <c r="AB630" s="46">
        <f>IF(H2ProjectDB689571011[[#This Row],[Dummy_1]]="Electrolysis",
AA630/VLOOKUP(G630,ElectrolysisConvF,3,FALSE),
AC630*10^6/(H2dens*HoursInYear))</f>
        <v>555.55555555555554</v>
      </c>
      <c r="AC630" s="47">
        <f>AB630*H2dens*HoursInYear/10^6</f>
        <v>0.43313333333333331</v>
      </c>
      <c r="AE630" s="46">
        <f t="shared" si="50"/>
        <v>555.55555555555554</v>
      </c>
      <c r="AF630" s="43" t="s">
        <v>7440</v>
      </c>
      <c r="AG630" s="43">
        <v>47.560288300292399</v>
      </c>
      <c r="AH630" s="43">
        <v>7.6294168741863002</v>
      </c>
      <c r="AI630" s="122" t="s">
        <v>7286</v>
      </c>
      <c r="AJ630" s="41">
        <v>0.8</v>
      </c>
    </row>
    <row r="631" spans="1:36" ht="34.5" hidden="1" customHeight="1" x14ac:dyDescent="0.25">
      <c r="A631" s="40">
        <v>1030</v>
      </c>
      <c r="B631" s="40" t="s">
        <v>2482</v>
      </c>
      <c r="C631" s="40" t="s">
        <v>1385</v>
      </c>
      <c r="D631" s="44">
        <v>2021</v>
      </c>
      <c r="F631" s="40" t="s">
        <v>1339</v>
      </c>
      <c r="G631" s="40" t="s">
        <v>1259</v>
      </c>
      <c r="H631" s="40" t="s">
        <v>467</v>
      </c>
      <c r="I631" s="40" t="s">
        <v>1269</v>
      </c>
      <c r="J631" s="40" t="s">
        <v>1391</v>
      </c>
      <c r="K631" s="40" t="s">
        <v>578</v>
      </c>
      <c r="P631" s="40">
        <v>1</v>
      </c>
      <c r="Z631" s="40" t="s">
        <v>1429</v>
      </c>
      <c r="AA631" s="45">
        <v>0.15</v>
      </c>
      <c r="AB631" s="46">
        <f>IF(H2ProjectDB689571011[[#This Row],[Dummy_1]]="Electrolysis",
AA631/VLOOKUP(G631,ElectrolysisConvF,3,FALSE),
AC631*10^6/(H2dens*HoursInYear))</f>
        <v>33.333333333333336</v>
      </c>
      <c r="AC631" s="47">
        <f>AB631*H2dens*HoursInYear/10^6</f>
        <v>2.5988000000000001E-2</v>
      </c>
      <c r="AE631" s="46">
        <f t="shared" si="50"/>
        <v>33.333333333333336</v>
      </c>
      <c r="AF631" s="43" t="s">
        <v>2484</v>
      </c>
      <c r="AG631" s="43">
        <v>46.129032016184297</v>
      </c>
      <c r="AH631" s="43">
        <v>15.094505481839199</v>
      </c>
      <c r="AI631" s="122" t="s">
        <v>7286</v>
      </c>
      <c r="AJ631" s="41">
        <v>0.3</v>
      </c>
    </row>
    <row r="632" spans="1:36" ht="34.5" hidden="1" customHeight="1" x14ac:dyDescent="0.25">
      <c r="A632" s="40">
        <v>1032</v>
      </c>
      <c r="B632" s="40" t="s">
        <v>4730</v>
      </c>
      <c r="C632" s="40" t="s">
        <v>1752</v>
      </c>
      <c r="D632" s="44"/>
      <c r="E632" s="44"/>
      <c r="F632" s="40" t="s">
        <v>2222</v>
      </c>
      <c r="G632" s="40" t="s">
        <v>1259</v>
      </c>
      <c r="H632" s="40" t="s">
        <v>467</v>
      </c>
      <c r="I632" s="40" t="s">
        <v>1266</v>
      </c>
      <c r="J632" s="40" t="str">
        <f>IF(I632&lt;&gt;"Dedicated renewable","N/A",)</f>
        <v>N/A</v>
      </c>
      <c r="K632" s="40" t="s">
        <v>578</v>
      </c>
      <c r="AC632" s="47"/>
      <c r="AE632" s="46">
        <f t="shared" si="50"/>
        <v>0</v>
      </c>
      <c r="AF632" s="43" t="s">
        <v>2463</v>
      </c>
      <c r="AG632" s="43">
        <v>0</v>
      </c>
      <c r="AH632" s="43">
        <v>0</v>
      </c>
      <c r="AI632" s="122" t="s">
        <v>7286</v>
      </c>
      <c r="AJ632" s="41">
        <v>0.56999999999999995</v>
      </c>
    </row>
    <row r="633" spans="1:36" ht="34.5" hidden="1" customHeight="1" x14ac:dyDescent="0.25">
      <c r="A633" s="40">
        <v>1033</v>
      </c>
      <c r="B633" s="40" t="s">
        <v>2505</v>
      </c>
      <c r="C633" s="40" t="s">
        <v>1752</v>
      </c>
      <c r="D633" s="44">
        <v>2025</v>
      </c>
      <c r="E633" s="44"/>
      <c r="F633" s="40" t="s">
        <v>1331</v>
      </c>
      <c r="G633" s="40" t="s">
        <v>1259</v>
      </c>
      <c r="H633" s="40" t="s">
        <v>467</v>
      </c>
      <c r="I633" s="40" t="s">
        <v>1269</v>
      </c>
      <c r="J633" s="40" t="s">
        <v>581</v>
      </c>
      <c r="K633" s="40" t="s">
        <v>612</v>
      </c>
      <c r="Z633" s="40" t="s">
        <v>2465</v>
      </c>
      <c r="AA633" s="78">
        <f>IF(H2ProjectDB689571011[[#This Row],[Dummy_1]]="Electrolysis",
AB633*VLOOKUP(G633,ElectrolysisConvF,3,FALSE),
"")</f>
        <v>0.44999999999999996</v>
      </c>
      <c r="AB633" s="46">
        <v>100</v>
      </c>
      <c r="AC633" s="47">
        <f t="shared" ref="AC633:AC638" si="51">AB633*H2dens*HoursInYear/10^6</f>
        <v>7.7964000000000006E-2</v>
      </c>
      <c r="AE633" s="46">
        <f t="shared" si="50"/>
        <v>100</v>
      </c>
      <c r="AF633" s="43" t="s">
        <v>2506</v>
      </c>
      <c r="AG633" s="43">
        <v>0</v>
      </c>
      <c r="AH633" s="43">
        <v>0</v>
      </c>
      <c r="AI633" s="122" t="s">
        <v>7286</v>
      </c>
      <c r="AJ633" s="41">
        <v>0.5</v>
      </c>
    </row>
    <row r="634" spans="1:36" ht="34.5" hidden="1" customHeight="1" x14ac:dyDescent="0.25">
      <c r="A634" s="40">
        <v>1034</v>
      </c>
      <c r="B634" s="40" t="s">
        <v>5728</v>
      </c>
      <c r="C634" s="40" t="s">
        <v>1305</v>
      </c>
      <c r="D634" s="44"/>
      <c r="E634" s="44"/>
      <c r="F634" s="40" t="s">
        <v>2222</v>
      </c>
      <c r="G634" s="40" t="s">
        <v>1259</v>
      </c>
      <c r="H634" s="40" t="s">
        <v>467</v>
      </c>
      <c r="I634" s="40" t="s">
        <v>1257</v>
      </c>
      <c r="K634" s="40" t="s">
        <v>578</v>
      </c>
      <c r="L634" s="40">
        <v>1</v>
      </c>
      <c r="W634" s="40">
        <v>1</v>
      </c>
      <c r="Z634" s="40" t="s">
        <v>2054</v>
      </c>
      <c r="AA634" s="45">
        <v>400</v>
      </c>
      <c r="AB634" s="46">
        <f>IF(H2ProjectDB689571011[[#This Row],[Dummy_1]]="Electrolysis",
AA634/VLOOKUP(G634,ElectrolysisConvF,3,FALSE),
AC634*10^6/(H2dens*HoursInYear))</f>
        <v>88888.888888888891</v>
      </c>
      <c r="AC634" s="47">
        <f t="shared" si="51"/>
        <v>69.301333333333332</v>
      </c>
      <c r="AE634" s="46">
        <f>AB634</f>
        <v>88888.888888888891</v>
      </c>
      <c r="AF634" s="43" t="s">
        <v>3358</v>
      </c>
      <c r="AG634" s="43">
        <v>52.558604773596898</v>
      </c>
      <c r="AH634" s="43">
        <v>7.3101933208382404</v>
      </c>
      <c r="AI634" s="122" t="s">
        <v>7286</v>
      </c>
      <c r="AJ634" s="41">
        <v>0.56999999999999995</v>
      </c>
    </row>
    <row r="635" spans="1:36" ht="34.5" hidden="1" customHeight="1" x14ac:dyDescent="0.25">
      <c r="A635" s="40">
        <v>1035</v>
      </c>
      <c r="B635" s="40" t="s">
        <v>2466</v>
      </c>
      <c r="C635" s="40" t="s">
        <v>1305</v>
      </c>
      <c r="D635" s="44">
        <v>2026</v>
      </c>
      <c r="E635" s="44"/>
      <c r="F635" s="40" t="s">
        <v>1331</v>
      </c>
      <c r="G635" s="40" t="s">
        <v>1259</v>
      </c>
      <c r="H635" s="40" t="s">
        <v>467</v>
      </c>
      <c r="I635" s="40" t="s">
        <v>1269</v>
      </c>
      <c r="J635" s="40" t="s">
        <v>1395</v>
      </c>
      <c r="K635" s="40" t="s">
        <v>578</v>
      </c>
      <c r="Q635" s="40">
        <v>1</v>
      </c>
      <c r="Z635" s="40" t="s">
        <v>1333</v>
      </c>
      <c r="AA635" s="45">
        <v>10</v>
      </c>
      <c r="AB635" s="46">
        <f>IF(H2ProjectDB689571011[[#This Row],[Dummy_1]]="Electrolysis",
AA635/VLOOKUP(G635,ElectrolysisConvF,3,FALSE),
AC635*10^6/(H2dens*HoursInYear))</f>
        <v>2222.2222222222222</v>
      </c>
      <c r="AC635" s="47">
        <f t="shared" si="51"/>
        <v>1.7325333333333333</v>
      </c>
      <c r="AE635" s="46">
        <f t="shared" ref="AE635:AE649" si="52">IF(AND(G635&lt;&gt;"NG w CCUS",G635&lt;&gt;"Oil w CCUS",G635&lt;&gt;"Coal w CCUS"),AB635,AD635*10^3/(HoursInYear*IF(G635="NG w CCUS",0.9105,1.9075)))</f>
        <v>2222.2222222222222</v>
      </c>
      <c r="AF635" s="43" t="s">
        <v>7403</v>
      </c>
      <c r="AG635" s="43">
        <v>0</v>
      </c>
      <c r="AH635" s="43">
        <v>0</v>
      </c>
      <c r="AI635" s="122" t="s">
        <v>7286</v>
      </c>
      <c r="AJ635" s="41">
        <v>0.5</v>
      </c>
    </row>
    <row r="636" spans="1:36" ht="34.5" hidden="1" customHeight="1" x14ac:dyDescent="0.25">
      <c r="A636" s="40">
        <v>1036</v>
      </c>
      <c r="B636" s="40" t="s">
        <v>2468</v>
      </c>
      <c r="C636" s="40" t="s">
        <v>1305</v>
      </c>
      <c r="F636" s="40" t="s">
        <v>1331</v>
      </c>
      <c r="G636" s="40" t="s">
        <v>1259</v>
      </c>
      <c r="H636" s="40" t="s">
        <v>467</v>
      </c>
      <c r="I636" s="40" t="s">
        <v>1269</v>
      </c>
      <c r="J636" s="40" t="s">
        <v>1395</v>
      </c>
      <c r="K636" s="40" t="s">
        <v>578</v>
      </c>
      <c r="P636" s="40">
        <v>1</v>
      </c>
      <c r="Z636" s="40" t="s">
        <v>1481</v>
      </c>
      <c r="AA636" s="45">
        <v>25</v>
      </c>
      <c r="AB636" s="46">
        <f>IF(H2ProjectDB689571011[[#This Row],[Dummy_1]]="Electrolysis",
AA636/VLOOKUP(G636,ElectrolysisConvF,3,FALSE),
AC636*10^6/(H2dens*HoursInYear))</f>
        <v>5555.5555555555557</v>
      </c>
      <c r="AC636" s="47">
        <f t="shared" si="51"/>
        <v>4.3313333333333333</v>
      </c>
      <c r="AE636" s="46">
        <f t="shared" si="52"/>
        <v>5555.5555555555557</v>
      </c>
      <c r="AF636" s="43" t="s">
        <v>2469</v>
      </c>
      <c r="AG636" s="43">
        <v>0</v>
      </c>
      <c r="AH636" s="43">
        <v>0</v>
      </c>
      <c r="AI636" s="122" t="s">
        <v>7286</v>
      </c>
      <c r="AJ636" s="41">
        <v>0.5</v>
      </c>
    </row>
    <row r="637" spans="1:36" ht="34.5" hidden="1" customHeight="1" x14ac:dyDescent="0.25">
      <c r="A637" s="40">
        <v>1037</v>
      </c>
      <c r="B637" s="40" t="s">
        <v>2470</v>
      </c>
      <c r="C637" s="40" t="s">
        <v>1305</v>
      </c>
      <c r="F637" s="40" t="s">
        <v>1331</v>
      </c>
      <c r="G637" s="40" t="s">
        <v>1259</v>
      </c>
      <c r="H637" s="40" t="s">
        <v>467</v>
      </c>
      <c r="I637" s="40" t="s">
        <v>1269</v>
      </c>
      <c r="J637" s="40" t="s">
        <v>1395</v>
      </c>
      <c r="K637" s="40" t="s">
        <v>578</v>
      </c>
      <c r="Q637" s="40">
        <v>1</v>
      </c>
      <c r="S637" s="40">
        <v>1</v>
      </c>
      <c r="Z637" s="40" t="s">
        <v>1493</v>
      </c>
      <c r="AA637" s="45">
        <v>2</v>
      </c>
      <c r="AB637" s="46">
        <f>IF(H2ProjectDB689571011[[#This Row],[Dummy_1]]="Electrolysis",
AA637/VLOOKUP(G637,ElectrolysisConvF,3,FALSE),
AC637*10^6/(H2dens*HoursInYear))</f>
        <v>444.44444444444446</v>
      </c>
      <c r="AC637" s="47">
        <f t="shared" si="51"/>
        <v>0.34650666666666669</v>
      </c>
      <c r="AE637" s="46">
        <f t="shared" si="52"/>
        <v>444.44444444444446</v>
      </c>
      <c r="AF637" s="43" t="s">
        <v>2469</v>
      </c>
      <c r="AG637" s="43">
        <v>0</v>
      </c>
      <c r="AH637" s="43">
        <v>0</v>
      </c>
      <c r="AI637" s="122" t="s">
        <v>7286</v>
      </c>
      <c r="AJ637" s="41">
        <v>0.5</v>
      </c>
    </row>
    <row r="638" spans="1:36" ht="34.5" hidden="1" customHeight="1" x14ac:dyDescent="0.25">
      <c r="A638" s="40">
        <v>1038</v>
      </c>
      <c r="B638" s="40" t="s">
        <v>2471</v>
      </c>
      <c r="C638" s="40" t="s">
        <v>1305</v>
      </c>
      <c r="F638" s="40" t="s">
        <v>1331</v>
      </c>
      <c r="G638" s="40" t="s">
        <v>1259</v>
      </c>
      <c r="H638" s="40" t="s">
        <v>467</v>
      </c>
      <c r="I638" s="40" t="s">
        <v>1269</v>
      </c>
      <c r="J638" s="40" t="s">
        <v>1395</v>
      </c>
      <c r="K638" s="40" t="s">
        <v>1242</v>
      </c>
      <c r="N638" s="40">
        <v>1</v>
      </c>
      <c r="Z638" s="40" t="s">
        <v>1495</v>
      </c>
      <c r="AA638" s="45">
        <v>20</v>
      </c>
      <c r="AB638" s="46">
        <f>IF(H2ProjectDB689571011[[#This Row],[Dummy_1]]="Electrolysis",
AA638/VLOOKUP(G638,ElectrolysisConvF,3,FALSE),
AC638*10^6/(H2dens*HoursInYear))</f>
        <v>4444.4444444444443</v>
      </c>
      <c r="AC638" s="47">
        <f t="shared" si="51"/>
        <v>3.4650666666666665</v>
      </c>
      <c r="AE638" s="46">
        <f t="shared" si="52"/>
        <v>4444.4444444444443</v>
      </c>
      <c r="AF638" s="43" t="s">
        <v>2469</v>
      </c>
      <c r="AG638" s="43">
        <v>52.228326643380299</v>
      </c>
      <c r="AH638" s="43">
        <v>11.0043476038046</v>
      </c>
      <c r="AI638" s="122" t="s">
        <v>7286</v>
      </c>
      <c r="AJ638" s="41">
        <v>0.5</v>
      </c>
    </row>
    <row r="639" spans="1:36" ht="34.5" hidden="1" customHeight="1" x14ac:dyDescent="0.25">
      <c r="A639" s="40">
        <v>1039</v>
      </c>
      <c r="B639" s="40" t="s">
        <v>2472</v>
      </c>
      <c r="C639" s="40" t="s">
        <v>1305</v>
      </c>
      <c r="F639" s="40" t="s">
        <v>1331</v>
      </c>
      <c r="G639" s="40" t="s">
        <v>1259</v>
      </c>
      <c r="H639" s="40" t="s">
        <v>467</v>
      </c>
      <c r="I639" s="40" t="s">
        <v>1269</v>
      </c>
      <c r="J639" s="40" t="s">
        <v>1395</v>
      </c>
      <c r="K639" s="40" t="s">
        <v>578</v>
      </c>
      <c r="Q639" s="40">
        <v>1</v>
      </c>
      <c r="R639" s="40">
        <v>1</v>
      </c>
      <c r="U639" s="40">
        <v>1</v>
      </c>
      <c r="AC639" s="47"/>
      <c r="AE639" s="46">
        <f t="shared" si="52"/>
        <v>0</v>
      </c>
      <c r="AF639" s="43" t="s">
        <v>2469</v>
      </c>
      <c r="AG639" s="43">
        <v>0</v>
      </c>
      <c r="AH639" s="43">
        <v>0</v>
      </c>
      <c r="AI639" s="122" t="s">
        <v>7286</v>
      </c>
      <c r="AJ639" s="41">
        <v>0.5</v>
      </c>
    </row>
    <row r="640" spans="1:36" ht="34.5" hidden="1" customHeight="1" x14ac:dyDescent="0.25">
      <c r="A640" s="40">
        <v>1041</v>
      </c>
      <c r="B640" s="40" t="s">
        <v>2485</v>
      </c>
      <c r="C640" s="40" t="s">
        <v>1385</v>
      </c>
      <c r="F640" s="40" t="s">
        <v>2222</v>
      </c>
      <c r="G640" s="40" t="s">
        <v>1259</v>
      </c>
      <c r="H640" s="40" t="s">
        <v>467</v>
      </c>
      <c r="I640" s="40" t="s">
        <v>1269</v>
      </c>
      <c r="J640" s="40" t="s">
        <v>581</v>
      </c>
      <c r="K640" s="40" t="s">
        <v>612</v>
      </c>
      <c r="X640" s="40">
        <v>1</v>
      </c>
      <c r="AC640" s="47"/>
      <c r="AE640" s="46">
        <f t="shared" si="52"/>
        <v>0</v>
      </c>
      <c r="AF640" s="43" t="s">
        <v>2487</v>
      </c>
      <c r="AG640" s="43">
        <v>0</v>
      </c>
      <c r="AH640" s="43">
        <v>0</v>
      </c>
      <c r="AI640" s="122" t="s">
        <v>7286</v>
      </c>
      <c r="AJ640" s="41">
        <v>0.5</v>
      </c>
    </row>
    <row r="641" spans="1:36" ht="34.5" hidden="1" customHeight="1" x14ac:dyDescent="0.25">
      <c r="A641" s="40">
        <v>1042</v>
      </c>
      <c r="B641" s="40" t="s">
        <v>2488</v>
      </c>
      <c r="C641" s="40" t="s">
        <v>1385</v>
      </c>
      <c r="D641" s="44">
        <v>2000</v>
      </c>
      <c r="F641" s="40" t="s">
        <v>1339</v>
      </c>
      <c r="G641" s="40" t="s">
        <v>1259</v>
      </c>
      <c r="H641" s="40" t="s">
        <v>467</v>
      </c>
      <c r="I641" s="40" t="s">
        <v>1257</v>
      </c>
      <c r="K641" s="40" t="s">
        <v>578</v>
      </c>
      <c r="Z641" s="40" t="s">
        <v>1544</v>
      </c>
      <c r="AA641" s="45">
        <v>0.1</v>
      </c>
      <c r="AB641" s="46">
        <f>IF(H2ProjectDB689571011[[#This Row],[Dummy_1]]="Electrolysis",
AA641/VLOOKUP(G641,ElectrolysisConvF,3,FALSE),
AC641*10^6/(H2dens*HoursInYear))</f>
        <v>22.222222222222225</v>
      </c>
      <c r="AC641" s="47">
        <f t="shared" ref="AC641:AC647" si="53">AB641*H2dens*HoursInYear/10^6</f>
        <v>1.7325333333333335E-2</v>
      </c>
      <c r="AE641" s="46">
        <f t="shared" si="52"/>
        <v>22.222222222222225</v>
      </c>
      <c r="AG641" s="43">
        <v>46.374674697069899</v>
      </c>
      <c r="AH641" s="43">
        <v>15.0529723524386</v>
      </c>
      <c r="AI641" s="122" t="s">
        <v>7286</v>
      </c>
      <c r="AJ641" s="41">
        <v>0.56999999999999995</v>
      </c>
    </row>
    <row r="642" spans="1:36" ht="34.5" hidden="1" customHeight="1" x14ac:dyDescent="0.25">
      <c r="A642" s="40">
        <v>1043</v>
      </c>
      <c r="B642" s="40" t="s">
        <v>2489</v>
      </c>
      <c r="C642" s="40" t="s">
        <v>1385</v>
      </c>
      <c r="D642" s="44">
        <v>2000</v>
      </c>
      <c r="F642" s="40" t="s">
        <v>1339</v>
      </c>
      <c r="G642" s="40" t="s">
        <v>1259</v>
      </c>
      <c r="H642" s="40" t="s">
        <v>467</v>
      </c>
      <c r="I642" s="40" t="s">
        <v>1257</v>
      </c>
      <c r="K642" s="40" t="s">
        <v>578</v>
      </c>
      <c r="Z642" s="40" t="s">
        <v>2490</v>
      </c>
      <c r="AA642" s="45">
        <v>0.35</v>
      </c>
      <c r="AB642" s="46">
        <f>IF(H2ProjectDB689571011[[#This Row],[Dummy_1]]="Electrolysis",
AA642/VLOOKUP(G642,ElectrolysisConvF,3,FALSE),
AC642*10^6/(H2dens*HoursInYear))</f>
        <v>77.777777777777786</v>
      </c>
      <c r="AC642" s="47">
        <f t="shared" si="53"/>
        <v>6.0638666666666674E-2</v>
      </c>
      <c r="AE642" s="46">
        <f t="shared" si="52"/>
        <v>77.777777777777786</v>
      </c>
      <c r="AG642" s="43">
        <v>0</v>
      </c>
      <c r="AH642" s="43">
        <v>0</v>
      </c>
      <c r="AI642" s="122" t="s">
        <v>7286</v>
      </c>
      <c r="AJ642" s="41">
        <v>0.56999999999999995</v>
      </c>
    </row>
    <row r="643" spans="1:36" ht="34.5" hidden="1" customHeight="1" x14ac:dyDescent="0.25">
      <c r="A643" s="40">
        <v>1044</v>
      </c>
      <c r="B643" s="40" t="s">
        <v>2491</v>
      </c>
      <c r="C643" s="40" t="s">
        <v>1762</v>
      </c>
      <c r="D643" s="44">
        <v>2025</v>
      </c>
      <c r="E643" s="44"/>
      <c r="F643" s="40" t="s">
        <v>1331</v>
      </c>
      <c r="G643" s="40" t="s">
        <v>1259</v>
      </c>
      <c r="H643" s="40" t="s">
        <v>467</v>
      </c>
      <c r="I643" s="40" t="s">
        <v>1269</v>
      </c>
      <c r="J643" s="40" t="s">
        <v>1395</v>
      </c>
      <c r="K643" s="40" t="s">
        <v>578</v>
      </c>
      <c r="M643" s="40">
        <v>1</v>
      </c>
      <c r="P643" s="40">
        <v>1</v>
      </c>
      <c r="Z643" s="40" t="s">
        <v>1495</v>
      </c>
      <c r="AA643" s="78">
        <v>20</v>
      </c>
      <c r="AB643" s="46">
        <f>IF(H2ProjectDB689571011[[#This Row],[Dummy_1]]="Electrolysis",
AA643/VLOOKUP(G643,ElectrolysisConvF,3,FALSE),
AC643*10^6/(H2dens*HoursInYear))</f>
        <v>4444.4444444444443</v>
      </c>
      <c r="AC643" s="47">
        <f t="shared" si="53"/>
        <v>3.4650666666666665</v>
      </c>
      <c r="AE643" s="46">
        <f t="shared" si="52"/>
        <v>4444.4444444444443</v>
      </c>
      <c r="AF643" s="43" t="s">
        <v>7407</v>
      </c>
      <c r="AG643" s="43">
        <v>0</v>
      </c>
      <c r="AH643" s="43">
        <v>0</v>
      </c>
      <c r="AI643" s="122" t="s">
        <v>7286</v>
      </c>
      <c r="AJ643" s="41">
        <v>0.5</v>
      </c>
    </row>
    <row r="644" spans="1:36" ht="34.5" hidden="1" customHeight="1" x14ac:dyDescent="0.25">
      <c r="A644" s="40">
        <v>1045</v>
      </c>
      <c r="B644" s="40" t="s">
        <v>3279</v>
      </c>
      <c r="C644" s="40" t="s">
        <v>542</v>
      </c>
      <c r="D644" s="44">
        <v>2027</v>
      </c>
      <c r="E644" s="44"/>
      <c r="F644" s="40" t="s">
        <v>1331</v>
      </c>
      <c r="G644" s="40" t="s">
        <v>1259</v>
      </c>
      <c r="H644" s="40" t="s">
        <v>467</v>
      </c>
      <c r="I644" s="40" t="s">
        <v>1269</v>
      </c>
      <c r="J644" s="40" t="s">
        <v>1393</v>
      </c>
      <c r="K644" s="40" t="s">
        <v>578</v>
      </c>
      <c r="Z644" s="40" t="s">
        <v>1333</v>
      </c>
      <c r="AA644" s="45">
        <v>10</v>
      </c>
      <c r="AB644" s="46">
        <f>IF(H2ProjectDB689571011[[#This Row],[Dummy_1]]="Electrolysis",
AA644/VLOOKUP(G644,ElectrolysisConvF,3,FALSE),
AC644*10^6/(H2dens*HoursInYear))</f>
        <v>2222.2222222222222</v>
      </c>
      <c r="AC644" s="47">
        <f t="shared" si="53"/>
        <v>1.7325333333333333</v>
      </c>
      <c r="AE644" s="46">
        <f t="shared" si="52"/>
        <v>2222.2222222222222</v>
      </c>
      <c r="AF644" s="43" t="s">
        <v>7305</v>
      </c>
      <c r="AG644" s="43">
        <v>57.065208310523403</v>
      </c>
      <c r="AH644" s="43">
        <v>-1.8982876299373499</v>
      </c>
      <c r="AI644" s="122" t="s">
        <v>7286</v>
      </c>
      <c r="AJ644" s="41">
        <v>0.55000000000000004</v>
      </c>
    </row>
    <row r="645" spans="1:36" ht="34.5" hidden="1" customHeight="1" x14ac:dyDescent="0.25">
      <c r="A645" s="40">
        <v>1046</v>
      </c>
      <c r="B645" s="40" t="s">
        <v>3280</v>
      </c>
      <c r="C645" s="40" t="s">
        <v>542</v>
      </c>
      <c r="D645" s="44">
        <v>2032</v>
      </c>
      <c r="E645" s="44"/>
      <c r="F645" s="40" t="s">
        <v>2222</v>
      </c>
      <c r="G645" s="40" t="s">
        <v>1259</v>
      </c>
      <c r="H645" s="40" t="s">
        <v>467</v>
      </c>
      <c r="I645" s="40" t="s">
        <v>1269</v>
      </c>
      <c r="J645" s="40" t="s">
        <v>1393</v>
      </c>
      <c r="K645" s="40" t="s">
        <v>578</v>
      </c>
      <c r="Z645" s="40" t="s">
        <v>1485</v>
      </c>
      <c r="AA645" s="45">
        <f>100-AA644</f>
        <v>90</v>
      </c>
      <c r="AB645" s="46">
        <f>IF(H2ProjectDB689571011[[#This Row],[Dummy_1]]="Electrolysis",
AA645/VLOOKUP(G645,ElectrolysisConvF,3,FALSE),
AC645*10^6/(H2dens*HoursInYear))</f>
        <v>20000</v>
      </c>
      <c r="AC645" s="47">
        <f t="shared" si="53"/>
        <v>15.5928</v>
      </c>
      <c r="AE645" s="46">
        <f t="shared" si="52"/>
        <v>20000</v>
      </c>
      <c r="AF645" s="43" t="s">
        <v>7305</v>
      </c>
      <c r="AG645" s="43">
        <v>57.065208310523403</v>
      </c>
      <c r="AH645" s="43">
        <v>-1.8982876299373499</v>
      </c>
      <c r="AI645" s="122" t="s">
        <v>7286</v>
      </c>
      <c r="AJ645" s="41">
        <v>0.55000000000000004</v>
      </c>
    </row>
    <row r="646" spans="1:36" ht="34.5" hidden="1" customHeight="1" x14ac:dyDescent="0.25">
      <c r="A646" s="40">
        <v>1047</v>
      </c>
      <c r="B646" s="40" t="s">
        <v>2496</v>
      </c>
      <c r="C646" s="40" t="s">
        <v>542</v>
      </c>
      <c r="F646" s="40" t="s">
        <v>1257</v>
      </c>
      <c r="G646" s="40" t="s">
        <v>1259</v>
      </c>
      <c r="H646" s="40" t="s">
        <v>467</v>
      </c>
      <c r="I646" s="40" t="s">
        <v>1269</v>
      </c>
      <c r="J646" s="40" t="s">
        <v>1395</v>
      </c>
      <c r="K646" s="40" t="s">
        <v>578</v>
      </c>
      <c r="S646" s="40">
        <v>1</v>
      </c>
      <c r="Z646" s="40" t="s">
        <v>1439</v>
      </c>
      <c r="AA646" s="45">
        <v>1.25</v>
      </c>
      <c r="AB646" s="46">
        <f>IF(H2ProjectDB689571011[[#This Row],[Dummy_1]]="Electrolysis",
AA646/VLOOKUP(G646,ElectrolysisConvF,3,FALSE),
AC646*10^6/(H2dens*HoursInYear))</f>
        <v>277.77777777777777</v>
      </c>
      <c r="AC646" s="47">
        <f t="shared" si="53"/>
        <v>0.21656666666666666</v>
      </c>
      <c r="AE646" s="46">
        <f t="shared" si="52"/>
        <v>277.77777777777777</v>
      </c>
      <c r="AF646" s="43" t="s">
        <v>2495</v>
      </c>
      <c r="AG646" s="43">
        <v>53.142375472162399</v>
      </c>
      <c r="AH646" s="43">
        <v>-1.03530659348711</v>
      </c>
      <c r="AI646" s="122" t="s">
        <v>7286</v>
      </c>
      <c r="AJ646" s="41">
        <v>0.5</v>
      </c>
    </row>
    <row r="647" spans="1:36" ht="34.5" hidden="1" customHeight="1" x14ac:dyDescent="0.25">
      <c r="A647" s="40">
        <v>1048</v>
      </c>
      <c r="B647" s="40" t="s">
        <v>2497</v>
      </c>
      <c r="C647" s="40" t="s">
        <v>542</v>
      </c>
      <c r="D647" s="44">
        <v>2025</v>
      </c>
      <c r="E647" s="44"/>
      <c r="F647" s="40" t="s">
        <v>1331</v>
      </c>
      <c r="G647" s="40" t="s">
        <v>1259</v>
      </c>
      <c r="H647" s="40" t="s">
        <v>467</v>
      </c>
      <c r="I647" s="40" t="s">
        <v>1269</v>
      </c>
      <c r="J647" s="40" t="s">
        <v>1393</v>
      </c>
      <c r="K647" s="40" t="s">
        <v>578</v>
      </c>
      <c r="Z647" s="40" t="s">
        <v>1487</v>
      </c>
      <c r="AA647" s="45">
        <v>100</v>
      </c>
      <c r="AB647" s="46">
        <f>IF(H2ProjectDB689571011[[#This Row],[Dummy_1]]="Electrolysis",
AA647/VLOOKUP(G647,ElectrolysisConvF,3,FALSE),
AC647*10^6/(H2dens*HoursInYear))</f>
        <v>22222.222222222223</v>
      </c>
      <c r="AC647" s="47">
        <f t="shared" si="53"/>
        <v>17.325333333333333</v>
      </c>
      <c r="AE647" s="46">
        <f t="shared" si="52"/>
        <v>22222.222222222223</v>
      </c>
      <c r="AF647" s="43" t="s">
        <v>2493</v>
      </c>
      <c r="AG647" s="43">
        <v>53.654801551733499</v>
      </c>
      <c r="AH647" s="43">
        <v>-0.25466889312937102</v>
      </c>
      <c r="AI647" s="122" t="s">
        <v>7286</v>
      </c>
      <c r="AJ647" s="41">
        <v>0.55000000000000004</v>
      </c>
    </row>
    <row r="648" spans="1:36" ht="34.5" hidden="1" customHeight="1" x14ac:dyDescent="0.25">
      <c r="A648" s="40">
        <v>1049</v>
      </c>
      <c r="B648" s="40" t="s">
        <v>2500</v>
      </c>
      <c r="C648" s="40" t="s">
        <v>546</v>
      </c>
      <c r="D648" s="44">
        <v>2032</v>
      </c>
      <c r="E648" s="44"/>
      <c r="F648" s="40" t="s">
        <v>2222</v>
      </c>
      <c r="G648" s="40" t="s">
        <v>1259</v>
      </c>
      <c r="H648" s="40" t="s">
        <v>467</v>
      </c>
      <c r="I648" s="40" t="s">
        <v>1269</v>
      </c>
      <c r="J648" s="40" t="s">
        <v>1393</v>
      </c>
      <c r="K648" s="40" t="s">
        <v>578</v>
      </c>
      <c r="Z648" s="40" t="s">
        <v>2501</v>
      </c>
      <c r="AA648" s="78">
        <f>IF(H2ProjectDB689571011[[#This Row],[Dummy_1]]="Electrolysis",
AB648*VLOOKUP(G648,ElectrolysisConvF,3,FALSE),
"")</f>
        <v>1897.9653811114486</v>
      </c>
      <c r="AB648" s="46">
        <f>AC648/(H2dens*HoursInYear/10^6)</f>
        <v>421770.08469143306</v>
      </c>
      <c r="AC648" s="47">
        <f>30*365/33.3</f>
        <v>328.82882882882888</v>
      </c>
      <c r="AE648" s="46">
        <f t="shared" si="52"/>
        <v>421770.08469143306</v>
      </c>
      <c r="AF648" s="43" t="s">
        <v>2502</v>
      </c>
      <c r="AG648" s="43">
        <v>53.359061900826198</v>
      </c>
      <c r="AH648" s="43">
        <v>4.8741546099600699</v>
      </c>
      <c r="AI648" s="122" t="s">
        <v>7286</v>
      </c>
      <c r="AJ648" s="41">
        <v>0.55000000000000004</v>
      </c>
    </row>
    <row r="649" spans="1:36" ht="34.5" hidden="1" customHeight="1" x14ac:dyDescent="0.25">
      <c r="A649" s="40">
        <v>1050</v>
      </c>
      <c r="B649" s="40" t="s">
        <v>2503</v>
      </c>
      <c r="C649" s="40" t="s">
        <v>1762</v>
      </c>
      <c r="D649" s="44">
        <v>2025</v>
      </c>
      <c r="E649" s="44"/>
      <c r="F649" s="40" t="s">
        <v>1331</v>
      </c>
      <c r="G649" s="40" t="s">
        <v>1259</v>
      </c>
      <c r="H649" s="40" t="s">
        <v>467</v>
      </c>
      <c r="I649" s="40" t="s">
        <v>1269</v>
      </c>
      <c r="J649" s="40" t="s">
        <v>581</v>
      </c>
      <c r="K649" s="40" t="s">
        <v>578</v>
      </c>
      <c r="S649" s="40">
        <v>1</v>
      </c>
      <c r="Z649" s="40" t="s">
        <v>2504</v>
      </c>
      <c r="AA649" s="45">
        <v>78</v>
      </c>
      <c r="AB649" s="46">
        <f>IF(H2ProjectDB689571011[[#This Row],[Dummy_1]]="Electrolysis",
AA649/VLOOKUP(G649,ElectrolysisConvF,3,FALSE),
AC649*10^6/(H2dens*HoursInYear))</f>
        <v>17333.333333333336</v>
      </c>
      <c r="AC649" s="47">
        <f>AB649*H2dens*HoursInYear/10^6</f>
        <v>13.51376</v>
      </c>
      <c r="AE649" s="46">
        <f t="shared" si="52"/>
        <v>17333.333333333336</v>
      </c>
      <c r="AF649" s="43" t="s">
        <v>2502</v>
      </c>
      <c r="AG649" s="43">
        <v>48.544299363631197</v>
      </c>
      <c r="AH649" s="43">
        <v>22.0774548454274</v>
      </c>
      <c r="AI649" s="122" t="s">
        <v>7286</v>
      </c>
      <c r="AJ649" s="41">
        <v>0.5</v>
      </c>
    </row>
    <row r="650" spans="1:36" ht="34.5" hidden="1" customHeight="1" x14ac:dyDescent="0.25">
      <c r="A650" s="40">
        <v>1052</v>
      </c>
      <c r="B650" s="40" t="s">
        <v>2639</v>
      </c>
      <c r="C650" s="40" t="s">
        <v>1305</v>
      </c>
      <c r="D650" s="44">
        <v>2028</v>
      </c>
      <c r="E650" s="44"/>
      <c r="F650" s="40" t="s">
        <v>1331</v>
      </c>
      <c r="G650" s="40" t="s">
        <v>457</v>
      </c>
      <c r="I650" s="40" t="s">
        <v>1269</v>
      </c>
      <c r="J650" s="40" t="s">
        <v>1395</v>
      </c>
      <c r="K650" s="40" t="s">
        <v>612</v>
      </c>
      <c r="Z650" s="40" t="s">
        <v>4978</v>
      </c>
      <c r="AA650" s="78">
        <f>IF(H2ProjectDB689571011[[#This Row],[Dummy_1]]="Electrolysis",
AB650*VLOOKUP(G650,ElectrolysisConvF,3,FALSE),
"")</f>
        <v>232.81708674967103</v>
      </c>
      <c r="AB650" s="46">
        <f>AC650/(H2dens*HoursInYear/10^6)</f>
        <v>50612.410162971966</v>
      </c>
      <c r="AC650" s="47">
        <f>1.8*365/33.3/H2ProjectDB689571011[[#This Row],[LOWE_CF]]</f>
        <v>39.45945945945946</v>
      </c>
      <c r="AE650" s="46">
        <f>AB650</f>
        <v>50612.410162971966</v>
      </c>
      <c r="AF650" s="43" t="s">
        <v>704</v>
      </c>
      <c r="AG650" s="43">
        <v>53.524942075102302</v>
      </c>
      <c r="AH650" s="43">
        <v>7.6303595387901897</v>
      </c>
      <c r="AI650" s="122" t="s">
        <v>7286</v>
      </c>
      <c r="AJ650" s="41">
        <v>0.5</v>
      </c>
    </row>
    <row r="651" spans="1:36" ht="34.5" hidden="1" customHeight="1" x14ac:dyDescent="0.25">
      <c r="A651" s="81">
        <v>1053</v>
      </c>
      <c r="B651" s="81" t="s">
        <v>3529</v>
      </c>
      <c r="C651" s="82" t="s">
        <v>2508</v>
      </c>
      <c r="D651" s="101">
        <v>2027</v>
      </c>
      <c r="E651" s="101"/>
      <c r="F651" s="81" t="s">
        <v>2222</v>
      </c>
      <c r="G651" s="81" t="s">
        <v>1259</v>
      </c>
      <c r="H651" s="81" t="s">
        <v>467</v>
      </c>
      <c r="I651" s="81" t="s">
        <v>1257</v>
      </c>
      <c r="J651" s="81"/>
      <c r="K651" s="81" t="s">
        <v>578</v>
      </c>
      <c r="L651" s="81"/>
      <c r="M651" s="81"/>
      <c r="N651" s="81"/>
      <c r="O651" s="81"/>
      <c r="P651" s="81"/>
      <c r="Q651" s="81"/>
      <c r="R651" s="81"/>
      <c r="S651" s="81"/>
      <c r="T651" s="81"/>
      <c r="U651" s="81"/>
      <c r="V651" s="81"/>
      <c r="W651" s="81"/>
      <c r="X651" s="81"/>
      <c r="Y651" s="81"/>
      <c r="Z651" s="81" t="s">
        <v>2024</v>
      </c>
      <c r="AA651" s="83"/>
      <c r="AB651" s="84"/>
      <c r="AC651" s="85"/>
      <c r="AD651" s="84"/>
      <c r="AE651" s="84">
        <f>IF(AND(G651&lt;&gt;"NG w CCUS",G651&lt;&gt;"Oil w CCUS",G651&lt;&gt;"Coal w CCUS"),AB651,AD651*10^3/(HoursInYear*IF(G651="NG w CCUS",0.9105,1.9075)))</f>
        <v>0</v>
      </c>
      <c r="AF651" s="82" t="s">
        <v>2502</v>
      </c>
      <c r="AG651" s="82">
        <v>56.639230411328398</v>
      </c>
      <c r="AH651" s="82">
        <v>9.7956715079719991</v>
      </c>
      <c r="AI651" s="122" t="s">
        <v>7286</v>
      </c>
      <c r="AJ651" s="41">
        <v>0.56999999999999995</v>
      </c>
    </row>
    <row r="652" spans="1:36" s="81" customFormat="1" ht="34.5" hidden="1" customHeight="1" x14ac:dyDescent="0.25">
      <c r="A652" s="81">
        <v>1054</v>
      </c>
      <c r="B652" s="81" t="s">
        <v>3530</v>
      </c>
      <c r="C652" s="82" t="s">
        <v>2508</v>
      </c>
      <c r="D652" s="101">
        <v>2031</v>
      </c>
      <c r="E652" s="101"/>
      <c r="F652" s="81" t="s">
        <v>2222</v>
      </c>
      <c r="G652" s="81" t="s">
        <v>1259</v>
      </c>
      <c r="H652" s="81" t="s">
        <v>467</v>
      </c>
      <c r="I652" s="81" t="s">
        <v>1257</v>
      </c>
      <c r="K652" s="81" t="s">
        <v>578</v>
      </c>
      <c r="Z652" s="81" t="s">
        <v>1334</v>
      </c>
      <c r="AA652" s="83"/>
      <c r="AB652" s="84"/>
      <c r="AC652" s="85"/>
      <c r="AD652" s="84"/>
      <c r="AE652" s="84">
        <f>IF(AND(G652&lt;&gt;"NG w CCUS",G652&lt;&gt;"Oil w CCUS",G652&lt;&gt;"Coal w CCUS"),AB652,AD652*10^3/(HoursInYear*IF(G652="NG w CCUS",0.9105,1.9075)))</f>
        <v>0</v>
      </c>
      <c r="AF652" s="82" t="s">
        <v>2502</v>
      </c>
      <c r="AG652" s="82">
        <v>56.639230411328398</v>
      </c>
      <c r="AH652" s="82">
        <v>9.7956715079719991</v>
      </c>
      <c r="AI652" s="122" t="s">
        <v>7286</v>
      </c>
      <c r="AJ652" s="41">
        <v>0.56999999999999995</v>
      </c>
    </row>
    <row r="653" spans="1:36" ht="34.5" hidden="1" customHeight="1" x14ac:dyDescent="0.25">
      <c r="A653" s="40">
        <v>1056</v>
      </c>
      <c r="B653" s="40" t="s">
        <v>2509</v>
      </c>
      <c r="C653" s="40" t="s">
        <v>530</v>
      </c>
      <c r="D653" s="44">
        <v>2026</v>
      </c>
      <c r="E653" s="44"/>
      <c r="F653" s="40" t="s">
        <v>2222</v>
      </c>
      <c r="G653" s="40" t="s">
        <v>1259</v>
      </c>
      <c r="H653" s="40" t="s">
        <v>467</v>
      </c>
      <c r="I653" s="40" t="s">
        <v>1266</v>
      </c>
      <c r="K653" s="40" t="s">
        <v>578</v>
      </c>
      <c r="S653" s="40">
        <v>1</v>
      </c>
      <c r="AC653" s="47"/>
      <c r="AF653" s="43" t="s">
        <v>2502</v>
      </c>
      <c r="AG653" s="43">
        <v>0</v>
      </c>
      <c r="AH653" s="43">
        <v>0</v>
      </c>
      <c r="AI653" s="122" t="s">
        <v>7286</v>
      </c>
      <c r="AJ653" s="41">
        <v>0.56999999999999995</v>
      </c>
    </row>
    <row r="654" spans="1:36" ht="34.5" hidden="1" customHeight="1" x14ac:dyDescent="0.25">
      <c r="A654" s="40">
        <v>1057</v>
      </c>
      <c r="B654" s="40" t="s">
        <v>2510</v>
      </c>
      <c r="C654" s="40" t="s">
        <v>541</v>
      </c>
      <c r="D654" s="44">
        <v>2029</v>
      </c>
      <c r="E654" s="44"/>
      <c r="F654" s="40" t="s">
        <v>1331</v>
      </c>
      <c r="G654" s="40" t="s">
        <v>1259</v>
      </c>
      <c r="H654" s="40" t="s">
        <v>467</v>
      </c>
      <c r="I654" s="40" t="s">
        <v>1269</v>
      </c>
      <c r="J654" s="40" t="s">
        <v>581</v>
      </c>
      <c r="K654" s="40" t="s">
        <v>612</v>
      </c>
      <c r="X654" s="40">
        <v>1</v>
      </c>
      <c r="Z654" s="40" t="s">
        <v>2511</v>
      </c>
      <c r="AA654" s="45">
        <v>23</v>
      </c>
      <c r="AB654" s="46">
        <f>IF(H2ProjectDB689571011[[#This Row],[Dummy_1]]="Electrolysis",
AA654/VLOOKUP(G654,ElectrolysisConvF,3,FALSE),
AC654*10^6/(H2dens*HoursInYear))</f>
        <v>5111.1111111111113</v>
      </c>
      <c r="AC654" s="47">
        <f>AB654*H2dens*HoursInYear/10^6</f>
        <v>3.9848266666666663</v>
      </c>
      <c r="AE654" s="46">
        <f t="shared" ref="AE654:AE660" si="54">IF(AND(G654&lt;&gt;"NG w CCUS",G654&lt;&gt;"Oil w CCUS",G654&lt;&gt;"Coal w CCUS"),AB654,AD654*10^3/(HoursInYear*IF(G654="NG w CCUS",0.9105,1.9075)))</f>
        <v>5111.1111111111113</v>
      </c>
      <c r="AF654" s="43" t="s">
        <v>2512</v>
      </c>
      <c r="AG654" s="43">
        <v>0</v>
      </c>
      <c r="AH654" s="43">
        <v>0</v>
      </c>
      <c r="AI654" s="122" t="s">
        <v>7286</v>
      </c>
      <c r="AJ654" s="41">
        <v>0.5</v>
      </c>
    </row>
    <row r="655" spans="1:36" ht="34.5" hidden="1" customHeight="1" x14ac:dyDescent="0.25">
      <c r="A655" s="40">
        <v>1058</v>
      </c>
      <c r="B655" s="40" t="s">
        <v>5793</v>
      </c>
      <c r="C655" s="40" t="s">
        <v>541</v>
      </c>
      <c r="D655" s="44">
        <v>2026</v>
      </c>
      <c r="E655" s="44"/>
      <c r="F655" s="40" t="s">
        <v>2222</v>
      </c>
      <c r="G655" s="40" t="s">
        <v>1259</v>
      </c>
      <c r="H655" s="40" t="s">
        <v>467</v>
      </c>
      <c r="I655" s="40" t="s">
        <v>1266</v>
      </c>
      <c r="K655" s="40" t="s">
        <v>578</v>
      </c>
      <c r="X655" s="40">
        <v>1</v>
      </c>
      <c r="Z655" s="40" t="s">
        <v>5218</v>
      </c>
      <c r="AA655" s="45">
        <v>90</v>
      </c>
      <c r="AB655" s="46">
        <f>IF(H2ProjectDB689571011[[#This Row],[Dummy_1]]="Electrolysis",
AA655/VLOOKUP(G655,ElectrolysisConvF,3,FALSE),
AC655*10^6/(H2dens*HoursInYear))</f>
        <v>20000</v>
      </c>
      <c r="AC655" s="47">
        <f>AB655*H2dens*HoursInYear/10^6</f>
        <v>15.5928</v>
      </c>
      <c r="AE655" s="46">
        <f t="shared" si="54"/>
        <v>20000</v>
      </c>
      <c r="AF655" s="43" t="s">
        <v>5794</v>
      </c>
      <c r="AG655" s="43">
        <v>41.066878976334301</v>
      </c>
      <c r="AH655" s="43">
        <v>16.6825775917671</v>
      </c>
      <c r="AI655" s="122" t="s">
        <v>7286</v>
      </c>
      <c r="AJ655" s="41">
        <v>0.56999999999999995</v>
      </c>
    </row>
    <row r="656" spans="1:36" ht="34.5" hidden="1" customHeight="1" x14ac:dyDescent="0.25">
      <c r="A656" s="40">
        <v>1059</v>
      </c>
      <c r="B656" s="40" t="s">
        <v>2514</v>
      </c>
      <c r="C656" s="40" t="s">
        <v>1064</v>
      </c>
      <c r="D656" s="44">
        <v>2024</v>
      </c>
      <c r="E656" s="44"/>
      <c r="F656" s="40" t="s">
        <v>1540</v>
      </c>
      <c r="G656" s="40" t="s">
        <v>1259</v>
      </c>
      <c r="H656" s="40" t="s">
        <v>467</v>
      </c>
      <c r="I656" s="40" t="s">
        <v>1257</v>
      </c>
      <c r="K656" s="40" t="s">
        <v>578</v>
      </c>
      <c r="S656" s="40">
        <v>1</v>
      </c>
      <c r="Z656" s="40" t="s">
        <v>1480</v>
      </c>
      <c r="AA656" s="45">
        <v>1</v>
      </c>
      <c r="AB656" s="46">
        <f>IF(H2ProjectDB689571011[[#This Row],[Dummy_1]]="Electrolysis",
AA656/VLOOKUP(G656,ElectrolysisConvF,3,FALSE),
AC656*10^6/(H2dens*HoursInYear))</f>
        <v>222.22222222222223</v>
      </c>
      <c r="AC656" s="47">
        <f>AB656*H2dens*HoursInYear/10^6</f>
        <v>0.17325333333333334</v>
      </c>
      <c r="AE656" s="46">
        <f t="shared" si="54"/>
        <v>222.22222222222223</v>
      </c>
      <c r="AF656" s="43" t="s">
        <v>2864</v>
      </c>
      <c r="AG656" s="43">
        <v>55.413806339870298</v>
      </c>
      <c r="AH656" s="43">
        <v>23.519680176609398</v>
      </c>
      <c r="AI656" s="122" t="s">
        <v>7286</v>
      </c>
      <c r="AJ656" s="41">
        <v>0.56999999999999995</v>
      </c>
    </row>
    <row r="657" spans="1:36" ht="34.5" hidden="1" customHeight="1" x14ac:dyDescent="0.25">
      <c r="A657" s="40">
        <v>1060</v>
      </c>
      <c r="B657" s="40" t="s">
        <v>2515</v>
      </c>
      <c r="C657" s="40" t="s">
        <v>1769</v>
      </c>
      <c r="D657" s="44">
        <v>2030</v>
      </c>
      <c r="E657" s="44"/>
      <c r="F657" s="40" t="s">
        <v>2222</v>
      </c>
      <c r="G657" s="40" t="s">
        <v>1259</v>
      </c>
      <c r="H657" s="40" t="s">
        <v>467</v>
      </c>
      <c r="I657" s="40" t="s">
        <v>1266</v>
      </c>
      <c r="J657" s="40" t="str">
        <f>IF(I657&lt;&gt;"Dedicated renewable","N/A",)</f>
        <v>N/A</v>
      </c>
      <c r="K657" s="40" t="s">
        <v>578</v>
      </c>
      <c r="AC657" s="47"/>
      <c r="AE657" s="46">
        <f t="shared" si="54"/>
        <v>0</v>
      </c>
      <c r="AF657" s="43" t="s">
        <v>2502</v>
      </c>
      <c r="AG657" s="43">
        <v>56.906369333924196</v>
      </c>
      <c r="AH657" s="43">
        <v>24.914943879951299</v>
      </c>
      <c r="AI657" s="122" t="s">
        <v>7286</v>
      </c>
      <c r="AJ657" s="41">
        <v>0.56999999999999995</v>
      </c>
    </row>
    <row r="658" spans="1:36" ht="34.5" hidden="1" customHeight="1" x14ac:dyDescent="0.25">
      <c r="A658" s="40">
        <v>1061</v>
      </c>
      <c r="B658" s="40" t="s">
        <v>2516</v>
      </c>
      <c r="C658" s="40" t="s">
        <v>1762</v>
      </c>
      <c r="D658" s="44">
        <v>2025</v>
      </c>
      <c r="E658" s="44"/>
      <c r="F658" s="40" t="s">
        <v>1331</v>
      </c>
      <c r="G658" s="40" t="s">
        <v>1259</v>
      </c>
      <c r="H658" s="40" t="s">
        <v>467</v>
      </c>
      <c r="I658" s="40" t="s">
        <v>1269</v>
      </c>
      <c r="J658" s="40" t="s">
        <v>581</v>
      </c>
      <c r="K658" s="40" t="s">
        <v>578</v>
      </c>
      <c r="S658" s="40">
        <v>1</v>
      </c>
      <c r="Z658" s="40" t="s">
        <v>2517</v>
      </c>
      <c r="AA658" s="45">
        <v>84</v>
      </c>
      <c r="AB658" s="46">
        <f>IF(H2ProjectDB689571011[[#This Row],[Dummy_1]]="Electrolysis",
AA658/VLOOKUP(G658,ElectrolysisConvF,3,FALSE),
AC658*10^6/(H2dens*HoursInYear))</f>
        <v>18666.666666666668</v>
      </c>
      <c r="AC658" s="47">
        <f>AB658*H2dens*HoursInYear/10^6</f>
        <v>14.553280000000001</v>
      </c>
      <c r="AE658" s="46">
        <f t="shared" si="54"/>
        <v>18666.666666666668</v>
      </c>
      <c r="AF658" s="43" t="s">
        <v>2502</v>
      </c>
      <c r="AG658" s="43">
        <v>0</v>
      </c>
      <c r="AH658" s="43">
        <v>0</v>
      </c>
      <c r="AI658" s="122" t="s">
        <v>7286</v>
      </c>
      <c r="AJ658" s="41">
        <v>0.5</v>
      </c>
    </row>
    <row r="659" spans="1:36" ht="34.5" hidden="1" customHeight="1" x14ac:dyDescent="0.25">
      <c r="A659" s="40">
        <v>1062</v>
      </c>
      <c r="B659" s="40" t="s">
        <v>2519</v>
      </c>
      <c r="C659" s="40" t="s">
        <v>1762</v>
      </c>
      <c r="D659" s="44">
        <v>2035</v>
      </c>
      <c r="E659" s="44"/>
      <c r="F659" s="40" t="s">
        <v>2222</v>
      </c>
      <c r="G659" s="40" t="s">
        <v>1259</v>
      </c>
      <c r="H659" s="40" t="s">
        <v>467</v>
      </c>
      <c r="I659" s="40" t="s">
        <v>1269</v>
      </c>
      <c r="J659" s="40" t="s">
        <v>581</v>
      </c>
      <c r="K659" s="40" t="s">
        <v>578</v>
      </c>
      <c r="S659" s="40">
        <v>1</v>
      </c>
      <c r="Z659" s="40" t="s">
        <v>2518</v>
      </c>
      <c r="AA659" s="45">
        <v>248</v>
      </c>
      <c r="AB659" s="46">
        <f>IF(H2ProjectDB689571011[[#This Row],[Dummy_1]]="Electrolysis",
AA659/VLOOKUP(G659,ElectrolysisConvF,3,FALSE),
AC659*10^6/(H2dens*HoursInYear))</f>
        <v>55111.111111111117</v>
      </c>
      <c r="AC659" s="47">
        <f>AB659*H2dens*HoursInYear/10^6</f>
        <v>42.96682666666667</v>
      </c>
      <c r="AE659" s="46">
        <f t="shared" si="54"/>
        <v>55111.111111111117</v>
      </c>
      <c r="AF659" s="43" t="s">
        <v>2502</v>
      </c>
      <c r="AG659" s="43">
        <v>48.885768097463298</v>
      </c>
      <c r="AH659" s="43">
        <v>19.362891591126601</v>
      </c>
      <c r="AI659" s="122" t="s">
        <v>7286</v>
      </c>
      <c r="AJ659" s="41">
        <v>0.5</v>
      </c>
    </row>
    <row r="660" spans="1:36" ht="34.5" hidden="1" customHeight="1" x14ac:dyDescent="0.25">
      <c r="A660" s="40">
        <v>1063</v>
      </c>
      <c r="B660" s="40" t="s">
        <v>2521</v>
      </c>
      <c r="C660" s="40" t="s">
        <v>1305</v>
      </c>
      <c r="F660" s="40" t="s">
        <v>5701</v>
      </c>
      <c r="G660" s="40" t="s">
        <v>455</v>
      </c>
      <c r="I660" s="40" t="s">
        <v>1269</v>
      </c>
      <c r="J660" s="40" t="s">
        <v>1395</v>
      </c>
      <c r="K660" s="40" t="s">
        <v>578</v>
      </c>
      <c r="Q660" s="40">
        <v>1</v>
      </c>
      <c r="Z660" s="40" t="s">
        <v>2522</v>
      </c>
      <c r="AA660" s="78">
        <f>IF(H2ProjectDB689571011[[#This Row],[Dummy_1]]="Electrolysis",
AB660*VLOOKUP(G660,ElectrolysisConvF,3,FALSE),
"")</f>
        <v>2.9346878046277767</v>
      </c>
      <c r="AB660" s="46">
        <f>AC660/(H2dens*HoursInYear/10^6)</f>
        <v>564.36303935149556</v>
      </c>
      <c r="AC660" s="47">
        <v>0.44</v>
      </c>
      <c r="AE660" s="46">
        <f t="shared" si="54"/>
        <v>564.36303935149556</v>
      </c>
      <c r="AF660" s="43" t="s">
        <v>2552</v>
      </c>
      <c r="AG660" s="43">
        <v>51.596232751267301</v>
      </c>
      <c r="AH660" s="43">
        <v>7.1394110626435197</v>
      </c>
      <c r="AI660" s="122" t="s">
        <v>7286</v>
      </c>
      <c r="AJ660" s="41">
        <v>0.5</v>
      </c>
    </row>
    <row r="661" spans="1:36" ht="34.5" hidden="1" customHeight="1" x14ac:dyDescent="0.25">
      <c r="A661" s="40">
        <v>1064</v>
      </c>
      <c r="B661" s="40" t="s">
        <v>5986</v>
      </c>
      <c r="C661" s="40" t="s">
        <v>530</v>
      </c>
      <c r="D661" s="44">
        <v>2023</v>
      </c>
      <c r="F661" s="40" t="s">
        <v>1339</v>
      </c>
      <c r="G661" s="40" t="s">
        <v>1259</v>
      </c>
      <c r="H661" s="40" t="s">
        <v>467</v>
      </c>
      <c r="I661" s="40" t="s">
        <v>1269</v>
      </c>
      <c r="J661" s="40" t="s">
        <v>1393</v>
      </c>
      <c r="K661" s="40" t="s">
        <v>578</v>
      </c>
      <c r="Q661" s="40">
        <v>1</v>
      </c>
      <c r="Z661" s="40" t="s">
        <v>1533</v>
      </c>
      <c r="AA661" s="45">
        <v>1.5</v>
      </c>
      <c r="AB661" s="46">
        <f>IF(H2ProjectDB689571011[[#This Row],[Dummy_1]]="Electrolysis",
AA661/VLOOKUP(G661,ElectrolysisConvF,3,FALSE),
AC661*10^6/(H2dens*HoursInYear))</f>
        <v>333.33333333333337</v>
      </c>
      <c r="AC661" s="47">
        <f>AB661*H2dens*HoursInYear/10^6</f>
        <v>0.25988</v>
      </c>
      <c r="AE661" s="46">
        <f>AB661</f>
        <v>333.33333333333337</v>
      </c>
      <c r="AF661" s="43" t="s">
        <v>4510</v>
      </c>
      <c r="AG661" s="43">
        <v>47.273773892949499</v>
      </c>
      <c r="AH661" s="43">
        <v>-2.2103249297290102</v>
      </c>
      <c r="AI661" s="122" t="s">
        <v>7286</v>
      </c>
      <c r="AJ661" s="41">
        <v>0.55000000000000004</v>
      </c>
    </row>
    <row r="662" spans="1:36" ht="34.5" hidden="1" customHeight="1" x14ac:dyDescent="0.25">
      <c r="A662" s="40">
        <v>1065</v>
      </c>
      <c r="B662" s="40" t="s">
        <v>5987</v>
      </c>
      <c r="C662" s="40" t="s">
        <v>530</v>
      </c>
      <c r="D662" s="44">
        <v>2028</v>
      </c>
      <c r="E662" s="44"/>
      <c r="F662" s="40" t="s">
        <v>2222</v>
      </c>
      <c r="G662" s="40" t="s">
        <v>1259</v>
      </c>
      <c r="H662" s="40" t="s">
        <v>467</v>
      </c>
      <c r="I662" s="40" t="s">
        <v>1269</v>
      </c>
      <c r="J662" s="40" t="s">
        <v>581</v>
      </c>
      <c r="K662" s="40" t="s">
        <v>578</v>
      </c>
      <c r="Q662" s="40">
        <v>1</v>
      </c>
      <c r="Z662" s="40" t="s">
        <v>1381</v>
      </c>
      <c r="AA662" s="45">
        <v>0.5</v>
      </c>
      <c r="AB662" s="46">
        <f>IF(H2ProjectDB689571011[[#This Row],[Dummy_1]]="Electrolysis",
AA662/VLOOKUP(G662,ElectrolysisConvF,3,FALSE),
AC662*10^6/(H2dens*HoursInYear))</f>
        <v>111.11111111111111</v>
      </c>
      <c r="AC662" s="47">
        <f>AB662*H2dens*HoursInYear/10^6</f>
        <v>8.6626666666666671E-2</v>
      </c>
      <c r="AE662" s="46">
        <f>AB662</f>
        <v>111.11111111111111</v>
      </c>
      <c r="AF662" s="43" t="s">
        <v>2525</v>
      </c>
      <c r="AG662" s="43">
        <v>49.963130918468501</v>
      </c>
      <c r="AH662" s="43">
        <v>1.08968768256936</v>
      </c>
      <c r="AI662" s="122" t="s">
        <v>7286</v>
      </c>
      <c r="AJ662" s="41">
        <v>0.5</v>
      </c>
    </row>
    <row r="663" spans="1:36" ht="34.5" hidden="1" customHeight="1" x14ac:dyDescent="0.25">
      <c r="A663" s="81">
        <v>1066</v>
      </c>
      <c r="B663" s="81" t="s">
        <v>2526</v>
      </c>
      <c r="C663" s="81" t="s">
        <v>530</v>
      </c>
      <c r="D663" s="101">
        <v>2027</v>
      </c>
      <c r="E663" s="101"/>
      <c r="F663" s="81"/>
      <c r="G663" s="81" t="s">
        <v>1259</v>
      </c>
      <c r="H663" s="81" t="s">
        <v>467</v>
      </c>
      <c r="I663" s="81" t="s">
        <v>1269</v>
      </c>
      <c r="J663" s="81" t="s">
        <v>1395</v>
      </c>
      <c r="K663" s="81"/>
      <c r="L663" s="81"/>
      <c r="M663" s="81"/>
      <c r="N663" s="81"/>
      <c r="O663" s="81"/>
      <c r="P663" s="81"/>
      <c r="Q663" s="81">
        <v>1</v>
      </c>
      <c r="R663" s="81"/>
      <c r="S663" s="81"/>
      <c r="T663" s="81"/>
      <c r="U663" s="81"/>
      <c r="V663" s="81"/>
      <c r="W663" s="81"/>
      <c r="X663" s="81"/>
      <c r="Y663" s="81"/>
      <c r="Z663" s="81" t="s">
        <v>1577</v>
      </c>
      <c r="AA663" s="83"/>
      <c r="AB663" s="84"/>
      <c r="AC663" s="85"/>
      <c r="AD663" s="84"/>
      <c r="AE663" s="84">
        <f t="shared" ref="AE663:AE668" si="55">IF(AND(G663&lt;&gt;"NG w CCUS",G663&lt;&gt;"Oil w CCUS",G663&lt;&gt;"Coal w CCUS"),AB663,AD663*10^3/(HoursInYear*IF(G663="NG w CCUS",0.9105,1.9075)))</f>
        <v>0</v>
      </c>
      <c r="AF663" s="82"/>
      <c r="AG663" s="82">
        <v>0</v>
      </c>
      <c r="AH663" s="82">
        <v>0</v>
      </c>
      <c r="AI663" s="122" t="s">
        <v>7286</v>
      </c>
      <c r="AJ663" s="41">
        <v>0.5</v>
      </c>
    </row>
    <row r="664" spans="1:36" s="81" customFormat="1" ht="34.5" hidden="1" customHeight="1" x14ac:dyDescent="0.25">
      <c r="A664" s="40">
        <v>1067</v>
      </c>
      <c r="B664" s="40" t="s">
        <v>2527</v>
      </c>
      <c r="C664" s="40" t="s">
        <v>536</v>
      </c>
      <c r="D664" s="44"/>
      <c r="E664" s="44"/>
      <c r="F664" s="40" t="s">
        <v>1331</v>
      </c>
      <c r="G664" s="40" t="s">
        <v>1259</v>
      </c>
      <c r="H664" s="40" t="s">
        <v>467</v>
      </c>
      <c r="I664" s="40" t="s">
        <v>1257</v>
      </c>
      <c r="J664" s="40"/>
      <c r="K664" s="40" t="s">
        <v>578</v>
      </c>
      <c r="L664" s="40"/>
      <c r="M664" s="40"/>
      <c r="N664" s="40"/>
      <c r="O664" s="40"/>
      <c r="P664" s="40"/>
      <c r="Q664" s="40"/>
      <c r="R664" s="40"/>
      <c r="S664" s="40">
        <v>1</v>
      </c>
      <c r="T664" s="40"/>
      <c r="U664" s="40"/>
      <c r="V664" s="40"/>
      <c r="W664" s="40"/>
      <c r="X664" s="40"/>
      <c r="Y664" s="40"/>
      <c r="Z664" s="40" t="s">
        <v>1483</v>
      </c>
      <c r="AA664" s="45">
        <v>50</v>
      </c>
      <c r="AB664" s="46">
        <f>IF(H2ProjectDB689571011[[#This Row],[Dummy_1]]="Electrolysis",
AA664/VLOOKUP(G664,ElectrolysisConvF,3,FALSE),
AC664*10^6/(H2dens*HoursInYear))</f>
        <v>11111.111111111111</v>
      </c>
      <c r="AC664" s="47">
        <f>AB664*H2dens*HoursInYear/10^6</f>
        <v>8.6626666666666665</v>
      </c>
      <c r="AD664" s="46"/>
      <c r="AE664" s="46">
        <f t="shared" si="55"/>
        <v>11111.111111111111</v>
      </c>
      <c r="AF664" s="43" t="s">
        <v>2529</v>
      </c>
      <c r="AG664" s="43">
        <v>0</v>
      </c>
      <c r="AH664" s="43">
        <v>0</v>
      </c>
      <c r="AI664" s="122" t="s">
        <v>7286</v>
      </c>
      <c r="AJ664" s="41">
        <v>0.56999999999999995</v>
      </c>
    </row>
    <row r="665" spans="1:36" ht="34.5" hidden="1" customHeight="1" x14ac:dyDescent="0.25">
      <c r="A665" s="40">
        <v>1068</v>
      </c>
      <c r="B665" s="40" t="s">
        <v>2532</v>
      </c>
      <c r="C665" s="40" t="s">
        <v>560</v>
      </c>
      <c r="D665" s="44">
        <v>2025</v>
      </c>
      <c r="E665" s="44"/>
      <c r="F665" s="40" t="s">
        <v>2222</v>
      </c>
      <c r="G665" s="40" t="s">
        <v>1259</v>
      </c>
      <c r="H665" s="40" t="s">
        <v>467</v>
      </c>
      <c r="I665" s="40" t="s">
        <v>1269</v>
      </c>
      <c r="J665" s="40" t="s">
        <v>1395</v>
      </c>
      <c r="K665" s="40" t="s">
        <v>1243</v>
      </c>
      <c r="M665" s="40">
        <v>1</v>
      </c>
      <c r="Z665" s="40" t="s">
        <v>4979</v>
      </c>
      <c r="AA665" s="78">
        <f>IF(H2ProjectDB689571011[[#This Row],[Dummy_1]]="Electrolysis",
AB665*VLOOKUP(G665,ElectrolysisConvF,3,FALSE),
"")</f>
        <v>2738.7640449438204</v>
      </c>
      <c r="AB665" s="46">
        <f>AC665/(H2dens*HoursInYear/10^6)</f>
        <v>608614.23220973788</v>
      </c>
      <c r="AC665" s="47">
        <f>0.65*365/H2ProjectDB689571011[[#This Row],[LOWE_CF]]</f>
        <v>474.5</v>
      </c>
      <c r="AE665" s="46">
        <f t="shared" si="55"/>
        <v>608614.23220973788</v>
      </c>
      <c r="AF665" s="43" t="s">
        <v>2534</v>
      </c>
      <c r="AG665" s="43">
        <v>-26.389017151367899</v>
      </c>
      <c r="AH665" s="43">
        <v>-70.048088253844298</v>
      </c>
      <c r="AI665" s="122" t="s">
        <v>7286</v>
      </c>
      <c r="AJ665" s="41">
        <v>0.5</v>
      </c>
    </row>
    <row r="666" spans="1:36" ht="34.5" hidden="1" customHeight="1" x14ac:dyDescent="0.25">
      <c r="A666" s="40">
        <v>1069</v>
      </c>
      <c r="B666" s="40" t="s">
        <v>2543</v>
      </c>
      <c r="C666" s="40" t="s">
        <v>1305</v>
      </c>
      <c r="D666" s="44">
        <v>2025</v>
      </c>
      <c r="E666" s="44"/>
      <c r="F666" s="40" t="s">
        <v>5701</v>
      </c>
      <c r="G666" s="40" t="s">
        <v>455</v>
      </c>
      <c r="H666" s="87"/>
      <c r="I666" s="40" t="s">
        <v>1269</v>
      </c>
      <c r="J666" s="40" t="s">
        <v>581</v>
      </c>
      <c r="K666" s="40" t="s">
        <v>578</v>
      </c>
      <c r="Q666" s="40">
        <v>1</v>
      </c>
      <c r="Z666" s="40" t="s">
        <v>2544</v>
      </c>
      <c r="AA666" s="78">
        <f>IF(H2ProjectDB689571011[[#This Row],[Dummy_1]]="Electrolysis",
AB666*VLOOKUP(G666,ElectrolysisConvF,3,FALSE),
"")</f>
        <v>2.8726591760299622</v>
      </c>
      <c r="AB666" s="46">
        <f>AC666/(H2dens*HoursInYear/10^6)</f>
        <v>552.43445692883893</v>
      </c>
      <c r="AC666" s="47">
        <f>1.18*365/1000</f>
        <v>0.43069999999999997</v>
      </c>
      <c r="AE666" s="46">
        <f t="shared" si="55"/>
        <v>552.43445692883893</v>
      </c>
      <c r="AF666" s="43" t="s">
        <v>2545</v>
      </c>
      <c r="AG666" s="43">
        <v>0</v>
      </c>
      <c r="AH666" s="43">
        <v>0</v>
      </c>
      <c r="AI666" s="122" t="s">
        <v>7286</v>
      </c>
      <c r="AJ666" s="41">
        <v>0.5</v>
      </c>
    </row>
    <row r="667" spans="1:36" ht="34.5" hidden="1" customHeight="1" x14ac:dyDescent="0.25">
      <c r="A667" s="40">
        <v>1070</v>
      </c>
      <c r="B667" s="40" t="s">
        <v>3966</v>
      </c>
      <c r="C667" s="40" t="s">
        <v>1305</v>
      </c>
      <c r="D667" s="44">
        <v>2024</v>
      </c>
      <c r="E667" s="44"/>
      <c r="F667" s="40" t="s">
        <v>2222</v>
      </c>
      <c r="G667" s="40" t="s">
        <v>455</v>
      </c>
      <c r="I667" s="40" t="s">
        <v>1266</v>
      </c>
      <c r="J667" s="40" t="str">
        <f>IF(I667&lt;&gt;"Dedicated renewable","N/A",)</f>
        <v>N/A</v>
      </c>
      <c r="K667" s="40" t="s">
        <v>578</v>
      </c>
      <c r="O667" s="40">
        <v>1</v>
      </c>
      <c r="Q667" s="40">
        <v>1</v>
      </c>
      <c r="Z667" s="40" t="s">
        <v>2547</v>
      </c>
      <c r="AA667" s="78">
        <f>IF(H2ProjectDB689571011[[#This Row],[Dummy_1]]="Electrolysis",
AB667*VLOOKUP(G667,ElectrolysisConvF,3,FALSE),
"")</f>
        <v>5.30337078651685</v>
      </c>
      <c r="AB667" s="46">
        <f>AC667/(H2dens*HoursInYear/10^6)</f>
        <v>1019.8789974070866</v>
      </c>
      <c r="AC667" s="47">
        <f>3*365/1000-0.299861538461539</f>
        <v>0.79513846153846091</v>
      </c>
      <c r="AE667" s="46">
        <f t="shared" si="55"/>
        <v>1019.8789974070866</v>
      </c>
      <c r="AF667" s="43" t="s">
        <v>2548</v>
      </c>
      <c r="AG667" s="43">
        <v>0</v>
      </c>
      <c r="AH667" s="43">
        <v>0</v>
      </c>
      <c r="AI667" s="122" t="s">
        <v>7286</v>
      </c>
      <c r="AJ667" s="41">
        <v>0.56999999999999995</v>
      </c>
    </row>
    <row r="668" spans="1:36" ht="34.5" hidden="1" customHeight="1" x14ac:dyDescent="0.25">
      <c r="A668" s="40">
        <v>1071</v>
      </c>
      <c r="B668" s="40" t="s">
        <v>2550</v>
      </c>
      <c r="C668" s="40" t="s">
        <v>1305</v>
      </c>
      <c r="D668" s="44">
        <v>2026</v>
      </c>
      <c r="E668" s="44"/>
      <c r="F668" s="40" t="s">
        <v>1331</v>
      </c>
      <c r="G668" s="40" t="s">
        <v>455</v>
      </c>
      <c r="I668" s="40" t="s">
        <v>1269</v>
      </c>
      <c r="J668" s="40" t="s">
        <v>581</v>
      </c>
      <c r="K668" s="40" t="s">
        <v>578</v>
      </c>
      <c r="L668" s="40">
        <v>1</v>
      </c>
      <c r="M668" s="40">
        <v>1</v>
      </c>
      <c r="P668" s="40">
        <v>1</v>
      </c>
      <c r="Q668" s="40">
        <v>1</v>
      </c>
      <c r="Z668" s="40" t="s">
        <v>4977</v>
      </c>
      <c r="AA668" s="78">
        <f>IF(H2ProjectDB689571011[[#This Row],[Dummy_1]]="Electrolysis",
AB668*VLOOKUP(G668,ElectrolysisConvF,3,FALSE),
"")</f>
        <v>48.68913857677903</v>
      </c>
      <c r="AB668" s="46">
        <f>AC668/(H2dens*HoursInYear/10^6)</f>
        <v>9363.2958801498135</v>
      </c>
      <c r="AC668" s="47">
        <f>10*365/1000/H2ProjectDB689571011[[#This Row],[LOWE_CF]]</f>
        <v>7.3</v>
      </c>
      <c r="AE668" s="46">
        <f t="shared" si="55"/>
        <v>9363.2958801498135</v>
      </c>
      <c r="AG668" s="43">
        <v>54.275358246527503</v>
      </c>
      <c r="AH668" s="43">
        <v>9.2443662469803396</v>
      </c>
      <c r="AI668" s="122" t="s">
        <v>7286</v>
      </c>
      <c r="AJ668" s="41">
        <v>0.5</v>
      </c>
    </row>
    <row r="669" spans="1:36" ht="34.5" hidden="1" customHeight="1" x14ac:dyDescent="0.25">
      <c r="A669" s="40">
        <v>1072</v>
      </c>
      <c r="B669" s="40" t="s">
        <v>2556</v>
      </c>
      <c r="C669" s="40" t="s">
        <v>560</v>
      </c>
      <c r="D669" s="44">
        <v>2025</v>
      </c>
      <c r="E669" s="44"/>
      <c r="F669" s="40" t="s">
        <v>1331</v>
      </c>
      <c r="G669" s="40" t="s">
        <v>455</v>
      </c>
      <c r="I669" s="40" t="s">
        <v>1269</v>
      </c>
      <c r="J669" s="40" t="s">
        <v>1395</v>
      </c>
      <c r="K669" s="40" t="s">
        <v>1268</v>
      </c>
      <c r="Z669" s="40" t="s">
        <v>4980</v>
      </c>
      <c r="AA669" s="78">
        <f>IF(H2ProjectDB689571011[[#This Row],[Dummy_1]]="Electrolysis",
AB669*VLOOKUP(G669,ElectrolysisConvF,3,FALSE),
"")</f>
        <v>412.69047252578122</v>
      </c>
      <c r="AB669" s="46">
        <f>AC669/(H2dens*HoursInYear/10^6)</f>
        <v>79363.552408804084</v>
      </c>
      <c r="AC669" s="47">
        <f>75*0.803*0.045/0.73/0.12/H2ProjectDB689571011[[#This Row],[LOWE_CF]]</f>
        <v>61.875000000000007</v>
      </c>
      <c r="AE669" s="46">
        <f>AB669</f>
        <v>79363.552408804084</v>
      </c>
      <c r="AF669" s="43" t="s">
        <v>4271</v>
      </c>
      <c r="AG669" s="43">
        <v>-52.027823333262702</v>
      </c>
      <c r="AH669" s="43">
        <v>-72.395013797703697</v>
      </c>
      <c r="AI669" s="122" t="s">
        <v>7286</v>
      </c>
      <c r="AJ669" s="41">
        <v>0.5</v>
      </c>
    </row>
    <row r="670" spans="1:36" ht="34.5" hidden="1" customHeight="1" x14ac:dyDescent="0.25">
      <c r="A670" s="40">
        <v>1073</v>
      </c>
      <c r="B670" s="40" t="s">
        <v>2557</v>
      </c>
      <c r="C670" s="40" t="s">
        <v>560</v>
      </c>
      <c r="D670" s="44"/>
      <c r="E670" s="44"/>
      <c r="F670" s="40" t="s">
        <v>2222</v>
      </c>
      <c r="G670" s="40" t="s">
        <v>1259</v>
      </c>
      <c r="H670" s="40" t="s">
        <v>467</v>
      </c>
      <c r="I670" s="40" t="s">
        <v>1269</v>
      </c>
      <c r="J670" s="40" t="s">
        <v>1395</v>
      </c>
      <c r="K670" s="40" t="s">
        <v>1268</v>
      </c>
      <c r="Z670" s="40" t="s">
        <v>3094</v>
      </c>
      <c r="AA670" s="45">
        <v>2000</v>
      </c>
      <c r="AB670" s="46">
        <f>IF(H2ProjectDB689571011[[#This Row],[Dummy_1]]="Electrolysis",
AA670/VLOOKUP(G670,ElectrolysisConvF,3,FALSE),
AC670*10^6/(H2dens*HoursInYear))</f>
        <v>444444.4444444445</v>
      </c>
      <c r="AC670" s="47">
        <f>AB670*H2dens*HoursInYear/10^6</f>
        <v>346.50666666666666</v>
      </c>
      <c r="AE670" s="46">
        <f>AB670</f>
        <v>444444.4444444445</v>
      </c>
      <c r="AF670" s="43" t="s">
        <v>3096</v>
      </c>
      <c r="AG670" s="43">
        <v>-52.027823333262702</v>
      </c>
      <c r="AH670" s="43">
        <v>-72.395013797703697</v>
      </c>
      <c r="AI670" s="122" t="s">
        <v>7286</v>
      </c>
      <c r="AJ670" s="41">
        <v>0.5</v>
      </c>
    </row>
    <row r="671" spans="1:36" ht="34.5" hidden="1" customHeight="1" x14ac:dyDescent="0.25">
      <c r="A671" s="40">
        <v>1074</v>
      </c>
      <c r="B671" s="40" t="s">
        <v>6941</v>
      </c>
      <c r="C671" s="40" t="s">
        <v>535</v>
      </c>
      <c r="D671" s="44">
        <v>2024</v>
      </c>
      <c r="E671" s="44"/>
      <c r="F671" s="40" t="s">
        <v>5701</v>
      </c>
      <c r="G671" s="40" t="s">
        <v>457</v>
      </c>
      <c r="I671" s="40" t="s">
        <v>1269</v>
      </c>
      <c r="J671" s="40" t="s">
        <v>1391</v>
      </c>
      <c r="K671" s="40" t="s">
        <v>578</v>
      </c>
      <c r="Q671" s="40">
        <v>1</v>
      </c>
      <c r="Z671" s="40" t="s">
        <v>6940</v>
      </c>
      <c r="AA671" s="45">
        <f>432/1000</f>
        <v>0.432</v>
      </c>
      <c r="AB671" s="46">
        <f>IF(H2ProjectDB689571011[[#This Row],[Dummy_1]]="Electrolysis",
AA671/VLOOKUP(G671,ElectrolysisConvF,3,FALSE),
AC671*10^6/(H2dens*HoursInYear))</f>
        <v>93.913043478260875</v>
      </c>
      <c r="AC671" s="47">
        <f>AB671*H2dens*HoursInYear/10^6</f>
        <v>7.3218365217391293E-2</v>
      </c>
      <c r="AE671" s="46">
        <f t="shared" ref="AE671:AE688" si="56">IF(AND(G671&lt;&gt;"NG w CCUS",G671&lt;&gt;"Oil w CCUS",G671&lt;&gt;"Coal w CCUS"),AB671,AD671*10^3/(HoursInYear*IF(G671="NG w CCUS",0.9105,1.9075)))</f>
        <v>93.913043478260875</v>
      </c>
      <c r="AF671" s="43" t="s">
        <v>6939</v>
      </c>
      <c r="AG671" s="43">
        <v>-37.824260021491497</v>
      </c>
      <c r="AH671" s="43">
        <v>144.745564056749</v>
      </c>
      <c r="AI671" s="122" t="s">
        <v>7286</v>
      </c>
      <c r="AJ671" s="41">
        <v>0.3</v>
      </c>
    </row>
    <row r="672" spans="1:36" ht="34.5" hidden="1" customHeight="1" x14ac:dyDescent="0.25">
      <c r="A672" s="40">
        <v>1076</v>
      </c>
      <c r="B672" s="40" t="s">
        <v>3772</v>
      </c>
      <c r="C672" s="40" t="s">
        <v>1062</v>
      </c>
      <c r="D672" s="44">
        <v>2024</v>
      </c>
      <c r="E672" s="44"/>
      <c r="F672" s="40" t="s">
        <v>5701</v>
      </c>
      <c r="G672" s="40" t="s">
        <v>1259</v>
      </c>
      <c r="H672" s="40" t="s">
        <v>467</v>
      </c>
      <c r="I672" s="40" t="s">
        <v>1269</v>
      </c>
      <c r="J672" s="40" t="s">
        <v>1395</v>
      </c>
      <c r="K672" s="40" t="s">
        <v>578</v>
      </c>
      <c r="L672" s="40">
        <v>1</v>
      </c>
      <c r="V672" s="40">
        <v>1</v>
      </c>
      <c r="Z672" s="40" t="s">
        <v>7852</v>
      </c>
      <c r="AA672" s="47">
        <v>0.5</v>
      </c>
      <c r="AB672" s="46">
        <f>IF(H2ProjectDB689571011[[#This Row],[Dummy_1]]="Electrolysis",
AA672/VLOOKUP(G672,ElectrolysisConvF,3,FALSE),
AC672*10^6/(H2dens*HoursInYear))</f>
        <v>111.11111111111111</v>
      </c>
      <c r="AC672" s="47">
        <f>AB672*H2dens*HoursInYear/10^6</f>
        <v>8.6626666666666671E-2</v>
      </c>
      <c r="AE672" s="46">
        <f t="shared" si="56"/>
        <v>111.11111111111111</v>
      </c>
      <c r="AF672" s="43" t="s">
        <v>4525</v>
      </c>
      <c r="AG672" s="43">
        <v>-5.3065439999999997</v>
      </c>
      <c r="AH672" s="43">
        <v>104.57719400000001</v>
      </c>
      <c r="AI672" s="122" t="s">
        <v>7286</v>
      </c>
      <c r="AJ672" s="41">
        <v>0.5</v>
      </c>
    </row>
    <row r="673" spans="1:36" ht="34.5" hidden="1" customHeight="1" x14ac:dyDescent="0.25">
      <c r="A673" s="40">
        <v>1077</v>
      </c>
      <c r="B673" s="40" t="s">
        <v>3479</v>
      </c>
      <c r="C673" s="40" t="s">
        <v>532</v>
      </c>
      <c r="D673" s="44">
        <v>2024</v>
      </c>
      <c r="E673" s="44"/>
      <c r="F673" s="40" t="s">
        <v>5701</v>
      </c>
      <c r="G673" s="40" t="s">
        <v>457</v>
      </c>
      <c r="I673" s="40" t="s">
        <v>1269</v>
      </c>
      <c r="J673" s="40" t="s">
        <v>581</v>
      </c>
      <c r="K673" s="40" t="s">
        <v>578</v>
      </c>
      <c r="P673" s="40">
        <v>1</v>
      </c>
      <c r="X673" s="40">
        <v>1</v>
      </c>
      <c r="Z673" s="40" t="s">
        <v>1495</v>
      </c>
      <c r="AA673" s="45">
        <v>20</v>
      </c>
      <c r="AB673" s="46">
        <f>IF(H2ProjectDB689571011[[#This Row],[Dummy_1]]="Electrolysis",
AA673/VLOOKUP(G673,ElectrolysisConvF,3,FALSE),
AC673*10^6/(H2dens*HoursInYear))</f>
        <v>4347.826086956522</v>
      </c>
      <c r="AC673" s="47">
        <f>AB673*H2dens*HoursInYear/10^6</f>
        <v>3.3897391304347826</v>
      </c>
      <c r="AE673" s="46">
        <f t="shared" si="56"/>
        <v>4347.826086956522</v>
      </c>
      <c r="AF673" s="43" t="s">
        <v>4478</v>
      </c>
      <c r="AG673" s="43">
        <v>61.318921058513098</v>
      </c>
      <c r="AH673" s="43">
        <v>22.125633193727701</v>
      </c>
      <c r="AI673" s="122" t="s">
        <v>7286</v>
      </c>
      <c r="AJ673" s="41">
        <v>0.5</v>
      </c>
    </row>
    <row r="674" spans="1:36" ht="34.5" hidden="1" customHeight="1" x14ac:dyDescent="0.25">
      <c r="A674" s="40">
        <v>1078</v>
      </c>
      <c r="B674" s="40" t="s">
        <v>2573</v>
      </c>
      <c r="C674" s="40" t="s">
        <v>1764</v>
      </c>
      <c r="D674" s="44">
        <v>2025</v>
      </c>
      <c r="E674" s="44"/>
      <c r="F674" s="40" t="s">
        <v>5701</v>
      </c>
      <c r="G674" s="40" t="s">
        <v>457</v>
      </c>
      <c r="I674" s="40" t="s">
        <v>1269</v>
      </c>
      <c r="J674" s="40" t="s">
        <v>581</v>
      </c>
      <c r="K674" s="40" t="s">
        <v>578</v>
      </c>
      <c r="M674" s="40">
        <v>1</v>
      </c>
      <c r="Z674" s="40" t="s">
        <v>3025</v>
      </c>
      <c r="AA674" s="45">
        <v>0.9</v>
      </c>
      <c r="AB674" s="46">
        <f>IF(H2ProjectDB689571011[[#This Row],[Dummy_1]]="Electrolysis",
AA674/VLOOKUP(G674,ElectrolysisConvF,3,FALSE),
AC674*10^6/(H2dens*HoursInYear))</f>
        <v>195.6521739130435</v>
      </c>
      <c r="AC674" s="47">
        <f>AB674*H2dens*HoursInYear/10^6</f>
        <v>0.15253826086956521</v>
      </c>
      <c r="AE674" s="46">
        <f t="shared" si="56"/>
        <v>195.6521739130435</v>
      </c>
      <c r="AF674" s="43" t="s">
        <v>7362</v>
      </c>
      <c r="AG674" s="43">
        <v>42.518875394217403</v>
      </c>
      <c r="AH674" s="43">
        <v>-0.37245721485510902</v>
      </c>
      <c r="AI674" s="122" t="s">
        <v>7286</v>
      </c>
      <c r="AJ674" s="41">
        <v>0.5</v>
      </c>
    </row>
    <row r="675" spans="1:36" ht="34.5" hidden="1" customHeight="1" x14ac:dyDescent="0.25">
      <c r="A675" s="40">
        <v>1079</v>
      </c>
      <c r="B675" s="40" t="s">
        <v>2577</v>
      </c>
      <c r="C675" s="40" t="s">
        <v>536</v>
      </c>
      <c r="D675" s="44">
        <v>2024</v>
      </c>
      <c r="E675" s="44"/>
      <c r="F675" s="40" t="s">
        <v>5701</v>
      </c>
      <c r="G675" s="40" t="s">
        <v>1263</v>
      </c>
      <c r="H675" s="40" t="s">
        <v>2578</v>
      </c>
      <c r="K675" s="40" t="s">
        <v>578</v>
      </c>
      <c r="Z675" s="40" t="s">
        <v>2579</v>
      </c>
      <c r="AA675" s="47" t="str">
        <f>IF(H2ProjectDB689571011[[#This Row],[Dummy_1]]="Electrolysis",
AB675*VLOOKUP(G675,ElectrolysisConvF,3,FALSE),
"")</f>
        <v/>
      </c>
      <c r="AB675" s="46">
        <f>IF(H2ProjectDB689571011[[#This Row],[Dummy_1]]="Electrolysis",
AA675/VLOOKUP(G675,ElectrolysisConvF,3,FALSE),
AC675*10^6/(H2dens*HoursInYear))</f>
        <v>6413.2163562669948</v>
      </c>
      <c r="AC675" s="47">
        <v>5</v>
      </c>
      <c r="AE675" s="46">
        <f t="shared" si="56"/>
        <v>6413.2163562669948</v>
      </c>
      <c r="AF675" s="43" t="s">
        <v>2581</v>
      </c>
      <c r="AG675" s="43">
        <v>37.0617251366563</v>
      </c>
      <c r="AH675" s="43">
        <v>-120.698269618401</v>
      </c>
      <c r="AI675" s="122" t="s">
        <v>1255</v>
      </c>
      <c r="AJ675" s="41">
        <v>0.9</v>
      </c>
    </row>
    <row r="676" spans="1:36" ht="34.5" hidden="1" customHeight="1" x14ac:dyDescent="0.25">
      <c r="A676" s="40">
        <v>1081</v>
      </c>
      <c r="B676" s="40" t="s">
        <v>2583</v>
      </c>
      <c r="C676" s="40" t="s">
        <v>541</v>
      </c>
      <c r="D676" s="44">
        <v>2016</v>
      </c>
      <c r="F676" s="40" t="s">
        <v>1339</v>
      </c>
      <c r="G676" s="40" t="s">
        <v>1261</v>
      </c>
      <c r="H676" s="40" t="s">
        <v>5709</v>
      </c>
      <c r="K676" s="40" t="s">
        <v>578</v>
      </c>
      <c r="Z676" s="40" t="s">
        <v>6559</v>
      </c>
      <c r="AA676" s="47" t="str">
        <f>IF(H2ProjectDB689571011[[#This Row],[Dummy_1]]="Electrolysis",
AB676*VLOOKUP(G676,ElectrolysisConvF,3,FALSE),
"")</f>
        <v/>
      </c>
      <c r="AB676" s="46">
        <v>1500</v>
      </c>
      <c r="AC676" s="47">
        <f t="shared" ref="AC676:AC681" si="57">AB676*H2dens*HoursInYear/10^6</f>
        <v>1.1694599999999999</v>
      </c>
      <c r="AE676" s="46">
        <f t="shared" si="56"/>
        <v>0</v>
      </c>
      <c r="AG676" s="43">
        <v>45.155733039338699</v>
      </c>
      <c r="AH676" s="43">
        <v>10.7897290299891</v>
      </c>
      <c r="AI676" s="122" t="s">
        <v>7287</v>
      </c>
      <c r="AJ676" s="41">
        <v>0.9</v>
      </c>
    </row>
    <row r="677" spans="1:36" ht="34.5" hidden="1" customHeight="1" x14ac:dyDescent="0.25">
      <c r="A677" s="40">
        <v>1082</v>
      </c>
      <c r="B677" s="40" t="s">
        <v>5902</v>
      </c>
      <c r="C677" s="40" t="s">
        <v>532</v>
      </c>
      <c r="D677" s="40">
        <v>2014</v>
      </c>
      <c r="F677" s="40" t="s">
        <v>1339</v>
      </c>
      <c r="G677" s="40" t="s">
        <v>457</v>
      </c>
      <c r="I677" s="40" t="s">
        <v>1528</v>
      </c>
      <c r="K677" s="40" t="s">
        <v>578</v>
      </c>
      <c r="Z677" s="40" t="s">
        <v>1647</v>
      </c>
      <c r="AA677" s="45">
        <v>9</v>
      </c>
      <c r="AB677" s="46">
        <f>IF(H2ProjectDB689571011[[#This Row],[Dummy_1]]="Electrolysis",
AA677/VLOOKUP(G677,ElectrolysisConvF,3,FALSE),
AC677*10^6/(H2dens*HoursInYear))</f>
        <v>1956.5217391304348</v>
      </c>
      <c r="AC677" s="47">
        <f t="shared" si="57"/>
        <v>1.5253826086956521</v>
      </c>
      <c r="AE677" s="46">
        <f t="shared" si="56"/>
        <v>1956.5217391304348</v>
      </c>
      <c r="AF677" s="43" t="s">
        <v>2586</v>
      </c>
      <c r="AG677" s="43">
        <v>63.841330804875199</v>
      </c>
      <c r="AH677" s="43">
        <v>23.126960394244701</v>
      </c>
      <c r="AI677" s="122" t="s">
        <v>7286</v>
      </c>
      <c r="AJ677" s="41">
        <v>0.56999999999999995</v>
      </c>
    </row>
    <row r="678" spans="1:36" ht="34.5" hidden="1" customHeight="1" x14ac:dyDescent="0.25">
      <c r="A678" s="40">
        <v>1083</v>
      </c>
      <c r="B678" s="40" t="s">
        <v>2591</v>
      </c>
      <c r="C678" s="40" t="s">
        <v>535</v>
      </c>
      <c r="D678" s="44">
        <v>2030</v>
      </c>
      <c r="E678" s="44"/>
      <c r="F678" s="40" t="s">
        <v>1331</v>
      </c>
      <c r="G678" s="40" t="s">
        <v>1259</v>
      </c>
      <c r="H678" s="40" t="s">
        <v>467</v>
      </c>
      <c r="I678" s="40" t="s">
        <v>1269</v>
      </c>
      <c r="J678" s="40" t="s">
        <v>1395</v>
      </c>
      <c r="K678" s="40" t="s">
        <v>578</v>
      </c>
      <c r="Z678" s="40" t="s">
        <v>2592</v>
      </c>
      <c r="AA678" s="45">
        <v>8000</v>
      </c>
      <c r="AB678" s="46">
        <f>IF(H2ProjectDB689571011[[#This Row],[Dummy_1]]="Electrolysis",
AA678/VLOOKUP(G678,ElectrolysisConvF,3,FALSE),
AC678*10^6/(H2dens*HoursInYear))</f>
        <v>1777777.777777778</v>
      </c>
      <c r="AC678" s="47">
        <f t="shared" si="57"/>
        <v>1386.0266666666666</v>
      </c>
      <c r="AE678" s="46">
        <f t="shared" si="56"/>
        <v>1777777.777777778</v>
      </c>
      <c r="AF678" s="43" t="s">
        <v>4153</v>
      </c>
      <c r="AG678" s="43">
        <v>-24.677631391383901</v>
      </c>
      <c r="AH678" s="43">
        <v>113.613874878565</v>
      </c>
      <c r="AI678" s="122" t="s">
        <v>7286</v>
      </c>
      <c r="AJ678" s="41">
        <v>0.5</v>
      </c>
    </row>
    <row r="679" spans="1:36" ht="34.5" hidden="1" customHeight="1" x14ac:dyDescent="0.25">
      <c r="A679" s="40">
        <v>1084</v>
      </c>
      <c r="B679" s="40" t="s">
        <v>2594</v>
      </c>
      <c r="C679" s="40" t="s">
        <v>537</v>
      </c>
      <c r="F679" s="40" t="s">
        <v>2222</v>
      </c>
      <c r="G679" s="40" t="s">
        <v>1259</v>
      </c>
      <c r="H679" s="40" t="s">
        <v>467</v>
      </c>
      <c r="I679" s="40" t="s">
        <v>1269</v>
      </c>
      <c r="J679" s="40" t="s">
        <v>1395</v>
      </c>
      <c r="K679" s="40" t="s">
        <v>578</v>
      </c>
      <c r="Z679" s="40" t="s">
        <v>2595</v>
      </c>
      <c r="AA679" s="45">
        <v>2000</v>
      </c>
      <c r="AB679" s="46">
        <f>IF(H2ProjectDB689571011[[#This Row],[Dummy_1]]="Electrolysis",
AA679/VLOOKUP(G679,ElectrolysisConvF,3,FALSE),
AC679*10^6/(H2dens*HoursInYear))</f>
        <v>444444.4444444445</v>
      </c>
      <c r="AC679" s="47">
        <f t="shared" si="57"/>
        <v>346.50666666666666</v>
      </c>
      <c r="AE679" s="46">
        <f t="shared" si="56"/>
        <v>444444.4444444445</v>
      </c>
      <c r="AF679" s="43" t="s">
        <v>2593</v>
      </c>
      <c r="AG679" s="43">
        <v>36.073532319003398</v>
      </c>
      <c r="AH679" s="43">
        <v>120.39428196807501</v>
      </c>
      <c r="AI679" s="122" t="s">
        <v>7286</v>
      </c>
      <c r="AJ679" s="41">
        <v>0.5</v>
      </c>
    </row>
    <row r="680" spans="1:36" ht="34.5" hidden="1" customHeight="1" x14ac:dyDescent="0.25">
      <c r="A680" s="40">
        <v>1085</v>
      </c>
      <c r="B680" s="40" t="s">
        <v>2598</v>
      </c>
      <c r="C680" s="40" t="s">
        <v>560</v>
      </c>
      <c r="D680" s="44">
        <v>2026</v>
      </c>
      <c r="E680" s="44"/>
      <c r="F680" s="40" t="s">
        <v>1331</v>
      </c>
      <c r="G680" s="40" t="s">
        <v>1259</v>
      </c>
      <c r="H680" s="40" t="s">
        <v>467</v>
      </c>
      <c r="I680" s="40" t="s">
        <v>1269</v>
      </c>
      <c r="J680" s="40" t="s">
        <v>1392</v>
      </c>
      <c r="K680" s="40" t="s">
        <v>1243</v>
      </c>
      <c r="M680" s="40">
        <v>1</v>
      </c>
      <c r="Z680" s="40" t="s">
        <v>5862</v>
      </c>
      <c r="AA680" s="45">
        <v>3000</v>
      </c>
      <c r="AB680" s="46">
        <f>IF(H2ProjectDB689571011[[#This Row],[Dummy_1]]="Electrolysis",
AA680/VLOOKUP(G680,ElectrolysisConvF,3,FALSE),
AC680*10^6/(H2dens*HoursInYear))</f>
        <v>666666.66666666674</v>
      </c>
      <c r="AC680" s="47">
        <f t="shared" si="57"/>
        <v>519.76</v>
      </c>
      <c r="AE680" s="46">
        <f t="shared" si="56"/>
        <v>666666.66666666674</v>
      </c>
      <c r="AF680" s="43" t="s">
        <v>8722</v>
      </c>
      <c r="AG680" s="43">
        <v>-52.027823333262702</v>
      </c>
      <c r="AH680" s="43">
        <v>-72.395013797703697</v>
      </c>
      <c r="AI680" s="122" t="s">
        <v>7286</v>
      </c>
      <c r="AJ680" s="41">
        <v>0.4</v>
      </c>
    </row>
    <row r="681" spans="1:36" ht="34.5" hidden="1" customHeight="1" x14ac:dyDescent="0.25">
      <c r="A681" s="40">
        <v>1086</v>
      </c>
      <c r="B681" s="40" t="s">
        <v>3698</v>
      </c>
      <c r="C681" s="40" t="s">
        <v>1305</v>
      </c>
      <c r="D681" s="44">
        <v>2027</v>
      </c>
      <c r="E681" s="44"/>
      <c r="F681" s="40" t="s">
        <v>1331</v>
      </c>
      <c r="G681" s="40" t="s">
        <v>1259</v>
      </c>
      <c r="H681" s="40" t="s">
        <v>467</v>
      </c>
      <c r="I681" s="40" t="s">
        <v>1266</v>
      </c>
      <c r="K681" s="40" t="s">
        <v>578</v>
      </c>
      <c r="Z681" s="40" t="s">
        <v>1485</v>
      </c>
      <c r="AA681" s="45">
        <v>100</v>
      </c>
      <c r="AB681" s="46">
        <f>IF(H2ProjectDB689571011[[#This Row],[Dummy_1]]="Electrolysis",
AA681/VLOOKUP(G681,ElectrolysisConvF,3,FALSE),
AC681*10^6/(H2dens*HoursInYear))</f>
        <v>22222.222222222223</v>
      </c>
      <c r="AC681" s="47">
        <f t="shared" si="57"/>
        <v>17.325333333333333</v>
      </c>
      <c r="AE681" s="46">
        <f t="shared" si="56"/>
        <v>22222.222222222223</v>
      </c>
      <c r="AF681" s="43" t="s">
        <v>5806</v>
      </c>
      <c r="AG681" s="43">
        <v>54.1450728679173</v>
      </c>
      <c r="AH681" s="43">
        <v>12.1093972362866</v>
      </c>
      <c r="AI681" s="122" t="s">
        <v>7286</v>
      </c>
      <c r="AJ681" s="41">
        <v>0.56999999999999995</v>
      </c>
    </row>
    <row r="682" spans="1:36" ht="34.5" hidden="1" customHeight="1" x14ac:dyDescent="0.25">
      <c r="A682" s="40">
        <v>1087</v>
      </c>
      <c r="B682" s="40" t="s">
        <v>2602</v>
      </c>
      <c r="C682" s="40" t="s">
        <v>541</v>
      </c>
      <c r="F682" s="40" t="s">
        <v>2222</v>
      </c>
      <c r="G682" s="40" t="s">
        <v>1259</v>
      </c>
      <c r="H682" s="40" t="s">
        <v>467</v>
      </c>
      <c r="I682" s="40" t="s">
        <v>1269</v>
      </c>
      <c r="J682" s="40" t="s">
        <v>581</v>
      </c>
      <c r="K682" s="40" t="s">
        <v>612</v>
      </c>
      <c r="X682" s="40">
        <v>1</v>
      </c>
      <c r="AC682" s="47"/>
      <c r="AE682" s="46">
        <f t="shared" si="56"/>
        <v>0</v>
      </c>
      <c r="AF682" s="43" t="s">
        <v>2604</v>
      </c>
      <c r="AG682" s="43">
        <v>40.132500709368699</v>
      </c>
      <c r="AH682" s="43">
        <v>9.0291319933254197</v>
      </c>
      <c r="AI682" s="122" t="s">
        <v>7286</v>
      </c>
      <c r="AJ682" s="41">
        <v>0.5</v>
      </c>
    </row>
    <row r="683" spans="1:36" ht="34.5" hidden="1" customHeight="1" x14ac:dyDescent="0.25">
      <c r="A683" s="40">
        <v>1090</v>
      </c>
      <c r="B683" s="40" t="s">
        <v>8145</v>
      </c>
      <c r="C683" s="40" t="s">
        <v>1764</v>
      </c>
      <c r="D683" s="44">
        <v>2027</v>
      </c>
      <c r="E683" s="44"/>
      <c r="F683" s="40" t="s">
        <v>5701</v>
      </c>
      <c r="G683" s="40" t="s">
        <v>455</v>
      </c>
      <c r="I683" s="40" t="s">
        <v>5700</v>
      </c>
      <c r="J683" s="40" t="s">
        <v>1395</v>
      </c>
      <c r="K683" s="40" t="s">
        <v>578</v>
      </c>
      <c r="L683" s="40">
        <v>1</v>
      </c>
      <c r="Z683" s="40" t="s">
        <v>3870</v>
      </c>
      <c r="AA683" s="45">
        <v>25</v>
      </c>
      <c r="AB683" s="46">
        <f>IF(H2ProjectDB689571011[[#This Row],[Dummy_1]]="Electrolysis",
AA683/VLOOKUP(G683,ElectrolysisConvF,3,FALSE),
AC683*10^6/(H2dens*HoursInYear))</f>
        <v>4807.6923076923076</v>
      </c>
      <c r="AC683" s="47">
        <f>AB683*H2dens*HoursInYear/10^6</f>
        <v>3.7482692307692305</v>
      </c>
      <c r="AE683" s="46">
        <f t="shared" si="56"/>
        <v>4807.6923076923076</v>
      </c>
      <c r="AF683" s="43" t="s">
        <v>8147</v>
      </c>
      <c r="AG683" s="43">
        <v>39.958004234867602</v>
      </c>
      <c r="AH683" s="43">
        <v>-4.0723113672253798E-3</v>
      </c>
      <c r="AI683" s="122" t="s">
        <v>7286</v>
      </c>
      <c r="AJ683" s="41">
        <v>0.7</v>
      </c>
    </row>
    <row r="684" spans="1:36" ht="34.5" hidden="1" customHeight="1" x14ac:dyDescent="0.25">
      <c r="A684" s="40">
        <v>1091</v>
      </c>
      <c r="B684" s="40" t="s">
        <v>2608</v>
      </c>
      <c r="C684" s="40" t="s">
        <v>1305</v>
      </c>
      <c r="D684" s="44">
        <v>2024</v>
      </c>
      <c r="E684" s="44"/>
      <c r="F684" s="40" t="s">
        <v>5701</v>
      </c>
      <c r="G684" s="40" t="s">
        <v>455</v>
      </c>
      <c r="I684" s="40" t="s">
        <v>1257</v>
      </c>
      <c r="K684" s="40" t="s">
        <v>578</v>
      </c>
      <c r="Z684" s="40" t="s">
        <v>1480</v>
      </c>
      <c r="AA684" s="45">
        <v>1</v>
      </c>
      <c r="AB684" s="46">
        <f>IF(H2ProjectDB689571011[[#This Row],[Dummy_1]]="Electrolysis",
AA684/VLOOKUP(G684,ElectrolysisConvF,3,FALSE),
AC684*10^6/(H2dens*HoursInYear))</f>
        <v>192.30769230769232</v>
      </c>
      <c r="AC684" s="47">
        <f>AB684*H2dens*HoursInYear/10^6</f>
        <v>0.14993076923076926</v>
      </c>
      <c r="AE684" s="46">
        <f t="shared" si="56"/>
        <v>192.30769230769232</v>
      </c>
      <c r="AF684" s="43" t="s">
        <v>6943</v>
      </c>
      <c r="AG684" s="43">
        <v>50.230799400000002</v>
      </c>
      <c r="AH684" s="43">
        <v>7.1404854999999996</v>
      </c>
      <c r="AI684" s="122" t="s">
        <v>7286</v>
      </c>
      <c r="AJ684" s="41">
        <v>0.56999999999999995</v>
      </c>
    </row>
    <row r="685" spans="1:36" ht="34.5" hidden="1" customHeight="1" x14ac:dyDescent="0.25">
      <c r="A685" s="40">
        <v>1093</v>
      </c>
      <c r="B685" s="40" t="s">
        <v>2613</v>
      </c>
      <c r="C685" s="40" t="s">
        <v>1764</v>
      </c>
      <c r="D685" s="44"/>
      <c r="E685" s="44"/>
      <c r="F685" s="40" t="s">
        <v>1331</v>
      </c>
      <c r="G685" s="40" t="s">
        <v>1259</v>
      </c>
      <c r="H685" s="40" t="s">
        <v>467</v>
      </c>
      <c r="I685" s="40" t="s">
        <v>1269</v>
      </c>
      <c r="J685" s="40" t="s">
        <v>581</v>
      </c>
      <c r="K685" s="40" t="s">
        <v>578</v>
      </c>
      <c r="P685" s="40">
        <v>1</v>
      </c>
      <c r="Q685" s="40">
        <v>1</v>
      </c>
      <c r="R685" s="40">
        <v>1</v>
      </c>
      <c r="Z685" s="40" t="s">
        <v>2614</v>
      </c>
      <c r="AA685" s="47">
        <f>IF(H2ProjectDB689571011[[#This Row],[Dummy_1]]="Electrolysis",
AB685*VLOOKUP(G685,ElectrolysisConvF,3,FALSE),
"")</f>
        <v>5.7718947206402955</v>
      </c>
      <c r="AB685" s="46">
        <f>AC685/(H2dens*HoursInYear/10^6)</f>
        <v>1282.643271253399</v>
      </c>
      <c r="AC685" s="47">
        <v>1</v>
      </c>
      <c r="AE685" s="46">
        <f t="shared" si="56"/>
        <v>1282.643271253399</v>
      </c>
      <c r="AF685" s="43" t="s">
        <v>2615</v>
      </c>
      <c r="AG685" s="43">
        <v>0</v>
      </c>
      <c r="AH685" s="43">
        <v>0</v>
      </c>
      <c r="AI685" s="122" t="s">
        <v>7286</v>
      </c>
      <c r="AJ685" s="41">
        <v>0.5</v>
      </c>
    </row>
    <row r="686" spans="1:36" ht="34.5" hidden="1" customHeight="1" x14ac:dyDescent="0.25">
      <c r="A686" s="40">
        <v>1094</v>
      </c>
      <c r="B686" s="40" t="s">
        <v>2616</v>
      </c>
      <c r="C686" s="40" t="s">
        <v>1764</v>
      </c>
      <c r="F686" s="40" t="s">
        <v>2222</v>
      </c>
      <c r="G686" s="40" t="s">
        <v>1259</v>
      </c>
      <c r="H686" s="40" t="s">
        <v>467</v>
      </c>
      <c r="I686" s="40" t="s">
        <v>1269</v>
      </c>
      <c r="J686" s="40" t="s">
        <v>581</v>
      </c>
      <c r="K686" s="40" t="s">
        <v>578</v>
      </c>
      <c r="P686" s="40">
        <v>1</v>
      </c>
      <c r="Q686" s="40">
        <v>1</v>
      </c>
      <c r="R686" s="40">
        <v>1</v>
      </c>
      <c r="AC686" s="47"/>
      <c r="AE686" s="46">
        <f t="shared" si="56"/>
        <v>0</v>
      </c>
      <c r="AF686" s="43" t="s">
        <v>2615</v>
      </c>
      <c r="AG686" s="43">
        <v>0</v>
      </c>
      <c r="AH686" s="43">
        <v>0</v>
      </c>
      <c r="AI686" s="122" t="s">
        <v>7286</v>
      </c>
      <c r="AJ686" s="41">
        <v>0.5</v>
      </c>
    </row>
    <row r="687" spans="1:36" ht="34.5" hidden="1" customHeight="1" x14ac:dyDescent="0.25">
      <c r="A687" s="40">
        <v>1095</v>
      </c>
      <c r="B687" s="40" t="s">
        <v>7591</v>
      </c>
      <c r="C687" s="40" t="s">
        <v>533</v>
      </c>
      <c r="D687" s="44">
        <v>2028</v>
      </c>
      <c r="E687" s="44"/>
      <c r="F687" s="40" t="s">
        <v>1331</v>
      </c>
      <c r="G687" s="40" t="s">
        <v>1261</v>
      </c>
      <c r="H687" s="40" t="s">
        <v>1665</v>
      </c>
      <c r="K687" s="40" t="s">
        <v>578</v>
      </c>
      <c r="L687" s="40">
        <v>1</v>
      </c>
      <c r="R687" s="40">
        <v>1</v>
      </c>
      <c r="Z687" s="40" t="s">
        <v>2618</v>
      </c>
      <c r="AA687" s="47" t="str">
        <f>IF(H2ProjectDB689571011[[#This Row],[Dummy_1]]="Electrolysis",
AB687*VLOOKUP(G687,ElectrolysisConvF,3,FALSE),
"")</f>
        <v/>
      </c>
      <c r="AB687" s="46">
        <f>IF(H2ProjectDB689571011[[#This Row],[Dummy_1]]="Electrolysis",
AA687/VLOOKUP(G687,ElectrolysisConvF,3,FALSE),
AC687*10^6/(H2dens*HoursInYear))</f>
        <v>384792.98137601971</v>
      </c>
      <c r="AC687" s="47">
        <v>300</v>
      </c>
      <c r="AD687" s="46">
        <v>2000000</v>
      </c>
      <c r="AE687" s="46">
        <f t="shared" si="56"/>
        <v>250752.88553883036</v>
      </c>
      <c r="AF687" s="43" t="s">
        <v>2620</v>
      </c>
      <c r="AG687" s="43">
        <v>53.712775999999998</v>
      </c>
      <c r="AH687" s="43">
        <v>-113.21333300000001</v>
      </c>
      <c r="AI687" s="122" t="s">
        <v>7287</v>
      </c>
      <c r="AJ687" s="41">
        <v>0.9</v>
      </c>
    </row>
    <row r="688" spans="1:36" ht="34.5" hidden="1" customHeight="1" x14ac:dyDescent="0.25">
      <c r="A688" s="40">
        <v>1096</v>
      </c>
      <c r="B688" s="40" t="s">
        <v>2626</v>
      </c>
      <c r="C688" s="40" t="s">
        <v>975</v>
      </c>
      <c r="D688" s="44">
        <v>2027</v>
      </c>
      <c r="E688" s="44"/>
      <c r="F688" s="40" t="s">
        <v>1331</v>
      </c>
      <c r="G688" s="40" t="s">
        <v>1259</v>
      </c>
      <c r="H688" s="40" t="s">
        <v>467</v>
      </c>
      <c r="I688" s="40" t="s">
        <v>1269</v>
      </c>
      <c r="J688" s="40" t="s">
        <v>1393</v>
      </c>
      <c r="K688" s="40" t="s">
        <v>578</v>
      </c>
      <c r="Q688" s="40">
        <v>1</v>
      </c>
      <c r="Z688" s="40" t="s">
        <v>1485</v>
      </c>
      <c r="AA688" s="45">
        <v>100</v>
      </c>
      <c r="AB688" s="46">
        <f>IF(H2ProjectDB689571011[[#This Row],[Dummy_1]]="Electrolysis",
AA688/VLOOKUP(G688,ElectrolysisConvF,3,FALSE),
AC688*10^6/(H2dens*HoursInYear))</f>
        <v>22222.222222222223</v>
      </c>
      <c r="AC688" s="47">
        <f>AB688*H2dens*HoursInYear/10^6</f>
        <v>17.325333333333333</v>
      </c>
      <c r="AE688" s="46">
        <f t="shared" si="56"/>
        <v>22222.222222222223</v>
      </c>
      <c r="AF688" s="43" t="s">
        <v>7409</v>
      </c>
      <c r="AG688" s="43">
        <v>35.516639477647999</v>
      </c>
      <c r="AH688" s="43">
        <v>129.444444699455</v>
      </c>
      <c r="AI688" s="122" t="s">
        <v>7286</v>
      </c>
      <c r="AJ688" s="41">
        <v>0.55000000000000004</v>
      </c>
    </row>
    <row r="689" spans="1:36" ht="34.5" hidden="1" customHeight="1" x14ac:dyDescent="0.25">
      <c r="A689" s="40">
        <v>1097</v>
      </c>
      <c r="B689" s="40" t="s">
        <v>6812</v>
      </c>
      <c r="C689" s="40" t="s">
        <v>535</v>
      </c>
      <c r="F689" s="40" t="s">
        <v>5701</v>
      </c>
      <c r="G689" s="40" t="s">
        <v>1255</v>
      </c>
      <c r="H689" s="40" t="s">
        <v>2727</v>
      </c>
      <c r="K689" s="40" t="s">
        <v>578</v>
      </c>
      <c r="P689" s="40">
        <v>1</v>
      </c>
      <c r="Q689" s="40">
        <v>1</v>
      </c>
      <c r="Z689" s="40" t="s">
        <v>6813</v>
      </c>
      <c r="AA689" s="45" t="str">
        <f>IF(OR(G689="ALK",G689="PEM",G689="SOEC",G689="Other Electrolysis"),
AB689*VLOOKUP(G689,ElectrolysisConvF,3,FALSE),
"")</f>
        <v/>
      </c>
      <c r="AB689" s="46">
        <f>IF(H2ProjectDB689571011[[#This Row],[Dummy_1]]="Electrolysis",
AA689/VLOOKUP(G689,ElectrolysisConvF,3,FALSE),
AC689*10^6/(H2dens*HoursInYear))</f>
        <v>70.224719101123597</v>
      </c>
      <c r="AC689" s="47">
        <f>0.15*365/1000</f>
        <v>5.475E-2</v>
      </c>
      <c r="AE689" s="46">
        <f>AB689</f>
        <v>70.224719101123597</v>
      </c>
      <c r="AF689" s="43" t="s">
        <v>6815</v>
      </c>
      <c r="AG689" s="43">
        <v>-27.4753896074049</v>
      </c>
      <c r="AH689" s="43">
        <v>152.99868961400901</v>
      </c>
      <c r="AI689" s="122" t="s">
        <v>1255</v>
      </c>
      <c r="AJ689" s="41">
        <v>0.9</v>
      </c>
    </row>
    <row r="690" spans="1:36" ht="34.5" hidden="1" customHeight="1" x14ac:dyDescent="0.25">
      <c r="A690" s="40">
        <v>1100</v>
      </c>
      <c r="B690" s="40" t="s">
        <v>4558</v>
      </c>
      <c r="C690" s="40" t="s">
        <v>536</v>
      </c>
      <c r="D690" s="44">
        <v>2023</v>
      </c>
      <c r="F690" s="40" t="s">
        <v>1339</v>
      </c>
      <c r="G690" s="40" t="s">
        <v>1261</v>
      </c>
      <c r="H690" s="40" t="s">
        <v>1665</v>
      </c>
      <c r="K690" s="40" t="s">
        <v>578</v>
      </c>
      <c r="Z690" s="40" t="s">
        <v>4559</v>
      </c>
      <c r="AA690" s="45" t="str">
        <f>IF(OR(G690="ALK",G690="PEM",G690="SOEC",G690="Other Electrolysis"),
AB690*VLOOKUP(G690,ElectrolysisConvF,3,FALSE),
"")</f>
        <v/>
      </c>
      <c r="AB690" s="46">
        <f>IF(H2ProjectDB689571011[[#This Row],[Dummy_1]]="Electrolysis",
AA690/VLOOKUP(G690,ElectrolysisConvF,3,FALSE),
AC690*10^6/(H2dens*HoursInYear))</f>
        <v>448.92514493868964</v>
      </c>
      <c r="AC690" s="47">
        <v>0.35</v>
      </c>
      <c r="AE690" s="46">
        <f>IF(AND(G690&lt;&gt;"NG w CCUS",G690&lt;&gt;"Oil w CCUS",G690&lt;&gt;"Coal w CCUS"),AB690,AD690*10^3/(HoursInYear*IF(G690="NG w CCUS",0.9105,1.9075)))</f>
        <v>0</v>
      </c>
      <c r="AF690" s="43" t="s">
        <v>6709</v>
      </c>
      <c r="AG690" s="43">
        <v>38.626015703817799</v>
      </c>
      <c r="AH690" s="43">
        <v>-90.195396813019002</v>
      </c>
      <c r="AI690" s="122" t="s">
        <v>7287</v>
      </c>
      <c r="AJ690" s="41">
        <v>0.9</v>
      </c>
    </row>
    <row r="691" spans="1:36" ht="34.5" hidden="1" customHeight="1" x14ac:dyDescent="0.25">
      <c r="A691" s="40">
        <v>1102</v>
      </c>
      <c r="B691" s="40" t="s">
        <v>2641</v>
      </c>
      <c r="C691" s="40" t="s">
        <v>541</v>
      </c>
      <c r="D691" s="44">
        <v>2026</v>
      </c>
      <c r="E691" s="44"/>
      <c r="F691" s="40" t="s">
        <v>1331</v>
      </c>
      <c r="G691" s="40" t="s">
        <v>457</v>
      </c>
      <c r="I691" s="40" t="s">
        <v>1269</v>
      </c>
      <c r="J691" s="40" t="s">
        <v>1395</v>
      </c>
      <c r="K691" s="40" t="s">
        <v>578</v>
      </c>
      <c r="Q691" s="40">
        <v>1</v>
      </c>
      <c r="Z691" s="40" t="s">
        <v>1648</v>
      </c>
      <c r="AA691" s="45">
        <v>4</v>
      </c>
      <c r="AB691" s="46">
        <f>IF(H2ProjectDB689571011[[#This Row],[Dummy_1]]="Electrolysis",
AA691/VLOOKUP(G691,ElectrolysisConvF,3,FALSE),
AC691*10^6/(H2dens*HoursInYear))</f>
        <v>869.56521739130437</v>
      </c>
      <c r="AC691" s="47">
        <f>AB691*H2dens*HoursInYear/10^6</f>
        <v>0.67794782608695647</v>
      </c>
      <c r="AE691" s="46">
        <f>IF(AND(G691&lt;&gt;"NG w CCUS",G691&lt;&gt;"Oil w CCUS",G691&lt;&gt;"Coal w CCUS"),AB691,AD691*10^3/(HoursInYear*IF(G691="NG w CCUS",0.9105,1.9075)))</f>
        <v>869.56521739130437</v>
      </c>
      <c r="AG691" s="43">
        <v>0</v>
      </c>
      <c r="AH691" s="43">
        <v>0</v>
      </c>
      <c r="AI691" s="122" t="s">
        <v>7286</v>
      </c>
      <c r="AJ691" s="41">
        <v>0.5</v>
      </c>
    </row>
    <row r="692" spans="1:36" ht="34.5" hidden="1" customHeight="1" x14ac:dyDescent="0.25">
      <c r="A692" s="40">
        <v>1108</v>
      </c>
      <c r="B692" s="40" t="s">
        <v>7200</v>
      </c>
      <c r="C692" s="40" t="s">
        <v>536</v>
      </c>
      <c r="D692" s="44">
        <v>2026</v>
      </c>
      <c r="E692" s="44"/>
      <c r="F692" s="40" t="s">
        <v>1331</v>
      </c>
      <c r="G692" s="40" t="s">
        <v>457</v>
      </c>
      <c r="I692" s="40" t="s">
        <v>1269</v>
      </c>
      <c r="J692" s="40" t="s">
        <v>1391</v>
      </c>
      <c r="K692" s="40" t="s">
        <v>1267</v>
      </c>
      <c r="P692" s="40">
        <v>1</v>
      </c>
      <c r="Q692" s="40">
        <v>1</v>
      </c>
      <c r="W692" s="40">
        <v>1</v>
      </c>
      <c r="Z692" s="40" t="s">
        <v>7197</v>
      </c>
      <c r="AA692" s="47">
        <f>IF(H2ProjectDB689571011[[#This Row],[Dummy_1]]="Electrolysis",
AB692*VLOOKUP(G692,ElectrolysisConvF,3,FALSE),
"")</f>
        <v>42.432650685985742</v>
      </c>
      <c r="AB692" s="46">
        <f>AC692/(H2dens*HoursInYear/10^6)</f>
        <v>9224.4892795621181</v>
      </c>
      <c r="AC692" s="47">
        <f>(14*0.045/0.73/0.12)</f>
        <v>7.191780821917809</v>
      </c>
      <c r="AE692" s="46">
        <f>IF(AND(G692&lt;&gt;"NG w CCUS",G692&lt;&gt;"Oil w CCUS",G692&lt;&gt;"Coal w CCUS"),AB692,AD692*10^3/(HoursInYear*IF(G692="NG w CCUS",0.9105,1.9075)))</f>
        <v>9224.4892795621181</v>
      </c>
      <c r="AF692" s="43" t="s">
        <v>7199</v>
      </c>
      <c r="AG692" s="43">
        <v>31.384031436277699</v>
      </c>
      <c r="AH692" s="43">
        <v>-102.03146597281901</v>
      </c>
      <c r="AI692" s="122" t="s">
        <v>7286</v>
      </c>
      <c r="AJ692" s="41">
        <v>0.3</v>
      </c>
    </row>
    <row r="693" spans="1:36" ht="34.5" hidden="1" customHeight="1" x14ac:dyDescent="0.25">
      <c r="A693" s="40">
        <v>1109</v>
      </c>
      <c r="B693" s="40" t="s">
        <v>7366</v>
      </c>
      <c r="C693" s="40" t="s">
        <v>674</v>
      </c>
      <c r="D693" s="44">
        <v>2030</v>
      </c>
      <c r="E693" s="44"/>
      <c r="F693" s="40" t="s">
        <v>1331</v>
      </c>
      <c r="G693" s="40" t="s">
        <v>1259</v>
      </c>
      <c r="H693" s="40" t="s">
        <v>467</v>
      </c>
      <c r="I693" s="40" t="s">
        <v>1269</v>
      </c>
      <c r="J693" s="40" t="s">
        <v>1395</v>
      </c>
      <c r="K693" s="40" t="s">
        <v>1243</v>
      </c>
      <c r="Z693" s="40" t="s">
        <v>5032</v>
      </c>
      <c r="AA693" s="47">
        <f>IF(H2ProjectDB689571011[[#This Row],[Dummy_1]]="Electrolysis",
AB693*VLOOKUP(G693,ElectrolysisConvF,3,FALSE),
"")</f>
        <v>1731.5684161920885</v>
      </c>
      <c r="AB693" s="46">
        <f>AC693/(H2dens*HoursInYear/10^6)</f>
        <v>384792.98137601971</v>
      </c>
      <c r="AC693" s="47">
        <f>150/H2ProjectDB689571011[[#This Row],[LOWE_CF]]</f>
        <v>300</v>
      </c>
      <c r="AE693" s="46">
        <f>AB693</f>
        <v>384792.98137601971</v>
      </c>
      <c r="AF693" s="43" t="s">
        <v>2806</v>
      </c>
      <c r="AG693" s="43">
        <v>19.686684041267799</v>
      </c>
      <c r="AH693" s="43">
        <v>56.863780315494097</v>
      </c>
      <c r="AI693" s="122" t="s">
        <v>7286</v>
      </c>
      <c r="AJ693" s="41">
        <v>0.5</v>
      </c>
    </row>
    <row r="694" spans="1:36" ht="34.5" hidden="1" customHeight="1" x14ac:dyDescent="0.25">
      <c r="A694" s="40">
        <v>1110</v>
      </c>
      <c r="B694" s="40" t="s">
        <v>2646</v>
      </c>
      <c r="C694" s="40" t="s">
        <v>536</v>
      </c>
      <c r="D694" s="44">
        <v>2025</v>
      </c>
      <c r="E694" s="44"/>
      <c r="F694" s="40" t="s">
        <v>5701</v>
      </c>
      <c r="G694" s="40" t="s">
        <v>455</v>
      </c>
      <c r="I694" s="40" t="s">
        <v>1269</v>
      </c>
      <c r="J694" s="40" t="s">
        <v>1392</v>
      </c>
      <c r="K694" s="40" t="s">
        <v>578</v>
      </c>
      <c r="Z694" s="40" t="s">
        <v>4981</v>
      </c>
      <c r="AA694" s="47">
        <f>IF(H2ProjectDB689571011[[#This Row],[Dummy_1]]="Electrolysis",
AB694*VLOOKUP(G694,ElectrolysisConvF,3,FALSE),
"")</f>
        <v>273.87640449438203</v>
      </c>
      <c r="AB694" s="46">
        <f>AC694/(H2dens*HoursInYear/10^6)</f>
        <v>52668.539325842699</v>
      </c>
      <c r="AC694" s="47">
        <f>45*365/1000/H2ProjectDB689571011[[#This Row],[LOWE_CF]]</f>
        <v>41.0625</v>
      </c>
      <c r="AE694" s="46">
        <f t="shared" ref="AE694:AE709" si="58">IF(AND(G694&lt;&gt;"NG w CCUS",G694&lt;&gt;"Oil w CCUS",G694&lt;&gt;"Coal w CCUS"),AB694,AD694*10^3/(HoursInYear*IF(G694="NG w CCUS",0.9105,1.9075)))</f>
        <v>52668.539325842699</v>
      </c>
      <c r="AF694" s="43" t="s">
        <v>6796</v>
      </c>
      <c r="AG694" s="43">
        <v>32.763289246424499</v>
      </c>
      <c r="AH694" s="43">
        <v>-97.340130713451103</v>
      </c>
      <c r="AI694" s="122" t="s">
        <v>7286</v>
      </c>
      <c r="AJ694" s="41">
        <v>0.4</v>
      </c>
    </row>
    <row r="695" spans="1:36" ht="34.5" hidden="1" customHeight="1" x14ac:dyDescent="0.25">
      <c r="A695" s="81">
        <v>1113</v>
      </c>
      <c r="B695" s="81" t="s">
        <v>2650</v>
      </c>
      <c r="C695" s="81" t="s">
        <v>536</v>
      </c>
      <c r="D695" s="81"/>
      <c r="E695" s="81"/>
      <c r="F695" s="81" t="s">
        <v>1331</v>
      </c>
      <c r="G695" s="81" t="s">
        <v>1259</v>
      </c>
      <c r="H695" s="81" t="s">
        <v>467</v>
      </c>
      <c r="I695" s="81" t="s">
        <v>1269</v>
      </c>
      <c r="J695" s="81" t="s">
        <v>1395</v>
      </c>
      <c r="K695" s="81" t="s">
        <v>578</v>
      </c>
      <c r="L695" s="81"/>
      <c r="M695" s="81"/>
      <c r="N695" s="81"/>
      <c r="O695" s="81"/>
      <c r="P695" s="81"/>
      <c r="Q695" s="81"/>
      <c r="R695" s="81"/>
      <c r="S695" s="81"/>
      <c r="T695" s="81"/>
      <c r="U695" s="81"/>
      <c r="V695" s="81"/>
      <c r="W695" s="81"/>
      <c r="X695" s="81"/>
      <c r="Y695" s="81"/>
      <c r="Z695" s="81"/>
      <c r="AA695" s="83"/>
      <c r="AB695" s="84"/>
      <c r="AC695" s="85"/>
      <c r="AD695" s="84"/>
      <c r="AE695" s="84">
        <f t="shared" si="58"/>
        <v>0</v>
      </c>
      <c r="AF695" s="82" t="s">
        <v>2651</v>
      </c>
      <c r="AG695" s="82">
        <v>0</v>
      </c>
      <c r="AH695" s="82">
        <v>0</v>
      </c>
      <c r="AI695" s="122" t="s">
        <v>7286</v>
      </c>
      <c r="AJ695" s="41">
        <v>0.5</v>
      </c>
    </row>
    <row r="696" spans="1:36" s="81" customFormat="1" ht="34.5" hidden="1" customHeight="1" x14ac:dyDescent="0.25">
      <c r="A696" s="40">
        <v>1114</v>
      </c>
      <c r="B696" s="40" t="s">
        <v>2655</v>
      </c>
      <c r="C696" s="40" t="s">
        <v>546</v>
      </c>
      <c r="D696" s="44">
        <v>2026</v>
      </c>
      <c r="E696" s="44"/>
      <c r="F696" s="40" t="s">
        <v>1331</v>
      </c>
      <c r="G696" s="40" t="s">
        <v>1259</v>
      </c>
      <c r="H696" s="40" t="s">
        <v>467</v>
      </c>
      <c r="I696" s="40" t="s">
        <v>1269</v>
      </c>
      <c r="J696" s="40" t="s">
        <v>1395</v>
      </c>
      <c r="K696" s="40" t="s">
        <v>578</v>
      </c>
      <c r="L696" s="40"/>
      <c r="M696" s="40"/>
      <c r="N696" s="40"/>
      <c r="O696" s="40"/>
      <c r="P696" s="40">
        <v>1</v>
      </c>
      <c r="Q696" s="40">
        <v>1</v>
      </c>
      <c r="R696" s="40"/>
      <c r="S696" s="40"/>
      <c r="T696" s="40"/>
      <c r="U696" s="40"/>
      <c r="V696" s="40"/>
      <c r="W696" s="40"/>
      <c r="X696" s="40"/>
      <c r="Y696" s="40"/>
      <c r="Z696" s="40" t="s">
        <v>1333</v>
      </c>
      <c r="AA696" s="45">
        <v>10</v>
      </c>
      <c r="AB696" s="46">
        <f>IF(H2ProjectDB689571011[[#This Row],[Dummy_1]]="Electrolysis",
AA696/VLOOKUP(G696,ElectrolysisConvF,3,FALSE),
AC696*10^6/(H2dens*HoursInYear))</f>
        <v>2222.2222222222222</v>
      </c>
      <c r="AC696" s="47">
        <f>AB696*H2dens*HoursInYear/10^6</f>
        <v>1.7325333333333333</v>
      </c>
      <c r="AD696" s="46"/>
      <c r="AE696" s="46">
        <f t="shared" si="58"/>
        <v>2222.2222222222222</v>
      </c>
      <c r="AF696" s="43" t="s">
        <v>4667</v>
      </c>
      <c r="AG696" s="43">
        <v>53.439120430033597</v>
      </c>
      <c r="AH696" s="43">
        <v>6.8365304008215801</v>
      </c>
      <c r="AI696" s="122" t="s">
        <v>7286</v>
      </c>
      <c r="AJ696" s="41">
        <v>0.5</v>
      </c>
    </row>
    <row r="697" spans="1:36" ht="34.5" hidden="1" customHeight="1" x14ac:dyDescent="0.25">
      <c r="A697" s="40">
        <v>1115</v>
      </c>
      <c r="B697" s="40" t="s">
        <v>2658</v>
      </c>
      <c r="C697" s="40" t="s">
        <v>546</v>
      </c>
      <c r="D697" s="44">
        <v>2027</v>
      </c>
      <c r="E697" s="44"/>
      <c r="F697" s="40" t="s">
        <v>1331</v>
      </c>
      <c r="G697" s="40" t="s">
        <v>1259</v>
      </c>
      <c r="H697" s="40" t="s">
        <v>467</v>
      </c>
      <c r="I697" s="40" t="s">
        <v>1269</v>
      </c>
      <c r="J697" s="40" t="s">
        <v>1395</v>
      </c>
      <c r="K697" s="40" t="s">
        <v>578</v>
      </c>
      <c r="P697" s="40">
        <v>1</v>
      </c>
      <c r="Q697" s="40">
        <v>1</v>
      </c>
      <c r="Z697" s="40" t="s">
        <v>1485</v>
      </c>
      <c r="AA697" s="45">
        <v>100</v>
      </c>
      <c r="AB697" s="46">
        <f>IF(H2ProjectDB689571011[[#This Row],[Dummy_1]]="Electrolysis",
AA697/VLOOKUP(G697,ElectrolysisConvF,3,FALSE),
AC697*10^6/(H2dens*HoursInYear))</f>
        <v>22222.222222222223</v>
      </c>
      <c r="AC697" s="47">
        <f>AB697*H2dens*HoursInYear/10^6</f>
        <v>17.325333333333333</v>
      </c>
      <c r="AE697" s="46">
        <f t="shared" si="58"/>
        <v>22222.222222222223</v>
      </c>
      <c r="AF697" s="43" t="s">
        <v>4667</v>
      </c>
      <c r="AG697" s="43">
        <v>53.439120430033597</v>
      </c>
      <c r="AH697" s="43">
        <v>6.8365304008215801</v>
      </c>
      <c r="AI697" s="122" t="s">
        <v>7286</v>
      </c>
      <c r="AJ697" s="41">
        <v>0.5</v>
      </c>
    </row>
    <row r="698" spans="1:36" ht="34.5" hidden="1" customHeight="1" x14ac:dyDescent="0.25">
      <c r="A698" s="40">
        <v>1116</v>
      </c>
      <c r="B698" s="40" t="s">
        <v>2659</v>
      </c>
      <c r="C698" s="40" t="s">
        <v>546</v>
      </c>
      <c r="D698" s="44">
        <v>2026</v>
      </c>
      <c r="E698" s="44"/>
      <c r="F698" s="40" t="s">
        <v>1331</v>
      </c>
      <c r="G698" s="40" t="s">
        <v>1259</v>
      </c>
      <c r="H698" s="40" t="s">
        <v>467</v>
      </c>
      <c r="I698" s="40" t="s">
        <v>1269</v>
      </c>
      <c r="J698" s="40" t="s">
        <v>581</v>
      </c>
      <c r="K698" s="40" t="s">
        <v>578</v>
      </c>
      <c r="P698" s="40">
        <v>1</v>
      </c>
      <c r="Q698" s="40">
        <v>1</v>
      </c>
      <c r="Z698" s="40" t="s">
        <v>1574</v>
      </c>
      <c r="AA698" s="45">
        <v>200</v>
      </c>
      <c r="AB698" s="46">
        <f>IF(H2ProjectDB689571011[[#This Row],[Dummy_1]]="Electrolysis",
AA698/VLOOKUP(G698,ElectrolysisConvF,3,FALSE),
AC698*10^6/(H2dens*HoursInYear))</f>
        <v>44444.444444444445</v>
      </c>
      <c r="AC698" s="47">
        <f>AB698*H2dens*HoursInYear/10^6</f>
        <v>34.650666666666666</v>
      </c>
      <c r="AE698" s="46">
        <f t="shared" si="58"/>
        <v>44444.444444444445</v>
      </c>
      <c r="AF698" s="43" t="s">
        <v>4708</v>
      </c>
      <c r="AG698" s="43">
        <v>51.320695520311403</v>
      </c>
      <c r="AH698" s="43">
        <v>3.8151854358086399</v>
      </c>
      <c r="AI698" s="122" t="s">
        <v>7286</v>
      </c>
      <c r="AJ698" s="41">
        <v>0.5</v>
      </c>
    </row>
    <row r="699" spans="1:36" ht="34.5" hidden="1" customHeight="1" x14ac:dyDescent="0.25">
      <c r="A699" s="40">
        <v>1117</v>
      </c>
      <c r="B699" s="40" t="s">
        <v>3793</v>
      </c>
      <c r="C699" s="40" t="s">
        <v>535</v>
      </c>
      <c r="D699" s="44">
        <v>2028</v>
      </c>
      <c r="E699" s="44"/>
      <c r="F699" s="40" t="s">
        <v>1331</v>
      </c>
      <c r="G699" s="40" t="s">
        <v>1259</v>
      </c>
      <c r="H699" s="40" t="s">
        <v>467</v>
      </c>
      <c r="I699" s="40" t="s">
        <v>1269</v>
      </c>
      <c r="J699" s="40" t="s">
        <v>1395</v>
      </c>
      <c r="K699" s="40" t="s">
        <v>578</v>
      </c>
      <c r="P699" s="40">
        <v>1</v>
      </c>
      <c r="Z699" s="40" t="s">
        <v>6844</v>
      </c>
      <c r="AA699" s="45">
        <v>640</v>
      </c>
      <c r="AB699" s="46">
        <f>IF(H2ProjectDB689571011[[#This Row],[Dummy_1]]="Electrolysis",
AA699/VLOOKUP(G699,ElectrolysisConvF,3,FALSE),
AC699*10^6/(H2dens*HoursInYear))</f>
        <v>142222.22222222222</v>
      </c>
      <c r="AC699" s="47">
        <f>AB699*H2dens*HoursInYear/10^6</f>
        <v>110.88213333333333</v>
      </c>
      <c r="AE699" s="46">
        <f t="shared" si="58"/>
        <v>142222.22222222222</v>
      </c>
      <c r="AF699" s="43" t="s">
        <v>6846</v>
      </c>
      <c r="AG699" s="43">
        <v>-23.840207590899698</v>
      </c>
      <c r="AH699" s="43">
        <v>151.047341874176</v>
      </c>
      <c r="AI699" s="122" t="s">
        <v>7286</v>
      </c>
      <c r="AJ699" s="41">
        <v>0.5</v>
      </c>
    </row>
    <row r="700" spans="1:36" ht="34.5" hidden="1" customHeight="1" x14ac:dyDescent="0.25">
      <c r="A700" s="40">
        <v>1118</v>
      </c>
      <c r="B700" s="40" t="s">
        <v>4694</v>
      </c>
      <c r="C700" s="40" t="s">
        <v>546</v>
      </c>
      <c r="D700" s="44">
        <v>2026</v>
      </c>
      <c r="E700" s="44"/>
      <c r="F700" s="40" t="s">
        <v>1331</v>
      </c>
      <c r="G700" s="40" t="s">
        <v>1259</v>
      </c>
      <c r="H700" s="40" t="s">
        <v>467</v>
      </c>
      <c r="I700" s="40" t="s">
        <v>1269</v>
      </c>
      <c r="J700" s="40" t="s">
        <v>581</v>
      </c>
      <c r="K700" s="40" t="s">
        <v>578</v>
      </c>
      <c r="L700" s="40">
        <v>1</v>
      </c>
      <c r="Z700" s="40" t="s">
        <v>1576</v>
      </c>
      <c r="AA700" s="45">
        <v>150</v>
      </c>
      <c r="AB700" s="46">
        <f>IF(H2ProjectDB689571011[[#This Row],[Dummy_1]]="Electrolysis",
AA700/VLOOKUP(G700,ElectrolysisConvF,3,FALSE),
AC700*10^6/(H2dens*HoursInYear))</f>
        <v>33333.333333333336</v>
      </c>
      <c r="AC700" s="47">
        <f>AB700*H2dens*HoursInYear/10^6</f>
        <v>25.988</v>
      </c>
      <c r="AE700" s="46">
        <f t="shared" si="58"/>
        <v>33333.333333333336</v>
      </c>
      <c r="AF700" s="43" t="s">
        <v>2657</v>
      </c>
      <c r="AG700" s="43">
        <v>51.4189536432728</v>
      </c>
      <c r="AH700" s="43">
        <v>3.7273982754760202</v>
      </c>
      <c r="AI700" s="122" t="s">
        <v>7286</v>
      </c>
      <c r="AJ700" s="41">
        <v>0.5</v>
      </c>
    </row>
    <row r="701" spans="1:36" ht="34.5" hidden="1" customHeight="1" x14ac:dyDescent="0.25">
      <c r="A701" s="40">
        <v>1119</v>
      </c>
      <c r="B701" s="40" t="s">
        <v>2660</v>
      </c>
      <c r="C701" s="40" t="s">
        <v>546</v>
      </c>
      <c r="D701" s="44">
        <v>2025</v>
      </c>
      <c r="E701" s="44"/>
      <c r="F701" s="40" t="s">
        <v>1331</v>
      </c>
      <c r="G701" s="40" t="s">
        <v>1263</v>
      </c>
      <c r="K701" s="40" t="s">
        <v>578</v>
      </c>
      <c r="Z701" s="40" t="s">
        <v>5153</v>
      </c>
      <c r="AB701" s="46">
        <f>IF(H2ProjectDB689571011[[#This Row],[Dummy_1]]="Electrolysis",
AA701/VLOOKUP(G701,ElectrolysisConvF,3,FALSE),
AC701*10^6/(H2dens*HoursInYear))</f>
        <v>69262.736647683545</v>
      </c>
      <c r="AC701" s="47">
        <v>54</v>
      </c>
      <c r="AE701" s="46">
        <f t="shared" si="58"/>
        <v>69262.736647683545</v>
      </c>
      <c r="AF701" s="43" t="s">
        <v>2657</v>
      </c>
      <c r="AG701" s="43">
        <v>50.982299485712197</v>
      </c>
      <c r="AH701" s="43">
        <v>5.8315350158435297</v>
      </c>
      <c r="AI701" s="122" t="s">
        <v>1255</v>
      </c>
      <c r="AJ701" s="41">
        <v>0.9</v>
      </c>
    </row>
    <row r="702" spans="1:36" ht="34.5" hidden="1" customHeight="1" x14ac:dyDescent="0.25">
      <c r="A702" s="40">
        <v>1120</v>
      </c>
      <c r="B702" s="40" t="s">
        <v>2661</v>
      </c>
      <c r="C702" s="40" t="s">
        <v>546</v>
      </c>
      <c r="D702" s="44">
        <v>2025</v>
      </c>
      <c r="E702" s="44"/>
      <c r="F702" s="40" t="s">
        <v>1331</v>
      </c>
      <c r="G702" s="40" t="s">
        <v>1263</v>
      </c>
      <c r="K702" s="40" t="s">
        <v>578</v>
      </c>
      <c r="Z702" s="40" t="s">
        <v>2662</v>
      </c>
      <c r="AA702" s="45" t="str">
        <f>IF(OR(G702="ALK",G702="PEM",G702="SOEC",G702="Other Electrolysis"),
AB702*VLOOKUP(G702,ElectrolysisConvF,3,FALSE),
"")</f>
        <v/>
      </c>
      <c r="AB702" s="46">
        <f>IF(H2ProjectDB689571011[[#This Row],[Dummy_1]]="Electrolysis",
AA702/VLOOKUP(G702,ElectrolysisConvF,3,FALSE),
AC702*10^6/(H2dens*HoursInYear))</f>
        <v>16853.932584269663</v>
      </c>
      <c r="AC702" s="47">
        <f>50*3.6*HoursInYear/120/1000</f>
        <v>13.14</v>
      </c>
      <c r="AE702" s="46">
        <f t="shared" si="58"/>
        <v>16853.932584269663</v>
      </c>
      <c r="AF702" s="43" t="s">
        <v>4667</v>
      </c>
      <c r="AG702" s="43">
        <v>0</v>
      </c>
      <c r="AH702" s="43">
        <v>0</v>
      </c>
      <c r="AI702" s="122" t="s">
        <v>1255</v>
      </c>
      <c r="AJ702" s="41">
        <v>0.9</v>
      </c>
    </row>
    <row r="703" spans="1:36" ht="34.5" hidden="1" customHeight="1" x14ac:dyDescent="0.25">
      <c r="A703" s="40">
        <v>1121</v>
      </c>
      <c r="B703" s="40" t="s">
        <v>7459</v>
      </c>
      <c r="C703" s="40" t="s">
        <v>546</v>
      </c>
      <c r="D703" s="44">
        <v>2025</v>
      </c>
      <c r="E703" s="44"/>
      <c r="F703" s="40" t="s">
        <v>5701</v>
      </c>
      <c r="G703" s="40" t="s">
        <v>455</v>
      </c>
      <c r="I703" s="40" t="s">
        <v>1269</v>
      </c>
      <c r="J703" s="40" t="s">
        <v>1392</v>
      </c>
      <c r="K703" s="40" t="s">
        <v>578</v>
      </c>
      <c r="Z703" s="40" t="s">
        <v>1436</v>
      </c>
      <c r="AA703" s="45">
        <v>5</v>
      </c>
      <c r="AB703" s="46">
        <f>IF(H2ProjectDB689571011[[#This Row],[Dummy_1]]="Electrolysis",
AA703/VLOOKUP(G703,ElectrolysisConvF,3,FALSE),
AC703*10^6/(H2dens*HoursInYear))</f>
        <v>961.53846153846155</v>
      </c>
      <c r="AC703" s="47">
        <f>AB703*H2dens*HoursInYear/10^6</f>
        <v>0.74965384615384612</v>
      </c>
      <c r="AE703" s="46">
        <f t="shared" si="58"/>
        <v>961.53846153846155</v>
      </c>
      <c r="AF703" s="43" t="s">
        <v>7121</v>
      </c>
      <c r="AG703" s="43">
        <v>52.832444110591403</v>
      </c>
      <c r="AH703" s="43">
        <v>4.9387337102483402</v>
      </c>
      <c r="AI703" s="122" t="s">
        <v>7286</v>
      </c>
      <c r="AJ703" s="41">
        <v>0.4</v>
      </c>
    </row>
    <row r="704" spans="1:36" ht="34.5" hidden="1" customHeight="1" x14ac:dyDescent="0.25">
      <c r="A704" s="40">
        <v>1122</v>
      </c>
      <c r="B704" s="40" t="s">
        <v>2664</v>
      </c>
      <c r="C704" s="40" t="s">
        <v>546</v>
      </c>
      <c r="D704" s="44">
        <v>2030</v>
      </c>
      <c r="E704" s="44"/>
      <c r="F704" s="40" t="s">
        <v>1331</v>
      </c>
      <c r="G704" s="40" t="s">
        <v>1261</v>
      </c>
      <c r="H704" s="40" t="s">
        <v>4057</v>
      </c>
      <c r="K704" s="40" t="s">
        <v>578</v>
      </c>
      <c r="Z704" s="40" t="s">
        <v>2665</v>
      </c>
      <c r="AA704" s="45" t="str">
        <f>IF(OR(G704="ALK",G704="PEM",G704="SOEC",G704="Other Electrolysis"),
AB704*VLOOKUP(G704,ElectrolysisConvF,3,FALSE),
"")</f>
        <v/>
      </c>
      <c r="AB704" s="46">
        <f>IF(H2ProjectDB689571011[[#This Row],[Dummy_1]]="Electrolysis",
AA704/VLOOKUP(G704,ElectrolysisConvF,3,FALSE),
AC704*10^6/(H2dens*HoursInYear))</f>
        <v>256.52865425067978</v>
      </c>
      <c r="AC704" s="47">
        <v>0.2</v>
      </c>
      <c r="AE704" s="46">
        <f t="shared" si="58"/>
        <v>0</v>
      </c>
      <c r="AF704" s="43" t="s">
        <v>7533</v>
      </c>
      <c r="AG704" s="43">
        <v>0</v>
      </c>
      <c r="AH704" s="43">
        <v>0</v>
      </c>
      <c r="AI704" s="122" t="s">
        <v>7287</v>
      </c>
      <c r="AJ704" s="41">
        <v>0.9</v>
      </c>
    </row>
    <row r="705" spans="1:36" ht="34.5" hidden="1" customHeight="1" x14ac:dyDescent="0.25">
      <c r="A705" s="40">
        <v>1123</v>
      </c>
      <c r="B705" s="40" t="s">
        <v>7003</v>
      </c>
      <c r="C705" s="40" t="s">
        <v>537</v>
      </c>
      <c r="D705" s="44">
        <v>2024</v>
      </c>
      <c r="E705" s="44"/>
      <c r="F705" s="40" t="s">
        <v>5701</v>
      </c>
      <c r="G705" s="40" t="s">
        <v>457</v>
      </c>
      <c r="I705" s="40" t="s">
        <v>1269</v>
      </c>
      <c r="J705" s="40" t="s">
        <v>1395</v>
      </c>
      <c r="K705" s="40" t="s">
        <v>578</v>
      </c>
      <c r="P705" s="40">
        <v>1</v>
      </c>
      <c r="Z705" s="40" t="s">
        <v>7004</v>
      </c>
      <c r="AA705" s="47">
        <f>IF(H2ProjectDB689571011[[#This Row],[Dummy_1]]="Electrolysis",
AB705*VLOOKUP(G705,ElectrolysisConvF,3,FALSE),
"")</f>
        <v>59.001590477656357</v>
      </c>
      <c r="AB705" s="46">
        <f>AC705/(H2dens*HoursInYear/10^6)</f>
        <v>12826.432712533991</v>
      </c>
      <c r="AC705" s="47">
        <f>10</f>
        <v>10</v>
      </c>
      <c r="AE705" s="46">
        <f t="shared" si="58"/>
        <v>12826.432712533991</v>
      </c>
      <c r="AF705" s="43" t="s">
        <v>5330</v>
      </c>
      <c r="AG705" s="43">
        <v>39.674057844664297</v>
      </c>
      <c r="AH705" s="43">
        <v>109.724756063919</v>
      </c>
      <c r="AI705" s="122" t="s">
        <v>7286</v>
      </c>
      <c r="AJ705" s="41">
        <v>0.5</v>
      </c>
    </row>
    <row r="706" spans="1:36" ht="34.5" hidden="1" customHeight="1" x14ac:dyDescent="0.25">
      <c r="A706" s="40">
        <v>1124</v>
      </c>
      <c r="B706" s="40" t="s">
        <v>2668</v>
      </c>
      <c r="C706" s="40" t="s">
        <v>537</v>
      </c>
      <c r="D706" s="44">
        <v>2023</v>
      </c>
      <c r="F706" s="40" t="s">
        <v>1339</v>
      </c>
      <c r="G706" s="40" t="s">
        <v>457</v>
      </c>
      <c r="I706" s="40" t="s">
        <v>1269</v>
      </c>
      <c r="J706" s="40" t="s">
        <v>1391</v>
      </c>
      <c r="K706" s="40" t="s">
        <v>578</v>
      </c>
      <c r="L706" s="40">
        <v>1</v>
      </c>
      <c r="Z706" s="40" t="s">
        <v>3275</v>
      </c>
      <c r="AA706" s="45">
        <v>260</v>
      </c>
      <c r="AB706" s="46">
        <f>IF(H2ProjectDB689571011[[#This Row],[Dummy_1]]="Electrolysis",
AA706/VLOOKUP(G706,ElectrolysisConvF,3,FALSE),
AC706*10^6/(H2dens*HoursInYear))</f>
        <v>56521.739130434784</v>
      </c>
      <c r="AC706" s="47">
        <f>AB706*H2dens*HoursInYear/10^6</f>
        <v>44.066608695652178</v>
      </c>
      <c r="AE706" s="46">
        <f t="shared" si="58"/>
        <v>56521.739130434784</v>
      </c>
      <c r="AF706" s="43" t="s">
        <v>5814</v>
      </c>
      <c r="AG706" s="43">
        <v>41.827549990639703</v>
      </c>
      <c r="AH706" s="43">
        <v>83.3949016620533</v>
      </c>
      <c r="AI706" s="122" t="s">
        <v>7286</v>
      </c>
      <c r="AJ706" s="41">
        <v>0.3</v>
      </c>
    </row>
    <row r="707" spans="1:36" ht="34.5" hidden="1" customHeight="1" x14ac:dyDescent="0.25">
      <c r="A707" s="40">
        <v>1125</v>
      </c>
      <c r="B707" s="40" t="s">
        <v>5084</v>
      </c>
      <c r="C707" s="40" t="s">
        <v>536</v>
      </c>
      <c r="F707" s="40" t="s">
        <v>2222</v>
      </c>
      <c r="G707" s="40" t="s">
        <v>1261</v>
      </c>
      <c r="H707" s="40" t="s">
        <v>1665</v>
      </c>
      <c r="I707" s="40" t="str">
        <f>IF(AND(G707&lt;&gt;"ALK",G707&lt;&gt;"PEM",G707&lt;&gt;"SOEC",G707&lt;&gt;"Other electrolysis"),"N/A","")</f>
        <v>N/A</v>
      </c>
      <c r="J707" s="40" t="str">
        <f>IF(I707&lt;&gt;"Dedicated renewable","N/A",)</f>
        <v>N/A</v>
      </c>
      <c r="K707" s="40" t="s">
        <v>578</v>
      </c>
      <c r="L707" s="40">
        <v>1</v>
      </c>
      <c r="AC707" s="47"/>
      <c r="AE707" s="46">
        <f t="shared" si="58"/>
        <v>0</v>
      </c>
      <c r="AF707" s="43" t="s">
        <v>2670</v>
      </c>
      <c r="AG707" s="43">
        <v>31.390981570373601</v>
      </c>
      <c r="AH707" s="43">
        <v>-103.535958296125</v>
      </c>
      <c r="AI707" s="122" t="s">
        <v>7287</v>
      </c>
      <c r="AJ707" s="41">
        <v>0.9</v>
      </c>
    </row>
    <row r="708" spans="1:36" ht="34.5" hidden="1" customHeight="1" x14ac:dyDescent="0.25">
      <c r="A708" s="40">
        <v>1126</v>
      </c>
      <c r="B708" s="40" t="s">
        <v>3532</v>
      </c>
      <c r="C708" s="40" t="s">
        <v>545</v>
      </c>
      <c r="D708" s="44">
        <v>2024</v>
      </c>
      <c r="E708" s="44"/>
      <c r="F708" s="40" t="s">
        <v>1331</v>
      </c>
      <c r="G708" s="40" t="s">
        <v>457</v>
      </c>
      <c r="I708" s="40" t="s">
        <v>1257</v>
      </c>
      <c r="K708" s="40" t="s">
        <v>578</v>
      </c>
      <c r="Z708" s="40" t="s">
        <v>1485</v>
      </c>
      <c r="AA708" s="45">
        <v>100</v>
      </c>
      <c r="AB708" s="46">
        <f>IF(H2ProjectDB689571011[[#This Row],[Dummy_1]]="Electrolysis",
AA708/VLOOKUP(G708,ElectrolysisConvF,3,FALSE),
AC708*10^6/(H2dens*HoursInYear))</f>
        <v>21739.130434782608</v>
      </c>
      <c r="AC708" s="47">
        <f>AB708*H2dens*HoursInYear/10^6</f>
        <v>16.94869565217391</v>
      </c>
      <c r="AE708" s="46">
        <f t="shared" si="58"/>
        <v>21739.130434782608</v>
      </c>
      <c r="AF708" s="43" t="s">
        <v>3486</v>
      </c>
      <c r="AG708" s="43">
        <v>56.565301947196097</v>
      </c>
      <c r="AH708" s="43">
        <v>9.0296588701011302</v>
      </c>
      <c r="AI708" s="122" t="s">
        <v>7286</v>
      </c>
      <c r="AJ708" s="41">
        <v>0.56999999999999995</v>
      </c>
    </row>
    <row r="709" spans="1:36" ht="34.5" hidden="1" customHeight="1" x14ac:dyDescent="0.25">
      <c r="A709" s="40">
        <v>1127</v>
      </c>
      <c r="B709" s="40" t="s">
        <v>2811</v>
      </c>
      <c r="C709" s="40" t="s">
        <v>1756</v>
      </c>
      <c r="D709" s="44">
        <v>2026</v>
      </c>
      <c r="E709" s="44"/>
      <c r="F709" s="40" t="s">
        <v>1331</v>
      </c>
      <c r="G709" s="40" t="s">
        <v>1259</v>
      </c>
      <c r="H709" s="40" t="s">
        <v>467</v>
      </c>
      <c r="I709" s="40" t="s">
        <v>1266</v>
      </c>
      <c r="K709" s="40" t="s">
        <v>578</v>
      </c>
      <c r="L709" s="40">
        <v>1</v>
      </c>
      <c r="P709" s="40">
        <v>1</v>
      </c>
      <c r="Q709" s="40">
        <v>1</v>
      </c>
      <c r="Z709" s="40" t="s">
        <v>1483</v>
      </c>
      <c r="AA709" s="45">
        <v>50</v>
      </c>
      <c r="AB709" s="46">
        <f>IF(H2ProjectDB689571011[[#This Row],[Dummy_1]]="Electrolysis",
AA709/VLOOKUP(G709,ElectrolysisConvF,3,FALSE),
AC709*10^6/(H2dens*HoursInYear))</f>
        <v>11111.111111111111</v>
      </c>
      <c r="AC709" s="47">
        <f>AB709*H2dens*HoursInYear/10^6</f>
        <v>8.6626666666666665</v>
      </c>
      <c r="AE709" s="46">
        <f t="shared" si="58"/>
        <v>11111.111111111111</v>
      </c>
      <c r="AF709" s="43" t="s">
        <v>2817</v>
      </c>
      <c r="AG709" s="43">
        <v>51.8404527235042</v>
      </c>
      <c r="AH709" s="43">
        <v>-8.2183202646202105</v>
      </c>
      <c r="AI709" s="122" t="s">
        <v>7286</v>
      </c>
      <c r="AJ709" s="41">
        <v>0.56999999999999995</v>
      </c>
    </row>
    <row r="710" spans="1:36" ht="34.5" hidden="1" customHeight="1" x14ac:dyDescent="0.25">
      <c r="A710" s="40">
        <v>1128</v>
      </c>
      <c r="B710" s="40" t="s">
        <v>2677</v>
      </c>
      <c r="C710" s="40" t="s">
        <v>545</v>
      </c>
      <c r="D710" s="44">
        <v>2024</v>
      </c>
      <c r="E710" s="44"/>
      <c r="F710" s="40" t="s">
        <v>5701</v>
      </c>
      <c r="G710" s="40" t="s">
        <v>1259</v>
      </c>
      <c r="H710" s="40" t="s">
        <v>467</v>
      </c>
      <c r="I710" s="40" t="s">
        <v>1269</v>
      </c>
      <c r="J710" s="40" t="s">
        <v>1395</v>
      </c>
      <c r="K710" s="40" t="s">
        <v>1242</v>
      </c>
      <c r="N710" s="40">
        <v>1</v>
      </c>
      <c r="Z710" s="40" t="s">
        <v>2110</v>
      </c>
      <c r="AA710" s="45">
        <f>24-6</f>
        <v>18</v>
      </c>
      <c r="AB710" s="46">
        <f>IF(H2ProjectDB689571011[[#This Row],[Dummy_1]]="Electrolysis",
AA710/VLOOKUP(G710,ElectrolysisConvF,3,FALSE),
AC710*10^6/(H2dens*HoursInYear))</f>
        <v>4000.0000000000005</v>
      </c>
      <c r="AC710" s="47">
        <f>AB710*H2dens*HoursInYear/10^6</f>
        <v>3.11856</v>
      </c>
      <c r="AE710" s="46">
        <f>AB710</f>
        <v>4000.0000000000005</v>
      </c>
      <c r="AF710" s="43" t="s">
        <v>3534</v>
      </c>
      <c r="AG710" s="43">
        <v>56.565301947196097</v>
      </c>
      <c r="AH710" s="43">
        <v>9.0296588701011302</v>
      </c>
      <c r="AI710" s="122" t="s">
        <v>7286</v>
      </c>
      <c r="AJ710" s="41">
        <v>0.5</v>
      </c>
    </row>
    <row r="711" spans="1:36" ht="34.5" hidden="1" customHeight="1" x14ac:dyDescent="0.25">
      <c r="A711" s="40">
        <v>1129</v>
      </c>
      <c r="B711" s="40" t="s">
        <v>8090</v>
      </c>
      <c r="C711" s="40" t="s">
        <v>543</v>
      </c>
      <c r="D711" s="44">
        <v>2024</v>
      </c>
      <c r="E711" s="44"/>
      <c r="F711" s="40" t="s">
        <v>1331</v>
      </c>
      <c r="G711" s="40" t="s">
        <v>457</v>
      </c>
      <c r="I711" s="40" t="s">
        <v>1269</v>
      </c>
      <c r="J711" s="40" t="s">
        <v>1391</v>
      </c>
      <c r="K711" s="40" t="s">
        <v>1243</v>
      </c>
      <c r="M711" s="40">
        <v>1</v>
      </c>
      <c r="Z711" s="40" t="s">
        <v>4982</v>
      </c>
      <c r="AA711" s="47">
        <f>IF(H2ProjectDB689571011[[#This Row],[Dummy_1]]="Electrolysis",
AB711*VLOOKUP(G711,ElectrolysisConvF,3,FALSE),
"")</f>
        <v>123.95292117154699</v>
      </c>
      <c r="AB711" s="46">
        <f>AC711/(H2dens*HoursInYear/10^6)</f>
        <v>26946.287211205869</v>
      </c>
      <c r="AC711" s="47">
        <f>35*3/17/0.98/H2ProjectDB689571011[[#This Row],[LOWE_CF]]</f>
        <v>21.008403361344541</v>
      </c>
      <c r="AE711" s="46">
        <f>IF(AND(G711&lt;&gt;"NG w CCUS",G711&lt;&gt;"Oil w CCUS",G711&lt;&gt;"Coal w CCUS"),AB711,AD711*10^3/(HoursInYear*IF(G711="NG w CCUS",0.9105,1.9075)))</f>
        <v>26946.287211205869</v>
      </c>
      <c r="AF711" s="43" t="s">
        <v>2678</v>
      </c>
      <c r="AG711" s="43">
        <v>24.4852421565258</v>
      </c>
      <c r="AH711" s="43">
        <v>54.392728038977801</v>
      </c>
      <c r="AI711" s="122" t="s">
        <v>7286</v>
      </c>
      <c r="AJ711" s="41">
        <v>0.3</v>
      </c>
    </row>
    <row r="712" spans="1:36" ht="34.5" hidden="1" customHeight="1" x14ac:dyDescent="0.25">
      <c r="A712" s="40">
        <v>1130</v>
      </c>
      <c r="B712" s="40" t="s">
        <v>2684</v>
      </c>
      <c r="C712" s="40" t="s">
        <v>545</v>
      </c>
      <c r="D712" s="44">
        <v>2030</v>
      </c>
      <c r="E712" s="44"/>
      <c r="F712" s="40" t="s">
        <v>1331</v>
      </c>
      <c r="G712" s="40" t="s">
        <v>1259</v>
      </c>
      <c r="H712" s="40" t="s">
        <v>467</v>
      </c>
      <c r="I712" s="40" t="s">
        <v>1269</v>
      </c>
      <c r="J712" s="40" t="s">
        <v>1395</v>
      </c>
      <c r="K712" s="40" t="s">
        <v>578</v>
      </c>
      <c r="L712" s="40">
        <v>1</v>
      </c>
      <c r="Q712" s="40">
        <v>1</v>
      </c>
      <c r="Z712" s="40" t="s">
        <v>1703</v>
      </c>
      <c r="AA712" s="45">
        <v>700</v>
      </c>
      <c r="AB712" s="46">
        <f>IF(H2ProjectDB689571011[[#This Row],[Dummy_1]]="Electrolysis",
AA712/VLOOKUP(G712,ElectrolysisConvF,3,FALSE),
AC712*10^6/(H2dens*HoursInYear))</f>
        <v>155555.55555555556</v>
      </c>
      <c r="AC712" s="47">
        <f>AB712*H2dens*HoursInYear/10^6</f>
        <v>121.27733333333335</v>
      </c>
      <c r="AE712" s="46">
        <f>AB712</f>
        <v>155555.55555555556</v>
      </c>
      <c r="AF712" s="43" t="s">
        <v>628</v>
      </c>
      <c r="AG712" s="43">
        <v>55.591385038418998</v>
      </c>
      <c r="AH712" s="43">
        <v>9.7526436745635507</v>
      </c>
      <c r="AI712" s="122" t="s">
        <v>7286</v>
      </c>
      <c r="AJ712" s="41">
        <v>0.5</v>
      </c>
    </row>
    <row r="713" spans="1:36" ht="34.5" hidden="1" customHeight="1" x14ac:dyDescent="0.25">
      <c r="A713" s="40">
        <v>1134</v>
      </c>
      <c r="B713" s="40" t="s">
        <v>7454</v>
      </c>
      <c r="C713" s="40" t="s">
        <v>549</v>
      </c>
      <c r="D713" s="44">
        <v>2025</v>
      </c>
      <c r="E713" s="44"/>
      <c r="F713" s="40" t="s">
        <v>5701</v>
      </c>
      <c r="G713" s="40" t="s">
        <v>1259</v>
      </c>
      <c r="H713" s="40" t="s">
        <v>467</v>
      </c>
      <c r="I713" s="40" t="s">
        <v>1269</v>
      </c>
      <c r="J713" s="40" t="s">
        <v>1395</v>
      </c>
      <c r="K713" s="40" t="s">
        <v>1268</v>
      </c>
      <c r="M713" s="40">
        <v>1</v>
      </c>
      <c r="Q713" s="40">
        <v>1</v>
      </c>
      <c r="Z713" s="40" t="s">
        <v>2687</v>
      </c>
      <c r="AA713" s="47">
        <f>IF(H2ProjectDB689571011[[#This Row],[Dummy_1]]="Electrolysis",
AB713*VLOOKUP(G713,ElectrolysisConvF,3,FALSE),
"")</f>
        <v>4.2134831460674151</v>
      </c>
      <c r="AB713" s="46">
        <f>AC713/(H2dens*HoursInYear/10^6)</f>
        <v>936.32958801498125</v>
      </c>
      <c r="AC713" s="47">
        <f>2*365/1000</f>
        <v>0.73</v>
      </c>
      <c r="AE713" s="46">
        <f t="shared" ref="AE713:AE755" si="59">IF(AND(G713&lt;&gt;"NG w CCUS",G713&lt;&gt;"Oil w CCUS",G713&lt;&gt;"Coal w CCUS"),AB713,AD713*10^3/(HoursInYear*IF(G713="NG w CCUS",0.9105,1.9075)))</f>
        <v>936.32958801498125</v>
      </c>
      <c r="AF713" s="43" t="s">
        <v>2689</v>
      </c>
      <c r="AG713" s="43">
        <v>-39.3220512117082</v>
      </c>
      <c r="AH713" s="43">
        <v>174.41011746981999</v>
      </c>
      <c r="AI713" s="122" t="s">
        <v>7286</v>
      </c>
      <c r="AJ713" s="41">
        <v>0.5</v>
      </c>
    </row>
    <row r="714" spans="1:36" ht="34.5" hidden="1" customHeight="1" x14ac:dyDescent="0.25">
      <c r="A714" s="40">
        <v>1137</v>
      </c>
      <c r="B714" s="40" t="s">
        <v>5064</v>
      </c>
      <c r="C714" s="40" t="s">
        <v>533</v>
      </c>
      <c r="D714" s="40">
        <v>2017</v>
      </c>
      <c r="F714" s="40" t="s">
        <v>1339</v>
      </c>
      <c r="G714" s="40" t="s">
        <v>1262</v>
      </c>
      <c r="H714" s="40" t="s">
        <v>1665</v>
      </c>
      <c r="K714" s="40" t="s">
        <v>578</v>
      </c>
      <c r="L714" s="40">
        <v>1</v>
      </c>
      <c r="Z714" s="40" t="s">
        <v>2690</v>
      </c>
      <c r="AC714" s="47"/>
      <c r="AD714" s="46">
        <v>438000</v>
      </c>
      <c r="AE714" s="46">
        <f t="shared" si="59"/>
        <v>26212.319790301441</v>
      </c>
      <c r="AF714" s="43" t="s">
        <v>2693</v>
      </c>
      <c r="AG714" s="43">
        <v>0</v>
      </c>
      <c r="AH714" s="43">
        <v>0</v>
      </c>
      <c r="AI714" s="122" t="s">
        <v>7287</v>
      </c>
      <c r="AJ714" s="41">
        <v>0.9</v>
      </c>
    </row>
    <row r="715" spans="1:36" ht="34.5" hidden="1" customHeight="1" x14ac:dyDescent="0.25">
      <c r="A715" s="40">
        <v>1139</v>
      </c>
      <c r="B715" s="40" t="s">
        <v>2699</v>
      </c>
      <c r="C715" s="40" t="s">
        <v>975</v>
      </c>
      <c r="D715" s="44">
        <v>2025</v>
      </c>
      <c r="E715" s="44"/>
      <c r="F715" s="40" t="s">
        <v>1331</v>
      </c>
      <c r="G715" s="40" t="s">
        <v>1261</v>
      </c>
      <c r="H715" s="40" t="s">
        <v>4057</v>
      </c>
      <c r="K715" s="40" t="s">
        <v>578</v>
      </c>
      <c r="R715" s="40">
        <v>1</v>
      </c>
      <c r="Z715" s="40" t="s">
        <v>2700</v>
      </c>
      <c r="AB715" s="46">
        <f>AC715/(H2dens*HoursInYear/10^6)</f>
        <v>128264.32712533991</v>
      </c>
      <c r="AC715" s="47">
        <v>100</v>
      </c>
      <c r="AE715" s="46">
        <f t="shared" si="59"/>
        <v>0</v>
      </c>
      <c r="AF715" s="43" t="s">
        <v>2701</v>
      </c>
      <c r="AG715" s="43">
        <v>0</v>
      </c>
      <c r="AH715" s="43">
        <v>0</v>
      </c>
      <c r="AI715" s="122" t="s">
        <v>7287</v>
      </c>
      <c r="AJ715" s="41">
        <v>0.9</v>
      </c>
    </row>
    <row r="716" spans="1:36" ht="34.5" hidden="1" customHeight="1" x14ac:dyDescent="0.25">
      <c r="A716" s="40">
        <v>1140</v>
      </c>
      <c r="B716" s="40" t="s">
        <v>7705</v>
      </c>
      <c r="C716" s="40" t="s">
        <v>1764</v>
      </c>
      <c r="D716" s="44">
        <v>2027</v>
      </c>
      <c r="E716" s="44"/>
      <c r="F716" s="40" t="s">
        <v>5701</v>
      </c>
      <c r="G716" s="40" t="s">
        <v>1259</v>
      </c>
      <c r="H716" s="40" t="s">
        <v>467</v>
      </c>
      <c r="I716" s="40" t="s">
        <v>1269</v>
      </c>
      <c r="J716" s="40" t="s">
        <v>1395</v>
      </c>
      <c r="K716" s="40" t="s">
        <v>1242</v>
      </c>
      <c r="W716" s="40">
        <v>1</v>
      </c>
      <c r="Z716" s="40" t="s">
        <v>7704</v>
      </c>
      <c r="AA716" s="78">
        <f>IF(H2ProjectDB689571011[[#This Row],[Dummy_1]]="Electrolysis",
AB716*VLOOKUP(G716,ElectrolysisConvF,3,FALSE),
"")</f>
        <v>88.345327356739219</v>
      </c>
      <c r="AB716" s="46">
        <f>AC716/(H2dens*HoursInYear/10^6)</f>
        <v>19632.294968164271</v>
      </c>
      <c r="AC716" s="47">
        <f>40*6/32/0.98/H2ProjectDB689571011[[#This Row],[LOWE_CF]]</f>
        <v>15.306122448979592</v>
      </c>
      <c r="AE716" s="46">
        <f t="shared" si="59"/>
        <v>19632.294968164271</v>
      </c>
      <c r="AF716" s="43" t="s">
        <v>7707</v>
      </c>
      <c r="AG716" s="43">
        <v>43.469070654420896</v>
      </c>
      <c r="AH716" s="43">
        <v>-8.2147714325590009</v>
      </c>
      <c r="AI716" s="122" t="s">
        <v>7286</v>
      </c>
      <c r="AJ716" s="41">
        <v>0.5</v>
      </c>
    </row>
    <row r="717" spans="1:36" ht="34.5" hidden="1" customHeight="1" x14ac:dyDescent="0.25">
      <c r="A717" s="40">
        <v>1141</v>
      </c>
      <c r="B717" s="40" t="s">
        <v>2704</v>
      </c>
      <c r="C717" s="40" t="s">
        <v>536</v>
      </c>
      <c r="D717" s="44">
        <v>2023</v>
      </c>
      <c r="F717" s="40" t="s">
        <v>1339</v>
      </c>
      <c r="G717" s="40" t="s">
        <v>455</v>
      </c>
      <c r="I717" s="40" t="s">
        <v>1269</v>
      </c>
      <c r="J717" s="40" t="s">
        <v>1391</v>
      </c>
      <c r="K717" s="40" t="s">
        <v>578</v>
      </c>
      <c r="Q717" s="40">
        <v>1</v>
      </c>
      <c r="Z717" s="40" t="s">
        <v>2705</v>
      </c>
      <c r="AA717" s="45">
        <v>7.5</v>
      </c>
      <c r="AB717" s="46">
        <f>IF(H2ProjectDB689571011[[#This Row],[Dummy_1]]="Electrolysis",
AA717/VLOOKUP(G717,ElectrolysisConvF,3,FALSE),
AC717*10^6/(H2dens*HoursInYear))</f>
        <v>1442.3076923076924</v>
      </c>
      <c r="AC717" s="47">
        <f>AB717*H2dens*HoursInYear/10^6</f>
        <v>1.1244807692307692</v>
      </c>
      <c r="AE717" s="46">
        <f t="shared" si="59"/>
        <v>1442.3076923076924</v>
      </c>
      <c r="AF717" s="43" t="s">
        <v>6687</v>
      </c>
      <c r="AG717" s="43">
        <v>36.731620324110501</v>
      </c>
      <c r="AH717" s="43">
        <v>-119.774025536526</v>
      </c>
      <c r="AI717" s="122" t="s">
        <v>7286</v>
      </c>
      <c r="AJ717" s="41">
        <v>0.3</v>
      </c>
    </row>
    <row r="718" spans="1:36" ht="34.5" hidden="1" customHeight="1" x14ac:dyDescent="0.25">
      <c r="A718" s="40">
        <v>1142</v>
      </c>
      <c r="B718" s="40" t="s">
        <v>2708</v>
      </c>
      <c r="C718" s="40" t="s">
        <v>543</v>
      </c>
      <c r="F718" s="40" t="s">
        <v>2222</v>
      </c>
      <c r="G718" s="40" t="s">
        <v>1263</v>
      </c>
      <c r="H718" s="40" t="s">
        <v>2578</v>
      </c>
      <c r="K718" s="40" t="s">
        <v>578</v>
      </c>
      <c r="Q718" s="40">
        <v>1</v>
      </c>
      <c r="AC718" s="47"/>
      <c r="AE718" s="46">
        <f t="shared" si="59"/>
        <v>0</v>
      </c>
      <c r="AF718" s="43" t="s">
        <v>2709</v>
      </c>
      <c r="AG718" s="43">
        <v>24.4852421565258</v>
      </c>
      <c r="AH718" s="43">
        <v>54.392728038977801</v>
      </c>
      <c r="AI718" s="122" t="s">
        <v>1255</v>
      </c>
      <c r="AJ718" s="41">
        <v>0.9</v>
      </c>
    </row>
    <row r="719" spans="1:36" ht="34.5" hidden="1" customHeight="1" x14ac:dyDescent="0.25">
      <c r="A719" s="40">
        <v>1143</v>
      </c>
      <c r="B719" s="40" t="s">
        <v>2711</v>
      </c>
      <c r="C719" s="40" t="s">
        <v>1094</v>
      </c>
      <c r="D719" s="40">
        <v>1965</v>
      </c>
      <c r="F719" s="40" t="s">
        <v>1339</v>
      </c>
      <c r="G719" s="40" t="s">
        <v>457</v>
      </c>
      <c r="I719" s="40" t="s">
        <v>1269</v>
      </c>
      <c r="J719" s="40" t="s">
        <v>1394</v>
      </c>
      <c r="K719" s="40" t="s">
        <v>1243</v>
      </c>
      <c r="M719" s="40">
        <v>1</v>
      </c>
      <c r="Z719" s="40" t="s">
        <v>6636</v>
      </c>
      <c r="AA719" s="45">
        <v>25</v>
      </c>
      <c r="AB719" s="46">
        <f>IF(H2ProjectDB689571011[[#This Row],[Dummy_1]]="Electrolysis",
AA719/VLOOKUP(G719,ElectrolysisConvF,3,FALSE),
AC719*10^6/(H2dens*HoursInYear))</f>
        <v>5434.782608695652</v>
      </c>
      <c r="AC719" s="47">
        <f>AB719*H2dens*HoursInYear/10^6</f>
        <v>4.2371739130434776</v>
      </c>
      <c r="AE719" s="46">
        <f t="shared" si="59"/>
        <v>5434.782608695652</v>
      </c>
      <c r="AF719" s="43" t="s">
        <v>2712</v>
      </c>
      <c r="AG719" s="43">
        <v>-13.376492645045801</v>
      </c>
      <c r="AH719" s="43">
        <v>-72.079079681162199</v>
      </c>
      <c r="AI719" s="122" t="s">
        <v>7286</v>
      </c>
      <c r="AJ719" s="41">
        <v>0.8</v>
      </c>
    </row>
    <row r="720" spans="1:36" ht="34.5" hidden="1" customHeight="1" x14ac:dyDescent="0.25">
      <c r="A720" s="40">
        <v>1144</v>
      </c>
      <c r="B720" s="40" t="s">
        <v>2713</v>
      </c>
      <c r="C720" s="40" t="s">
        <v>1067</v>
      </c>
      <c r="F720" s="40" t="s">
        <v>2222</v>
      </c>
      <c r="G720" s="40" t="s">
        <v>1261</v>
      </c>
      <c r="H720" s="40" t="s">
        <v>1665</v>
      </c>
      <c r="K720" s="40" t="s">
        <v>578</v>
      </c>
      <c r="L720" s="40">
        <v>1</v>
      </c>
      <c r="AC720" s="47"/>
      <c r="AE720" s="46">
        <f t="shared" si="59"/>
        <v>0</v>
      </c>
      <c r="AG720" s="43">
        <v>18.418968270928701</v>
      </c>
      <c r="AH720" s="43">
        <v>-93.203834725108706</v>
      </c>
      <c r="AI720" s="122" t="s">
        <v>7287</v>
      </c>
      <c r="AJ720" s="41">
        <v>0.9</v>
      </c>
    </row>
    <row r="721" spans="1:36" ht="34.5" hidden="1" customHeight="1" x14ac:dyDescent="0.25">
      <c r="A721" s="40">
        <v>1145</v>
      </c>
      <c r="B721" s="40" t="s">
        <v>2715</v>
      </c>
      <c r="C721" s="40" t="s">
        <v>530</v>
      </c>
      <c r="D721" s="40">
        <v>2021</v>
      </c>
      <c r="F721" s="40" t="s">
        <v>1339</v>
      </c>
      <c r="G721" s="40" t="s">
        <v>1259</v>
      </c>
      <c r="H721" s="40" t="s">
        <v>467</v>
      </c>
      <c r="I721" s="40" t="s">
        <v>1269</v>
      </c>
      <c r="J721" s="40" t="s">
        <v>1391</v>
      </c>
      <c r="K721" s="40" t="s">
        <v>578</v>
      </c>
      <c r="Q721" s="40">
        <v>1</v>
      </c>
      <c r="Z721" s="40" t="s">
        <v>2716</v>
      </c>
      <c r="AA721" s="45">
        <v>0.43</v>
      </c>
      <c r="AB721" s="46">
        <f>IF(H2ProjectDB689571011[[#This Row],[Dummy_1]]="Electrolysis",
AA721/VLOOKUP(G721,ElectrolysisConvF,3,FALSE),
AC721*10^6/(H2dens*HoursInYear))</f>
        <v>95.555555555555557</v>
      </c>
      <c r="AC721" s="47">
        <f t="shared" ref="AC721:AC735" si="60">AB721*H2dens*HoursInYear/10^6</f>
        <v>7.4498933333333323E-2</v>
      </c>
      <c r="AE721" s="46">
        <f t="shared" si="59"/>
        <v>95.555555555555557</v>
      </c>
      <c r="AF721" s="43" t="s">
        <v>2717</v>
      </c>
      <c r="AG721" s="43">
        <v>43.607690638869897</v>
      </c>
      <c r="AH721" s="43">
        <v>2.2410403500473799</v>
      </c>
      <c r="AI721" s="122" t="s">
        <v>7286</v>
      </c>
      <c r="AJ721" s="41">
        <v>0.3</v>
      </c>
    </row>
    <row r="722" spans="1:36" ht="34.5" hidden="1" customHeight="1" x14ac:dyDescent="0.25">
      <c r="A722" s="40">
        <v>1146</v>
      </c>
      <c r="B722" s="40" t="s">
        <v>2720</v>
      </c>
      <c r="C722" s="40" t="s">
        <v>1305</v>
      </c>
      <c r="F722" s="40" t="s">
        <v>2222</v>
      </c>
      <c r="G722" s="40" t="s">
        <v>1259</v>
      </c>
      <c r="H722" s="40" t="s">
        <v>467</v>
      </c>
      <c r="I722" s="40" t="s">
        <v>1266</v>
      </c>
      <c r="K722" s="40" t="s">
        <v>578</v>
      </c>
      <c r="Z722" s="40" t="s">
        <v>1482</v>
      </c>
      <c r="AA722" s="45">
        <v>900</v>
      </c>
      <c r="AB722" s="46">
        <f>IF(H2ProjectDB689571011[[#This Row],[Dummy_1]]="Electrolysis",
AA722/VLOOKUP(G722,ElectrolysisConvF,3,FALSE),
AC722*10^6/(H2dens*HoursInYear))</f>
        <v>200000.00000000003</v>
      </c>
      <c r="AC722" s="47">
        <f t="shared" si="60"/>
        <v>155.928</v>
      </c>
      <c r="AE722" s="46">
        <f t="shared" si="59"/>
        <v>200000.00000000003</v>
      </c>
      <c r="AF722" s="43" t="s">
        <v>5807</v>
      </c>
      <c r="AG722" s="43">
        <v>54.1450728679173</v>
      </c>
      <c r="AH722" s="43">
        <v>12.1093972362866</v>
      </c>
      <c r="AI722" s="122" t="s">
        <v>7286</v>
      </c>
      <c r="AJ722" s="41">
        <v>0.56999999999999995</v>
      </c>
    </row>
    <row r="723" spans="1:36" ht="34.5" hidden="1" customHeight="1" x14ac:dyDescent="0.25">
      <c r="A723" s="40">
        <v>1147</v>
      </c>
      <c r="B723" s="40" t="s">
        <v>6778</v>
      </c>
      <c r="C723" s="40" t="s">
        <v>1305</v>
      </c>
      <c r="D723" s="44">
        <v>2025</v>
      </c>
      <c r="E723" s="44"/>
      <c r="F723" s="40" t="s">
        <v>5701</v>
      </c>
      <c r="G723" s="40" t="s">
        <v>455</v>
      </c>
      <c r="I723" s="40" t="s">
        <v>1269</v>
      </c>
      <c r="J723" s="40" t="s">
        <v>581</v>
      </c>
      <c r="K723" s="40" t="s">
        <v>578</v>
      </c>
      <c r="P723" s="40">
        <v>1</v>
      </c>
      <c r="Q723" s="40">
        <v>1</v>
      </c>
      <c r="Z723" s="40" t="s">
        <v>5199</v>
      </c>
      <c r="AA723" s="45">
        <v>54</v>
      </c>
      <c r="AB723" s="46">
        <f>IF(H2ProjectDB689571011[[#This Row],[Dummy_1]]="Electrolysis",
AA723/VLOOKUP(G723,ElectrolysisConvF,3,FALSE),
AC723*10^6/(H2dens*HoursInYear))</f>
        <v>10384.615384615385</v>
      </c>
      <c r="AC723" s="47">
        <f t="shared" si="60"/>
        <v>8.0962615384615386</v>
      </c>
      <c r="AE723" s="46">
        <f t="shared" si="59"/>
        <v>10384.615384615385</v>
      </c>
      <c r="AF723" s="43" t="s">
        <v>6780</v>
      </c>
      <c r="AG723" s="43">
        <v>47.816929213346697</v>
      </c>
      <c r="AH723" s="43">
        <v>9.0573136191170196</v>
      </c>
      <c r="AI723" s="122" t="s">
        <v>7286</v>
      </c>
      <c r="AJ723" s="41">
        <v>0.5</v>
      </c>
    </row>
    <row r="724" spans="1:36" ht="34.5" hidden="1" customHeight="1" x14ac:dyDescent="0.25">
      <c r="A724" s="40">
        <v>1148</v>
      </c>
      <c r="B724" s="40" t="s">
        <v>3775</v>
      </c>
      <c r="C724" s="40" t="s">
        <v>536</v>
      </c>
      <c r="D724" s="44">
        <v>2021</v>
      </c>
      <c r="E724" s="44"/>
      <c r="F724" s="40" t="s">
        <v>1540</v>
      </c>
      <c r="G724" s="40" t="s">
        <v>455</v>
      </c>
      <c r="I724" s="40" t="s">
        <v>1680</v>
      </c>
      <c r="K724" s="40" t="s">
        <v>578</v>
      </c>
      <c r="Z724" s="40" t="s">
        <v>1493</v>
      </c>
      <c r="AA724" s="45">
        <v>2</v>
      </c>
      <c r="AB724" s="46">
        <f>IF(H2ProjectDB689571011[[#This Row],[Dummy_1]]="Electrolysis",
AA724/VLOOKUP(G724,ElectrolysisConvF,3,FALSE),
AC724*10^6/(H2dens*HoursInYear))</f>
        <v>384.61538461538464</v>
      </c>
      <c r="AC724" s="47">
        <f t="shared" si="60"/>
        <v>0.29986153846153851</v>
      </c>
      <c r="AE724" s="46">
        <f t="shared" si="59"/>
        <v>384.61538461538464</v>
      </c>
      <c r="AG724" s="43">
        <v>41.595232000000003</v>
      </c>
      <c r="AH724" s="43">
        <v>-83.089336000000003</v>
      </c>
      <c r="AI724" s="122" t="s">
        <v>7286</v>
      </c>
      <c r="AJ724" s="41">
        <v>0.8</v>
      </c>
    </row>
    <row r="725" spans="1:36" ht="34.5" hidden="1" customHeight="1" x14ac:dyDescent="0.25">
      <c r="A725" s="40">
        <v>1149</v>
      </c>
      <c r="B725" s="40" t="s">
        <v>2722</v>
      </c>
      <c r="C725" s="40" t="s">
        <v>536</v>
      </c>
      <c r="D725" s="40">
        <v>2021</v>
      </c>
      <c r="F725" s="40" t="s">
        <v>1540</v>
      </c>
      <c r="G725" s="40" t="s">
        <v>456</v>
      </c>
      <c r="I725" s="40" t="s">
        <v>1680</v>
      </c>
      <c r="K725" s="40" t="s">
        <v>578</v>
      </c>
      <c r="Z725" s="40" t="s">
        <v>6057</v>
      </c>
      <c r="AA725" s="45">
        <v>0.2</v>
      </c>
      <c r="AB725" s="46">
        <f>IF(H2ProjectDB689571011[[#This Row],[Dummy_1]]="Electrolysis",
AA725/VLOOKUP(G725,ElectrolysisConvF,3,FALSE),
AC725*10^6/(H2dens*HoursInYear))</f>
        <v>52.631578947368425</v>
      </c>
      <c r="AC725" s="47">
        <f t="shared" si="60"/>
        <v>4.1033684210526312E-2</v>
      </c>
      <c r="AE725" s="46">
        <f t="shared" si="59"/>
        <v>52.631578947368425</v>
      </c>
      <c r="AG725" s="43">
        <v>44.622427488661899</v>
      </c>
      <c r="AH725" s="43">
        <v>-92.640209018819306</v>
      </c>
      <c r="AI725" s="122" t="s">
        <v>7286</v>
      </c>
      <c r="AJ725" s="41">
        <v>0.8</v>
      </c>
    </row>
    <row r="726" spans="1:36" ht="34.5" hidden="1" customHeight="1" x14ac:dyDescent="0.25">
      <c r="A726" s="40">
        <v>1151</v>
      </c>
      <c r="B726" s="40" t="s">
        <v>2723</v>
      </c>
      <c r="C726" s="40" t="s">
        <v>533</v>
      </c>
      <c r="D726" s="44">
        <v>2025</v>
      </c>
      <c r="E726" s="44"/>
      <c r="F726" s="40" t="s">
        <v>1331</v>
      </c>
      <c r="G726" s="40" t="s">
        <v>1259</v>
      </c>
      <c r="H726" s="40" t="s">
        <v>467</v>
      </c>
      <c r="I726" s="40" t="s">
        <v>1680</v>
      </c>
      <c r="K726" s="40" t="s">
        <v>578</v>
      </c>
      <c r="Z726" s="40" t="s">
        <v>2724</v>
      </c>
      <c r="AA726" s="45">
        <v>3</v>
      </c>
      <c r="AB726" s="46">
        <f>IF(H2ProjectDB689571011[[#This Row],[Dummy_1]]="Electrolysis",
AA726/VLOOKUP(G726,ElectrolysisConvF,3,FALSE),
AC726*10^6/(H2dens*HoursInYear))</f>
        <v>666.66666666666674</v>
      </c>
      <c r="AC726" s="47">
        <f t="shared" si="60"/>
        <v>0.51976</v>
      </c>
      <c r="AE726" s="46">
        <f t="shared" si="59"/>
        <v>666.66666666666674</v>
      </c>
      <c r="AG726" s="43">
        <v>44.318563860748696</v>
      </c>
      <c r="AH726" s="43">
        <v>-81.573975982611103</v>
      </c>
      <c r="AI726" s="122" t="s">
        <v>7286</v>
      </c>
      <c r="AJ726" s="41">
        <v>0.8</v>
      </c>
    </row>
    <row r="727" spans="1:36" ht="34.5" hidden="1" customHeight="1" x14ac:dyDescent="0.25">
      <c r="A727" s="40">
        <v>1152</v>
      </c>
      <c r="B727" s="40" t="s">
        <v>2725</v>
      </c>
      <c r="C727" s="40" t="s">
        <v>542</v>
      </c>
      <c r="F727" s="40" t="s">
        <v>1540</v>
      </c>
      <c r="G727" s="40" t="s">
        <v>456</v>
      </c>
      <c r="I727" s="40" t="s">
        <v>1680</v>
      </c>
      <c r="K727" s="40" t="s">
        <v>578</v>
      </c>
      <c r="Z727" s="40" t="s">
        <v>1480</v>
      </c>
      <c r="AA727" s="45">
        <v>1</v>
      </c>
      <c r="AB727" s="46">
        <f>IF(H2ProjectDB689571011[[#This Row],[Dummy_1]]="Electrolysis",
AA727/VLOOKUP(G727,ElectrolysisConvF,3,FALSE),
AC727*10^6/(H2dens*HoursInYear))</f>
        <v>263.15789473684208</v>
      </c>
      <c r="AC727" s="47">
        <f t="shared" si="60"/>
        <v>0.20516842105263158</v>
      </c>
      <c r="AE727" s="46">
        <f t="shared" si="59"/>
        <v>263.15789473684208</v>
      </c>
      <c r="AG727" s="43">
        <v>54.029655132164002</v>
      </c>
      <c r="AH727" s="43">
        <v>-2.91439577058126</v>
      </c>
      <c r="AI727" s="122" t="s">
        <v>7286</v>
      </c>
      <c r="AJ727" s="41">
        <v>0.8</v>
      </c>
    </row>
    <row r="728" spans="1:36" ht="34.5" hidden="1" customHeight="1" x14ac:dyDescent="0.25">
      <c r="A728" s="40">
        <v>1155</v>
      </c>
      <c r="B728" s="40" t="s">
        <v>3658</v>
      </c>
      <c r="C728" s="40" t="s">
        <v>1046</v>
      </c>
      <c r="D728" s="40">
        <v>2022</v>
      </c>
      <c r="F728" s="40" t="s">
        <v>1339</v>
      </c>
      <c r="G728" s="40" t="s">
        <v>455</v>
      </c>
      <c r="I728" s="40" t="s">
        <v>1680</v>
      </c>
      <c r="K728" s="40" t="s">
        <v>578</v>
      </c>
      <c r="Z728" s="40" t="s">
        <v>1480</v>
      </c>
      <c r="AA728" s="45">
        <v>1</v>
      </c>
      <c r="AB728" s="46">
        <f>IF(H2ProjectDB689571011[[#This Row],[Dummy_1]]="Electrolysis",
AA728/VLOOKUP(G728,ElectrolysisConvF,3,FALSE),
AC728*10^6/(H2dens*HoursInYear))</f>
        <v>192.30769230769232</v>
      </c>
      <c r="AC728" s="47">
        <f t="shared" si="60"/>
        <v>0.14993076923076926</v>
      </c>
      <c r="AE728" s="46">
        <f t="shared" si="59"/>
        <v>192.30769230769232</v>
      </c>
      <c r="AF728" s="43" t="s">
        <v>4451</v>
      </c>
      <c r="AG728" s="43">
        <v>67.465008890909601</v>
      </c>
      <c r="AH728" s="43">
        <v>32.481469930681499</v>
      </c>
      <c r="AI728" s="122" t="s">
        <v>7286</v>
      </c>
      <c r="AJ728" s="41">
        <v>0.8</v>
      </c>
    </row>
    <row r="729" spans="1:36" ht="34.5" hidden="1" customHeight="1" x14ac:dyDescent="0.25">
      <c r="A729" s="40">
        <v>1156</v>
      </c>
      <c r="B729" s="40" t="s">
        <v>2734</v>
      </c>
      <c r="C729" s="40" t="s">
        <v>1305</v>
      </c>
      <c r="D729" s="44">
        <v>2023</v>
      </c>
      <c r="E729" s="44"/>
      <c r="F729" s="40" t="s">
        <v>1339</v>
      </c>
      <c r="G729" s="40" t="s">
        <v>455</v>
      </c>
      <c r="H729" s="40" t="s">
        <v>6751</v>
      </c>
      <c r="I729" s="40" t="s">
        <v>1269</v>
      </c>
      <c r="J729" s="40" t="s">
        <v>1392</v>
      </c>
      <c r="K729" s="90" t="s">
        <v>578</v>
      </c>
      <c r="W729" s="40">
        <v>1</v>
      </c>
      <c r="Z729" s="40" t="s">
        <v>1480</v>
      </c>
      <c r="AA729" s="45">
        <v>1</v>
      </c>
      <c r="AB729" s="46">
        <f>IF(H2ProjectDB689571011[[#This Row],[Dummy_1]]="Electrolysis",
AA729/VLOOKUP(G729,ElectrolysisConvF,3,FALSE),
AC729*10^6/(H2dens*HoursInYear))</f>
        <v>192.30769230769232</v>
      </c>
      <c r="AC729" s="47">
        <f t="shared" si="60"/>
        <v>0.14993076923076926</v>
      </c>
      <c r="AE729" s="46">
        <f t="shared" si="59"/>
        <v>192.30769230769232</v>
      </c>
      <c r="AF729" s="43" t="s">
        <v>6750</v>
      </c>
      <c r="AG729" s="43">
        <v>53.539511337587399</v>
      </c>
      <c r="AH729" s="43">
        <v>8.5915329035828503</v>
      </c>
      <c r="AI729" s="122" t="s">
        <v>7286</v>
      </c>
      <c r="AJ729" s="41">
        <v>0.4</v>
      </c>
    </row>
    <row r="730" spans="1:36" ht="34.5" hidden="1" customHeight="1" x14ac:dyDescent="0.25">
      <c r="A730" s="40">
        <v>1157</v>
      </c>
      <c r="B730" s="40" t="s">
        <v>2735</v>
      </c>
      <c r="C730" s="40" t="s">
        <v>1305</v>
      </c>
      <c r="D730" s="44"/>
      <c r="E730" s="44"/>
      <c r="F730" s="40" t="s">
        <v>2222</v>
      </c>
      <c r="G730" s="40" t="s">
        <v>1259</v>
      </c>
      <c r="H730" s="40" t="s">
        <v>467</v>
      </c>
      <c r="I730" s="40" t="s">
        <v>1269</v>
      </c>
      <c r="J730" s="40" t="s">
        <v>1392</v>
      </c>
      <c r="K730" s="90" t="s">
        <v>578</v>
      </c>
      <c r="W730" s="40">
        <v>1</v>
      </c>
      <c r="Z730" s="40" t="s">
        <v>1333</v>
      </c>
      <c r="AA730" s="45">
        <v>9</v>
      </c>
      <c r="AB730" s="46">
        <f>IF(H2ProjectDB689571011[[#This Row],[Dummy_1]]="Electrolysis",
AA730/VLOOKUP(G730,ElectrolysisConvF,3,FALSE),
AC730*10^6/(H2dens*HoursInYear))</f>
        <v>2000.0000000000002</v>
      </c>
      <c r="AC730" s="47">
        <f t="shared" si="60"/>
        <v>1.55928</v>
      </c>
      <c r="AE730" s="46">
        <f t="shared" si="59"/>
        <v>2000.0000000000002</v>
      </c>
      <c r="AF730" s="43" t="s">
        <v>2733</v>
      </c>
      <c r="AG730" s="43">
        <v>53.539511337587399</v>
      </c>
      <c r="AH730" s="43">
        <v>8.5915329035828503</v>
      </c>
      <c r="AI730" s="122" t="s">
        <v>7286</v>
      </c>
      <c r="AJ730" s="41">
        <v>0.4</v>
      </c>
    </row>
    <row r="731" spans="1:36" ht="34.5" hidden="1" customHeight="1" x14ac:dyDescent="0.25">
      <c r="A731" s="40">
        <v>1158</v>
      </c>
      <c r="B731" s="40" t="s">
        <v>2736</v>
      </c>
      <c r="C731" s="40" t="s">
        <v>1305</v>
      </c>
      <c r="D731" s="40">
        <v>2021</v>
      </c>
      <c r="F731" s="40" t="s">
        <v>1339</v>
      </c>
      <c r="G731" s="40" t="s">
        <v>456</v>
      </c>
      <c r="I731" s="40" t="s">
        <v>1269</v>
      </c>
      <c r="J731" s="40" t="s">
        <v>1392</v>
      </c>
      <c r="K731" s="40" t="s">
        <v>1242</v>
      </c>
      <c r="N731" s="40">
        <v>1</v>
      </c>
      <c r="Z731" s="40" t="s">
        <v>1480</v>
      </c>
      <c r="AA731" s="45">
        <v>1</v>
      </c>
      <c r="AB731" s="46">
        <f>IF(H2ProjectDB689571011[[#This Row],[Dummy_1]]="Electrolysis",
AA731/VLOOKUP(G731,ElectrolysisConvF,3,FALSE),
AC731*10^6/(H2dens*HoursInYear))</f>
        <v>263.15789473684208</v>
      </c>
      <c r="AC731" s="47">
        <f t="shared" si="60"/>
        <v>0.20516842105263158</v>
      </c>
      <c r="AE731" s="46">
        <f t="shared" si="59"/>
        <v>263.15789473684208</v>
      </c>
      <c r="AF731" s="43" t="s">
        <v>2733</v>
      </c>
      <c r="AG731" s="43">
        <v>51.324711167337902</v>
      </c>
      <c r="AH731" s="43">
        <v>12.024311061848</v>
      </c>
      <c r="AI731" s="122" t="s">
        <v>7286</v>
      </c>
      <c r="AJ731" s="41">
        <v>0.4</v>
      </c>
    </row>
    <row r="732" spans="1:36" ht="34.5" hidden="1" customHeight="1" x14ac:dyDescent="0.25">
      <c r="A732" s="40">
        <v>1159</v>
      </c>
      <c r="B732" s="40" t="s">
        <v>6770</v>
      </c>
      <c r="C732" s="40" t="s">
        <v>1305</v>
      </c>
      <c r="F732" s="40" t="s">
        <v>2222</v>
      </c>
      <c r="G732" s="40" t="s">
        <v>1259</v>
      </c>
      <c r="H732" s="40" t="s">
        <v>467</v>
      </c>
      <c r="I732" s="40" t="s">
        <v>1269</v>
      </c>
      <c r="J732" s="40" t="s">
        <v>1392</v>
      </c>
      <c r="K732" s="40" t="s">
        <v>1267</v>
      </c>
      <c r="W732" s="40">
        <v>1</v>
      </c>
      <c r="Z732" s="40" t="s">
        <v>1484</v>
      </c>
      <c r="AA732" s="45">
        <v>4</v>
      </c>
      <c r="AB732" s="46">
        <f>IF(H2ProjectDB689571011[[#This Row],[Dummy_1]]="Electrolysis",
AA732/VLOOKUP(G732,ElectrolysisConvF,3,FALSE),
AC732*10^6/(H2dens*HoursInYear))</f>
        <v>888.88888888888891</v>
      </c>
      <c r="AC732" s="47">
        <f t="shared" si="60"/>
        <v>0.69301333333333337</v>
      </c>
      <c r="AE732" s="46">
        <f t="shared" si="59"/>
        <v>888.88888888888891</v>
      </c>
      <c r="AF732" s="43" t="s">
        <v>2733</v>
      </c>
      <c r="AG732" s="43">
        <v>51.324711167337902</v>
      </c>
      <c r="AH732" s="43">
        <v>12.024311061848</v>
      </c>
      <c r="AI732" s="122" t="s">
        <v>7286</v>
      </c>
      <c r="AJ732" s="41">
        <v>0.4</v>
      </c>
    </row>
    <row r="733" spans="1:36" ht="34.5" hidden="1" customHeight="1" x14ac:dyDescent="0.25">
      <c r="A733" s="40">
        <v>1160</v>
      </c>
      <c r="B733" s="40" t="s">
        <v>2737</v>
      </c>
      <c r="C733" s="40" t="s">
        <v>1305</v>
      </c>
      <c r="D733" s="44">
        <v>2023</v>
      </c>
      <c r="F733" s="40" t="s">
        <v>1540</v>
      </c>
      <c r="G733" s="40" t="s">
        <v>1259</v>
      </c>
      <c r="H733" s="40" t="s">
        <v>467</v>
      </c>
      <c r="I733" s="40" t="s">
        <v>1257</v>
      </c>
      <c r="K733" s="40" t="s">
        <v>578</v>
      </c>
      <c r="Q733" s="40">
        <v>1</v>
      </c>
      <c r="Z733" s="40" t="s">
        <v>1368</v>
      </c>
      <c r="AA733" s="45">
        <v>2</v>
      </c>
      <c r="AB733" s="46">
        <f>IF(H2ProjectDB689571011[[#This Row],[Dummy_1]]="Electrolysis",
AA733/VLOOKUP(G733,ElectrolysisConvF,3,FALSE),
AC733*10^6/(H2dens*HoursInYear))</f>
        <v>444.44444444444446</v>
      </c>
      <c r="AC733" s="47">
        <f t="shared" si="60"/>
        <v>0.34650666666666669</v>
      </c>
      <c r="AE733" s="46">
        <f t="shared" si="59"/>
        <v>444.44444444444446</v>
      </c>
      <c r="AF733" s="43" t="s">
        <v>2739</v>
      </c>
      <c r="AG733" s="43">
        <v>51.132421173516001</v>
      </c>
      <c r="AH733" s="43">
        <v>14.9632163265504</v>
      </c>
      <c r="AI733" s="122" t="s">
        <v>7286</v>
      </c>
      <c r="AJ733" s="41">
        <v>0.56999999999999995</v>
      </c>
    </row>
    <row r="734" spans="1:36" ht="34.5" hidden="1" customHeight="1" x14ac:dyDescent="0.25">
      <c r="A734" s="40">
        <v>1161</v>
      </c>
      <c r="B734" s="40" t="s">
        <v>2740</v>
      </c>
      <c r="C734" s="40" t="s">
        <v>561</v>
      </c>
      <c r="D734" s="44">
        <v>2030</v>
      </c>
      <c r="E734" s="44"/>
      <c r="F734" s="40" t="s">
        <v>1331</v>
      </c>
      <c r="G734" s="40" t="s">
        <v>1259</v>
      </c>
      <c r="H734" s="40" t="s">
        <v>467</v>
      </c>
      <c r="I734" s="40" t="s">
        <v>1269</v>
      </c>
      <c r="J734" s="40" t="s">
        <v>1393</v>
      </c>
      <c r="K734" s="40" t="s">
        <v>578</v>
      </c>
      <c r="Q734" s="40">
        <v>1</v>
      </c>
      <c r="Z734" s="40" t="s">
        <v>1485</v>
      </c>
      <c r="AA734" s="45">
        <v>100</v>
      </c>
      <c r="AB734" s="46">
        <f>IF(H2ProjectDB689571011[[#This Row],[Dummy_1]]="Electrolysis",
AA734/VLOOKUP(G734,ElectrolysisConvF,3,FALSE),
AC734*10^6/(H2dens*HoursInYear))</f>
        <v>22222.222222222223</v>
      </c>
      <c r="AC734" s="47">
        <f t="shared" si="60"/>
        <v>17.325333333333333</v>
      </c>
      <c r="AE734" s="46">
        <f t="shared" si="59"/>
        <v>22222.222222222223</v>
      </c>
      <c r="AF734" s="43" t="s">
        <v>2741</v>
      </c>
      <c r="AG734" s="43">
        <v>0</v>
      </c>
      <c r="AH734" s="43">
        <v>0</v>
      </c>
      <c r="AI734" s="122" t="s">
        <v>7286</v>
      </c>
      <c r="AJ734" s="41">
        <v>0.55000000000000004</v>
      </c>
    </row>
    <row r="735" spans="1:36" ht="34.5" hidden="1" customHeight="1" x14ac:dyDescent="0.25">
      <c r="A735" s="40">
        <v>1162</v>
      </c>
      <c r="B735" s="40" t="s">
        <v>2740</v>
      </c>
      <c r="C735" s="40" t="s">
        <v>561</v>
      </c>
      <c r="D735" s="44">
        <v>2030</v>
      </c>
      <c r="E735" s="44"/>
      <c r="F735" s="40" t="s">
        <v>1331</v>
      </c>
      <c r="G735" s="40" t="s">
        <v>1259</v>
      </c>
      <c r="H735" s="40" t="s">
        <v>467</v>
      </c>
      <c r="I735" s="40" t="s">
        <v>1269</v>
      </c>
      <c r="J735" s="40" t="s">
        <v>1392</v>
      </c>
      <c r="K735" s="40" t="s">
        <v>578</v>
      </c>
      <c r="Q735" s="40">
        <v>1</v>
      </c>
      <c r="Z735" s="40" t="s">
        <v>1333</v>
      </c>
      <c r="AA735" s="45">
        <v>10</v>
      </c>
      <c r="AB735" s="46">
        <f>IF(H2ProjectDB689571011[[#This Row],[Dummy_1]]="Electrolysis",
AA735/VLOOKUP(G735,ElectrolysisConvF,3,FALSE),
AC735*10^6/(H2dens*HoursInYear))</f>
        <v>2222.2222222222222</v>
      </c>
      <c r="AC735" s="47">
        <f t="shared" si="60"/>
        <v>1.7325333333333333</v>
      </c>
      <c r="AE735" s="46">
        <f t="shared" si="59"/>
        <v>2222.2222222222222</v>
      </c>
      <c r="AF735" s="43" t="s">
        <v>2741</v>
      </c>
      <c r="AG735" s="43">
        <v>0</v>
      </c>
      <c r="AH735" s="43">
        <v>0</v>
      </c>
      <c r="AI735" s="122" t="s">
        <v>7286</v>
      </c>
      <c r="AJ735" s="41">
        <v>0.4</v>
      </c>
    </row>
    <row r="736" spans="1:36" ht="34.5" hidden="1" customHeight="1" x14ac:dyDescent="0.25">
      <c r="A736" s="40">
        <v>1163</v>
      </c>
      <c r="B736" s="40" t="s">
        <v>2740</v>
      </c>
      <c r="C736" s="40" t="s">
        <v>561</v>
      </c>
      <c r="D736" s="44">
        <v>2030</v>
      </c>
      <c r="E736" s="44"/>
      <c r="F736" s="40" t="s">
        <v>1331</v>
      </c>
      <c r="G736" s="40" t="s">
        <v>1263</v>
      </c>
      <c r="H736" s="40" t="s">
        <v>2578</v>
      </c>
      <c r="K736" s="40" t="s">
        <v>578</v>
      </c>
      <c r="Q736" s="40">
        <v>1</v>
      </c>
      <c r="Z736" s="40" t="s">
        <v>2743</v>
      </c>
      <c r="AB736" s="46">
        <f>AC736/(H2dens*HoursInYear/10^6)</f>
        <v>19239.649068800987</v>
      </c>
      <c r="AC736" s="47">
        <v>15</v>
      </c>
      <c r="AE736" s="46">
        <f t="shared" si="59"/>
        <v>19239.649068800987</v>
      </c>
      <c r="AF736" s="43" t="s">
        <v>2741</v>
      </c>
      <c r="AG736" s="43">
        <v>0</v>
      </c>
      <c r="AH736" s="43">
        <v>0</v>
      </c>
      <c r="AI736" s="122" t="s">
        <v>1255</v>
      </c>
      <c r="AJ736" s="41">
        <v>0.9</v>
      </c>
    </row>
    <row r="737" spans="1:36" ht="34.5" hidden="1" customHeight="1" x14ac:dyDescent="0.25">
      <c r="A737" s="40">
        <v>1164</v>
      </c>
      <c r="B737" s="40" t="s">
        <v>2745</v>
      </c>
      <c r="C737" s="40" t="s">
        <v>1752</v>
      </c>
      <c r="D737" s="44">
        <v>2028</v>
      </c>
      <c r="E737" s="44"/>
      <c r="F737" s="40" t="s">
        <v>5701</v>
      </c>
      <c r="G737" s="40" t="s">
        <v>455</v>
      </c>
      <c r="I737" s="40" t="s">
        <v>1269</v>
      </c>
      <c r="J737" s="40" t="s">
        <v>1392</v>
      </c>
      <c r="K737" s="40" t="s">
        <v>578</v>
      </c>
      <c r="L737" s="40">
        <v>1</v>
      </c>
      <c r="Q737" s="40">
        <v>1</v>
      </c>
      <c r="Z737" s="40" t="s">
        <v>1510</v>
      </c>
      <c r="AA737" s="45">
        <v>30</v>
      </c>
      <c r="AB737" s="46">
        <f>IF(H2ProjectDB689571011[[#This Row],[Dummy_1]]="Electrolysis",
AA737/VLOOKUP(G737,ElectrolysisConvF,3,FALSE),
AC737*10^6/(H2dens*HoursInYear))</f>
        <v>5769.2307692307695</v>
      </c>
      <c r="AC737" s="47">
        <f t="shared" ref="AC737:AC746" si="61">AB737*H2dens*HoursInYear/10^6</f>
        <v>4.4979230769230769</v>
      </c>
      <c r="AE737" s="46">
        <f t="shared" si="59"/>
        <v>5769.2307692307695</v>
      </c>
      <c r="AF737" s="43" t="s">
        <v>2741</v>
      </c>
      <c r="AG737" s="43">
        <v>50.578830806514198</v>
      </c>
      <c r="AH737" s="43">
        <v>13.6078948749105</v>
      </c>
      <c r="AI737" s="122" t="s">
        <v>7286</v>
      </c>
      <c r="AJ737" s="41">
        <v>0.4</v>
      </c>
    </row>
    <row r="738" spans="1:36" ht="34.5" hidden="1" customHeight="1" x14ac:dyDescent="0.25">
      <c r="A738" s="40">
        <v>1165</v>
      </c>
      <c r="B738" s="40" t="s">
        <v>2744</v>
      </c>
      <c r="C738" s="40" t="s">
        <v>1752</v>
      </c>
      <c r="D738" s="44">
        <v>2030</v>
      </c>
      <c r="E738" s="44"/>
      <c r="F738" s="40" t="s">
        <v>1331</v>
      </c>
      <c r="G738" s="40" t="s">
        <v>1259</v>
      </c>
      <c r="H738" s="40" t="s">
        <v>467</v>
      </c>
      <c r="I738" s="40" t="s">
        <v>1269</v>
      </c>
      <c r="J738" s="40" t="s">
        <v>1392</v>
      </c>
      <c r="K738" s="40" t="s">
        <v>578</v>
      </c>
      <c r="Q738" s="40">
        <v>1</v>
      </c>
      <c r="Z738" s="40" t="s">
        <v>2746</v>
      </c>
      <c r="AA738" s="45">
        <v>18</v>
      </c>
      <c r="AB738" s="46">
        <f>IF(H2ProjectDB689571011[[#This Row],[Dummy_1]]="Electrolysis",
AA738/VLOOKUP(G738,ElectrolysisConvF,3,FALSE),
AC738*10^6/(H2dens*HoursInYear))</f>
        <v>4000.0000000000005</v>
      </c>
      <c r="AC738" s="47">
        <f t="shared" si="61"/>
        <v>3.11856</v>
      </c>
      <c r="AE738" s="46">
        <f t="shared" si="59"/>
        <v>4000.0000000000005</v>
      </c>
      <c r="AF738" s="43" t="s">
        <v>2741</v>
      </c>
      <c r="AG738" s="43">
        <v>50.270416131149702</v>
      </c>
      <c r="AH738" s="43">
        <v>14.5131943817664</v>
      </c>
      <c r="AI738" s="122" t="s">
        <v>7286</v>
      </c>
      <c r="AJ738" s="41">
        <v>0.4</v>
      </c>
    </row>
    <row r="739" spans="1:36" ht="34.5" hidden="1" customHeight="1" x14ac:dyDescent="0.25">
      <c r="A739" s="40">
        <v>1166</v>
      </c>
      <c r="B739" s="40" t="s">
        <v>3963</v>
      </c>
      <c r="C739" s="40" t="s">
        <v>1752</v>
      </c>
      <c r="D739" s="44">
        <v>2026</v>
      </c>
      <c r="E739" s="44"/>
      <c r="F739" s="40" t="s">
        <v>1331</v>
      </c>
      <c r="G739" s="40" t="s">
        <v>1259</v>
      </c>
      <c r="H739" s="40" t="s">
        <v>467</v>
      </c>
      <c r="I739" s="40" t="s">
        <v>1269</v>
      </c>
      <c r="J739" s="40" t="s">
        <v>1395</v>
      </c>
      <c r="K739" s="40" t="s">
        <v>578</v>
      </c>
      <c r="Q739" s="40">
        <v>1</v>
      </c>
      <c r="Z739" s="40" t="s">
        <v>1581</v>
      </c>
      <c r="AA739" s="45">
        <v>6</v>
      </c>
      <c r="AB739" s="46">
        <f>IF(H2ProjectDB689571011[[#This Row],[Dummy_1]]="Electrolysis",
AA739/VLOOKUP(G739,ElectrolysisConvF,3,FALSE),
AC739*10^6/(H2dens*HoursInYear))</f>
        <v>1333.3333333333335</v>
      </c>
      <c r="AC739" s="47">
        <f t="shared" si="61"/>
        <v>1.03952</v>
      </c>
      <c r="AE739" s="46">
        <f t="shared" si="59"/>
        <v>1333.3333333333335</v>
      </c>
      <c r="AF739" s="43" t="s">
        <v>2741</v>
      </c>
      <c r="AG739" s="43">
        <v>50.270416131149702</v>
      </c>
      <c r="AH739" s="43">
        <v>14.5131943817664</v>
      </c>
      <c r="AI739" s="122" t="s">
        <v>7286</v>
      </c>
      <c r="AJ739" s="41">
        <v>0.5</v>
      </c>
    </row>
    <row r="740" spans="1:36" ht="34.5" hidden="1" customHeight="1" x14ac:dyDescent="0.25">
      <c r="A740" s="40">
        <v>1167</v>
      </c>
      <c r="B740" s="40" t="s">
        <v>2740</v>
      </c>
      <c r="C740" s="40" t="s">
        <v>1762</v>
      </c>
      <c r="D740" s="44">
        <v>2030</v>
      </c>
      <c r="E740" s="44"/>
      <c r="F740" s="40" t="s">
        <v>1331</v>
      </c>
      <c r="G740" s="40" t="s">
        <v>1259</v>
      </c>
      <c r="H740" s="40" t="s">
        <v>467</v>
      </c>
      <c r="I740" s="40" t="s">
        <v>1269</v>
      </c>
      <c r="J740" s="40" t="s">
        <v>1392</v>
      </c>
      <c r="K740" s="40" t="s">
        <v>578</v>
      </c>
      <c r="Q740" s="40">
        <v>1</v>
      </c>
      <c r="Z740" s="40" t="s">
        <v>1577</v>
      </c>
      <c r="AA740" s="45">
        <v>60</v>
      </c>
      <c r="AB740" s="46">
        <f>IF(H2ProjectDB689571011[[#This Row],[Dummy_1]]="Electrolysis",
AA740/VLOOKUP(G740,ElectrolysisConvF,3,FALSE),
AC740*10^6/(H2dens*HoursInYear))</f>
        <v>13333.333333333334</v>
      </c>
      <c r="AC740" s="47">
        <f t="shared" si="61"/>
        <v>10.395200000000001</v>
      </c>
      <c r="AE740" s="46">
        <f t="shared" si="59"/>
        <v>13333.333333333334</v>
      </c>
      <c r="AF740" s="43" t="s">
        <v>2741</v>
      </c>
      <c r="AG740" s="43">
        <v>48.253796999999999</v>
      </c>
      <c r="AH740" s="43">
        <v>17.459326000000001</v>
      </c>
      <c r="AI740" s="122" t="s">
        <v>7286</v>
      </c>
      <c r="AJ740" s="41">
        <v>0.4</v>
      </c>
    </row>
    <row r="741" spans="1:36" ht="34.5" hidden="1" customHeight="1" x14ac:dyDescent="0.25">
      <c r="A741" s="40">
        <v>1169</v>
      </c>
      <c r="B741" s="40" t="s">
        <v>3483</v>
      </c>
      <c r="C741" s="40" t="s">
        <v>1761</v>
      </c>
      <c r="D741" s="44">
        <v>2028</v>
      </c>
      <c r="E741" s="44"/>
      <c r="F741" s="40" t="s">
        <v>1331</v>
      </c>
      <c r="G741" s="40" t="s">
        <v>455</v>
      </c>
      <c r="I741" s="40" t="s">
        <v>5700</v>
      </c>
      <c r="K741" s="40" t="s">
        <v>578</v>
      </c>
      <c r="L741" s="40">
        <v>1</v>
      </c>
      <c r="Z741" s="40" t="s">
        <v>1487</v>
      </c>
      <c r="AA741" s="45">
        <v>100</v>
      </c>
      <c r="AB741" s="46">
        <f>IF(H2ProjectDB689571011[[#This Row],[Dummy_1]]="Electrolysis",
AA741/VLOOKUP(G741,ElectrolysisConvF,3,FALSE),
AC741*10^6/(H2dens*HoursInYear))</f>
        <v>19230.76923076923</v>
      </c>
      <c r="AC741" s="47">
        <f t="shared" si="61"/>
        <v>14.993076923076922</v>
      </c>
      <c r="AE741" s="46">
        <f t="shared" si="59"/>
        <v>19230.76923076923</v>
      </c>
      <c r="AF741" s="43" t="s">
        <v>6379</v>
      </c>
      <c r="AG741" s="43">
        <v>37.964032515161797</v>
      </c>
      <c r="AH741" s="43">
        <v>-8.8101578875968602</v>
      </c>
      <c r="AI741" s="122" t="s">
        <v>7286</v>
      </c>
      <c r="AJ741" s="41">
        <v>0.7</v>
      </c>
    </row>
    <row r="742" spans="1:36" ht="34.5" customHeight="1" x14ac:dyDescent="0.25">
      <c r="A742" s="40">
        <v>1170</v>
      </c>
      <c r="B742" s="40" t="s">
        <v>2752</v>
      </c>
      <c r="C742" s="40" t="s">
        <v>1052</v>
      </c>
      <c r="F742" s="40" t="s">
        <v>1331</v>
      </c>
      <c r="G742" s="40" t="s">
        <v>1259</v>
      </c>
      <c r="H742" s="40" t="s">
        <v>467</v>
      </c>
      <c r="I742" s="40" t="s">
        <v>1269</v>
      </c>
      <c r="J742" s="40" t="s">
        <v>1395</v>
      </c>
      <c r="K742" s="40" t="s">
        <v>1243</v>
      </c>
      <c r="M742" s="40">
        <v>1</v>
      </c>
      <c r="O742" s="40">
        <v>1</v>
      </c>
      <c r="W742" s="40">
        <v>1</v>
      </c>
      <c r="Z742" s="40" t="s">
        <v>2024</v>
      </c>
      <c r="AA742" s="45">
        <v>300</v>
      </c>
      <c r="AB742" s="46">
        <f>IF(H2ProjectDB689571011[[#This Row],[Dummy_1]]="Electrolysis",
AA742/VLOOKUP(G742,ElectrolysisConvF,3,FALSE),
AC742*10^6/(H2dens*HoursInYear))</f>
        <v>66666.666666666672</v>
      </c>
      <c r="AC742" s="47">
        <f t="shared" si="61"/>
        <v>51.975999999999999</v>
      </c>
      <c r="AE742" s="46">
        <f t="shared" si="59"/>
        <v>66666.666666666672</v>
      </c>
      <c r="AF742" s="43" t="s">
        <v>2755</v>
      </c>
      <c r="AG742" s="43">
        <v>-21.834349756668999</v>
      </c>
      <c r="AH742" s="43">
        <v>-41.041326841860801</v>
      </c>
      <c r="AI742" s="122" t="s">
        <v>7286</v>
      </c>
      <c r="AJ742" s="41">
        <v>0.5</v>
      </c>
    </row>
    <row r="743" spans="1:36" ht="34.5" hidden="1" customHeight="1" x14ac:dyDescent="0.25">
      <c r="A743" s="40">
        <v>1171</v>
      </c>
      <c r="B743" s="40" t="s">
        <v>2757</v>
      </c>
      <c r="C743" s="40" t="s">
        <v>560</v>
      </c>
      <c r="D743" s="44">
        <v>2030</v>
      </c>
      <c r="E743" s="44"/>
      <c r="F743" s="40" t="s">
        <v>2222</v>
      </c>
      <c r="G743" s="40" t="s">
        <v>1259</v>
      </c>
      <c r="H743" s="40" t="s">
        <v>467</v>
      </c>
      <c r="I743" s="40" t="s">
        <v>1269</v>
      </c>
      <c r="J743" s="40" t="s">
        <v>1391</v>
      </c>
      <c r="K743" s="40" t="s">
        <v>1243</v>
      </c>
      <c r="M743" s="40">
        <v>1</v>
      </c>
      <c r="Q743" s="40">
        <v>1</v>
      </c>
      <c r="Z743" s="40" t="s">
        <v>5825</v>
      </c>
      <c r="AA743" s="45">
        <v>2100</v>
      </c>
      <c r="AB743" s="46">
        <f>IF(H2ProjectDB689571011[[#This Row],[Dummy_1]]="Electrolysis",
AA743/VLOOKUP(G743,ElectrolysisConvF,3,FALSE),
AC743*10^6/(H2dens*HoursInYear))</f>
        <v>466666.66666666669</v>
      </c>
      <c r="AC743" s="47">
        <f t="shared" si="61"/>
        <v>363.83199999999999</v>
      </c>
      <c r="AE743" s="46">
        <f t="shared" si="59"/>
        <v>466666.66666666669</v>
      </c>
      <c r="AF743" s="43" t="s">
        <v>2770</v>
      </c>
      <c r="AG743" s="43">
        <v>-23.3990803648907</v>
      </c>
      <c r="AH743" s="43">
        <v>-69.252182822015996</v>
      </c>
      <c r="AI743" s="122" t="s">
        <v>7286</v>
      </c>
      <c r="AJ743" s="41">
        <v>0.3</v>
      </c>
    </row>
    <row r="744" spans="1:36" ht="34.5" hidden="1" customHeight="1" x14ac:dyDescent="0.25">
      <c r="A744" s="40">
        <v>1172</v>
      </c>
      <c r="B744" s="40" t="s">
        <v>2758</v>
      </c>
      <c r="C744" s="40" t="s">
        <v>1083</v>
      </c>
      <c r="D744" s="40">
        <v>2022</v>
      </c>
      <c r="F744" s="40" t="s">
        <v>1339</v>
      </c>
      <c r="G744" s="40" t="s">
        <v>455</v>
      </c>
      <c r="I744" s="40" t="s">
        <v>1269</v>
      </c>
      <c r="J744" s="40" t="s">
        <v>1391</v>
      </c>
      <c r="K744" s="40" t="s">
        <v>578</v>
      </c>
      <c r="L744" s="40">
        <v>1</v>
      </c>
      <c r="Z744" s="40" t="s">
        <v>2759</v>
      </c>
      <c r="AA744" s="45">
        <v>0.05</v>
      </c>
      <c r="AB744" s="46">
        <f>IF(H2ProjectDB689571011[[#This Row],[Dummy_1]]="Electrolysis",
AA744/VLOOKUP(G744,ElectrolysisConvF,3,FALSE),
AC744*10^6/(H2dens*HoursInYear))</f>
        <v>9.6153846153846168</v>
      </c>
      <c r="AC744" s="47">
        <f t="shared" si="61"/>
        <v>7.4965384615384616E-3</v>
      </c>
      <c r="AE744" s="46">
        <f t="shared" si="59"/>
        <v>9.6153846153846168</v>
      </c>
      <c r="AF744" s="43" t="s">
        <v>3696</v>
      </c>
      <c r="AG744" s="43">
        <v>10.337798012827299</v>
      </c>
      <c r="AH744" s="43">
        <v>-75.496129781496293</v>
      </c>
      <c r="AI744" s="122" t="s">
        <v>7286</v>
      </c>
      <c r="AJ744" s="41">
        <v>0.3</v>
      </c>
    </row>
    <row r="745" spans="1:36" ht="34.5" hidden="1" customHeight="1" x14ac:dyDescent="0.25">
      <c r="A745" s="40">
        <v>1173</v>
      </c>
      <c r="B745" s="40" t="s">
        <v>5821</v>
      </c>
      <c r="C745" s="40" t="s">
        <v>560</v>
      </c>
      <c r="F745" s="40" t="s">
        <v>2222</v>
      </c>
      <c r="G745" s="40" t="s">
        <v>1259</v>
      </c>
      <c r="H745" s="40" t="s">
        <v>467</v>
      </c>
      <c r="I745" s="40" t="s">
        <v>1269</v>
      </c>
      <c r="J745" s="40" t="s">
        <v>1391</v>
      </c>
      <c r="K745" s="40" t="s">
        <v>578</v>
      </c>
      <c r="Q745" s="40">
        <v>1</v>
      </c>
      <c r="Z745" s="40" t="s">
        <v>1484</v>
      </c>
      <c r="AA745" s="45">
        <v>5</v>
      </c>
      <c r="AB745" s="46">
        <f>IF(H2ProjectDB689571011[[#This Row],[Dummy_1]]="Electrolysis",
AA745/VLOOKUP(G745,ElectrolysisConvF,3,FALSE),
AC745*10^6/(H2dens*HoursInYear))</f>
        <v>1111.1111111111111</v>
      </c>
      <c r="AC745" s="47">
        <f t="shared" si="61"/>
        <v>0.86626666666666663</v>
      </c>
      <c r="AE745" s="46">
        <f t="shared" si="59"/>
        <v>1111.1111111111111</v>
      </c>
      <c r="AF745" s="43" t="s">
        <v>2772</v>
      </c>
      <c r="AG745" s="43">
        <v>-36.421298774484498</v>
      </c>
      <c r="AH745" s="43">
        <v>-72.201676725771406</v>
      </c>
      <c r="AI745" s="122" t="s">
        <v>7286</v>
      </c>
      <c r="AJ745" s="41">
        <v>0.3</v>
      </c>
    </row>
    <row r="746" spans="1:36" ht="34.5" hidden="1" customHeight="1" x14ac:dyDescent="0.25">
      <c r="A746" s="40">
        <v>1174</v>
      </c>
      <c r="B746" s="40" t="s">
        <v>2760</v>
      </c>
      <c r="C746" s="40" t="s">
        <v>560</v>
      </c>
      <c r="F746" s="40" t="s">
        <v>2222</v>
      </c>
      <c r="G746" s="40" t="s">
        <v>1259</v>
      </c>
      <c r="H746" s="40" t="s">
        <v>467</v>
      </c>
      <c r="I746" s="40" t="s">
        <v>1257</v>
      </c>
      <c r="J746" s="40" t="s">
        <v>1395</v>
      </c>
      <c r="K746" s="40" t="s">
        <v>1242</v>
      </c>
      <c r="N746" s="40">
        <v>1</v>
      </c>
      <c r="P746" s="40">
        <v>1</v>
      </c>
      <c r="Q746" s="40">
        <v>1</v>
      </c>
      <c r="Z746" s="40" t="s">
        <v>2773</v>
      </c>
      <c r="AA746" s="45">
        <v>300</v>
      </c>
      <c r="AB746" s="46">
        <f>IF(H2ProjectDB689571011[[#This Row],[Dummy_1]]="Electrolysis",
AA746/VLOOKUP(G746,ElectrolysisConvF,3,FALSE),
AC746*10^6/(H2dens*HoursInYear))</f>
        <v>66666.666666666672</v>
      </c>
      <c r="AC746" s="47">
        <f t="shared" si="61"/>
        <v>51.975999999999999</v>
      </c>
      <c r="AE746" s="46">
        <f t="shared" si="59"/>
        <v>66666.666666666672</v>
      </c>
      <c r="AG746" s="43">
        <v>-23.3990803648907</v>
      </c>
      <c r="AH746" s="43">
        <v>-69.252182822015996</v>
      </c>
      <c r="AI746" s="122" t="s">
        <v>7286</v>
      </c>
      <c r="AJ746" s="41">
        <v>0.56999999999999995</v>
      </c>
    </row>
    <row r="747" spans="1:36" ht="34.5" hidden="1" customHeight="1" x14ac:dyDescent="0.25">
      <c r="A747" s="40">
        <v>1175</v>
      </c>
      <c r="B747" s="40" t="s">
        <v>2761</v>
      </c>
      <c r="C747" s="40" t="s">
        <v>547</v>
      </c>
      <c r="F747" s="40" t="s">
        <v>1331</v>
      </c>
      <c r="G747" s="40" t="s">
        <v>1259</v>
      </c>
      <c r="H747" s="40" t="s">
        <v>467</v>
      </c>
      <c r="I747" s="40" t="s">
        <v>1257</v>
      </c>
      <c r="K747" s="40" t="s">
        <v>578</v>
      </c>
      <c r="Q747" s="40">
        <v>1</v>
      </c>
      <c r="Z747" s="40" t="s">
        <v>2762</v>
      </c>
      <c r="AA747" s="47">
        <f>IF(H2ProjectDB689571011[[#This Row],[Dummy_1]]="Electrolysis",
AB747*VLOOKUP(G747,ElectrolysisConvF,3,FALSE),
"")</f>
        <v>0.42134831460674149</v>
      </c>
      <c r="AB747" s="46">
        <f>AC747/(H2dens*HoursInYear/10^6)</f>
        <v>93.63295880149812</v>
      </c>
      <c r="AC747" s="47">
        <f>200*365/10^6</f>
        <v>7.2999999999999995E-2</v>
      </c>
      <c r="AE747" s="46">
        <f t="shared" si="59"/>
        <v>93.63295880149812</v>
      </c>
      <c r="AF747" s="43" t="s">
        <v>2774</v>
      </c>
      <c r="AG747" s="43">
        <v>-25.374680487385302</v>
      </c>
      <c r="AH747" s="43">
        <v>-57.588851171306601</v>
      </c>
      <c r="AI747" s="122" t="s">
        <v>7286</v>
      </c>
      <c r="AJ747" s="41">
        <v>0.56999999999999995</v>
      </c>
    </row>
    <row r="748" spans="1:36" ht="34.5" hidden="1" customHeight="1" x14ac:dyDescent="0.25">
      <c r="A748" s="40">
        <v>1176</v>
      </c>
      <c r="B748" s="40" t="s">
        <v>2763</v>
      </c>
      <c r="C748" s="40" t="s">
        <v>547</v>
      </c>
      <c r="F748" s="40" t="s">
        <v>2222</v>
      </c>
      <c r="G748" s="40" t="s">
        <v>1259</v>
      </c>
      <c r="H748" s="40" t="s">
        <v>467</v>
      </c>
      <c r="I748" s="40" t="s">
        <v>1257</v>
      </c>
      <c r="K748" s="40" t="s">
        <v>578</v>
      </c>
      <c r="Q748" s="40">
        <v>1</v>
      </c>
      <c r="AC748" s="47"/>
      <c r="AE748" s="46">
        <f t="shared" si="59"/>
        <v>0</v>
      </c>
      <c r="AF748" s="43" t="s">
        <v>2775</v>
      </c>
      <c r="AG748" s="43">
        <v>-25.4800573449834</v>
      </c>
      <c r="AH748" s="43">
        <v>-54.650730312924601</v>
      </c>
      <c r="AI748" s="122" t="s">
        <v>7286</v>
      </c>
      <c r="AJ748" s="41">
        <v>0.56999999999999995</v>
      </c>
    </row>
    <row r="749" spans="1:36" ht="34.5" hidden="1" customHeight="1" x14ac:dyDescent="0.25">
      <c r="A749" s="40">
        <v>1177</v>
      </c>
      <c r="B749" s="40" t="s">
        <v>2764</v>
      </c>
      <c r="C749" s="40" t="s">
        <v>547</v>
      </c>
      <c r="F749" s="40" t="s">
        <v>2222</v>
      </c>
      <c r="G749" s="40" t="s">
        <v>1259</v>
      </c>
      <c r="H749" s="40" t="s">
        <v>467</v>
      </c>
      <c r="I749" s="40" t="s">
        <v>1257</v>
      </c>
      <c r="K749" s="40" t="s">
        <v>578</v>
      </c>
      <c r="Q749" s="40">
        <v>1</v>
      </c>
      <c r="AC749" s="47"/>
      <c r="AE749" s="46">
        <f t="shared" si="59"/>
        <v>0</v>
      </c>
      <c r="AF749" s="43" t="s">
        <v>2775</v>
      </c>
      <c r="AG749" s="43">
        <v>-27.2512439386559</v>
      </c>
      <c r="AH749" s="43">
        <v>-55.895865748291101</v>
      </c>
      <c r="AI749" s="122" t="s">
        <v>7286</v>
      </c>
      <c r="AJ749" s="41">
        <v>0.56999999999999995</v>
      </c>
    </row>
    <row r="750" spans="1:36" ht="34.5" hidden="1" customHeight="1" x14ac:dyDescent="0.25">
      <c r="A750" s="40">
        <v>1178</v>
      </c>
      <c r="B750" s="40" t="s">
        <v>2776</v>
      </c>
      <c r="C750" s="40" t="s">
        <v>543</v>
      </c>
      <c r="D750" s="44">
        <v>2030</v>
      </c>
      <c r="E750" s="44"/>
      <c r="F750" s="40" t="s">
        <v>1331</v>
      </c>
      <c r="G750" s="40" t="s">
        <v>1261</v>
      </c>
      <c r="H750" s="40" t="s">
        <v>1665</v>
      </c>
      <c r="K750" s="40" t="s">
        <v>1243</v>
      </c>
      <c r="M750" s="40">
        <v>1</v>
      </c>
      <c r="Z750" s="40" t="s">
        <v>2777</v>
      </c>
      <c r="AB750" s="46">
        <f>AC750/(H2dens*HoursInYear/10^6)</f>
        <v>230968.17609605024</v>
      </c>
      <c r="AC750" s="47">
        <f>1000*3/17/0.98</f>
        <v>180.0720288115246</v>
      </c>
      <c r="AE750" s="46">
        <f t="shared" si="59"/>
        <v>0</v>
      </c>
      <c r="AF750" s="43" t="s">
        <v>2779</v>
      </c>
      <c r="AG750" s="43">
        <v>24.4852421565258</v>
      </c>
      <c r="AH750" s="43">
        <v>54.392728038977801</v>
      </c>
      <c r="AI750" s="122" t="s">
        <v>7287</v>
      </c>
      <c r="AJ750" s="41">
        <v>0.9</v>
      </c>
    </row>
    <row r="751" spans="1:36" ht="34.5" hidden="1" customHeight="1" x14ac:dyDescent="0.25">
      <c r="A751" s="40">
        <v>1180</v>
      </c>
      <c r="B751" s="40" t="s">
        <v>2784</v>
      </c>
      <c r="C751" s="40" t="s">
        <v>535</v>
      </c>
      <c r="D751" s="44">
        <v>2024</v>
      </c>
      <c r="E751" s="44"/>
      <c r="F751" s="40" t="s">
        <v>1331</v>
      </c>
      <c r="G751" s="40" t="s">
        <v>1259</v>
      </c>
      <c r="H751" s="40" t="s">
        <v>467</v>
      </c>
      <c r="I751" s="40" t="s">
        <v>1269</v>
      </c>
      <c r="J751" s="40" t="s">
        <v>581</v>
      </c>
      <c r="K751" s="40" t="s">
        <v>578</v>
      </c>
      <c r="P751" s="40">
        <v>1</v>
      </c>
      <c r="Z751" s="40" t="s">
        <v>1333</v>
      </c>
      <c r="AA751" s="45">
        <v>10</v>
      </c>
      <c r="AB751" s="46">
        <f>IF(H2ProjectDB689571011[[#This Row],[Dummy_1]]="Electrolysis",
AA751/VLOOKUP(G751,ElectrolysisConvF,3,FALSE),
AC751*10^6/(H2dens*HoursInYear))</f>
        <v>2222.2222222222222</v>
      </c>
      <c r="AC751" s="47">
        <f t="shared" ref="AC751:AC756" si="62">AB751*H2dens*HoursInYear/10^6</f>
        <v>1.7325333333333333</v>
      </c>
      <c r="AE751" s="46">
        <f t="shared" si="59"/>
        <v>2222.2222222222222</v>
      </c>
      <c r="AF751" s="43" t="s">
        <v>2783</v>
      </c>
      <c r="AG751" s="43">
        <v>-27.818349854983801</v>
      </c>
      <c r="AH751" s="43">
        <v>120.700606397719</v>
      </c>
      <c r="AI751" s="122" t="s">
        <v>7286</v>
      </c>
      <c r="AJ751" s="41">
        <v>0.5</v>
      </c>
    </row>
    <row r="752" spans="1:36" ht="34.5" hidden="1" customHeight="1" x14ac:dyDescent="0.25">
      <c r="A752" s="40">
        <v>1181</v>
      </c>
      <c r="B752" s="40" t="s">
        <v>2785</v>
      </c>
      <c r="C752" s="40" t="s">
        <v>535</v>
      </c>
      <c r="D752" s="44">
        <v>2024</v>
      </c>
      <c r="E752" s="44"/>
      <c r="F752" s="40" t="s">
        <v>1331</v>
      </c>
      <c r="G752" s="40" t="s">
        <v>1259</v>
      </c>
      <c r="H752" s="40" t="s">
        <v>467</v>
      </c>
      <c r="I752" s="40" t="s">
        <v>1269</v>
      </c>
      <c r="J752" s="40" t="s">
        <v>1391</v>
      </c>
      <c r="K752" s="40" t="s">
        <v>578</v>
      </c>
      <c r="Q752" s="40">
        <v>1</v>
      </c>
      <c r="Z752" s="40" t="s">
        <v>1333</v>
      </c>
      <c r="AA752" s="45">
        <v>10</v>
      </c>
      <c r="AB752" s="46">
        <f>IF(H2ProjectDB689571011[[#This Row],[Dummy_1]]="Electrolysis",
AA752/VLOOKUP(G752,ElectrolysisConvF,3,FALSE),
AC752*10^6/(H2dens*HoursInYear))</f>
        <v>2222.2222222222222</v>
      </c>
      <c r="AC752" s="47">
        <f t="shared" si="62"/>
        <v>1.7325333333333333</v>
      </c>
      <c r="AE752" s="46">
        <f t="shared" si="59"/>
        <v>2222.2222222222222</v>
      </c>
      <c r="AF752" s="43" t="s">
        <v>2783</v>
      </c>
      <c r="AG752" s="43">
        <v>-24.630832255186</v>
      </c>
      <c r="AH752" s="43">
        <v>150.06244160589301</v>
      </c>
      <c r="AI752" s="122" t="s">
        <v>7286</v>
      </c>
      <c r="AJ752" s="41">
        <v>0.3</v>
      </c>
    </row>
    <row r="753" spans="1:36" ht="34.5" hidden="1" customHeight="1" x14ac:dyDescent="0.25">
      <c r="A753" s="40">
        <v>1182</v>
      </c>
      <c r="B753" s="40" t="s">
        <v>4639</v>
      </c>
      <c r="C753" s="40" t="s">
        <v>536</v>
      </c>
      <c r="D753" s="44">
        <v>2024</v>
      </c>
      <c r="F753" s="40" t="s">
        <v>1339</v>
      </c>
      <c r="G753" s="40" t="s">
        <v>455</v>
      </c>
      <c r="I753" s="40" t="s">
        <v>1266</v>
      </c>
      <c r="K753" s="40" t="s">
        <v>578</v>
      </c>
      <c r="Q753" s="40">
        <v>1</v>
      </c>
      <c r="Z753" s="40" t="s">
        <v>7006</v>
      </c>
      <c r="AA753" s="45">
        <v>40</v>
      </c>
      <c r="AB753" s="46">
        <f>IF(H2ProjectDB689571011[[#This Row],[Dummy_1]]="Electrolysis",
AA753/VLOOKUP(G753,ElectrolysisConvF,3,FALSE),
AC753*10^6/(H2dens*HoursInYear))</f>
        <v>7692.3076923076924</v>
      </c>
      <c r="AC753" s="47">
        <f t="shared" si="62"/>
        <v>5.9972307692307689</v>
      </c>
      <c r="AE753" s="46">
        <f t="shared" si="59"/>
        <v>7692.3076923076924</v>
      </c>
      <c r="AF753" s="43" t="s">
        <v>7008</v>
      </c>
      <c r="AG753" s="43">
        <v>30.957682783878202</v>
      </c>
      <c r="AH753" s="43">
        <v>-81.647228547426195</v>
      </c>
      <c r="AI753" s="122" t="s">
        <v>7286</v>
      </c>
      <c r="AJ753" s="41">
        <v>0.56999999999999995</v>
      </c>
    </row>
    <row r="754" spans="1:36" ht="34.5" hidden="1" customHeight="1" x14ac:dyDescent="0.25">
      <c r="A754" s="40">
        <v>1183</v>
      </c>
      <c r="B754" s="40" t="s">
        <v>2793</v>
      </c>
      <c r="C754" s="40" t="s">
        <v>1761</v>
      </c>
      <c r="F754" s="40" t="s">
        <v>1331</v>
      </c>
      <c r="G754" s="40" t="s">
        <v>1259</v>
      </c>
      <c r="H754" s="40" t="s">
        <v>467</v>
      </c>
      <c r="I754" s="40" t="s">
        <v>1269</v>
      </c>
      <c r="J754" s="40" t="s">
        <v>1391</v>
      </c>
      <c r="K754" s="40" t="s">
        <v>578</v>
      </c>
      <c r="Z754" s="40" t="s">
        <v>6051</v>
      </c>
      <c r="AA754" s="45">
        <v>0.5</v>
      </c>
      <c r="AB754" s="46">
        <f>IF(H2ProjectDB689571011[[#This Row],[Dummy_1]]="Electrolysis",
AA754/VLOOKUP(G754,ElectrolysisConvF,3,FALSE),
AC754*10^6/(H2dens*HoursInYear))</f>
        <v>111.11111111111111</v>
      </c>
      <c r="AC754" s="47">
        <f t="shared" si="62"/>
        <v>8.6626666666666671E-2</v>
      </c>
      <c r="AE754" s="46">
        <f t="shared" si="59"/>
        <v>111.11111111111111</v>
      </c>
      <c r="AF754" s="43" t="s">
        <v>2795</v>
      </c>
      <c r="AG754" s="43">
        <v>39.4642875090179</v>
      </c>
      <c r="AH754" s="43">
        <v>-8.1118346096661291</v>
      </c>
      <c r="AI754" s="122" t="s">
        <v>7286</v>
      </c>
      <c r="AJ754" s="41">
        <v>0.3</v>
      </c>
    </row>
    <row r="755" spans="1:36" ht="34.5" hidden="1" customHeight="1" x14ac:dyDescent="0.25">
      <c r="A755" s="40">
        <v>1184</v>
      </c>
      <c r="B755" s="40" t="s">
        <v>5982</v>
      </c>
      <c r="C755" s="40" t="s">
        <v>530</v>
      </c>
      <c r="D755" s="44">
        <v>2023</v>
      </c>
      <c r="E755" s="40">
        <v>2023</v>
      </c>
      <c r="F755" s="40" t="s">
        <v>1540</v>
      </c>
      <c r="G755" s="40" t="s">
        <v>455</v>
      </c>
      <c r="I755" s="40" t="s">
        <v>1269</v>
      </c>
      <c r="J755" s="40" t="s">
        <v>1393</v>
      </c>
      <c r="K755" s="40" t="s">
        <v>578</v>
      </c>
      <c r="Z755" s="40" t="s">
        <v>5983</v>
      </c>
      <c r="AA755" s="45">
        <v>1</v>
      </c>
      <c r="AB755" s="46">
        <f>IF(H2ProjectDB689571011[[#This Row],[Dummy_1]]="Electrolysis",
AA755/VLOOKUP(G755,ElectrolysisConvF,3,FALSE),
AC755*10^6/(H2dens*HoursInYear))</f>
        <v>192.30769230769232</v>
      </c>
      <c r="AC755" s="47">
        <f t="shared" si="62"/>
        <v>0.14993076923076926</v>
      </c>
      <c r="AE755" s="46">
        <f t="shared" si="59"/>
        <v>192.30769230769232</v>
      </c>
      <c r="AF755" s="43" t="s">
        <v>4419</v>
      </c>
      <c r="AG755" s="43">
        <v>47.294476274678601</v>
      </c>
      <c r="AH755" s="43">
        <v>-2.5118196523247902</v>
      </c>
      <c r="AI755" s="122" t="s">
        <v>7286</v>
      </c>
      <c r="AJ755" s="41">
        <v>0.55000000000000004</v>
      </c>
    </row>
    <row r="756" spans="1:36" ht="34.5" hidden="1" customHeight="1" x14ac:dyDescent="0.25">
      <c r="A756" s="40">
        <v>1185</v>
      </c>
      <c r="B756" s="40" t="s">
        <v>2797</v>
      </c>
      <c r="C756" s="40" t="s">
        <v>539</v>
      </c>
      <c r="D756" s="40">
        <v>2021</v>
      </c>
      <c r="F756" s="40" t="s">
        <v>1339</v>
      </c>
      <c r="G756" s="40" t="s">
        <v>1259</v>
      </c>
      <c r="H756" s="40" t="s">
        <v>467</v>
      </c>
      <c r="I756" s="40" t="s">
        <v>1269</v>
      </c>
      <c r="J756" s="40" t="s">
        <v>1391</v>
      </c>
      <c r="K756" s="40" t="s">
        <v>1243</v>
      </c>
      <c r="M756" s="40">
        <v>1</v>
      </c>
      <c r="Z756" s="40" t="s">
        <v>7723</v>
      </c>
      <c r="AA756" s="45">
        <v>2.1</v>
      </c>
      <c r="AB756" s="46">
        <f>IF(H2ProjectDB689571011[[#This Row],[Dummy_1]]="Electrolysis",
AA756/VLOOKUP(G756,ElectrolysisConvF,3,FALSE),
AC756*10^6/(H2dens*HoursInYear))</f>
        <v>466.66666666666674</v>
      </c>
      <c r="AC756" s="47">
        <f t="shared" si="62"/>
        <v>0.36383200000000004</v>
      </c>
      <c r="AF756" s="43" t="s">
        <v>3389</v>
      </c>
      <c r="AG756" s="43">
        <v>28.332156050466502</v>
      </c>
      <c r="AH756" s="43">
        <v>73.281545844166899</v>
      </c>
      <c r="AI756" s="122" t="s">
        <v>7286</v>
      </c>
      <c r="AJ756" s="41">
        <v>0.3</v>
      </c>
    </row>
    <row r="757" spans="1:36" ht="34.5" hidden="1" customHeight="1" x14ac:dyDescent="0.25">
      <c r="A757" s="40">
        <v>1186</v>
      </c>
      <c r="B757" s="40" t="s">
        <v>3409</v>
      </c>
      <c r="C757" s="40" t="s">
        <v>1097</v>
      </c>
      <c r="D757" s="44"/>
      <c r="E757" s="44"/>
      <c r="F757" s="40" t="s">
        <v>5701</v>
      </c>
      <c r="G757" s="40" t="s">
        <v>1259</v>
      </c>
      <c r="H757" s="40" t="s">
        <v>467</v>
      </c>
      <c r="I757" s="40" t="s">
        <v>1269</v>
      </c>
      <c r="J757" s="40" t="s">
        <v>581</v>
      </c>
      <c r="K757" s="40" t="s">
        <v>1243</v>
      </c>
      <c r="M757" s="40">
        <v>1</v>
      </c>
      <c r="Z757" s="40" t="s">
        <v>4985</v>
      </c>
      <c r="AC757" s="47"/>
      <c r="AF757" s="43" t="s">
        <v>3213</v>
      </c>
      <c r="AG757" s="43">
        <v>33.1298310698553</v>
      </c>
      <c r="AH757" s="43">
        <v>-8.6220069588264003</v>
      </c>
      <c r="AI757" s="122" t="s">
        <v>7286</v>
      </c>
      <c r="AJ757" s="41">
        <v>0.5</v>
      </c>
    </row>
    <row r="758" spans="1:36" ht="34.5" hidden="1" customHeight="1" x14ac:dyDescent="0.25">
      <c r="A758" s="40">
        <v>1187</v>
      </c>
      <c r="B758" s="40" t="s">
        <v>2801</v>
      </c>
      <c r="C758" s="40" t="s">
        <v>559</v>
      </c>
      <c r="D758" s="44">
        <v>2023</v>
      </c>
      <c r="E758" s="44"/>
      <c r="F758" s="40" t="s">
        <v>1339</v>
      </c>
      <c r="G758" s="40" t="s">
        <v>457</v>
      </c>
      <c r="I758" s="40" t="s">
        <v>1266</v>
      </c>
      <c r="K758" s="40" t="s">
        <v>578</v>
      </c>
      <c r="O758" s="40">
        <v>1</v>
      </c>
      <c r="Z758" s="40" t="s">
        <v>1573</v>
      </c>
      <c r="AA758" s="45">
        <v>17</v>
      </c>
      <c r="AB758" s="46">
        <f>IF(H2ProjectDB689571011[[#This Row],[Dummy_1]]="Electrolysis",
AA758/VLOOKUP(G758,ElectrolysisConvF,3,FALSE),
AC758*10^6/(H2dens*HoursInYear))</f>
        <v>3695.6521739130435</v>
      </c>
      <c r="AC758" s="47">
        <f t="shared" ref="AC758:AC766" si="63">AB758*H2dens*HoursInYear/10^6</f>
        <v>2.8812782608695655</v>
      </c>
      <c r="AE758" s="46">
        <f>IF(AND(G758&lt;&gt;"NG w CCUS",G758&lt;&gt;"Oil w CCUS",G758&lt;&gt;"Coal w CCUS"),AB758,AD758*10^3/(HoursInYear*IF(G758="NG w CCUS",0.9105,1.9075)))</f>
        <v>3695.6521739130435</v>
      </c>
      <c r="AF758" s="43" t="s">
        <v>6204</v>
      </c>
      <c r="AG758" s="43">
        <v>60.557839589393602</v>
      </c>
      <c r="AH758" s="43">
        <v>16.299335015812598</v>
      </c>
      <c r="AI758" s="122" t="s">
        <v>7286</v>
      </c>
      <c r="AJ758" s="41">
        <v>0.56999999999999995</v>
      </c>
    </row>
    <row r="759" spans="1:36" ht="34.5" hidden="1" customHeight="1" x14ac:dyDescent="0.25">
      <c r="A759" s="40">
        <v>1188</v>
      </c>
      <c r="B759" s="40" t="s">
        <v>6456</v>
      </c>
      <c r="C759" s="40" t="s">
        <v>1786</v>
      </c>
      <c r="D759" s="44">
        <v>2032</v>
      </c>
      <c r="E759" s="44"/>
      <c r="F759" s="40" t="s">
        <v>1331</v>
      </c>
      <c r="G759" s="40" t="s">
        <v>1259</v>
      </c>
      <c r="H759" s="40" t="s">
        <v>467</v>
      </c>
      <c r="I759" s="40" t="s">
        <v>1269</v>
      </c>
      <c r="J759" s="40" t="s">
        <v>1395</v>
      </c>
      <c r="K759" s="40" t="s">
        <v>1243</v>
      </c>
      <c r="M759" s="40">
        <v>1</v>
      </c>
      <c r="Z759" s="40" t="s">
        <v>4188</v>
      </c>
      <c r="AA759" s="45">
        <v>20000</v>
      </c>
      <c r="AB759" s="46">
        <f>IF(H2ProjectDB689571011[[#This Row],[Dummy_1]]="Electrolysis",
AA759/VLOOKUP(G759,ElectrolysisConvF,3,FALSE),
AC759*10^6/(H2dens*HoursInYear))</f>
        <v>4444444.444444445</v>
      </c>
      <c r="AC759" s="47">
        <f t="shared" si="63"/>
        <v>3465.0666666666666</v>
      </c>
      <c r="AE759" s="46">
        <f>IF(AND(G759&lt;&gt;"NG w CCUS",G759&lt;&gt;"Oil w CCUS",G759&lt;&gt;"Coal w CCUS"),AB759,AD759*10^3/(HoursInYear*IF(G759="NG w CCUS",0.9105,1.9075)))</f>
        <v>4444444.444444445</v>
      </c>
      <c r="AF759" s="43" t="s">
        <v>6697</v>
      </c>
      <c r="AG759" s="43">
        <v>42.798163577272497</v>
      </c>
      <c r="AH759" s="43">
        <v>53.5988796159426</v>
      </c>
      <c r="AI759" s="122" t="s">
        <v>7286</v>
      </c>
      <c r="AJ759" s="41">
        <v>0.5</v>
      </c>
    </row>
    <row r="760" spans="1:36" ht="34.5" hidden="1" customHeight="1" x14ac:dyDescent="0.25">
      <c r="A760" s="40">
        <v>1189</v>
      </c>
      <c r="B760" s="40" t="s">
        <v>2945</v>
      </c>
      <c r="C760" s="40" t="s">
        <v>535</v>
      </c>
      <c r="D760" s="44">
        <v>2024</v>
      </c>
      <c r="E760" s="44"/>
      <c r="F760" s="40" t="s">
        <v>5701</v>
      </c>
      <c r="G760" s="40" t="s">
        <v>1259</v>
      </c>
      <c r="H760" s="40" t="s">
        <v>467</v>
      </c>
      <c r="I760" s="40" t="s">
        <v>1269</v>
      </c>
      <c r="J760" s="40" t="s">
        <v>1391</v>
      </c>
      <c r="K760" s="40" t="s">
        <v>578</v>
      </c>
      <c r="R760" s="40">
        <v>1</v>
      </c>
      <c r="Z760" s="40" t="s">
        <v>1493</v>
      </c>
      <c r="AA760" s="45">
        <v>2</v>
      </c>
      <c r="AB760" s="46">
        <f>IF(H2ProjectDB689571011[[#This Row],[Dummy_1]]="Electrolysis",
AA760/VLOOKUP(G760,ElectrolysisConvF,3,FALSE),
AC760*10^6/(H2dens*HoursInYear))</f>
        <v>444.44444444444446</v>
      </c>
      <c r="AC760" s="47">
        <f t="shared" si="63"/>
        <v>0.34650666666666669</v>
      </c>
      <c r="AE760" s="46">
        <f>IF(AND(G760&lt;&gt;"NG w CCUS",G760&lt;&gt;"Oil w CCUS",G760&lt;&gt;"Coal w CCUS"),AB760,AD760*10^3/(HoursInYear*IF(G760="NG w CCUS",0.9105,1.9075)))</f>
        <v>444.44444444444446</v>
      </c>
      <c r="AF760" s="43" t="s">
        <v>4527</v>
      </c>
      <c r="AG760" s="43">
        <v>-30.750091203930801</v>
      </c>
      <c r="AH760" s="43">
        <v>150.72277583266799</v>
      </c>
      <c r="AI760" s="122" t="s">
        <v>7286</v>
      </c>
      <c r="AJ760" s="41">
        <v>0.3</v>
      </c>
    </row>
    <row r="761" spans="1:36" ht="34.5" hidden="1" customHeight="1" x14ac:dyDescent="0.25">
      <c r="A761" s="40">
        <v>1190</v>
      </c>
      <c r="B761" s="40" t="s">
        <v>4585</v>
      </c>
      <c r="C761" s="40" t="s">
        <v>674</v>
      </c>
      <c r="D761" s="44">
        <v>2038</v>
      </c>
      <c r="E761" s="44"/>
      <c r="F761" s="87" t="s">
        <v>1331</v>
      </c>
      <c r="G761" s="87" t="s">
        <v>1259</v>
      </c>
      <c r="H761" s="87" t="s">
        <v>467</v>
      </c>
      <c r="I761" s="87" t="s">
        <v>1269</v>
      </c>
      <c r="J761" s="40" t="s">
        <v>1395</v>
      </c>
      <c r="K761" s="40" t="s">
        <v>1243</v>
      </c>
      <c r="Z761" s="40" t="s">
        <v>2805</v>
      </c>
      <c r="AA761" s="45">
        <f>14000-4667</f>
        <v>9333</v>
      </c>
      <c r="AB761" s="46">
        <f>IF(H2ProjectDB689571011[[#This Row],[Dummy_1]]="Electrolysis",
AA761/VLOOKUP(G761,ElectrolysisConvF,3,FALSE),
AC761*10^6/(H2dens*HoursInYear))</f>
        <v>2074000.0000000002</v>
      </c>
      <c r="AC761" s="47">
        <f t="shared" si="63"/>
        <v>1616.97336</v>
      </c>
      <c r="AE761" s="46">
        <f>AB761</f>
        <v>2074000.0000000002</v>
      </c>
      <c r="AF761" s="43" t="s">
        <v>2806</v>
      </c>
      <c r="AG761" s="43">
        <v>19.686684041267799</v>
      </c>
      <c r="AH761" s="43">
        <v>56.863780315494097</v>
      </c>
      <c r="AI761" s="122" t="s">
        <v>7286</v>
      </c>
      <c r="AJ761" s="41">
        <v>0.5</v>
      </c>
    </row>
    <row r="762" spans="1:36" ht="34.5" hidden="1" customHeight="1" x14ac:dyDescent="0.25">
      <c r="A762" s="40">
        <v>1191</v>
      </c>
      <c r="B762" s="40" t="s">
        <v>5803</v>
      </c>
      <c r="C762" s="40" t="s">
        <v>1305</v>
      </c>
      <c r="D762" s="44">
        <v>2035</v>
      </c>
      <c r="E762" s="44"/>
      <c r="F762" s="40" t="s">
        <v>2222</v>
      </c>
      <c r="G762" s="40" t="s">
        <v>1259</v>
      </c>
      <c r="H762" s="40" t="s">
        <v>467</v>
      </c>
      <c r="I762" s="40" t="s">
        <v>1269</v>
      </c>
      <c r="J762" s="40" t="s">
        <v>1393</v>
      </c>
      <c r="K762" s="40" t="s">
        <v>578</v>
      </c>
      <c r="Z762" s="40" t="s">
        <v>2083</v>
      </c>
      <c r="AA762" s="45">
        <f>5000</f>
        <v>5000</v>
      </c>
      <c r="AB762" s="46">
        <f>IF(H2ProjectDB689571011[[#This Row],[Dummy_1]]="Electrolysis",
AA762/VLOOKUP(G762,ElectrolysisConvF,3,FALSE),
AC762*10^6/(H2dens*HoursInYear))</f>
        <v>1111111.1111111112</v>
      </c>
      <c r="AC762" s="47">
        <f t="shared" si="63"/>
        <v>866.26666666666665</v>
      </c>
      <c r="AE762" s="46">
        <f t="shared" ref="AE762:AE777" si="64">IF(AND(G762&lt;&gt;"NG w CCUS",G762&lt;&gt;"Oil w CCUS",G762&lt;&gt;"Coal w CCUS"),AB762,AD762*10^3/(HoursInYear*IF(G762="NG w CCUS",0.9105,1.9075)))</f>
        <v>1111111.1111111112</v>
      </c>
      <c r="AF762" s="43" t="s">
        <v>2809</v>
      </c>
      <c r="AG762" s="43">
        <v>54.2023436057572</v>
      </c>
      <c r="AH762" s="43">
        <v>7.9212686088641799</v>
      </c>
      <c r="AI762" s="122" t="s">
        <v>7286</v>
      </c>
      <c r="AJ762" s="41">
        <v>0.55000000000000004</v>
      </c>
    </row>
    <row r="763" spans="1:36" ht="34.5" hidden="1" customHeight="1" x14ac:dyDescent="0.25">
      <c r="A763" s="40">
        <v>1192</v>
      </c>
      <c r="B763" s="40" t="s">
        <v>2813</v>
      </c>
      <c r="C763" s="40" t="s">
        <v>1756</v>
      </c>
      <c r="D763" s="44">
        <v>2030</v>
      </c>
      <c r="E763" s="44"/>
      <c r="F763" s="40" t="s">
        <v>2222</v>
      </c>
      <c r="G763" s="40" t="s">
        <v>1259</v>
      </c>
      <c r="H763" s="40" t="s">
        <v>467</v>
      </c>
      <c r="I763" s="40" t="s">
        <v>1269</v>
      </c>
      <c r="J763" s="40" t="s">
        <v>1393</v>
      </c>
      <c r="K763" s="40" t="s">
        <v>578</v>
      </c>
      <c r="L763" s="40">
        <v>1</v>
      </c>
      <c r="P763" s="40">
        <v>1</v>
      </c>
      <c r="Q763" s="40">
        <v>1</v>
      </c>
      <c r="Z763" s="40" t="s">
        <v>2812</v>
      </c>
      <c r="AA763" s="45">
        <v>2650</v>
      </c>
      <c r="AB763" s="46">
        <f>IF(H2ProjectDB689571011[[#This Row],[Dummy_1]]="Electrolysis",
AA763/VLOOKUP(G763,ElectrolysisConvF,3,FALSE),
AC763*10^6/(H2dens*HoursInYear))</f>
        <v>588888.88888888888</v>
      </c>
      <c r="AC763" s="47">
        <f t="shared" si="63"/>
        <v>459.12133333333333</v>
      </c>
      <c r="AE763" s="46">
        <f t="shared" si="64"/>
        <v>588888.88888888888</v>
      </c>
      <c r="AF763" s="43" t="s">
        <v>2816</v>
      </c>
      <c r="AG763" s="43">
        <v>51.8404527235042</v>
      </c>
      <c r="AH763" s="43">
        <v>-8.2183202646202105</v>
      </c>
      <c r="AI763" s="122" t="s">
        <v>7286</v>
      </c>
      <c r="AJ763" s="41">
        <v>0.55000000000000004</v>
      </c>
    </row>
    <row r="764" spans="1:36" ht="34.5" hidden="1" customHeight="1" x14ac:dyDescent="0.25">
      <c r="A764" s="40">
        <v>1193</v>
      </c>
      <c r="B764" s="40" t="s">
        <v>2815</v>
      </c>
      <c r="C764" s="40" t="s">
        <v>1756</v>
      </c>
      <c r="D764" s="44">
        <v>2030</v>
      </c>
      <c r="E764" s="44"/>
      <c r="F764" s="40" t="s">
        <v>2222</v>
      </c>
      <c r="G764" s="40" t="s">
        <v>1259</v>
      </c>
      <c r="H764" s="40" t="s">
        <v>467</v>
      </c>
      <c r="I764" s="40" t="s">
        <v>1269</v>
      </c>
      <c r="J764" s="40" t="s">
        <v>1393</v>
      </c>
      <c r="K764" s="40" t="s">
        <v>1243</v>
      </c>
      <c r="M764" s="40">
        <v>1</v>
      </c>
      <c r="Z764" s="40" t="s">
        <v>2054</v>
      </c>
      <c r="AA764" s="45">
        <v>500</v>
      </c>
      <c r="AB764" s="46">
        <f>IF(H2ProjectDB689571011[[#This Row],[Dummy_1]]="Electrolysis",
AA764/VLOOKUP(G764,ElectrolysisConvF,3,FALSE),
AC764*10^6/(H2dens*HoursInYear))</f>
        <v>111111.11111111112</v>
      </c>
      <c r="AC764" s="47">
        <f t="shared" si="63"/>
        <v>86.626666666666665</v>
      </c>
      <c r="AE764" s="46">
        <f t="shared" si="64"/>
        <v>111111.11111111112</v>
      </c>
      <c r="AF764" s="43" t="s">
        <v>2816</v>
      </c>
      <c r="AG764" s="43">
        <v>51.8404527235042</v>
      </c>
      <c r="AH764" s="43">
        <v>-8.2183202646202105</v>
      </c>
      <c r="AI764" s="122" t="s">
        <v>7286</v>
      </c>
      <c r="AJ764" s="41">
        <v>0.55000000000000004</v>
      </c>
    </row>
    <row r="765" spans="1:36" ht="34.5" hidden="1" customHeight="1" x14ac:dyDescent="0.25">
      <c r="A765" s="40">
        <v>1195</v>
      </c>
      <c r="B765" s="40" t="s">
        <v>2822</v>
      </c>
      <c r="C765" s="40" t="s">
        <v>536</v>
      </c>
      <c r="F765" s="40" t="s">
        <v>1331</v>
      </c>
      <c r="G765" s="40" t="s">
        <v>1259</v>
      </c>
      <c r="H765" s="40" t="s">
        <v>467</v>
      </c>
      <c r="I765" s="40" t="s">
        <v>1269</v>
      </c>
      <c r="J765" s="40" t="s">
        <v>1393</v>
      </c>
      <c r="K765" s="40" t="s">
        <v>578</v>
      </c>
      <c r="Z765" s="40" t="s">
        <v>2663</v>
      </c>
      <c r="AA765" s="45">
        <v>7.5</v>
      </c>
      <c r="AB765" s="46">
        <f>IF(H2ProjectDB689571011[[#This Row],[Dummy_1]]="Electrolysis",
AA765/VLOOKUP(G765,ElectrolysisConvF,3,FALSE),
AC765*10^6/(H2dens*HoursInYear))</f>
        <v>1666.6666666666667</v>
      </c>
      <c r="AC765" s="47">
        <f t="shared" si="63"/>
        <v>1.2994000000000001</v>
      </c>
      <c r="AE765" s="46">
        <f t="shared" si="64"/>
        <v>1666.6666666666667</v>
      </c>
      <c r="AF765" s="43" t="s">
        <v>2823</v>
      </c>
      <c r="AG765" s="43">
        <v>40.2042419033545</v>
      </c>
      <c r="AH765" s="43">
        <v>-74.153760486893304</v>
      </c>
      <c r="AI765" s="122" t="s">
        <v>7286</v>
      </c>
      <c r="AJ765" s="41">
        <v>0.55000000000000004</v>
      </c>
    </row>
    <row r="766" spans="1:36" ht="34.5" hidden="1" customHeight="1" x14ac:dyDescent="0.25">
      <c r="A766" s="40">
        <v>1196</v>
      </c>
      <c r="B766" s="40" t="s">
        <v>2825</v>
      </c>
      <c r="C766" s="40" t="s">
        <v>1067</v>
      </c>
      <c r="D766" s="44">
        <v>2026</v>
      </c>
      <c r="E766" s="44"/>
      <c r="F766" s="40" t="s">
        <v>1331</v>
      </c>
      <c r="G766" s="40" t="s">
        <v>1259</v>
      </c>
      <c r="H766" s="40" t="s">
        <v>467</v>
      </c>
      <c r="I766" s="40" t="s">
        <v>1269</v>
      </c>
      <c r="J766" s="40" t="s">
        <v>1391</v>
      </c>
      <c r="K766" s="40" t="s">
        <v>578</v>
      </c>
      <c r="Z766" s="40" t="s">
        <v>1673</v>
      </c>
      <c r="AA766" s="45">
        <v>35</v>
      </c>
      <c r="AB766" s="46">
        <f>IF(H2ProjectDB689571011[[#This Row],[Dummy_1]]="Electrolysis",
AA766/VLOOKUP(G766,ElectrolysisConvF,3,FALSE),
AC766*10^6/(H2dens*HoursInYear))</f>
        <v>7777.7777777777783</v>
      </c>
      <c r="AC766" s="47">
        <f t="shared" si="63"/>
        <v>6.0638666666666667</v>
      </c>
      <c r="AE766" s="46">
        <f t="shared" si="64"/>
        <v>7777.7777777777783</v>
      </c>
      <c r="AF766" s="43" t="s">
        <v>2827</v>
      </c>
      <c r="AG766" s="43">
        <v>21.257528000000001</v>
      </c>
      <c r="AH766" s="43">
        <v>-100.58887799999999</v>
      </c>
      <c r="AI766" s="122" t="s">
        <v>7286</v>
      </c>
      <c r="AJ766" s="41">
        <v>0.3</v>
      </c>
    </row>
    <row r="767" spans="1:36" ht="34.5" hidden="1" customHeight="1" x14ac:dyDescent="0.25">
      <c r="A767" s="40">
        <v>1197</v>
      </c>
      <c r="B767" s="40" t="s">
        <v>2828</v>
      </c>
      <c r="C767" s="40" t="s">
        <v>563</v>
      </c>
      <c r="F767" s="40" t="s">
        <v>2222</v>
      </c>
      <c r="G767" s="40" t="s">
        <v>1259</v>
      </c>
      <c r="H767" s="40" t="s">
        <v>467</v>
      </c>
      <c r="I767" s="40" t="s">
        <v>1269</v>
      </c>
      <c r="J767" s="40" t="s">
        <v>581</v>
      </c>
      <c r="K767" s="40" t="s">
        <v>578</v>
      </c>
      <c r="AC767" s="47"/>
      <c r="AE767" s="46">
        <f t="shared" si="64"/>
        <v>0</v>
      </c>
      <c r="AF767" s="43" t="s">
        <v>2829</v>
      </c>
      <c r="AG767" s="43">
        <v>0</v>
      </c>
      <c r="AH767" s="43">
        <v>0</v>
      </c>
      <c r="AI767" s="122" t="s">
        <v>7286</v>
      </c>
      <c r="AJ767" s="41">
        <v>0.5</v>
      </c>
    </row>
    <row r="768" spans="1:36" ht="34.5" hidden="1" customHeight="1" x14ac:dyDescent="0.25">
      <c r="A768" s="40">
        <v>1198</v>
      </c>
      <c r="B768" s="40" t="s">
        <v>2831</v>
      </c>
      <c r="C768" s="40" t="s">
        <v>1067</v>
      </c>
      <c r="F768" s="40" t="s">
        <v>2222</v>
      </c>
      <c r="G768" s="40" t="s">
        <v>1259</v>
      </c>
      <c r="H768" s="40" t="s">
        <v>467</v>
      </c>
      <c r="I768" s="40" t="s">
        <v>1269</v>
      </c>
      <c r="J768" s="40" t="s">
        <v>1391</v>
      </c>
      <c r="K768" s="40" t="s">
        <v>578</v>
      </c>
      <c r="AC768" s="47"/>
      <c r="AE768" s="46">
        <f t="shared" si="64"/>
        <v>0</v>
      </c>
      <c r="AG768" s="43">
        <v>21.019498309379301</v>
      </c>
      <c r="AH768" s="43">
        <v>-101.25667874031799</v>
      </c>
      <c r="AI768" s="122" t="s">
        <v>7286</v>
      </c>
      <c r="AJ768" s="41">
        <v>0.3</v>
      </c>
    </row>
    <row r="769" spans="1:36" ht="34.5" hidden="1" customHeight="1" x14ac:dyDescent="0.25">
      <c r="A769" s="40">
        <v>1199</v>
      </c>
      <c r="B769" s="40" t="s">
        <v>5178</v>
      </c>
      <c r="C769" s="40" t="s">
        <v>1067</v>
      </c>
      <c r="D769" s="44">
        <v>2025</v>
      </c>
      <c r="E769" s="44"/>
      <c r="F769" s="40" t="s">
        <v>1331</v>
      </c>
      <c r="G769" s="40" t="s">
        <v>455</v>
      </c>
      <c r="I769" s="40" t="s">
        <v>1269</v>
      </c>
      <c r="J769" s="40" t="s">
        <v>1391</v>
      </c>
      <c r="K769" s="40" t="s">
        <v>1243</v>
      </c>
      <c r="M769" s="40">
        <v>1</v>
      </c>
      <c r="Z769" s="40" t="s">
        <v>5180</v>
      </c>
      <c r="AA769" s="45">
        <v>69</v>
      </c>
      <c r="AB769" s="46">
        <f>IF(H2ProjectDB689571011[[#This Row],[Dummy_1]]="Electrolysis",
AA769/VLOOKUP(G769,ElectrolysisConvF,3,FALSE),
AC769*10^6/(H2dens*HoursInYear))</f>
        <v>13269.23076923077</v>
      </c>
      <c r="AC769" s="47">
        <f>AB769*H2dens*HoursInYear/10^6</f>
        <v>10.345223076923077</v>
      </c>
      <c r="AE769" s="46">
        <f t="shared" si="64"/>
        <v>13269.23076923077</v>
      </c>
      <c r="AF769" s="43" t="s">
        <v>5183</v>
      </c>
      <c r="AG769" s="43">
        <v>24.051112244977599</v>
      </c>
      <c r="AH769" s="43">
        <v>-104.522975191898</v>
      </c>
      <c r="AI769" s="122" t="s">
        <v>7286</v>
      </c>
      <c r="AJ769" s="41">
        <v>0.3</v>
      </c>
    </row>
    <row r="770" spans="1:36" ht="34.5" hidden="1" customHeight="1" x14ac:dyDescent="0.25">
      <c r="A770" s="40">
        <v>1200</v>
      </c>
      <c r="B770" s="40" t="s">
        <v>2833</v>
      </c>
      <c r="C770" s="40" t="s">
        <v>1764</v>
      </c>
      <c r="F770" s="40" t="s">
        <v>1331</v>
      </c>
      <c r="G770" s="40" t="s">
        <v>1259</v>
      </c>
      <c r="H770" s="40" t="s">
        <v>467</v>
      </c>
      <c r="I770" s="40" t="s">
        <v>1269</v>
      </c>
      <c r="J770" s="40" t="s">
        <v>581</v>
      </c>
      <c r="K770" s="40" t="s">
        <v>578</v>
      </c>
      <c r="P770" s="40">
        <v>1</v>
      </c>
      <c r="Q770" s="40">
        <v>1</v>
      </c>
      <c r="R770" s="40">
        <v>1</v>
      </c>
      <c r="Z770" s="40" t="s">
        <v>2834</v>
      </c>
      <c r="AA770" s="45">
        <v>237</v>
      </c>
      <c r="AB770" s="46">
        <f>IF(H2ProjectDB689571011[[#This Row],[Dummy_1]]="Electrolysis",
AA770/VLOOKUP(G770,ElectrolysisConvF,3,FALSE),
AC770*10^6/(H2dens*HoursInYear))</f>
        <v>52666.666666666672</v>
      </c>
      <c r="AC770" s="47">
        <f>AB770*H2dens*HoursInYear/10^6</f>
        <v>41.061040000000006</v>
      </c>
      <c r="AE770" s="46">
        <f t="shared" si="64"/>
        <v>52666.666666666672</v>
      </c>
      <c r="AF770" s="43" t="s">
        <v>2841</v>
      </c>
      <c r="AG770" s="43">
        <v>36.140687587540803</v>
      </c>
      <c r="AH770" s="43">
        <v>-5.4526041139802901</v>
      </c>
      <c r="AI770" s="122" t="s">
        <v>7286</v>
      </c>
      <c r="AJ770" s="41">
        <v>0.5</v>
      </c>
    </row>
    <row r="771" spans="1:36" ht="34.5" hidden="1" customHeight="1" x14ac:dyDescent="0.25">
      <c r="A771" s="40">
        <v>1201</v>
      </c>
      <c r="B771" s="40" t="s">
        <v>2836</v>
      </c>
      <c r="C771" s="40" t="s">
        <v>533</v>
      </c>
      <c r="F771" s="40" t="s">
        <v>5701</v>
      </c>
      <c r="G771" s="40" t="s">
        <v>1259</v>
      </c>
      <c r="H771" s="40" t="s">
        <v>467</v>
      </c>
      <c r="I771" s="40" t="s">
        <v>1269</v>
      </c>
      <c r="J771" s="40" t="s">
        <v>581</v>
      </c>
      <c r="K771" s="40" t="s">
        <v>578</v>
      </c>
      <c r="S771" s="40">
        <v>1</v>
      </c>
      <c r="Z771" s="40" t="s">
        <v>1495</v>
      </c>
      <c r="AA771" s="45">
        <v>20</v>
      </c>
      <c r="AB771" s="46">
        <f>IF(H2ProjectDB689571011[[#This Row],[Dummy_1]]="Electrolysis",
AA771/VLOOKUP(G771,ElectrolysisConvF,3,FALSE),
AC771*10^6/(H2dens*HoursInYear))</f>
        <v>4444.4444444444443</v>
      </c>
      <c r="AC771" s="47">
        <f>AB771*H2dens*HoursInYear/10^6</f>
        <v>3.4650666666666665</v>
      </c>
      <c r="AE771" s="46">
        <f t="shared" si="64"/>
        <v>4444.4444444444443</v>
      </c>
      <c r="AF771" s="43" t="s">
        <v>2837</v>
      </c>
      <c r="AG771" s="43">
        <v>0</v>
      </c>
      <c r="AH771" s="43">
        <v>0</v>
      </c>
      <c r="AI771" s="122" t="s">
        <v>7286</v>
      </c>
      <c r="AJ771" s="41">
        <v>0.5</v>
      </c>
    </row>
    <row r="772" spans="1:36" ht="34.5" hidden="1" customHeight="1" x14ac:dyDescent="0.25">
      <c r="A772" s="40">
        <v>1202</v>
      </c>
      <c r="B772" s="40" t="s">
        <v>2842</v>
      </c>
      <c r="C772" s="40" t="s">
        <v>1764</v>
      </c>
      <c r="D772" s="44">
        <v>2024</v>
      </c>
      <c r="E772" s="44"/>
      <c r="F772" s="40" t="s">
        <v>1331</v>
      </c>
      <c r="G772" s="40" t="s">
        <v>1259</v>
      </c>
      <c r="H772" s="40" t="s">
        <v>467</v>
      </c>
      <c r="I772" s="40" t="s">
        <v>1269</v>
      </c>
      <c r="J772" s="40" t="s">
        <v>581</v>
      </c>
      <c r="K772" s="40" t="s">
        <v>578</v>
      </c>
      <c r="Q772" s="40">
        <v>1</v>
      </c>
      <c r="Z772" s="40" t="s">
        <v>1372</v>
      </c>
      <c r="AA772" s="45">
        <v>1</v>
      </c>
      <c r="AB772" s="46">
        <f>IF(H2ProjectDB689571011[[#This Row],[Dummy_1]]="Electrolysis",
AA772/VLOOKUP(G772,ElectrolysisConvF,3,FALSE),
AC772*10^6/(H2dens*HoursInYear))</f>
        <v>222.22222222222223</v>
      </c>
      <c r="AC772" s="47">
        <f>AB772*H2dens*HoursInYear/10^6</f>
        <v>0.17325333333333334</v>
      </c>
      <c r="AE772" s="46">
        <f t="shared" si="64"/>
        <v>222.22222222222223</v>
      </c>
      <c r="AF772" s="43" t="s">
        <v>2843</v>
      </c>
      <c r="AG772" s="43">
        <v>42.922260496911299</v>
      </c>
      <c r="AH772" s="43">
        <v>-9.2717344988558903</v>
      </c>
      <c r="AI772" s="122" t="s">
        <v>7286</v>
      </c>
      <c r="AJ772" s="41">
        <v>0.5</v>
      </c>
    </row>
    <row r="773" spans="1:36" ht="34.5" hidden="1" customHeight="1" x14ac:dyDescent="0.25">
      <c r="A773" s="40">
        <v>1204</v>
      </c>
      <c r="B773" s="40" t="s">
        <v>2850</v>
      </c>
      <c r="C773" s="40" t="s">
        <v>549</v>
      </c>
      <c r="D773" s="44">
        <v>2027</v>
      </c>
      <c r="E773" s="44"/>
      <c r="F773" s="40" t="s">
        <v>1331</v>
      </c>
      <c r="G773" s="40" t="s">
        <v>1261</v>
      </c>
      <c r="H773" s="40" t="s">
        <v>2851</v>
      </c>
      <c r="K773" s="40" t="s">
        <v>1243</v>
      </c>
      <c r="M773" s="40">
        <v>1</v>
      </c>
      <c r="Z773" s="40" t="s">
        <v>3161</v>
      </c>
      <c r="AB773" s="46">
        <f>AC773/(H2dens*HoursInYear/10^6)</f>
        <v>286631.50653519836</v>
      </c>
      <c r="AC773" s="47">
        <f>3.4*365*3/17/0.98</f>
        <v>223.46938775510205</v>
      </c>
      <c r="AD773" s="46">
        <v>500000</v>
      </c>
      <c r="AE773" s="46">
        <f t="shared" si="64"/>
        <v>62688.221384707591</v>
      </c>
      <c r="AF773" s="43" t="s">
        <v>2853</v>
      </c>
      <c r="AG773" s="43">
        <v>-39.119740318563103</v>
      </c>
      <c r="AH773" s="43">
        <v>173.93801228608001</v>
      </c>
      <c r="AI773" s="122" t="s">
        <v>7287</v>
      </c>
      <c r="AJ773" s="41">
        <v>0.9</v>
      </c>
    </row>
    <row r="774" spans="1:36" ht="34.5" hidden="1" customHeight="1" x14ac:dyDescent="0.25">
      <c r="A774" s="40">
        <v>1205</v>
      </c>
      <c r="B774" s="40" t="s">
        <v>2854</v>
      </c>
      <c r="C774" s="40" t="s">
        <v>549</v>
      </c>
      <c r="D774" s="44">
        <v>2027</v>
      </c>
      <c r="E774" s="44"/>
      <c r="F774" s="40" t="s">
        <v>1331</v>
      </c>
      <c r="G774" s="40" t="s">
        <v>1261</v>
      </c>
      <c r="H774" s="40" t="s">
        <v>2851</v>
      </c>
      <c r="K774" s="40" t="s">
        <v>578</v>
      </c>
      <c r="Z774" s="40" t="s">
        <v>3162</v>
      </c>
      <c r="AB774" s="46">
        <f>AC774/(H2dens*HoursInYear/10^6)</f>
        <v>280898.8764044944</v>
      </c>
      <c r="AC774" s="47">
        <f>0.6*365</f>
        <v>219</v>
      </c>
      <c r="AD774" s="46">
        <v>500000</v>
      </c>
      <c r="AE774" s="46">
        <f t="shared" si="64"/>
        <v>62688.221384707591</v>
      </c>
      <c r="AF774" s="43" t="s">
        <v>2853</v>
      </c>
      <c r="AG774" s="43">
        <v>-39.3220512117082</v>
      </c>
      <c r="AH774" s="43">
        <v>174.41011746981999</v>
      </c>
      <c r="AI774" s="122" t="s">
        <v>7287</v>
      </c>
      <c r="AJ774" s="41">
        <v>0.9</v>
      </c>
    </row>
    <row r="775" spans="1:36" ht="34.5" hidden="1" customHeight="1" x14ac:dyDescent="0.25">
      <c r="A775" s="40">
        <v>1215</v>
      </c>
      <c r="B775" s="40" t="s">
        <v>2849</v>
      </c>
      <c r="C775" s="40" t="s">
        <v>537</v>
      </c>
      <c r="D775" s="44"/>
      <c r="E775" s="44"/>
      <c r="F775" s="40" t="s">
        <v>5701</v>
      </c>
      <c r="G775" s="40" t="s">
        <v>1263</v>
      </c>
      <c r="H775" s="40" t="s">
        <v>990</v>
      </c>
      <c r="K775" s="40" t="s">
        <v>578</v>
      </c>
      <c r="Z775" s="40" t="s">
        <v>6560</v>
      </c>
      <c r="AB775" s="46">
        <f>200000000/365/24</f>
        <v>22831.050228310502</v>
      </c>
      <c r="AC775" s="47">
        <f>AB775*(H2dens*HoursInYear/10^6)</f>
        <v>17.799999999999997</v>
      </c>
      <c r="AE775" s="46">
        <f t="shared" si="64"/>
        <v>22831.050228310502</v>
      </c>
      <c r="AG775" s="43">
        <v>0</v>
      </c>
      <c r="AH775" s="43">
        <v>0</v>
      </c>
      <c r="AI775" s="122" t="s">
        <v>1255</v>
      </c>
      <c r="AJ775" s="41">
        <v>0.9</v>
      </c>
    </row>
    <row r="776" spans="1:36" ht="34.5" hidden="1" customHeight="1" x14ac:dyDescent="0.25">
      <c r="A776" s="40">
        <v>1217</v>
      </c>
      <c r="B776" s="40" t="s">
        <v>8091</v>
      </c>
      <c r="C776" s="40" t="s">
        <v>543</v>
      </c>
      <c r="D776" s="44">
        <v>2026</v>
      </c>
      <c r="E776" s="44"/>
      <c r="F776" s="40" t="s">
        <v>1331</v>
      </c>
      <c r="G776" s="40" t="s">
        <v>457</v>
      </c>
      <c r="I776" s="40" t="s">
        <v>1269</v>
      </c>
      <c r="J776" s="40" t="s">
        <v>1391</v>
      </c>
      <c r="K776" s="40" t="s">
        <v>1243</v>
      </c>
      <c r="M776" s="40">
        <v>1</v>
      </c>
      <c r="Z776" s="40" t="s">
        <v>4983</v>
      </c>
      <c r="AA776" s="47">
        <f>IF(H2ProjectDB689571011[[#This Row],[Dummy_1]]="Electrolysis",
AB776*VLOOKUP(G776,ElectrolysisConvF,3,FALSE),
"")</f>
        <v>584.34948552300716</v>
      </c>
      <c r="AB776" s="46">
        <f>AC776/(H2dens*HoursInYear/10^6)</f>
        <v>127032.49685282764</v>
      </c>
      <c r="AC776" s="47">
        <f>(200-35)*3/17/0.98/H2ProjectDB689571011[[#This Row],[LOWE_CF]]</f>
        <v>99.039615846338535</v>
      </c>
      <c r="AE776" s="46">
        <f t="shared" si="64"/>
        <v>127032.49685282764</v>
      </c>
      <c r="AF776" s="43" t="s">
        <v>2678</v>
      </c>
      <c r="AG776" s="43">
        <v>24.4852421565258</v>
      </c>
      <c r="AH776" s="43">
        <v>54.392728038977801</v>
      </c>
      <c r="AI776" s="122" t="s">
        <v>7286</v>
      </c>
      <c r="AJ776" s="41">
        <v>0.3</v>
      </c>
    </row>
    <row r="777" spans="1:36" ht="34.5" hidden="1" customHeight="1" x14ac:dyDescent="0.25">
      <c r="A777" s="40">
        <v>1218</v>
      </c>
      <c r="B777" s="40" t="s">
        <v>2858</v>
      </c>
      <c r="C777" s="40" t="s">
        <v>530</v>
      </c>
      <c r="D777" s="44">
        <v>2021</v>
      </c>
      <c r="F777" s="40" t="s">
        <v>1339</v>
      </c>
      <c r="G777" s="40" t="s">
        <v>1263</v>
      </c>
      <c r="H777" s="40" t="s">
        <v>2578</v>
      </c>
      <c r="K777" s="40" t="s">
        <v>578</v>
      </c>
      <c r="Q777" s="40">
        <v>1</v>
      </c>
      <c r="AC777" s="47"/>
      <c r="AE777" s="46">
        <f t="shared" si="64"/>
        <v>0</v>
      </c>
      <c r="AF777" s="43" t="s">
        <v>2860</v>
      </c>
      <c r="AG777" s="43">
        <v>0</v>
      </c>
      <c r="AH777" s="43">
        <v>0</v>
      </c>
      <c r="AI777" s="122" t="s">
        <v>1255</v>
      </c>
      <c r="AJ777" s="41">
        <v>0.9</v>
      </c>
    </row>
    <row r="778" spans="1:36" ht="34.5" hidden="1" customHeight="1" x14ac:dyDescent="0.25">
      <c r="A778" s="40">
        <v>1220</v>
      </c>
      <c r="B778" s="40" t="s">
        <v>2866</v>
      </c>
      <c r="C778" s="40" t="s">
        <v>1305</v>
      </c>
      <c r="D778" s="44"/>
      <c r="E778" s="44"/>
      <c r="F778" s="40" t="s">
        <v>1331</v>
      </c>
      <c r="G778" s="40" t="s">
        <v>1259</v>
      </c>
      <c r="H778" s="40" t="s">
        <v>467</v>
      </c>
      <c r="I778" s="40" t="s">
        <v>1269</v>
      </c>
      <c r="J778" s="40" t="s">
        <v>1394</v>
      </c>
      <c r="K778" s="40" t="s">
        <v>578</v>
      </c>
      <c r="Z778" s="40" t="s">
        <v>1495</v>
      </c>
      <c r="AA778" s="45">
        <v>20</v>
      </c>
      <c r="AB778" s="46">
        <f>IF(H2ProjectDB689571011[[#This Row],[Dummy_1]]="Electrolysis",
AA778/VLOOKUP(G778,ElectrolysisConvF,3,FALSE),
AC778*10^6/(H2dens*HoursInYear))</f>
        <v>4444.4444444444443</v>
      </c>
      <c r="AC778" s="47">
        <f>AB778*H2dens*HoursInYear/10^6</f>
        <v>3.4650666666666665</v>
      </c>
      <c r="AE778" s="46">
        <f>AB778</f>
        <v>4444.4444444444443</v>
      </c>
      <c r="AF778" s="43" t="s">
        <v>2869</v>
      </c>
      <c r="AG778" s="43">
        <v>0</v>
      </c>
      <c r="AH778" s="43">
        <v>0</v>
      </c>
      <c r="AI778" s="122" t="s">
        <v>7286</v>
      </c>
      <c r="AJ778" s="41">
        <v>0.8</v>
      </c>
    </row>
    <row r="779" spans="1:36" ht="34.5" hidden="1" customHeight="1" x14ac:dyDescent="0.25">
      <c r="A779" s="40">
        <v>1221</v>
      </c>
      <c r="B779" s="40" t="s">
        <v>6819</v>
      </c>
      <c r="C779" s="40" t="s">
        <v>1305</v>
      </c>
      <c r="D779" s="44">
        <v>2027</v>
      </c>
      <c r="E779" s="44"/>
      <c r="F779" s="40" t="s">
        <v>1331</v>
      </c>
      <c r="G779" s="40" t="s">
        <v>455</v>
      </c>
      <c r="I779" s="40" t="s">
        <v>1266</v>
      </c>
      <c r="J779" s="40" t="s">
        <v>2022</v>
      </c>
      <c r="K779" s="40" t="s">
        <v>578</v>
      </c>
      <c r="L779" s="40">
        <v>1</v>
      </c>
      <c r="Z779" s="40" t="s">
        <v>1527</v>
      </c>
      <c r="AC779" s="47"/>
      <c r="AE779" s="46">
        <f t="shared" ref="AE779:AE797" si="65">IF(AND(G779&lt;&gt;"NG w CCUS",G779&lt;&gt;"Oil w CCUS",G779&lt;&gt;"Coal w CCUS"),AB779,AD779*10^3/(HoursInYear*IF(G779="NG w CCUS",0.9105,1.9075)))</f>
        <v>0</v>
      </c>
      <c r="AF779" s="43" t="s">
        <v>2869</v>
      </c>
      <c r="AG779" s="43">
        <v>49.350884343056599</v>
      </c>
      <c r="AH779" s="43">
        <v>8.1445614378556908</v>
      </c>
      <c r="AI779" s="122" t="s">
        <v>7286</v>
      </c>
      <c r="AJ779" s="41">
        <v>0.56999999999999995</v>
      </c>
    </row>
    <row r="780" spans="1:36" ht="34.5" hidden="1" customHeight="1" x14ac:dyDescent="0.25">
      <c r="A780" s="40">
        <v>1222</v>
      </c>
      <c r="B780" s="40" t="s">
        <v>2870</v>
      </c>
      <c r="C780" s="40" t="s">
        <v>536</v>
      </c>
      <c r="D780" s="40">
        <v>1982</v>
      </c>
      <c r="F780" s="40" t="s">
        <v>1339</v>
      </c>
      <c r="G780" s="40" t="s">
        <v>1261</v>
      </c>
      <c r="H780" s="40" t="s">
        <v>5709</v>
      </c>
      <c r="K780" s="40" t="s">
        <v>1243</v>
      </c>
      <c r="M780" s="40">
        <v>1</v>
      </c>
      <c r="Z780" s="40" t="s">
        <v>4806</v>
      </c>
      <c r="AC780" s="47"/>
      <c r="AD780" s="46">
        <v>680000</v>
      </c>
      <c r="AE780" s="46">
        <f t="shared" si="65"/>
        <v>85255.981083202321</v>
      </c>
      <c r="AF780" s="43" t="s">
        <v>2867</v>
      </c>
      <c r="AG780" s="43">
        <v>36.379335323951103</v>
      </c>
      <c r="AH780" s="43">
        <v>-97.763011826112503</v>
      </c>
      <c r="AI780" s="122" t="s">
        <v>7287</v>
      </c>
      <c r="AJ780" s="41">
        <v>0.9</v>
      </c>
    </row>
    <row r="781" spans="1:36" ht="34.5" hidden="1" customHeight="1" x14ac:dyDescent="0.25">
      <c r="A781" s="40">
        <v>1223</v>
      </c>
      <c r="B781" s="40" t="s">
        <v>2872</v>
      </c>
      <c r="C781" s="40" t="s">
        <v>1756</v>
      </c>
      <c r="D781" s="44">
        <v>2028</v>
      </c>
      <c r="E781" s="44"/>
      <c r="F781" s="40" t="s">
        <v>1331</v>
      </c>
      <c r="G781" s="40" t="s">
        <v>1261</v>
      </c>
      <c r="H781" s="40" t="s">
        <v>1665</v>
      </c>
      <c r="K781" s="40" t="s">
        <v>578</v>
      </c>
      <c r="L781" s="40">
        <v>1</v>
      </c>
      <c r="AC781" s="47"/>
      <c r="AD781" s="46">
        <v>2500000</v>
      </c>
      <c r="AE781" s="46">
        <f t="shared" si="65"/>
        <v>313441.10692353791</v>
      </c>
      <c r="AF781" s="43" t="s">
        <v>2874</v>
      </c>
      <c r="AG781" s="43">
        <v>51.842036410953099</v>
      </c>
      <c r="AH781" s="43">
        <v>-8.0676960949073404</v>
      </c>
      <c r="AI781" s="122" t="s">
        <v>7287</v>
      </c>
      <c r="AJ781" s="41">
        <v>0.9</v>
      </c>
    </row>
    <row r="782" spans="1:36" ht="34.5" hidden="1" customHeight="1" x14ac:dyDescent="0.25">
      <c r="A782" s="40">
        <v>1224</v>
      </c>
      <c r="B782" s="40" t="s">
        <v>2877</v>
      </c>
      <c r="C782" s="40" t="s">
        <v>554</v>
      </c>
      <c r="D782" s="44"/>
      <c r="E782" s="44"/>
      <c r="F782" s="40" t="s">
        <v>2222</v>
      </c>
      <c r="G782" s="40" t="s">
        <v>1261</v>
      </c>
      <c r="H782" s="40" t="s">
        <v>5708</v>
      </c>
      <c r="K782" s="40" t="s">
        <v>578</v>
      </c>
      <c r="Z782" s="40" t="s">
        <v>2873</v>
      </c>
      <c r="AC782" s="47"/>
      <c r="AD782" s="46">
        <v>2500000</v>
      </c>
      <c r="AE782" s="46">
        <f t="shared" si="65"/>
        <v>313441.10692353791</v>
      </c>
      <c r="AF782" s="43" t="s">
        <v>2878</v>
      </c>
      <c r="AG782" s="43">
        <v>40.818171417020402</v>
      </c>
      <c r="AH782" s="43">
        <v>24.4506513551094</v>
      </c>
      <c r="AI782" s="122" t="s">
        <v>7287</v>
      </c>
      <c r="AJ782" s="41">
        <v>0.9</v>
      </c>
    </row>
    <row r="783" spans="1:36" ht="34.5" hidden="1" customHeight="1" x14ac:dyDescent="0.25">
      <c r="A783" s="40">
        <v>1227</v>
      </c>
      <c r="B783" s="40" t="s">
        <v>2882</v>
      </c>
      <c r="C783" s="40" t="s">
        <v>537</v>
      </c>
      <c r="D783" s="44">
        <v>2015</v>
      </c>
      <c r="E783" s="40">
        <v>2020</v>
      </c>
      <c r="F783" s="40" t="s">
        <v>1256</v>
      </c>
      <c r="G783" s="40" t="s">
        <v>1260</v>
      </c>
      <c r="K783" s="40" t="s">
        <v>578</v>
      </c>
      <c r="L783" s="40">
        <v>1</v>
      </c>
      <c r="Z783" s="40" t="s">
        <v>1621</v>
      </c>
      <c r="AC783" s="47"/>
      <c r="AD783" s="46">
        <v>100000</v>
      </c>
      <c r="AE783" s="46">
        <f t="shared" si="65"/>
        <v>5984.5478973290956</v>
      </c>
      <c r="AG783" s="43">
        <v>35.762928000000002</v>
      </c>
      <c r="AH783" s="43">
        <v>114.98051100000001</v>
      </c>
      <c r="AI783" s="122" t="s">
        <v>7287</v>
      </c>
      <c r="AJ783" s="41">
        <v>0.9</v>
      </c>
    </row>
    <row r="784" spans="1:36" ht="34.5" hidden="1" customHeight="1" x14ac:dyDescent="0.25">
      <c r="A784" s="40">
        <v>1228</v>
      </c>
      <c r="B784" s="40" t="s">
        <v>2883</v>
      </c>
      <c r="C784" s="40" t="s">
        <v>537</v>
      </c>
      <c r="D784" s="44">
        <v>2015</v>
      </c>
      <c r="F784" s="40" t="s">
        <v>1339</v>
      </c>
      <c r="G784" s="40" t="s">
        <v>1260</v>
      </c>
      <c r="K784" s="40" t="s">
        <v>1242</v>
      </c>
      <c r="N784" s="40">
        <v>1</v>
      </c>
      <c r="Z784" s="40" t="s">
        <v>2884</v>
      </c>
      <c r="AC784" s="47"/>
      <c r="AD784" s="46">
        <v>50000</v>
      </c>
      <c r="AE784" s="46">
        <f t="shared" si="65"/>
        <v>2992.2739486645478</v>
      </c>
      <c r="AG784" s="43">
        <v>0</v>
      </c>
      <c r="AH784" s="43">
        <v>0</v>
      </c>
      <c r="AI784" s="122" t="s">
        <v>7287</v>
      </c>
      <c r="AJ784" s="41">
        <v>0.9</v>
      </c>
    </row>
    <row r="785" spans="1:36" ht="34.5" customHeight="1" x14ac:dyDescent="0.25">
      <c r="A785" s="40">
        <v>1229</v>
      </c>
      <c r="B785" s="40" t="s">
        <v>8273</v>
      </c>
      <c r="C785" s="40" t="s">
        <v>1052</v>
      </c>
      <c r="D785" s="44">
        <v>2027</v>
      </c>
      <c r="E785" s="44"/>
      <c r="F785" s="40" t="s">
        <v>1331</v>
      </c>
      <c r="G785" s="40" t="s">
        <v>1259</v>
      </c>
      <c r="H785" s="40" t="s">
        <v>467</v>
      </c>
      <c r="I785" s="40" t="s">
        <v>1269</v>
      </c>
      <c r="J785" s="40" t="s">
        <v>1393</v>
      </c>
      <c r="K785" s="40" t="s">
        <v>1243</v>
      </c>
      <c r="M785" s="40">
        <v>1</v>
      </c>
      <c r="Z785" s="151" t="s">
        <v>8276</v>
      </c>
      <c r="AA785" s="47">
        <f>IF(H2ProjectDB689571011[[#This Row],[Dummy_1]]="Electrolysis",
AB785*VLOOKUP(G785,ElectrolysisConvF,3,FALSE),
"")</f>
        <v>1006.0412498076035</v>
      </c>
      <c r="AB785" s="46">
        <f>AC785/(H2dens*HoursInYear/10^6)</f>
        <v>223564.72217946747</v>
      </c>
      <c r="AC785" s="47">
        <f>174.3</f>
        <v>174.3</v>
      </c>
      <c r="AE785" s="46">
        <f t="shared" si="65"/>
        <v>223564.72217946747</v>
      </c>
      <c r="AF785" s="43" t="s">
        <v>8278</v>
      </c>
      <c r="AG785" s="43">
        <v>-3.53092803394662</v>
      </c>
      <c r="AH785" s="43">
        <v>-38.792377458297302</v>
      </c>
      <c r="AI785" s="122" t="s">
        <v>7286</v>
      </c>
      <c r="AJ785" s="41">
        <v>0.55000000000000004</v>
      </c>
    </row>
    <row r="786" spans="1:36" ht="34.5" customHeight="1" x14ac:dyDescent="0.25">
      <c r="A786" s="40">
        <v>1230</v>
      </c>
      <c r="B786" s="40" t="s">
        <v>2887</v>
      </c>
      <c r="C786" s="40" t="s">
        <v>1052</v>
      </c>
      <c r="D786" s="44">
        <v>2025</v>
      </c>
      <c r="E786" s="44"/>
      <c r="F786" s="40" t="s">
        <v>1331</v>
      </c>
      <c r="G786" s="40" t="s">
        <v>1259</v>
      </c>
      <c r="H786" s="40" t="s">
        <v>467</v>
      </c>
      <c r="I786" s="40" t="s">
        <v>1269</v>
      </c>
      <c r="J786" s="40" t="s">
        <v>1393</v>
      </c>
      <c r="K786" s="40" t="s">
        <v>578</v>
      </c>
      <c r="Z786" s="40" t="s">
        <v>8258</v>
      </c>
      <c r="AA786" s="45">
        <v>1216</v>
      </c>
      <c r="AB786" s="46">
        <f>IF(H2ProjectDB689571011[[#This Row],[Dummy_1]]="Electrolysis",
AA786/VLOOKUP(G786,ElectrolysisConvF,3,FALSE),
AC786*10^6/(H2dens*HoursInYear))</f>
        <v>270222.22222222225</v>
      </c>
      <c r="AC786" s="47">
        <f>AB786*H2dens*HoursInYear/10^6</f>
        <v>210.67605333333336</v>
      </c>
      <c r="AE786" s="46">
        <f t="shared" si="65"/>
        <v>270222.22222222225</v>
      </c>
      <c r="AF786" s="43" t="s">
        <v>6510</v>
      </c>
      <c r="AG786" s="43">
        <v>-3.53092803394662</v>
      </c>
      <c r="AH786" s="43">
        <v>-38.792377458297302</v>
      </c>
      <c r="AI786" s="122" t="s">
        <v>7286</v>
      </c>
      <c r="AJ786" s="41">
        <v>0.55000000000000004</v>
      </c>
    </row>
    <row r="787" spans="1:36" ht="34.5" hidden="1" customHeight="1" x14ac:dyDescent="0.25">
      <c r="A787" s="40">
        <v>1231</v>
      </c>
      <c r="B787" s="40" t="s">
        <v>2888</v>
      </c>
      <c r="C787" s="40" t="s">
        <v>975</v>
      </c>
      <c r="D787" s="44"/>
      <c r="E787" s="44"/>
      <c r="F787" s="40" t="s">
        <v>1540</v>
      </c>
      <c r="G787" s="40" t="s">
        <v>1259</v>
      </c>
      <c r="H787" s="40" t="s">
        <v>467</v>
      </c>
      <c r="I787" s="40" t="s">
        <v>1680</v>
      </c>
      <c r="K787" s="40" t="s">
        <v>578</v>
      </c>
      <c r="AC787" s="47"/>
      <c r="AE787" s="46">
        <f t="shared" si="65"/>
        <v>0</v>
      </c>
      <c r="AF787" s="43" t="s">
        <v>2890</v>
      </c>
      <c r="AG787" s="43">
        <v>0</v>
      </c>
      <c r="AH787" s="43">
        <v>0</v>
      </c>
      <c r="AI787" s="122" t="s">
        <v>7286</v>
      </c>
      <c r="AJ787" s="41">
        <v>0.8</v>
      </c>
    </row>
    <row r="788" spans="1:36" ht="34.5" hidden="1" customHeight="1" x14ac:dyDescent="0.25">
      <c r="A788" s="40">
        <v>1232</v>
      </c>
      <c r="B788" s="40" t="s">
        <v>2891</v>
      </c>
      <c r="C788" s="40" t="s">
        <v>1756</v>
      </c>
      <c r="D788" s="44"/>
      <c r="E788" s="44"/>
      <c r="F788" s="40" t="s">
        <v>1540</v>
      </c>
      <c r="G788" s="40" t="s">
        <v>1259</v>
      </c>
      <c r="H788" s="40" t="s">
        <v>467</v>
      </c>
      <c r="I788" s="40" t="s">
        <v>1269</v>
      </c>
      <c r="J788" s="40" t="s">
        <v>581</v>
      </c>
      <c r="K788" s="40" t="s">
        <v>578</v>
      </c>
      <c r="AC788" s="47"/>
      <c r="AE788" s="46">
        <f t="shared" si="65"/>
        <v>0</v>
      </c>
      <c r="AF788" s="43" t="s">
        <v>2892</v>
      </c>
      <c r="AG788" s="43">
        <v>53.361348681834102</v>
      </c>
      <c r="AH788" s="43">
        <v>-7.2106910247971703</v>
      </c>
      <c r="AI788" s="122" t="s">
        <v>7286</v>
      </c>
      <c r="AJ788" s="41">
        <v>0.5</v>
      </c>
    </row>
    <row r="789" spans="1:36" ht="34.5" hidden="1" customHeight="1" x14ac:dyDescent="0.25">
      <c r="A789" s="40">
        <v>1233</v>
      </c>
      <c r="B789" s="40" t="s">
        <v>2896</v>
      </c>
      <c r="C789" s="40" t="s">
        <v>559</v>
      </c>
      <c r="F789" s="40" t="s">
        <v>1331</v>
      </c>
      <c r="G789" s="40" t="s">
        <v>1259</v>
      </c>
      <c r="H789" s="40" t="s">
        <v>467</v>
      </c>
      <c r="I789" s="40" t="s">
        <v>1269</v>
      </c>
      <c r="J789" s="40" t="s">
        <v>1395</v>
      </c>
      <c r="K789" s="40" t="s">
        <v>578</v>
      </c>
      <c r="V789" s="40">
        <v>1</v>
      </c>
      <c r="Z789" s="40" t="s">
        <v>2171</v>
      </c>
      <c r="AA789" s="45">
        <v>300</v>
      </c>
      <c r="AB789" s="46">
        <f>IF(H2ProjectDB689571011[[#This Row],[Dummy_1]]="Electrolysis",
AA789/VLOOKUP(G789,ElectrolysisConvF,3,FALSE),
AC789*10^6/(H2dens*HoursInYear))</f>
        <v>66666.666666666672</v>
      </c>
      <c r="AC789" s="47">
        <f>AB789*H2dens*HoursInYear/10^6</f>
        <v>51.975999999999999</v>
      </c>
      <c r="AE789" s="46">
        <f t="shared" si="65"/>
        <v>66666.666666666672</v>
      </c>
      <c r="AF789" s="43" t="s">
        <v>2172</v>
      </c>
      <c r="AG789" s="43">
        <v>58.3501101279913</v>
      </c>
      <c r="AH789" s="43">
        <v>11.4181565703246</v>
      </c>
      <c r="AI789" s="122" t="s">
        <v>7286</v>
      </c>
      <c r="AJ789" s="41">
        <v>0.5</v>
      </c>
    </row>
    <row r="790" spans="1:36" ht="34.5" hidden="1" customHeight="1" x14ac:dyDescent="0.25">
      <c r="A790" s="40">
        <v>1234</v>
      </c>
      <c r="B790" s="40" t="s">
        <v>2897</v>
      </c>
      <c r="C790" s="40" t="s">
        <v>1045</v>
      </c>
      <c r="D790" s="44">
        <v>2000</v>
      </c>
      <c r="E790" s="44">
        <v>2019</v>
      </c>
      <c r="F790" s="40" t="s">
        <v>1256</v>
      </c>
      <c r="G790" s="40" t="s">
        <v>457</v>
      </c>
      <c r="I790" s="40" t="s">
        <v>1269</v>
      </c>
      <c r="J790" s="40" t="s">
        <v>1394</v>
      </c>
      <c r="K790" s="40" t="s">
        <v>1243</v>
      </c>
      <c r="M790" s="40">
        <v>1</v>
      </c>
      <c r="Z790" s="40" t="s">
        <v>2898</v>
      </c>
      <c r="AC790" s="47"/>
      <c r="AE790" s="46">
        <f t="shared" si="65"/>
        <v>0</v>
      </c>
      <c r="AF790" s="43" t="s">
        <v>2901</v>
      </c>
      <c r="AG790" s="43">
        <v>24.1220145914996</v>
      </c>
      <c r="AH790" s="43">
        <v>33.022070938844898</v>
      </c>
      <c r="AI790" s="122" t="s">
        <v>7286</v>
      </c>
      <c r="AJ790" s="41">
        <v>0.8</v>
      </c>
    </row>
    <row r="791" spans="1:36" ht="34.5" hidden="1" customHeight="1" x14ac:dyDescent="0.25">
      <c r="A791" s="40">
        <v>1235</v>
      </c>
      <c r="B791" s="40" t="s">
        <v>2902</v>
      </c>
      <c r="C791" s="40" t="s">
        <v>1961</v>
      </c>
      <c r="D791" s="44">
        <v>1975</v>
      </c>
      <c r="E791" s="40">
        <v>2015</v>
      </c>
      <c r="F791" s="40" t="s">
        <v>1256</v>
      </c>
      <c r="G791" s="40" t="s">
        <v>457</v>
      </c>
      <c r="I791" s="40" t="s">
        <v>1257</v>
      </c>
      <c r="K791" s="40" t="s">
        <v>1243</v>
      </c>
      <c r="M791" s="40">
        <v>1</v>
      </c>
      <c r="Z791" s="40" t="s">
        <v>1485</v>
      </c>
      <c r="AC791" s="47"/>
      <c r="AE791" s="46">
        <f t="shared" si="65"/>
        <v>0</v>
      </c>
      <c r="AF791" s="43" t="s">
        <v>2903</v>
      </c>
      <c r="AG791" s="43">
        <v>0</v>
      </c>
      <c r="AH791" s="43">
        <v>0</v>
      </c>
      <c r="AI791" s="122" t="s">
        <v>7286</v>
      </c>
      <c r="AJ791" s="41">
        <v>0.56999999999999995</v>
      </c>
    </row>
    <row r="792" spans="1:36" ht="34.5" hidden="1" customHeight="1" x14ac:dyDescent="0.25">
      <c r="A792" s="40">
        <v>1237</v>
      </c>
      <c r="B792" s="40" t="s">
        <v>2905</v>
      </c>
      <c r="C792" s="40" t="s">
        <v>531</v>
      </c>
      <c r="D792" s="44">
        <v>2030</v>
      </c>
      <c r="E792" s="44"/>
      <c r="F792" s="40" t="s">
        <v>1331</v>
      </c>
      <c r="G792" s="40" t="s">
        <v>1261</v>
      </c>
      <c r="H792" s="40" t="s">
        <v>1665</v>
      </c>
      <c r="K792" s="40" t="s">
        <v>578</v>
      </c>
      <c r="P792" s="40">
        <v>1</v>
      </c>
      <c r="Q792" s="40">
        <v>1</v>
      </c>
      <c r="Z792" s="40" t="s">
        <v>3602</v>
      </c>
      <c r="AB792" s="46">
        <f>AC792/(H2dens*HoursInYear/10^6)</f>
        <v>327715.35580524342</v>
      </c>
      <c r="AC792" s="47">
        <f>0.7*365</f>
        <v>255.49999999999997</v>
      </c>
      <c r="AE792" s="46">
        <f t="shared" si="65"/>
        <v>0</v>
      </c>
      <c r="AF792" s="43" t="s">
        <v>4737</v>
      </c>
      <c r="AG792" s="43">
        <v>0</v>
      </c>
      <c r="AH792" s="43">
        <v>0</v>
      </c>
      <c r="AI792" s="122" t="s">
        <v>7287</v>
      </c>
      <c r="AJ792" s="41">
        <v>0.9</v>
      </c>
    </row>
    <row r="793" spans="1:36" ht="34.5" hidden="1" customHeight="1" x14ac:dyDescent="0.25">
      <c r="A793" s="40">
        <v>1239</v>
      </c>
      <c r="B793" s="40" t="s">
        <v>2908</v>
      </c>
      <c r="C793" s="40" t="s">
        <v>536</v>
      </c>
      <c r="D793" s="44"/>
      <c r="E793" s="44"/>
      <c r="F793" s="40" t="s">
        <v>1331</v>
      </c>
      <c r="G793" s="40" t="s">
        <v>455</v>
      </c>
      <c r="I793" s="40" t="s">
        <v>1269</v>
      </c>
      <c r="J793" s="40" t="s">
        <v>1392</v>
      </c>
      <c r="K793" s="40" t="s">
        <v>578</v>
      </c>
      <c r="Q793" s="40">
        <v>1</v>
      </c>
      <c r="Z793" s="40" t="s">
        <v>4986</v>
      </c>
      <c r="AA793" s="47">
        <f>IF(H2ProjectDB689571011[[#This Row],[Dummy_1]]="Electrolysis",
AB793*VLOOKUP(G793,ElectrolysisConvF,3,FALSE),
"")</f>
        <v>182.58426966292132</v>
      </c>
      <c r="AB793" s="46">
        <f>AC793/(H2dens*HoursInYear/10^6)</f>
        <v>35112.359550561792</v>
      </c>
      <c r="AC793" s="47">
        <f>30*365/1000/H2ProjectDB689571011[[#This Row],[LOWE_CF]]</f>
        <v>27.374999999999996</v>
      </c>
      <c r="AE793" s="46">
        <f t="shared" si="65"/>
        <v>35112.359550561792</v>
      </c>
      <c r="AF793" s="43" t="s">
        <v>2907</v>
      </c>
      <c r="AG793" s="43">
        <v>30.925540999999999</v>
      </c>
      <c r="AH793" s="43">
        <v>-97.177593999999999</v>
      </c>
      <c r="AI793" s="122" t="s">
        <v>7286</v>
      </c>
      <c r="AJ793" s="41">
        <v>0.4</v>
      </c>
    </row>
    <row r="794" spans="1:36" ht="34.5" hidden="1" customHeight="1" x14ac:dyDescent="0.25">
      <c r="A794" s="40">
        <v>1240</v>
      </c>
      <c r="B794" s="40" t="s">
        <v>2915</v>
      </c>
      <c r="C794" s="40" t="s">
        <v>536</v>
      </c>
      <c r="D794" s="44">
        <v>2000</v>
      </c>
      <c r="F794" s="40" t="s">
        <v>1339</v>
      </c>
      <c r="G794" s="40" t="s">
        <v>455</v>
      </c>
      <c r="I794" s="40" t="s">
        <v>1257</v>
      </c>
      <c r="K794" s="40" t="s">
        <v>578</v>
      </c>
      <c r="Z794" s="40" t="s">
        <v>2916</v>
      </c>
      <c r="AA794" s="45">
        <v>3.75</v>
      </c>
      <c r="AB794" s="46">
        <f>IF(H2ProjectDB689571011[[#This Row],[Dummy_1]]="Electrolysis",
AA794/VLOOKUP(G794,ElectrolysisConvF,3,FALSE),
AC794*10^6/(H2dens*HoursInYear))</f>
        <v>721.15384615384619</v>
      </c>
      <c r="AC794" s="47">
        <f>AB794*H2dens*HoursInYear/10^6</f>
        <v>0.56224038461538461</v>
      </c>
      <c r="AE794" s="46">
        <f t="shared" si="65"/>
        <v>721.15384615384619</v>
      </c>
      <c r="AF794" s="43" t="s">
        <v>2911</v>
      </c>
      <c r="AG794" s="43">
        <v>0</v>
      </c>
      <c r="AH794" s="43">
        <v>0</v>
      </c>
      <c r="AI794" s="122" t="s">
        <v>7286</v>
      </c>
      <c r="AJ794" s="41">
        <v>0.56999999999999995</v>
      </c>
    </row>
    <row r="795" spans="1:36" ht="34.5" hidden="1" customHeight="1" x14ac:dyDescent="0.25">
      <c r="A795" s="40">
        <v>1241</v>
      </c>
      <c r="B795" s="40" t="s">
        <v>2917</v>
      </c>
      <c r="C795" s="40" t="s">
        <v>536</v>
      </c>
      <c r="D795" s="44">
        <v>2000</v>
      </c>
      <c r="F795" s="40" t="s">
        <v>1339</v>
      </c>
      <c r="G795" s="40" t="s">
        <v>455</v>
      </c>
      <c r="I795" s="40" t="s">
        <v>1257</v>
      </c>
      <c r="K795" s="40" t="s">
        <v>578</v>
      </c>
      <c r="Z795" s="40" t="s">
        <v>2918</v>
      </c>
      <c r="AA795" s="45">
        <v>0.5</v>
      </c>
      <c r="AB795" s="46">
        <f>IF(H2ProjectDB689571011[[#This Row],[Dummy_1]]="Electrolysis",
AA795/VLOOKUP(G795,ElectrolysisConvF,3,FALSE),
AC795*10^6/(H2dens*HoursInYear))</f>
        <v>96.15384615384616</v>
      </c>
      <c r="AC795" s="47">
        <f>AB795*H2dens*HoursInYear/10^6</f>
        <v>7.4965384615384628E-2</v>
      </c>
      <c r="AE795" s="46">
        <f t="shared" si="65"/>
        <v>96.15384615384616</v>
      </c>
      <c r="AF795" s="43" t="s">
        <v>2911</v>
      </c>
      <c r="AG795" s="43">
        <v>0</v>
      </c>
      <c r="AH795" s="43">
        <v>0</v>
      </c>
      <c r="AI795" s="122" t="s">
        <v>7286</v>
      </c>
      <c r="AJ795" s="41">
        <v>0.56999999999999995</v>
      </c>
    </row>
    <row r="796" spans="1:36" ht="34.5" hidden="1" customHeight="1" x14ac:dyDescent="0.25">
      <c r="A796" s="40">
        <v>1243</v>
      </c>
      <c r="B796" s="40" t="s">
        <v>2919</v>
      </c>
      <c r="C796" s="40" t="s">
        <v>536</v>
      </c>
      <c r="D796" s="44">
        <v>2000</v>
      </c>
      <c r="F796" s="40" t="s">
        <v>1339</v>
      </c>
      <c r="G796" s="40" t="s">
        <v>455</v>
      </c>
      <c r="I796" s="40" t="s">
        <v>1257</v>
      </c>
      <c r="K796" s="40" t="s">
        <v>578</v>
      </c>
      <c r="Z796" s="40" t="s">
        <v>2920</v>
      </c>
      <c r="AA796" s="45">
        <v>3.24</v>
      </c>
      <c r="AB796" s="46">
        <f>IF(H2ProjectDB689571011[[#This Row],[Dummy_1]]="Electrolysis",
AA796/VLOOKUP(G796,ElectrolysisConvF,3,FALSE),
AC796*10^6/(H2dens*HoursInYear))</f>
        <v>623.07692307692309</v>
      </c>
      <c r="AC796" s="47">
        <f>AB796*H2dens*HoursInYear/10^6</f>
        <v>0.48577569230769224</v>
      </c>
      <c r="AE796" s="46">
        <f t="shared" si="65"/>
        <v>623.07692307692309</v>
      </c>
      <c r="AF796" s="43" t="s">
        <v>2911</v>
      </c>
      <c r="AG796" s="43">
        <v>0</v>
      </c>
      <c r="AH796" s="43">
        <v>0</v>
      </c>
      <c r="AI796" s="122" t="s">
        <v>7286</v>
      </c>
      <c r="AJ796" s="41">
        <v>0.56999999999999995</v>
      </c>
    </row>
    <row r="797" spans="1:36" ht="34.5" hidden="1" customHeight="1" x14ac:dyDescent="0.25">
      <c r="A797" s="40">
        <v>1245</v>
      </c>
      <c r="B797" s="40" t="s">
        <v>2921</v>
      </c>
      <c r="C797" s="40" t="s">
        <v>536</v>
      </c>
      <c r="D797" s="44">
        <v>2000</v>
      </c>
      <c r="F797" s="40" t="s">
        <v>1339</v>
      </c>
      <c r="G797" s="40" t="s">
        <v>455</v>
      </c>
      <c r="I797" s="40" t="s">
        <v>1257</v>
      </c>
      <c r="K797" s="40" t="s">
        <v>578</v>
      </c>
      <c r="Z797" s="40" t="s">
        <v>2922</v>
      </c>
      <c r="AA797" s="45">
        <v>1.44</v>
      </c>
      <c r="AB797" s="46">
        <f>IF(H2ProjectDB689571011[[#This Row],[Dummy_1]]="Electrolysis",
AA797/VLOOKUP(G797,ElectrolysisConvF,3,FALSE),
AC797*10^6/(H2dens*HoursInYear))</f>
        <v>276.92307692307691</v>
      </c>
      <c r="AC797" s="47">
        <f>AB797*H2dens*HoursInYear/10^6</f>
        <v>0.21590030769230767</v>
      </c>
      <c r="AE797" s="46">
        <f t="shared" si="65"/>
        <v>276.92307692307691</v>
      </c>
      <c r="AF797" s="43" t="s">
        <v>2911</v>
      </c>
      <c r="AG797" s="43">
        <v>0</v>
      </c>
      <c r="AH797" s="43">
        <v>0</v>
      </c>
      <c r="AI797" s="122" t="s">
        <v>7286</v>
      </c>
      <c r="AJ797" s="41">
        <v>0.56999999999999995</v>
      </c>
    </row>
    <row r="798" spans="1:36" ht="34.5" hidden="1" customHeight="1" x14ac:dyDescent="0.25">
      <c r="A798" s="40">
        <v>1247</v>
      </c>
      <c r="B798" s="40" t="s">
        <v>2926</v>
      </c>
      <c r="C798" s="40" t="s">
        <v>536</v>
      </c>
      <c r="D798" s="44">
        <v>2020</v>
      </c>
      <c r="E798" s="44">
        <v>2023</v>
      </c>
      <c r="F798" s="40" t="s">
        <v>1540</v>
      </c>
      <c r="G798" s="40" t="s">
        <v>1263</v>
      </c>
      <c r="H798" s="40" t="s">
        <v>1268</v>
      </c>
      <c r="K798" s="40" t="s">
        <v>578</v>
      </c>
      <c r="Q798" s="40">
        <v>1</v>
      </c>
      <c r="R798" s="40">
        <v>1</v>
      </c>
      <c r="Z798" s="40" t="s">
        <v>2927</v>
      </c>
      <c r="AA798" s="45" t="str">
        <f>IF(OR(G798="ALK",G798="PEM",G798="SOEC",G798="Other Electrolysis"),
AB798*VLOOKUP(G798,ElectrolysisConvF,3,FALSE),
"")</f>
        <v/>
      </c>
      <c r="AB798" s="46">
        <f>AC798/(H2dens*HoursInYear/10^6)</f>
        <v>35.112359550561798</v>
      </c>
      <c r="AC798" s="47">
        <f>75*365/1000000</f>
        <v>2.7375E-2</v>
      </c>
      <c r="AE798" s="46">
        <f>AB798</f>
        <v>35.112359550561798</v>
      </c>
      <c r="AF798" s="43" t="s">
        <v>2925</v>
      </c>
      <c r="AG798" s="43">
        <v>0</v>
      </c>
      <c r="AH798" s="43">
        <v>0</v>
      </c>
      <c r="AI798" s="122" t="s">
        <v>1255</v>
      </c>
      <c r="AJ798" s="41">
        <v>0.9</v>
      </c>
    </row>
    <row r="799" spans="1:36" ht="34.5" hidden="1" customHeight="1" x14ac:dyDescent="0.25">
      <c r="A799" s="40">
        <v>1248</v>
      </c>
      <c r="B799" s="40" t="s">
        <v>6156</v>
      </c>
      <c r="C799" s="40" t="s">
        <v>1764</v>
      </c>
      <c r="D799" s="44">
        <v>2026</v>
      </c>
      <c r="E799" s="44"/>
      <c r="F799" s="40" t="s">
        <v>1331</v>
      </c>
      <c r="G799" s="40" t="s">
        <v>455</v>
      </c>
      <c r="I799" s="40" t="s">
        <v>1269</v>
      </c>
      <c r="J799" s="40" t="s">
        <v>1392</v>
      </c>
      <c r="K799" s="40" t="s">
        <v>1242</v>
      </c>
      <c r="N799" s="40">
        <v>1</v>
      </c>
      <c r="Z799" s="40" t="s">
        <v>1484</v>
      </c>
      <c r="AA799" s="45">
        <v>5</v>
      </c>
      <c r="AB799" s="46">
        <f>IF(H2ProjectDB689571011[[#This Row],[Dummy_1]]="Electrolysis",
AA799/VLOOKUP(G799,ElectrolysisConvF,3,FALSE),
AC799*10^6/(H2dens*HoursInYear))</f>
        <v>961.53846153846155</v>
      </c>
      <c r="AC799" s="47">
        <f>AB799*H2dens*HoursInYear/10^6</f>
        <v>0.74965384615384612</v>
      </c>
      <c r="AE799" s="46">
        <f t="shared" ref="AE799:AE819" si="66">IF(AND(G799&lt;&gt;"NG w CCUS",G799&lt;&gt;"Oil w CCUS",G799&lt;&gt;"Coal w CCUS"),AB799,AD799*10^3/(HoursInYear*IF(G799="NG w CCUS",0.9105,1.9075)))</f>
        <v>961.53846153846155</v>
      </c>
      <c r="AF799" s="43" t="s">
        <v>2930</v>
      </c>
      <c r="AG799" s="43">
        <v>42.604173236397401</v>
      </c>
      <c r="AH799" s="43">
        <v>-8.6460137580765206</v>
      </c>
      <c r="AI799" s="122" t="s">
        <v>7286</v>
      </c>
      <c r="AJ799" s="41">
        <v>0.4</v>
      </c>
    </row>
    <row r="800" spans="1:36" ht="34.5" hidden="1" customHeight="1" x14ac:dyDescent="0.25">
      <c r="A800" s="40">
        <v>1249</v>
      </c>
      <c r="B800" s="40" t="s">
        <v>6157</v>
      </c>
      <c r="C800" s="40" t="s">
        <v>1764</v>
      </c>
      <c r="D800" s="44">
        <v>2027</v>
      </c>
      <c r="E800" s="44"/>
      <c r="F800" s="40" t="s">
        <v>1331</v>
      </c>
      <c r="G800" s="40" t="s">
        <v>1259</v>
      </c>
      <c r="H800" s="40" t="s">
        <v>467</v>
      </c>
      <c r="I800" s="40" t="s">
        <v>1269</v>
      </c>
      <c r="J800" s="40" t="s">
        <v>1392</v>
      </c>
      <c r="K800" s="40" t="s">
        <v>1242</v>
      </c>
      <c r="N800" s="40">
        <v>1</v>
      </c>
      <c r="Z800" s="40" t="s">
        <v>1576</v>
      </c>
      <c r="AA800" s="45">
        <v>150</v>
      </c>
      <c r="AB800" s="46">
        <f>IF(H2ProjectDB689571011[[#This Row],[Dummy_1]]="Electrolysis",
AA800/VLOOKUP(G800,ElectrolysisConvF,3,FALSE),
AC800*10^6/(H2dens*HoursInYear))</f>
        <v>33333.333333333336</v>
      </c>
      <c r="AC800" s="47">
        <f>AB800*H2dens*HoursInYear/10^6</f>
        <v>25.988</v>
      </c>
      <c r="AE800" s="46">
        <f t="shared" si="66"/>
        <v>33333.333333333336</v>
      </c>
      <c r="AF800" s="43" t="s">
        <v>2930</v>
      </c>
      <c r="AG800" s="43">
        <v>42.604173236397401</v>
      </c>
      <c r="AH800" s="43">
        <v>-8.6460137580765206</v>
      </c>
      <c r="AI800" s="122" t="s">
        <v>7286</v>
      </c>
      <c r="AJ800" s="41">
        <v>0.4</v>
      </c>
    </row>
    <row r="801" spans="1:36" ht="34.5" hidden="1" customHeight="1" x14ac:dyDescent="0.25">
      <c r="A801" s="40">
        <v>1250</v>
      </c>
      <c r="B801" s="40" t="s">
        <v>2937</v>
      </c>
      <c r="C801" s="40" t="s">
        <v>536</v>
      </c>
      <c r="D801" s="44"/>
      <c r="E801" s="44"/>
      <c r="F801" s="40" t="s">
        <v>2222</v>
      </c>
      <c r="G801" s="40" t="s">
        <v>1259</v>
      </c>
      <c r="H801" s="40" t="s">
        <v>467</v>
      </c>
      <c r="I801" s="40" t="s">
        <v>1269</v>
      </c>
      <c r="J801" s="40" t="s">
        <v>581</v>
      </c>
      <c r="K801" s="40" t="s">
        <v>578</v>
      </c>
      <c r="R801" s="40">
        <v>1</v>
      </c>
      <c r="AC801" s="47"/>
      <c r="AE801" s="46">
        <f t="shared" si="66"/>
        <v>0</v>
      </c>
      <c r="AF801" s="43" t="s">
        <v>2939</v>
      </c>
      <c r="AG801" s="43">
        <v>0</v>
      </c>
      <c r="AH801" s="43">
        <v>0</v>
      </c>
      <c r="AI801" s="122" t="s">
        <v>7286</v>
      </c>
      <c r="AJ801" s="41">
        <v>0.5</v>
      </c>
    </row>
    <row r="802" spans="1:36" ht="34.5" hidden="1" customHeight="1" x14ac:dyDescent="0.25">
      <c r="A802" s="40">
        <v>1251</v>
      </c>
      <c r="B802" s="40" t="s">
        <v>2935</v>
      </c>
      <c r="C802" s="40" t="s">
        <v>536</v>
      </c>
      <c r="D802" s="44"/>
      <c r="E802" s="44"/>
      <c r="F802" s="40" t="s">
        <v>2222</v>
      </c>
      <c r="G802" s="40" t="s">
        <v>1259</v>
      </c>
      <c r="H802" s="40" t="s">
        <v>467</v>
      </c>
      <c r="I802" s="40" t="s">
        <v>1269</v>
      </c>
      <c r="J802" s="40" t="s">
        <v>581</v>
      </c>
      <c r="K802" s="40" t="s">
        <v>578</v>
      </c>
      <c r="R802" s="40">
        <v>1</v>
      </c>
      <c r="AC802" s="47"/>
      <c r="AE802" s="46">
        <f t="shared" si="66"/>
        <v>0</v>
      </c>
      <c r="AF802" s="43" t="s">
        <v>2939</v>
      </c>
      <c r="AG802" s="43">
        <v>0</v>
      </c>
      <c r="AH802" s="43">
        <v>0</v>
      </c>
      <c r="AI802" s="122" t="s">
        <v>7286</v>
      </c>
      <c r="AJ802" s="41">
        <v>0.5</v>
      </c>
    </row>
    <row r="803" spans="1:36" ht="34.5" hidden="1" customHeight="1" x14ac:dyDescent="0.25">
      <c r="A803" s="40">
        <v>1252</v>
      </c>
      <c r="B803" s="40" t="s">
        <v>2936</v>
      </c>
      <c r="C803" s="40" t="s">
        <v>536</v>
      </c>
      <c r="D803" s="44"/>
      <c r="E803" s="44"/>
      <c r="F803" s="40" t="s">
        <v>2222</v>
      </c>
      <c r="G803" s="40" t="s">
        <v>1259</v>
      </c>
      <c r="H803" s="40" t="s">
        <v>467</v>
      </c>
      <c r="I803" s="40" t="s">
        <v>1269</v>
      </c>
      <c r="J803" s="40" t="s">
        <v>581</v>
      </c>
      <c r="K803" s="40" t="s">
        <v>578</v>
      </c>
      <c r="R803" s="40">
        <v>1</v>
      </c>
      <c r="AC803" s="47"/>
      <c r="AE803" s="46">
        <f t="shared" si="66"/>
        <v>0</v>
      </c>
      <c r="AF803" s="43" t="s">
        <v>2939</v>
      </c>
      <c r="AG803" s="43">
        <v>0</v>
      </c>
      <c r="AH803" s="43">
        <v>0</v>
      </c>
      <c r="AI803" s="122" t="s">
        <v>7286</v>
      </c>
      <c r="AJ803" s="41">
        <v>0.5</v>
      </c>
    </row>
    <row r="804" spans="1:36" ht="34.5" hidden="1" customHeight="1" x14ac:dyDescent="0.25">
      <c r="A804" s="40">
        <v>1253</v>
      </c>
      <c r="B804" s="40" t="s">
        <v>2942</v>
      </c>
      <c r="C804" s="40" t="s">
        <v>535</v>
      </c>
      <c r="D804" s="44">
        <v>2029</v>
      </c>
      <c r="E804" s="44"/>
      <c r="F804" s="40" t="s">
        <v>2222</v>
      </c>
      <c r="G804" s="40" t="s">
        <v>1259</v>
      </c>
      <c r="H804" s="40" t="s">
        <v>467</v>
      </c>
      <c r="I804" s="40" t="s">
        <v>1269</v>
      </c>
      <c r="J804" s="40" t="s">
        <v>1395</v>
      </c>
      <c r="K804" s="40" t="s">
        <v>1243</v>
      </c>
      <c r="M804" s="40">
        <v>1</v>
      </c>
      <c r="Z804" s="40" t="s">
        <v>4960</v>
      </c>
      <c r="AA804" s="47">
        <f>IF(H2ProjectDB689571011[[#This Row],[Dummy_1]]="Electrolysis",
AB804*VLOOKUP(G804,ElectrolysisConvF,3,FALSE),
"")</f>
        <v>41574.271697289041</v>
      </c>
      <c r="AB804" s="46">
        <f>AC804/(H2dens*HoursInYear/10^6)</f>
        <v>9238727.0438420102</v>
      </c>
      <c r="AC804" s="47">
        <f>20000*3/17/0.98/H2ProjectDB689571011[[#This Row],[LOWE_CF]]</f>
        <v>7202.8811524609846</v>
      </c>
      <c r="AE804" s="46">
        <f t="shared" si="66"/>
        <v>9238727.0438420102</v>
      </c>
      <c r="AF804" s="43" t="s">
        <v>2943</v>
      </c>
      <c r="AG804" s="43">
        <v>-30.7477693522858</v>
      </c>
      <c r="AH804" s="43">
        <v>121.46500790601399</v>
      </c>
      <c r="AI804" s="122" t="s">
        <v>7286</v>
      </c>
      <c r="AJ804" s="41">
        <v>0.5</v>
      </c>
    </row>
    <row r="805" spans="1:36" ht="34.5" hidden="1" customHeight="1" x14ac:dyDescent="0.25">
      <c r="A805" s="40">
        <v>1254</v>
      </c>
      <c r="B805" s="40" t="s">
        <v>2946</v>
      </c>
      <c r="C805" s="40" t="s">
        <v>535</v>
      </c>
      <c r="D805" s="44">
        <v>2023</v>
      </c>
      <c r="E805" s="44"/>
      <c r="F805" s="40" t="s">
        <v>1540</v>
      </c>
      <c r="G805" s="40" t="s">
        <v>1259</v>
      </c>
      <c r="H805" s="40" t="s">
        <v>467</v>
      </c>
      <c r="I805" s="40" t="s">
        <v>1269</v>
      </c>
      <c r="J805" s="40" t="s">
        <v>1391</v>
      </c>
      <c r="K805" s="40" t="s">
        <v>612</v>
      </c>
      <c r="X805" s="40">
        <v>1</v>
      </c>
      <c r="Z805" s="40" t="s">
        <v>1502</v>
      </c>
      <c r="AA805" s="45">
        <v>5.0000000000000001E-3</v>
      </c>
      <c r="AB805" s="46">
        <f>IF(H2ProjectDB689571011[[#This Row],[Dummy_1]]="Electrolysis",
AA805/VLOOKUP(G805,ElectrolysisConvF,3,FALSE),
AC805*10^6/(H2dens*HoursInYear))</f>
        <v>1.1111111111111112</v>
      </c>
      <c r="AC805" s="47">
        <f>AB805*H2dens*HoursInYear/10^6</f>
        <v>8.6626666666666662E-4</v>
      </c>
      <c r="AE805" s="46">
        <f t="shared" si="66"/>
        <v>1.1111111111111112</v>
      </c>
      <c r="AF805" s="43" t="s">
        <v>2952</v>
      </c>
      <c r="AG805" s="43">
        <v>-26.497108262909801</v>
      </c>
      <c r="AH805" s="43">
        <v>148.793833382439</v>
      </c>
      <c r="AI805" s="122" t="s">
        <v>7286</v>
      </c>
      <c r="AJ805" s="41">
        <v>0.3</v>
      </c>
    </row>
    <row r="806" spans="1:36" ht="34.5" hidden="1" customHeight="1" x14ac:dyDescent="0.25">
      <c r="A806" s="40">
        <v>1255</v>
      </c>
      <c r="B806" s="40" t="s">
        <v>2947</v>
      </c>
      <c r="C806" s="40" t="s">
        <v>535</v>
      </c>
      <c r="D806" s="44"/>
      <c r="E806" s="44"/>
      <c r="F806" s="40" t="s">
        <v>1540</v>
      </c>
      <c r="G806" s="40" t="s">
        <v>1263</v>
      </c>
      <c r="H806" s="40" t="s">
        <v>2948</v>
      </c>
      <c r="K806" s="40" t="s">
        <v>578</v>
      </c>
      <c r="L806" s="40">
        <v>1</v>
      </c>
      <c r="Z806" s="40" t="s">
        <v>2949</v>
      </c>
      <c r="AB806" s="46">
        <f>AC806/(H2dens*HoursInYear/10^6)</f>
        <v>1.1543789441280592E-2</v>
      </c>
      <c r="AC806" s="47">
        <f>300*3.6/120/1000000</f>
        <v>9.0000000000000002E-6</v>
      </c>
      <c r="AE806" s="46">
        <f t="shared" si="66"/>
        <v>1.1543789441280592E-2</v>
      </c>
      <c r="AF806" s="43" t="s">
        <v>2951</v>
      </c>
      <c r="AG806" s="43">
        <v>0</v>
      </c>
      <c r="AH806" s="43">
        <v>0</v>
      </c>
      <c r="AI806" s="122" t="s">
        <v>1255</v>
      </c>
      <c r="AJ806" s="41">
        <v>0.9</v>
      </c>
    </row>
    <row r="807" spans="1:36" ht="34.5" hidden="1" customHeight="1" x14ac:dyDescent="0.25">
      <c r="A807" s="40">
        <v>1256</v>
      </c>
      <c r="B807" s="40" t="s">
        <v>2955</v>
      </c>
      <c r="C807" s="40" t="s">
        <v>535</v>
      </c>
      <c r="D807" s="44">
        <v>2028</v>
      </c>
      <c r="E807" s="44"/>
      <c r="F807" s="40" t="s">
        <v>1331</v>
      </c>
      <c r="G807" s="40" t="s">
        <v>1259</v>
      </c>
      <c r="H807" s="40" t="s">
        <v>467</v>
      </c>
      <c r="I807" s="40" t="s">
        <v>1269</v>
      </c>
      <c r="J807" s="40" t="s">
        <v>1391</v>
      </c>
      <c r="K807" s="40" t="s">
        <v>578</v>
      </c>
      <c r="Q807" s="40">
        <v>1</v>
      </c>
      <c r="Z807" s="40" t="s">
        <v>2605</v>
      </c>
      <c r="AA807" s="45">
        <v>80</v>
      </c>
      <c r="AB807" s="46">
        <f>IF(H2ProjectDB689571011[[#This Row],[Dummy_1]]="Electrolysis",
AA807/VLOOKUP(G807,ElectrolysisConvF,3,FALSE),
AC807*10^6/(H2dens*HoursInYear))</f>
        <v>17777.777777777777</v>
      </c>
      <c r="AC807" s="47">
        <f>AB807*H2dens*HoursInYear/10^6</f>
        <v>13.860266666666666</v>
      </c>
      <c r="AE807" s="46">
        <f t="shared" si="66"/>
        <v>17777.777777777777</v>
      </c>
      <c r="AF807" s="43" t="s">
        <v>2956</v>
      </c>
      <c r="AG807" s="43">
        <v>-24.866219999999998</v>
      </c>
      <c r="AH807" s="43">
        <v>152.34889999999999</v>
      </c>
      <c r="AI807" s="122" t="s">
        <v>7286</v>
      </c>
      <c r="AJ807" s="41">
        <v>0.3</v>
      </c>
    </row>
    <row r="808" spans="1:36" ht="34.5" hidden="1" customHeight="1" x14ac:dyDescent="0.25">
      <c r="A808" s="40">
        <v>1257</v>
      </c>
      <c r="B808" s="40" t="s">
        <v>2958</v>
      </c>
      <c r="C808" s="40" t="s">
        <v>535</v>
      </c>
      <c r="D808" s="44"/>
      <c r="E808" s="44"/>
      <c r="F808" s="40" t="s">
        <v>2222</v>
      </c>
      <c r="G808" s="40" t="s">
        <v>1259</v>
      </c>
      <c r="H808" s="40" t="s">
        <v>467</v>
      </c>
      <c r="I808" s="40" t="s">
        <v>1269</v>
      </c>
      <c r="J808" s="40" t="s">
        <v>1391</v>
      </c>
      <c r="K808" s="40" t="s">
        <v>578</v>
      </c>
      <c r="AC808" s="47"/>
      <c r="AE808" s="46">
        <f t="shared" si="66"/>
        <v>0</v>
      </c>
      <c r="AF808" s="43" t="s">
        <v>2959</v>
      </c>
      <c r="AG808" s="43">
        <v>-16.250203047814601</v>
      </c>
      <c r="AH808" s="43">
        <v>145.31897979932501</v>
      </c>
      <c r="AI808" s="122" t="s">
        <v>7286</v>
      </c>
      <c r="AJ808" s="41">
        <v>0.3</v>
      </c>
    </row>
    <row r="809" spans="1:36" ht="34.5" hidden="1" customHeight="1" x14ac:dyDescent="0.25">
      <c r="A809" s="40">
        <v>1258</v>
      </c>
      <c r="B809" s="40" t="s">
        <v>2972</v>
      </c>
      <c r="C809" s="40" t="s">
        <v>535</v>
      </c>
      <c r="D809" s="44">
        <v>2024</v>
      </c>
      <c r="E809" s="44"/>
      <c r="F809" s="40" t="s">
        <v>1339</v>
      </c>
      <c r="G809" s="40" t="s">
        <v>455</v>
      </c>
      <c r="I809" s="40" t="s">
        <v>1269</v>
      </c>
      <c r="J809" s="40" t="s">
        <v>1391</v>
      </c>
      <c r="K809" s="40" t="s">
        <v>578</v>
      </c>
      <c r="Q809" s="40">
        <v>1</v>
      </c>
      <c r="Z809" s="40" t="s">
        <v>8334</v>
      </c>
      <c r="AA809" s="45">
        <f>2*0.7</f>
        <v>1.4</v>
      </c>
      <c r="AB809" s="46">
        <f>IF(H2ProjectDB689571011[[#This Row],[Dummy_1]]="Electrolysis",
AA809/VLOOKUP(G809,ElectrolysisConvF,3,FALSE),
AC809*10^6/(H2dens*HoursInYear))</f>
        <v>269.23076923076923</v>
      </c>
      <c r="AC809" s="96">
        <f>AB809*H2dens*HoursInYear/10^6</f>
        <v>0.20990307692307691</v>
      </c>
      <c r="AE809" s="46">
        <f t="shared" si="66"/>
        <v>269.23076923076923</v>
      </c>
      <c r="AF809" s="43" t="s">
        <v>8333</v>
      </c>
      <c r="AG809" s="43">
        <v>-22.362648682952798</v>
      </c>
      <c r="AH809" s="43">
        <v>122.73867073252499</v>
      </c>
      <c r="AI809" s="122" t="s">
        <v>7286</v>
      </c>
      <c r="AJ809" s="41">
        <v>0.3</v>
      </c>
    </row>
    <row r="810" spans="1:36" ht="34.5" hidden="1" customHeight="1" x14ac:dyDescent="0.25">
      <c r="A810" s="40">
        <v>1259</v>
      </c>
      <c r="B810" s="40" t="s">
        <v>4893</v>
      </c>
      <c r="C810" s="40" t="s">
        <v>535</v>
      </c>
      <c r="D810" s="44">
        <v>2027</v>
      </c>
      <c r="E810" s="44"/>
      <c r="F810" s="40" t="s">
        <v>1331</v>
      </c>
      <c r="G810" s="40" t="s">
        <v>457</v>
      </c>
      <c r="I810" s="40" t="s">
        <v>1269</v>
      </c>
      <c r="J810" s="40" t="s">
        <v>1392</v>
      </c>
      <c r="K810" s="40" t="s">
        <v>1242</v>
      </c>
      <c r="N810" s="40">
        <v>1</v>
      </c>
      <c r="Z810" s="40" t="s">
        <v>8060</v>
      </c>
      <c r="AA810" s="45">
        <v>260</v>
      </c>
      <c r="AB810" s="46">
        <f>IF(H2ProjectDB689571011[[#This Row],[Dummy_1]]="Electrolysis",
AA810/VLOOKUP(G810,ElectrolysisConvF,3,FALSE),
AC810*10^6/(H2dens*HoursInYear))</f>
        <v>56521.739130434784</v>
      </c>
      <c r="AC810" s="47">
        <f>AB810*H2dens*HoursInYear/10^6</f>
        <v>44.066608695652178</v>
      </c>
      <c r="AE810" s="46">
        <f t="shared" si="66"/>
        <v>56521.739130434784</v>
      </c>
      <c r="AF810" s="43" t="s">
        <v>8062</v>
      </c>
      <c r="AG810" s="43">
        <v>-41.131015832796997</v>
      </c>
      <c r="AH810" s="43">
        <v>146.8704778986</v>
      </c>
      <c r="AI810" s="122" t="s">
        <v>7286</v>
      </c>
      <c r="AJ810" s="41">
        <v>0.4</v>
      </c>
    </row>
    <row r="811" spans="1:36" ht="34.5" hidden="1" customHeight="1" x14ac:dyDescent="0.25">
      <c r="A811" s="40">
        <v>1260</v>
      </c>
      <c r="B811" s="40" t="s">
        <v>2977</v>
      </c>
      <c r="C811" s="40" t="s">
        <v>535</v>
      </c>
      <c r="D811" s="44"/>
      <c r="E811" s="44"/>
      <c r="F811" s="40" t="s">
        <v>1331</v>
      </c>
      <c r="G811" s="40" t="s">
        <v>1259</v>
      </c>
      <c r="H811" s="40" t="s">
        <v>467</v>
      </c>
      <c r="I811" s="40" t="s">
        <v>1269</v>
      </c>
      <c r="J811" s="40" t="s">
        <v>581</v>
      </c>
      <c r="K811" s="40" t="s">
        <v>578</v>
      </c>
      <c r="P811" s="40">
        <v>1</v>
      </c>
      <c r="Z811" s="40" t="s">
        <v>2978</v>
      </c>
      <c r="AA811" s="45">
        <v>95</v>
      </c>
      <c r="AB811" s="46">
        <f>IF(H2ProjectDB689571011[[#This Row],[Dummy_1]]="Electrolysis",
AA811/VLOOKUP(G811,ElectrolysisConvF,3,FALSE),
AC811*10^6/(H2dens*HoursInYear))</f>
        <v>21111.111111111113</v>
      </c>
      <c r="AC811" s="47">
        <f>AB811*H2dens*HoursInYear/10^6</f>
        <v>16.459066666666665</v>
      </c>
      <c r="AE811" s="46">
        <f t="shared" si="66"/>
        <v>21111.111111111113</v>
      </c>
      <c r="AF811" s="43" t="s">
        <v>2979</v>
      </c>
      <c r="AG811" s="43">
        <v>0</v>
      </c>
      <c r="AH811" s="43">
        <v>0</v>
      </c>
      <c r="AI811" s="122" t="s">
        <v>7286</v>
      </c>
      <c r="AJ811" s="41">
        <v>0.5</v>
      </c>
    </row>
    <row r="812" spans="1:36" ht="34.5" hidden="1" customHeight="1" x14ac:dyDescent="0.25">
      <c r="A812" s="40">
        <v>1261</v>
      </c>
      <c r="B812" s="40" t="s">
        <v>2981</v>
      </c>
      <c r="C812" s="40" t="s">
        <v>535</v>
      </c>
      <c r="D812" s="44"/>
      <c r="E812" s="44"/>
      <c r="F812" s="40" t="s">
        <v>1331</v>
      </c>
      <c r="G812" s="40" t="s">
        <v>455</v>
      </c>
      <c r="I812" s="40" t="s">
        <v>1266</v>
      </c>
      <c r="K812" s="40" t="s">
        <v>578</v>
      </c>
      <c r="Q812" s="40">
        <v>1</v>
      </c>
      <c r="S812" s="40">
        <v>1</v>
      </c>
      <c r="Z812" s="40" t="s">
        <v>1333</v>
      </c>
      <c r="AA812" s="45">
        <v>10</v>
      </c>
      <c r="AB812" s="46">
        <f>IF(H2ProjectDB689571011[[#This Row],[Dummy_1]]="Electrolysis",
AA812/VLOOKUP(G812,ElectrolysisConvF,3,FALSE),
AC812*10^6/(H2dens*HoursInYear))</f>
        <v>1923.0769230769231</v>
      </c>
      <c r="AC812" s="47">
        <f>AB812*H2dens*HoursInYear/10^6</f>
        <v>1.4993076923076922</v>
      </c>
      <c r="AE812" s="46">
        <f t="shared" si="66"/>
        <v>1923.0769230769231</v>
      </c>
      <c r="AF812" s="43" t="s">
        <v>2982</v>
      </c>
      <c r="AG812" s="43">
        <v>-37.808455073870299</v>
      </c>
      <c r="AH812" s="43">
        <v>144.94048216855799</v>
      </c>
      <c r="AI812" s="122" t="s">
        <v>7286</v>
      </c>
      <c r="AJ812" s="41">
        <v>0.56999999999999995</v>
      </c>
    </row>
    <row r="813" spans="1:36" ht="34.5" hidden="1" customHeight="1" x14ac:dyDescent="0.25">
      <c r="A813" s="40">
        <v>1262</v>
      </c>
      <c r="B813" s="40" t="s">
        <v>4872</v>
      </c>
      <c r="C813" s="40" t="s">
        <v>535</v>
      </c>
      <c r="D813" s="44">
        <v>2029</v>
      </c>
      <c r="E813" s="44"/>
      <c r="F813" s="40" t="s">
        <v>1331</v>
      </c>
      <c r="G813" s="40" t="s">
        <v>1259</v>
      </c>
      <c r="H813" s="40" t="s">
        <v>467</v>
      </c>
      <c r="I813" s="40" t="s">
        <v>1269</v>
      </c>
      <c r="J813" s="40" t="s">
        <v>1392</v>
      </c>
      <c r="K813" s="40" t="s">
        <v>578</v>
      </c>
      <c r="S813" s="40">
        <v>1</v>
      </c>
      <c r="Z813" s="40" t="s">
        <v>1483</v>
      </c>
      <c r="AA813" s="45">
        <v>50</v>
      </c>
      <c r="AB813" s="46">
        <f>IF(H2ProjectDB689571011[[#This Row],[Dummy_1]]="Electrolysis",
AA813/VLOOKUP(G813,ElectrolysisConvF,3,FALSE),
AC813*10^6/(H2dens*HoursInYear))</f>
        <v>11111.111111111111</v>
      </c>
      <c r="AC813" s="47">
        <f>AB813*H2dens*HoursInYear/10^6</f>
        <v>8.6626666666666665</v>
      </c>
      <c r="AE813" s="46">
        <f t="shared" si="66"/>
        <v>11111.111111111111</v>
      </c>
      <c r="AF813" s="43" t="s">
        <v>2985</v>
      </c>
      <c r="AG813" s="43">
        <v>-38.361674000000001</v>
      </c>
      <c r="AH813" s="43">
        <v>141.60366200000001</v>
      </c>
      <c r="AI813" s="122" t="s">
        <v>7286</v>
      </c>
      <c r="AJ813" s="41">
        <v>0.4</v>
      </c>
    </row>
    <row r="814" spans="1:36" ht="34.5" hidden="1" customHeight="1" x14ac:dyDescent="0.25">
      <c r="A814" s="40">
        <v>1263</v>
      </c>
      <c r="B814" s="40" t="s">
        <v>2986</v>
      </c>
      <c r="C814" s="40" t="s">
        <v>535</v>
      </c>
      <c r="D814" s="44">
        <v>2023</v>
      </c>
      <c r="E814" s="44"/>
      <c r="F814" s="40" t="s">
        <v>1339</v>
      </c>
      <c r="G814" s="40" t="s">
        <v>1259</v>
      </c>
      <c r="H814" s="40" t="s">
        <v>467</v>
      </c>
      <c r="I814" s="40" t="s">
        <v>1266</v>
      </c>
      <c r="K814" s="40" t="s">
        <v>578</v>
      </c>
      <c r="Q814" s="40">
        <v>1</v>
      </c>
      <c r="Z814" s="40" t="s">
        <v>2987</v>
      </c>
      <c r="AA814" s="47">
        <f>IF(H2ProjectDB689571011[[#This Row],[Dummy_1]]="Electrolysis",
AB814*VLOOKUP(G814,ElectrolysisConvF,3,FALSE),
"")</f>
        <v>4.2134831460674156E-2</v>
      </c>
      <c r="AB814" s="46">
        <f>AC814/(H2dens*HoursInYear/10^6)</f>
        <v>9.3632958801498134</v>
      </c>
      <c r="AC814" s="47">
        <f>20*365/1000000</f>
        <v>7.3000000000000001E-3</v>
      </c>
      <c r="AE814" s="46">
        <f t="shared" si="66"/>
        <v>9.3632958801498134</v>
      </c>
      <c r="AF814" s="43" t="s">
        <v>6952</v>
      </c>
      <c r="AG814" s="43">
        <v>-37.808455073870299</v>
      </c>
      <c r="AH814" s="43">
        <v>144.94048216855799</v>
      </c>
      <c r="AI814" s="122" t="s">
        <v>7286</v>
      </c>
      <c r="AJ814" s="41">
        <v>0.56999999999999995</v>
      </c>
    </row>
    <row r="815" spans="1:36" ht="34.5" hidden="1" customHeight="1" x14ac:dyDescent="0.25">
      <c r="A815" s="40">
        <v>1264</v>
      </c>
      <c r="B815" s="40" t="s">
        <v>2989</v>
      </c>
      <c r="C815" s="40" t="s">
        <v>541</v>
      </c>
      <c r="D815" s="44"/>
      <c r="E815" s="44"/>
      <c r="F815" s="40" t="s">
        <v>2222</v>
      </c>
      <c r="G815" s="40" t="s">
        <v>1259</v>
      </c>
      <c r="H815" s="40" t="s">
        <v>467</v>
      </c>
      <c r="I815" s="40" t="s">
        <v>1269</v>
      </c>
      <c r="J815" s="40" t="s">
        <v>1395</v>
      </c>
      <c r="K815" s="40" t="s">
        <v>578</v>
      </c>
      <c r="AC815" s="47"/>
      <c r="AE815" s="46">
        <f t="shared" si="66"/>
        <v>0</v>
      </c>
      <c r="AF815" s="43" t="s">
        <v>4374</v>
      </c>
      <c r="AG815" s="43">
        <v>0</v>
      </c>
      <c r="AH815" s="43">
        <v>0</v>
      </c>
      <c r="AI815" s="122" t="s">
        <v>7286</v>
      </c>
      <c r="AJ815" s="41">
        <v>0.5</v>
      </c>
    </row>
    <row r="816" spans="1:36" ht="34.5" hidden="1" customHeight="1" x14ac:dyDescent="0.25">
      <c r="A816" s="40">
        <v>1265</v>
      </c>
      <c r="B816" s="40" t="s">
        <v>5263</v>
      </c>
      <c r="C816" s="40" t="s">
        <v>561</v>
      </c>
      <c r="D816" s="44">
        <v>2026</v>
      </c>
      <c r="E816" s="44"/>
      <c r="F816" s="40" t="s">
        <v>5701</v>
      </c>
      <c r="G816" s="40" t="s">
        <v>455</v>
      </c>
      <c r="I816" s="40" t="s">
        <v>1269</v>
      </c>
      <c r="J816" s="40" t="s">
        <v>1395</v>
      </c>
      <c r="K816" s="40" t="s">
        <v>578</v>
      </c>
      <c r="Q816" s="40">
        <v>1</v>
      </c>
      <c r="Z816" s="40" t="s">
        <v>1484</v>
      </c>
      <c r="AA816" s="45">
        <v>2.5</v>
      </c>
      <c r="AB816" s="46">
        <f>IF(H2ProjectDB689571011[[#This Row],[Dummy_1]]="Electrolysis",
AA816/VLOOKUP(G816,ElectrolysisConvF,3,FALSE),
AC816*10^6/(H2dens*HoursInYear))</f>
        <v>480.76923076923077</v>
      </c>
      <c r="AC816" s="47">
        <f t="shared" ref="AC816:AC825" si="67">AB816*H2dens*HoursInYear/10^6</f>
        <v>0.37482692307692306</v>
      </c>
      <c r="AE816" s="46">
        <f t="shared" si="66"/>
        <v>480.76923076923077</v>
      </c>
      <c r="AF816" s="43" t="s">
        <v>4523</v>
      </c>
      <c r="AG816" s="43">
        <v>52.2875093003885</v>
      </c>
      <c r="AH816" s="43">
        <v>18.283903696100801</v>
      </c>
      <c r="AI816" s="122" t="s">
        <v>7286</v>
      </c>
      <c r="AJ816" s="41">
        <v>0.5</v>
      </c>
    </row>
    <row r="817" spans="1:36" ht="34.5" hidden="1" customHeight="1" x14ac:dyDescent="0.25">
      <c r="A817" s="40">
        <v>1266</v>
      </c>
      <c r="B817" s="40" t="s">
        <v>2991</v>
      </c>
      <c r="C817" s="40" t="s">
        <v>561</v>
      </c>
      <c r="D817" s="44">
        <v>2030</v>
      </c>
      <c r="E817" s="44"/>
      <c r="F817" s="40" t="s">
        <v>1331</v>
      </c>
      <c r="G817" s="40" t="s">
        <v>455</v>
      </c>
      <c r="I817" s="40" t="s">
        <v>1269</v>
      </c>
      <c r="J817" s="40" t="s">
        <v>1395</v>
      </c>
      <c r="K817" s="40" t="s">
        <v>578</v>
      </c>
      <c r="Q817" s="40">
        <v>1</v>
      </c>
      <c r="Z817" s="40" t="s">
        <v>1483</v>
      </c>
      <c r="AA817" s="45">
        <v>45</v>
      </c>
      <c r="AB817" s="46">
        <f>IF(H2ProjectDB689571011[[#This Row],[Dummy_1]]="Electrolysis",
AA817/VLOOKUP(G817,ElectrolysisConvF,3,FALSE),
AC817*10^6/(H2dens*HoursInYear))</f>
        <v>8653.8461538461543</v>
      </c>
      <c r="AC817" s="47">
        <f t="shared" si="67"/>
        <v>6.7468846153846158</v>
      </c>
      <c r="AE817" s="46">
        <f t="shared" si="66"/>
        <v>8653.8461538461543</v>
      </c>
      <c r="AF817" s="43" t="s">
        <v>4523</v>
      </c>
      <c r="AG817" s="43">
        <v>52.2875093003885</v>
      </c>
      <c r="AH817" s="43">
        <v>18.283903696100801</v>
      </c>
      <c r="AI817" s="122" t="s">
        <v>7286</v>
      </c>
      <c r="AJ817" s="41">
        <v>0.5</v>
      </c>
    </row>
    <row r="818" spans="1:36" ht="34.5" hidden="1" customHeight="1" x14ac:dyDescent="0.25">
      <c r="A818" s="40">
        <v>1267</v>
      </c>
      <c r="B818" s="40" t="s">
        <v>5802</v>
      </c>
      <c r="C818" s="40" t="s">
        <v>1305</v>
      </c>
      <c r="D818" s="44">
        <v>2030</v>
      </c>
      <c r="E818" s="44"/>
      <c r="F818" s="40" t="s">
        <v>1331</v>
      </c>
      <c r="G818" s="40" t="s">
        <v>1259</v>
      </c>
      <c r="H818" s="40" t="s">
        <v>467</v>
      </c>
      <c r="I818" s="40" t="s">
        <v>1269</v>
      </c>
      <c r="J818" s="40" t="s">
        <v>1393</v>
      </c>
      <c r="K818" s="40" t="s">
        <v>578</v>
      </c>
      <c r="Z818" s="40" t="s">
        <v>2024</v>
      </c>
      <c r="AA818" s="45">
        <v>272</v>
      </c>
      <c r="AB818" s="46">
        <f>IF(H2ProjectDB689571011[[#This Row],[Dummy_1]]="Electrolysis",
AA818/VLOOKUP(G818,ElectrolysisConvF,3,FALSE),
AC818*10^6/(H2dens*HoursInYear))</f>
        <v>60444.444444444453</v>
      </c>
      <c r="AC818" s="47">
        <f t="shared" si="67"/>
        <v>47.124906666666661</v>
      </c>
      <c r="AE818" s="46">
        <f t="shared" si="66"/>
        <v>60444.444444444453</v>
      </c>
      <c r="AF818" s="43" t="s">
        <v>2992</v>
      </c>
      <c r="AG818" s="43">
        <v>54.2023436057572</v>
      </c>
      <c r="AH818" s="43">
        <v>7.9212686088641799</v>
      </c>
      <c r="AI818" s="122" t="s">
        <v>7286</v>
      </c>
      <c r="AJ818" s="41">
        <v>0.55000000000000004</v>
      </c>
    </row>
    <row r="819" spans="1:36" ht="34.5" hidden="1" customHeight="1" x14ac:dyDescent="0.25">
      <c r="A819" s="40">
        <v>1269</v>
      </c>
      <c r="B819" s="40" t="s">
        <v>2994</v>
      </c>
      <c r="C819" s="40" t="s">
        <v>1305</v>
      </c>
      <c r="D819" s="44">
        <v>2026</v>
      </c>
      <c r="E819" s="44"/>
      <c r="F819" s="40" t="s">
        <v>5701</v>
      </c>
      <c r="G819" s="40" t="s">
        <v>455</v>
      </c>
      <c r="I819" s="40" t="s">
        <v>1269</v>
      </c>
      <c r="J819" s="40" t="s">
        <v>1393</v>
      </c>
      <c r="K819" s="40" t="s">
        <v>578</v>
      </c>
      <c r="Z819" s="40" t="s">
        <v>2993</v>
      </c>
      <c r="AA819" s="45">
        <v>14</v>
      </c>
      <c r="AB819" s="46">
        <f>IF(H2ProjectDB689571011[[#This Row],[Dummy_1]]="Electrolysis",
AA819/VLOOKUP(G819,ElectrolysisConvF,3,FALSE),
AC819*10^6/(H2dens*HoursInYear))</f>
        <v>2692.3076923076924</v>
      </c>
      <c r="AC819" s="47">
        <f t="shared" si="67"/>
        <v>2.0990307692307688</v>
      </c>
      <c r="AE819" s="46">
        <f t="shared" si="66"/>
        <v>2692.3076923076924</v>
      </c>
      <c r="AF819" s="43" t="s">
        <v>3004</v>
      </c>
      <c r="AG819" s="43">
        <v>0</v>
      </c>
      <c r="AH819" s="43">
        <v>0</v>
      </c>
      <c r="AI819" s="122" t="s">
        <v>7286</v>
      </c>
      <c r="AJ819" s="41">
        <v>0.55000000000000004</v>
      </c>
    </row>
    <row r="820" spans="1:36" ht="34.5" hidden="1" customHeight="1" x14ac:dyDescent="0.25">
      <c r="A820" s="40">
        <v>1271</v>
      </c>
      <c r="B820" s="40" t="s">
        <v>2997</v>
      </c>
      <c r="C820" s="40" t="s">
        <v>1764</v>
      </c>
      <c r="F820" s="40" t="s">
        <v>2222</v>
      </c>
      <c r="G820" s="40" t="s">
        <v>1259</v>
      </c>
      <c r="H820" s="40" t="s">
        <v>467</v>
      </c>
      <c r="I820" s="40" t="s">
        <v>1269</v>
      </c>
      <c r="J820" s="40" t="s">
        <v>1392</v>
      </c>
      <c r="K820" s="40" t="s">
        <v>578</v>
      </c>
      <c r="P820" s="40">
        <v>1</v>
      </c>
      <c r="Z820" s="40" t="s">
        <v>1574</v>
      </c>
      <c r="AA820" s="45">
        <v>150</v>
      </c>
      <c r="AB820" s="46">
        <f>IF(H2ProjectDB689571011[[#This Row],[Dummy_1]]="Electrolysis",
AA820/VLOOKUP(G820,ElectrolysisConvF,3,FALSE),
AC820*10^6/(H2dens*HoursInYear))</f>
        <v>33333.333333333336</v>
      </c>
      <c r="AC820" s="47">
        <f t="shared" si="67"/>
        <v>25.988</v>
      </c>
      <c r="AE820" s="46">
        <f>AB820</f>
        <v>33333.333333333336</v>
      </c>
      <c r="AF820" s="43" t="s">
        <v>2999</v>
      </c>
      <c r="AG820" s="43">
        <v>43.174441090854302</v>
      </c>
      <c r="AH820" s="43">
        <v>-8.4077004880178503</v>
      </c>
      <c r="AI820" s="122" t="s">
        <v>7286</v>
      </c>
      <c r="AJ820" s="41">
        <v>0.4</v>
      </c>
    </row>
    <row r="821" spans="1:36" ht="34.5" hidden="1" customHeight="1" x14ac:dyDescent="0.25">
      <c r="A821" s="40">
        <v>1272</v>
      </c>
      <c r="B821" s="40" t="s">
        <v>2998</v>
      </c>
      <c r="C821" s="40" t="s">
        <v>555</v>
      </c>
      <c r="D821" s="44">
        <v>2025</v>
      </c>
      <c r="E821" s="44"/>
      <c r="F821" s="40" t="s">
        <v>1331</v>
      </c>
      <c r="G821" s="40" t="s">
        <v>1259</v>
      </c>
      <c r="H821" s="40" t="s">
        <v>467</v>
      </c>
      <c r="I821" s="40" t="s">
        <v>1266</v>
      </c>
      <c r="K821" s="40" t="s">
        <v>578</v>
      </c>
      <c r="Q821" s="40">
        <v>1</v>
      </c>
      <c r="Z821" s="40" t="s">
        <v>1333</v>
      </c>
      <c r="AA821" s="45">
        <v>10</v>
      </c>
      <c r="AB821" s="46">
        <f>IF(H2ProjectDB689571011[[#This Row],[Dummy_1]]="Electrolysis",
AA821/VLOOKUP(G821,ElectrolysisConvF,3,FALSE),
AC821*10^6/(H2dens*HoursInYear))</f>
        <v>2222.2222222222222</v>
      </c>
      <c r="AC821" s="47">
        <f t="shared" si="67"/>
        <v>1.7325333333333333</v>
      </c>
      <c r="AE821" s="46">
        <f t="shared" ref="AE821:AE862" si="68">IF(AND(G821&lt;&gt;"NG w CCUS",G821&lt;&gt;"Oil w CCUS",G821&lt;&gt;"Coal w CCUS"),AB821,AD821*10^3/(HoursInYear*IF(G821="NG w CCUS",0.9105,1.9075)))</f>
        <v>2222.2222222222222</v>
      </c>
      <c r="AF821" s="43" t="s">
        <v>4378</v>
      </c>
      <c r="AG821" s="43">
        <v>47.2008098662469</v>
      </c>
      <c r="AH821" s="43">
        <v>8.7674204417793895</v>
      </c>
      <c r="AI821" s="122" t="s">
        <v>7286</v>
      </c>
      <c r="AJ821" s="41">
        <v>0.56999999999999995</v>
      </c>
    </row>
    <row r="822" spans="1:36" ht="34.5" hidden="1" customHeight="1" x14ac:dyDescent="0.25">
      <c r="A822" s="40">
        <v>1273</v>
      </c>
      <c r="B822" s="40" t="s">
        <v>5905</v>
      </c>
      <c r="C822" s="40" t="s">
        <v>1305</v>
      </c>
      <c r="D822" s="44">
        <v>2024</v>
      </c>
      <c r="E822" s="44"/>
      <c r="F822" s="40" t="s">
        <v>1339</v>
      </c>
      <c r="G822" s="40" t="s">
        <v>455</v>
      </c>
      <c r="I822" s="40" t="s">
        <v>1269</v>
      </c>
      <c r="J822" s="40" t="s">
        <v>581</v>
      </c>
      <c r="K822" s="40" t="s">
        <v>578</v>
      </c>
      <c r="O822" s="40">
        <v>1</v>
      </c>
      <c r="P822" s="40">
        <v>1</v>
      </c>
      <c r="Q822" s="40">
        <v>1</v>
      </c>
      <c r="Z822" s="40" t="s">
        <v>1495</v>
      </c>
      <c r="AA822" s="45">
        <v>20</v>
      </c>
      <c r="AB822" s="46">
        <f>IF(H2ProjectDB689571011[[#This Row],[Dummy_1]]="Electrolysis",
AA822/VLOOKUP(G822,ElectrolysisConvF,3,FALSE),
AC822*10^6/(H2dens*HoursInYear))</f>
        <v>3846.1538461538462</v>
      </c>
      <c r="AC822" s="47">
        <f t="shared" si="67"/>
        <v>2.9986153846153845</v>
      </c>
      <c r="AE822" s="46">
        <f t="shared" si="68"/>
        <v>3846.1538461538462</v>
      </c>
      <c r="AF822" s="43" t="s">
        <v>8764</v>
      </c>
      <c r="AG822" s="43">
        <v>51.486944514960499</v>
      </c>
      <c r="AH822" s="43">
        <v>6.86631612642352</v>
      </c>
      <c r="AI822" s="122" t="s">
        <v>7286</v>
      </c>
      <c r="AJ822" s="41">
        <v>0.5</v>
      </c>
    </row>
    <row r="823" spans="1:36" ht="34.5" hidden="1" customHeight="1" x14ac:dyDescent="0.25">
      <c r="A823" s="40">
        <v>1274</v>
      </c>
      <c r="B823" s="40" t="s">
        <v>5906</v>
      </c>
      <c r="C823" s="40" t="s">
        <v>1305</v>
      </c>
      <c r="D823" s="44">
        <v>2025</v>
      </c>
      <c r="E823" s="44"/>
      <c r="F823" s="40" t="s">
        <v>5701</v>
      </c>
      <c r="G823" s="40" t="s">
        <v>455</v>
      </c>
      <c r="I823" s="40" t="s">
        <v>1269</v>
      </c>
      <c r="J823" s="40" t="s">
        <v>581</v>
      </c>
      <c r="K823" s="40" t="s">
        <v>578</v>
      </c>
      <c r="O823" s="40">
        <v>1</v>
      </c>
      <c r="P823" s="40">
        <v>1</v>
      </c>
      <c r="Q823" s="40">
        <v>1</v>
      </c>
      <c r="Z823" s="40" t="s">
        <v>1510</v>
      </c>
      <c r="AA823" s="45">
        <v>10</v>
      </c>
      <c r="AB823" s="46">
        <f>IF(H2ProjectDB689571011[[#This Row],[Dummy_1]]="Electrolysis",
AA823/VLOOKUP(G823,ElectrolysisConvF,3,FALSE),
AC823*10^6/(H2dens*HoursInYear))</f>
        <v>1923.0769230769231</v>
      </c>
      <c r="AC823" s="47">
        <f t="shared" si="67"/>
        <v>1.4993076923076922</v>
      </c>
      <c r="AE823" s="46">
        <f t="shared" si="68"/>
        <v>1923.0769230769231</v>
      </c>
      <c r="AF823" s="43" t="s">
        <v>4380</v>
      </c>
      <c r="AG823" s="43">
        <v>51.486944514960499</v>
      </c>
      <c r="AH823" s="43">
        <v>6.86631612642352</v>
      </c>
      <c r="AI823" s="122" t="s">
        <v>7286</v>
      </c>
      <c r="AJ823" s="41">
        <v>0.5</v>
      </c>
    </row>
    <row r="824" spans="1:36" ht="34.5" hidden="1" customHeight="1" x14ac:dyDescent="0.25">
      <c r="A824" s="40">
        <v>1275</v>
      </c>
      <c r="B824" s="43" t="s">
        <v>4612</v>
      </c>
      <c r="C824" s="40" t="s">
        <v>542</v>
      </c>
      <c r="D824" s="44">
        <v>2026</v>
      </c>
      <c r="E824" s="44"/>
      <c r="F824" s="40" t="s">
        <v>5701</v>
      </c>
      <c r="G824" s="40" t="s">
        <v>1259</v>
      </c>
      <c r="H824" s="40" t="s">
        <v>467</v>
      </c>
      <c r="I824" s="40" t="s">
        <v>1269</v>
      </c>
      <c r="J824" s="40" t="s">
        <v>1395</v>
      </c>
      <c r="K824" s="40" t="s">
        <v>578</v>
      </c>
      <c r="P824" s="40">
        <v>1</v>
      </c>
      <c r="Q824" s="40">
        <v>1</v>
      </c>
      <c r="Z824" s="40" t="s">
        <v>8527</v>
      </c>
      <c r="AA824" s="45">
        <v>10.5</v>
      </c>
      <c r="AB824" s="46">
        <f>IF(H2ProjectDB689571011[[#This Row],[Dummy_1]]="Electrolysis",
AA824/VLOOKUP(G824,ElectrolysisConvF,3,FALSE),
AC824*10^6/(H2dens*HoursInYear))</f>
        <v>2333.3333333333335</v>
      </c>
      <c r="AC824" s="47">
        <f t="shared" si="67"/>
        <v>1.8191600000000001</v>
      </c>
      <c r="AE824" s="46">
        <f t="shared" si="68"/>
        <v>2333.3333333333335</v>
      </c>
      <c r="AF824" s="43" t="s">
        <v>7241</v>
      </c>
      <c r="AG824" s="43">
        <v>53.436944257023399</v>
      </c>
      <c r="AH824" s="43">
        <v>-2.40825504586318</v>
      </c>
      <c r="AI824" s="122" t="s">
        <v>7286</v>
      </c>
      <c r="AJ824" s="41">
        <v>0.5</v>
      </c>
    </row>
    <row r="825" spans="1:36" ht="34.5" hidden="1" customHeight="1" x14ac:dyDescent="0.25">
      <c r="A825" s="40">
        <v>1276</v>
      </c>
      <c r="B825" s="40" t="s">
        <v>3427</v>
      </c>
      <c r="C825" s="40" t="s">
        <v>560</v>
      </c>
      <c r="D825" s="44">
        <v>2025</v>
      </c>
      <c r="E825" s="44"/>
      <c r="F825" s="40" t="s">
        <v>1331</v>
      </c>
      <c r="G825" s="40" t="s">
        <v>457</v>
      </c>
      <c r="I825" s="40" t="s">
        <v>1266</v>
      </c>
      <c r="K825" s="40" t="s">
        <v>578</v>
      </c>
      <c r="P825" s="40">
        <v>1</v>
      </c>
      <c r="Q825" s="40">
        <v>1</v>
      </c>
      <c r="S825" s="40">
        <v>1</v>
      </c>
      <c r="Z825" s="40" t="s">
        <v>1333</v>
      </c>
      <c r="AA825" s="45">
        <v>10</v>
      </c>
      <c r="AB825" s="46">
        <f>IF(H2ProjectDB689571011[[#This Row],[Dummy_1]]="Electrolysis",
AA825/VLOOKUP(G825,ElectrolysisConvF,3,FALSE),
AC825*10^6/(H2dens*HoursInYear))</f>
        <v>2173.913043478261</v>
      </c>
      <c r="AC825" s="47">
        <f t="shared" si="67"/>
        <v>1.6948695652173913</v>
      </c>
      <c r="AE825" s="46">
        <f t="shared" si="68"/>
        <v>2173.913043478261</v>
      </c>
      <c r="AF825" s="43" t="s">
        <v>4383</v>
      </c>
      <c r="AG825" s="43">
        <v>-32.607693161044303</v>
      </c>
      <c r="AH825" s="43">
        <v>-70.898976754979401</v>
      </c>
      <c r="AI825" s="122" t="s">
        <v>7286</v>
      </c>
      <c r="AJ825" s="41">
        <v>0.56999999999999995</v>
      </c>
    </row>
    <row r="826" spans="1:36" ht="34.5" hidden="1" customHeight="1" x14ac:dyDescent="0.25">
      <c r="A826" s="40">
        <v>1277</v>
      </c>
      <c r="B826" s="40" t="s">
        <v>3000</v>
      </c>
      <c r="C826" s="40" t="s">
        <v>1305</v>
      </c>
      <c r="D826" s="44">
        <v>2023</v>
      </c>
      <c r="E826" s="44"/>
      <c r="F826" s="40" t="s">
        <v>1540</v>
      </c>
      <c r="G826" s="40" t="s">
        <v>1255</v>
      </c>
      <c r="H826" s="40" t="s">
        <v>2727</v>
      </c>
      <c r="K826" s="40" t="s">
        <v>578</v>
      </c>
      <c r="Z826" s="40" t="s">
        <v>2253</v>
      </c>
      <c r="AB826" s="46">
        <f>AC826/(H2dens*HoursInYear/10^6)</f>
        <v>187.2659176029963</v>
      </c>
      <c r="AC826" s="47">
        <f>400/1000000*365</f>
        <v>0.14600000000000002</v>
      </c>
      <c r="AE826" s="46">
        <f t="shared" si="68"/>
        <v>187.2659176029963</v>
      </c>
      <c r="AF826" s="43" t="s">
        <v>4388</v>
      </c>
      <c r="AG826" s="43">
        <v>0</v>
      </c>
      <c r="AH826" s="43">
        <v>0</v>
      </c>
      <c r="AI826" s="122" t="s">
        <v>1255</v>
      </c>
      <c r="AJ826" s="41">
        <v>0.9</v>
      </c>
    </row>
    <row r="827" spans="1:36" ht="34.5" hidden="1" customHeight="1" x14ac:dyDescent="0.25">
      <c r="A827" s="40">
        <v>1281</v>
      </c>
      <c r="B827" s="40" t="s">
        <v>3005</v>
      </c>
      <c r="C827" s="40" t="s">
        <v>535</v>
      </c>
      <c r="D827" s="44">
        <v>2025</v>
      </c>
      <c r="E827" s="44"/>
      <c r="F827" s="40" t="s">
        <v>5701</v>
      </c>
      <c r="G827" s="40" t="s">
        <v>1259</v>
      </c>
      <c r="H827" s="40" t="s">
        <v>467</v>
      </c>
      <c r="I827" s="90" t="s">
        <v>1266</v>
      </c>
      <c r="K827" s="40" t="s">
        <v>578</v>
      </c>
      <c r="P827" s="40">
        <v>1</v>
      </c>
      <c r="Z827" s="40" t="s">
        <v>1336</v>
      </c>
      <c r="AA827" s="45">
        <v>2.5</v>
      </c>
      <c r="AB827" s="46">
        <f>IF(H2ProjectDB689571011[[#This Row],[Dummy_1]]="Electrolysis",
AA827/VLOOKUP(G827,ElectrolysisConvF,3,FALSE),
AC827*10^6/(H2dens*HoursInYear))</f>
        <v>555.55555555555554</v>
      </c>
      <c r="AC827" s="47">
        <f>AB827*H2dens*HoursInYear/10^6</f>
        <v>0.43313333333333331</v>
      </c>
      <c r="AE827" s="46">
        <f t="shared" si="68"/>
        <v>555.55555555555554</v>
      </c>
      <c r="AF827" s="43" t="s">
        <v>3007</v>
      </c>
      <c r="AG827" s="43">
        <v>-23.8305537301115</v>
      </c>
      <c r="AH827" s="43">
        <v>151.14974681324799</v>
      </c>
      <c r="AI827" s="122" t="s">
        <v>7286</v>
      </c>
      <c r="AJ827" s="41">
        <v>0.56999999999999995</v>
      </c>
    </row>
    <row r="828" spans="1:36" ht="34.5" hidden="1" customHeight="1" x14ac:dyDescent="0.25">
      <c r="A828" s="40">
        <v>1282</v>
      </c>
      <c r="B828" s="40" t="s">
        <v>5819</v>
      </c>
      <c r="C828" s="40" t="s">
        <v>560</v>
      </c>
      <c r="D828" s="44">
        <v>2021</v>
      </c>
      <c r="F828" s="40" t="s">
        <v>1339</v>
      </c>
      <c r="G828" s="40" t="s">
        <v>455</v>
      </c>
      <c r="I828" s="40" t="s">
        <v>1269</v>
      </c>
      <c r="J828" s="40" t="s">
        <v>1391</v>
      </c>
      <c r="K828" s="40" t="s">
        <v>578</v>
      </c>
      <c r="Q828" s="40">
        <v>1</v>
      </c>
      <c r="Z828" s="40" t="s">
        <v>3011</v>
      </c>
      <c r="AA828" s="47">
        <f>IF(H2ProjectDB689571011[[#This Row],[Dummy_1]]="Electrolysis",
AB828*VLOOKUP(G828,ElectrolysisConvF,3,FALSE),
"")</f>
        <v>4.8689138576779025E-3</v>
      </c>
      <c r="AB828" s="46">
        <f>AC828/(H2dens*HoursInYear/10^6)</f>
        <v>0.93632958801498123</v>
      </c>
      <c r="AC828" s="47">
        <f>2/1000000*365</f>
        <v>7.2999999999999996E-4</v>
      </c>
      <c r="AE828" s="46">
        <f t="shared" si="68"/>
        <v>0.93632958801498123</v>
      </c>
      <c r="AF828" s="43" t="s">
        <v>3010</v>
      </c>
      <c r="AG828" s="43">
        <v>-33.205724109450699</v>
      </c>
      <c r="AH828" s="43">
        <v>-70.678512244386994</v>
      </c>
      <c r="AI828" s="122" t="s">
        <v>7286</v>
      </c>
      <c r="AJ828" s="41">
        <v>0.3</v>
      </c>
    </row>
    <row r="829" spans="1:36" ht="34.5" hidden="1" customHeight="1" x14ac:dyDescent="0.25">
      <c r="A829" s="40">
        <v>1283</v>
      </c>
      <c r="B829" s="40" t="s">
        <v>3012</v>
      </c>
      <c r="C829" s="40" t="s">
        <v>539</v>
      </c>
      <c r="D829" s="44"/>
      <c r="E829" s="44"/>
      <c r="F829" s="40" t="s">
        <v>1331</v>
      </c>
      <c r="G829" s="40" t="s">
        <v>1259</v>
      </c>
      <c r="H829" s="40" t="s">
        <v>467</v>
      </c>
      <c r="I829" s="40" t="s">
        <v>1269</v>
      </c>
      <c r="J829" s="40" t="s">
        <v>581</v>
      </c>
      <c r="K829" s="40" t="s">
        <v>578</v>
      </c>
      <c r="R829" s="40">
        <v>1</v>
      </c>
      <c r="T829" s="40">
        <v>1</v>
      </c>
      <c r="U829" s="40">
        <v>1</v>
      </c>
      <c r="Z829" s="40" t="s">
        <v>1481</v>
      </c>
      <c r="AA829" s="45">
        <v>25</v>
      </c>
      <c r="AB829" s="46">
        <f>IF(H2ProjectDB689571011[[#This Row],[Dummy_1]]="Electrolysis",
AA829/VLOOKUP(G829,ElectrolysisConvF,3,FALSE),
AC829*10^6/(H2dens*HoursInYear))</f>
        <v>5555.5555555555557</v>
      </c>
      <c r="AC829" s="47">
        <f>AB829*H2dens*HoursInYear/10^6</f>
        <v>4.3313333333333333</v>
      </c>
      <c r="AE829" s="46">
        <f t="shared" si="68"/>
        <v>5555.5555555555557</v>
      </c>
      <c r="AF829" s="43" t="s">
        <v>3013</v>
      </c>
      <c r="AG829" s="43">
        <v>34.154135206837203</v>
      </c>
      <c r="AH829" s="43">
        <v>77.582272482890104</v>
      </c>
      <c r="AI829" s="122" t="s">
        <v>7286</v>
      </c>
      <c r="AJ829" s="41">
        <v>0.5</v>
      </c>
    </row>
    <row r="830" spans="1:36" ht="34.5" hidden="1" customHeight="1" x14ac:dyDescent="0.25">
      <c r="A830" s="40">
        <v>1285</v>
      </c>
      <c r="B830" s="40" t="s">
        <v>3014</v>
      </c>
      <c r="C830" s="40" t="s">
        <v>538</v>
      </c>
      <c r="D830" s="44">
        <v>2025</v>
      </c>
      <c r="E830" s="44"/>
      <c r="F830" s="40" t="s">
        <v>1331</v>
      </c>
      <c r="G830" s="40" t="s">
        <v>1259</v>
      </c>
      <c r="H830" s="40" t="s">
        <v>467</v>
      </c>
      <c r="I830" s="40" t="s">
        <v>1269</v>
      </c>
      <c r="J830" s="40" t="s">
        <v>1393</v>
      </c>
      <c r="K830" s="40" t="s">
        <v>578</v>
      </c>
      <c r="O830" s="40">
        <v>1</v>
      </c>
      <c r="P830" s="40">
        <v>1</v>
      </c>
      <c r="Q830" s="40">
        <v>1</v>
      </c>
      <c r="R830" s="40">
        <v>1</v>
      </c>
      <c r="Z830" s="40" t="s">
        <v>3015</v>
      </c>
      <c r="AA830" s="47">
        <f>IF(H2ProjectDB689571011[[#This Row],[Dummy_1]]="Electrolysis",
AB830*VLOOKUP(G830,ElectrolysisConvF,3,FALSE),
"")</f>
        <v>3.1745420963521624</v>
      </c>
      <c r="AB830" s="46">
        <f>AC830/(H2dens*HoursInYear/10^6)</f>
        <v>705.45379918936953</v>
      </c>
      <c r="AC830" s="47">
        <v>0.55000000000000004</v>
      </c>
      <c r="AE830" s="46">
        <f t="shared" si="68"/>
        <v>705.45379918936953</v>
      </c>
      <c r="AF830" s="43" t="s">
        <v>3016</v>
      </c>
      <c r="AG830" s="43">
        <v>43.464549001147901</v>
      </c>
      <c r="AH830" s="43">
        <v>143.50719251712499</v>
      </c>
      <c r="AI830" s="122" t="s">
        <v>7286</v>
      </c>
      <c r="AJ830" s="41">
        <v>0.55000000000000004</v>
      </c>
    </row>
    <row r="831" spans="1:36" ht="34.5" hidden="1" customHeight="1" x14ac:dyDescent="0.25">
      <c r="A831" s="40">
        <v>1287</v>
      </c>
      <c r="B831" s="40" t="s">
        <v>3021</v>
      </c>
      <c r="C831" s="40" t="s">
        <v>536</v>
      </c>
      <c r="D831" s="44"/>
      <c r="E831" s="44"/>
      <c r="F831" s="40" t="s">
        <v>1331</v>
      </c>
      <c r="G831" s="40" t="s">
        <v>455</v>
      </c>
      <c r="I831" s="40" t="s">
        <v>1269</v>
      </c>
      <c r="J831" s="40" t="s">
        <v>1391</v>
      </c>
      <c r="K831" s="40" t="s">
        <v>578</v>
      </c>
      <c r="Z831" s="40" t="s">
        <v>4987</v>
      </c>
      <c r="AA831" s="47">
        <f>IF(H2ProjectDB689571011[[#This Row],[Dummy_1]]="Electrolysis",
AB831*VLOOKUP(G831,ElectrolysisConvF,3,FALSE),
"")</f>
        <v>405.74282147315853</v>
      </c>
      <c r="AB831" s="46">
        <f>AC831/(H2dens*HoursInYear/10^6)</f>
        <v>78027.465667915108</v>
      </c>
      <c r="AC831" s="47">
        <f>50*365/1000/H2ProjectDB689571011[[#This Row],[LOWE_CF]]</f>
        <v>60.833333333333336</v>
      </c>
      <c r="AE831" s="46">
        <f t="shared" si="68"/>
        <v>78027.465667915108</v>
      </c>
      <c r="AF831" s="43" t="s">
        <v>3023</v>
      </c>
      <c r="AG831" s="43">
        <v>31.390981570373601</v>
      </c>
      <c r="AH831" s="43">
        <v>-103.535958296125</v>
      </c>
      <c r="AI831" s="122" t="s">
        <v>7286</v>
      </c>
      <c r="AJ831" s="41">
        <v>0.3</v>
      </c>
    </row>
    <row r="832" spans="1:36" ht="34.5" hidden="1" customHeight="1" x14ac:dyDescent="0.25">
      <c r="A832" s="40">
        <v>1288</v>
      </c>
      <c r="B832" s="40" t="s">
        <v>3024</v>
      </c>
      <c r="C832" s="40" t="s">
        <v>531</v>
      </c>
      <c r="D832" s="44">
        <v>2023</v>
      </c>
      <c r="F832" s="40" t="s">
        <v>1339</v>
      </c>
      <c r="G832" s="40" t="s">
        <v>457</v>
      </c>
      <c r="I832" s="40" t="s">
        <v>1269</v>
      </c>
      <c r="J832" s="40" t="s">
        <v>581</v>
      </c>
      <c r="K832" s="40" t="s">
        <v>578</v>
      </c>
      <c r="Z832" s="40" t="s">
        <v>3025</v>
      </c>
      <c r="AA832" s="45">
        <v>0.9</v>
      </c>
      <c r="AB832" s="46">
        <f>IF(H2ProjectDB689571011[[#This Row],[Dummy_1]]="Electrolysis",
AA832/VLOOKUP(G832,ElectrolysisConvF,3,FALSE),
AC832*10^6/(H2dens*HoursInYear))</f>
        <v>195.6521739130435</v>
      </c>
      <c r="AC832" s="47">
        <f>AB832*H2dens*HoursInYear/10^6</f>
        <v>0.15253826086956521</v>
      </c>
      <c r="AE832" s="46">
        <f t="shared" si="68"/>
        <v>195.6521739130435</v>
      </c>
      <c r="AF832" s="43" t="s">
        <v>4512</v>
      </c>
      <c r="AG832" s="43">
        <v>0</v>
      </c>
      <c r="AH832" s="43">
        <v>0</v>
      </c>
      <c r="AI832" s="122" t="s">
        <v>7286</v>
      </c>
      <c r="AJ832" s="41">
        <v>0.5</v>
      </c>
    </row>
    <row r="833" spans="1:36" ht="34.5" hidden="1" customHeight="1" x14ac:dyDescent="0.25">
      <c r="A833" s="40">
        <v>1289</v>
      </c>
      <c r="B833" s="40" t="s">
        <v>3027</v>
      </c>
      <c r="C833" s="40" t="s">
        <v>536</v>
      </c>
      <c r="D833" s="44">
        <v>2024</v>
      </c>
      <c r="E833" s="44"/>
      <c r="F833" s="40" t="s">
        <v>5701</v>
      </c>
      <c r="G833" s="40" t="s">
        <v>1255</v>
      </c>
      <c r="H833" s="40" t="s">
        <v>5717</v>
      </c>
      <c r="K833" s="40" t="s">
        <v>578</v>
      </c>
      <c r="Q833" s="40">
        <v>1</v>
      </c>
      <c r="Z833" s="40" t="s">
        <v>3028</v>
      </c>
      <c r="AB833" s="46">
        <f>AC833/(H2dens*HoursInYear/10^6)</f>
        <v>2565.286542506798</v>
      </c>
      <c r="AC833" s="47">
        <v>2</v>
      </c>
      <c r="AE833" s="46">
        <f t="shared" si="68"/>
        <v>2565.286542506798</v>
      </c>
      <c r="AF833" s="43" t="s">
        <v>4529</v>
      </c>
      <c r="AG833" s="43">
        <v>0</v>
      </c>
      <c r="AH833" s="43">
        <v>0</v>
      </c>
      <c r="AI833" s="122" t="s">
        <v>1255</v>
      </c>
      <c r="AJ833" s="41">
        <v>0.9</v>
      </c>
    </row>
    <row r="834" spans="1:36" ht="34.5" hidden="1" customHeight="1" x14ac:dyDescent="0.25">
      <c r="A834" s="40">
        <v>1291</v>
      </c>
      <c r="B834" s="40" t="s">
        <v>3032</v>
      </c>
      <c r="C834" s="40" t="s">
        <v>536</v>
      </c>
      <c r="D834" s="44"/>
      <c r="E834" s="44"/>
      <c r="F834" s="40" t="s">
        <v>2222</v>
      </c>
      <c r="G834" s="40" t="s">
        <v>1261</v>
      </c>
      <c r="H834" s="40" t="s">
        <v>1665</v>
      </c>
      <c r="K834" s="40" t="s">
        <v>578</v>
      </c>
      <c r="L834" s="40">
        <v>1</v>
      </c>
      <c r="AC834" s="47"/>
      <c r="AE834" s="46">
        <f t="shared" si="68"/>
        <v>0</v>
      </c>
      <c r="AF834" s="43" t="s">
        <v>3034</v>
      </c>
      <c r="AG834" s="43">
        <v>27.8068211420862</v>
      </c>
      <c r="AH834" s="43">
        <v>-97.460506670269993</v>
      </c>
      <c r="AI834" s="122" t="s">
        <v>7287</v>
      </c>
      <c r="AJ834" s="41">
        <v>0.9</v>
      </c>
    </row>
    <row r="835" spans="1:36" ht="34.5" hidden="1" customHeight="1" x14ac:dyDescent="0.25">
      <c r="A835" s="40">
        <v>1292</v>
      </c>
      <c r="B835" s="40" t="s">
        <v>8086</v>
      </c>
      <c r="C835" s="40" t="s">
        <v>542</v>
      </c>
      <c r="D835" s="44">
        <v>2026</v>
      </c>
      <c r="E835" s="44"/>
      <c r="F835" s="40" t="s">
        <v>1331</v>
      </c>
      <c r="G835" s="40" t="s">
        <v>455</v>
      </c>
      <c r="I835" s="40" t="s">
        <v>5700</v>
      </c>
      <c r="J835" s="40" t="s">
        <v>1392</v>
      </c>
      <c r="K835" s="40" t="s">
        <v>578</v>
      </c>
      <c r="P835" s="40">
        <v>1</v>
      </c>
      <c r="Z835" s="40" t="s">
        <v>1582</v>
      </c>
      <c r="AA835" s="45">
        <v>15</v>
      </c>
      <c r="AB835" s="46">
        <f>IF(H2ProjectDB689571011[[#This Row],[Dummy_1]]="Electrolysis",
AA835/VLOOKUP(G835,ElectrolysisConvF,3,FALSE),
AC835*10^6/(H2dens*HoursInYear))</f>
        <v>2884.6153846153848</v>
      </c>
      <c r="AC835" s="47">
        <f>AB835*H2dens*HoursInYear/10^6</f>
        <v>2.2489615384615385</v>
      </c>
      <c r="AE835" s="46">
        <f t="shared" si="68"/>
        <v>2884.6153846153848</v>
      </c>
      <c r="AF835" s="43" t="s">
        <v>5332</v>
      </c>
      <c r="AG835" s="43">
        <v>57.969977521510998</v>
      </c>
      <c r="AH835" s="43">
        <v>-4.21404761653453</v>
      </c>
      <c r="AI835" s="122" t="s">
        <v>7286</v>
      </c>
      <c r="AJ835" s="41">
        <v>0.7</v>
      </c>
    </row>
    <row r="836" spans="1:36" ht="34.5" hidden="1" customHeight="1" x14ac:dyDescent="0.25">
      <c r="A836" s="40">
        <v>1293</v>
      </c>
      <c r="B836" s="40" t="s">
        <v>3037</v>
      </c>
      <c r="C836" s="40" t="s">
        <v>536</v>
      </c>
      <c r="D836" s="44">
        <v>2028</v>
      </c>
      <c r="E836" s="44"/>
      <c r="F836" s="40" t="s">
        <v>1331</v>
      </c>
      <c r="G836" s="40" t="s">
        <v>1261</v>
      </c>
      <c r="H836" s="40" t="s">
        <v>5708</v>
      </c>
      <c r="K836" s="40" t="s">
        <v>578</v>
      </c>
      <c r="Z836" s="40" t="s">
        <v>3036</v>
      </c>
      <c r="AB836" s="46">
        <f>AC836/(H2dens*HoursInYear/10^6)</f>
        <v>397619.41408855369</v>
      </c>
      <c r="AC836" s="47">
        <v>310</v>
      </c>
      <c r="AE836" s="46">
        <f t="shared" si="68"/>
        <v>0</v>
      </c>
      <c r="AF836" s="43" t="s">
        <v>3035</v>
      </c>
      <c r="AG836" s="43">
        <v>47.263263891975498</v>
      </c>
      <c r="AH836" s="43">
        <v>-101.778294677318</v>
      </c>
      <c r="AI836" s="122" t="s">
        <v>7287</v>
      </c>
      <c r="AJ836" s="41">
        <v>0.9</v>
      </c>
    </row>
    <row r="837" spans="1:36" ht="34.5" hidden="1" customHeight="1" x14ac:dyDescent="0.25">
      <c r="A837" s="40">
        <v>1294</v>
      </c>
      <c r="B837" s="40" t="s">
        <v>4583</v>
      </c>
      <c r="C837" s="40" t="s">
        <v>542</v>
      </c>
      <c r="D837" s="44">
        <v>2024</v>
      </c>
      <c r="F837" s="40" t="s">
        <v>1339</v>
      </c>
      <c r="G837" s="40" t="s">
        <v>457</v>
      </c>
      <c r="I837" s="40" t="s">
        <v>1269</v>
      </c>
      <c r="J837" s="40" t="s">
        <v>581</v>
      </c>
      <c r="K837" s="40" t="s">
        <v>578</v>
      </c>
      <c r="Q837" s="40">
        <v>1</v>
      </c>
      <c r="Z837" s="40" t="s">
        <v>3025</v>
      </c>
      <c r="AA837" s="45">
        <v>0.9</v>
      </c>
      <c r="AB837" s="46">
        <f>IF(H2ProjectDB689571011[[#This Row],[Dummy_1]]="Electrolysis",
AA837/VLOOKUP(G837,ElectrolysisConvF,3,FALSE),
AC837*10^6/(H2dens*HoursInYear))</f>
        <v>195.6521739130435</v>
      </c>
      <c r="AC837" s="47">
        <f>AB837*H2dens*HoursInYear/10^6</f>
        <v>0.15253826086956521</v>
      </c>
      <c r="AE837" s="46">
        <f t="shared" si="68"/>
        <v>195.6521739130435</v>
      </c>
      <c r="AF837" s="43" t="s">
        <v>4582</v>
      </c>
      <c r="AG837" s="43">
        <v>52.554620815503299</v>
      </c>
      <c r="AH837" s="43">
        <v>-1.46324408934596</v>
      </c>
      <c r="AI837" s="122" t="s">
        <v>7286</v>
      </c>
      <c r="AJ837" s="41">
        <v>0.5</v>
      </c>
    </row>
    <row r="838" spans="1:36" ht="34.5" hidden="1" customHeight="1" x14ac:dyDescent="0.25">
      <c r="A838" s="40">
        <v>1295</v>
      </c>
      <c r="B838" s="40" t="s">
        <v>3043</v>
      </c>
      <c r="C838" s="40" t="s">
        <v>1761</v>
      </c>
      <c r="D838" s="44">
        <v>2024</v>
      </c>
      <c r="E838" s="44"/>
      <c r="F838" s="40" t="s">
        <v>5701</v>
      </c>
      <c r="G838" s="40" t="s">
        <v>455</v>
      </c>
      <c r="I838" s="40" t="s">
        <v>1269</v>
      </c>
      <c r="J838" s="40" t="s">
        <v>1391</v>
      </c>
      <c r="K838" s="40" t="s">
        <v>578</v>
      </c>
      <c r="P838" s="40">
        <v>1</v>
      </c>
      <c r="S838" s="40">
        <v>1</v>
      </c>
      <c r="Z838" s="40" t="s">
        <v>6052</v>
      </c>
      <c r="AA838" s="45">
        <v>4.3</v>
      </c>
      <c r="AB838" s="46">
        <f>IF(H2ProjectDB689571011[[#This Row],[Dummy_1]]="Electrolysis",
AA838/VLOOKUP(G838,ElectrolysisConvF,3,FALSE),
AC838*10^6/(H2dens*HoursInYear))</f>
        <v>826.92307692307691</v>
      </c>
      <c r="AC838" s="47">
        <f>AB838*H2dens*HoursInYear/10^6</f>
        <v>0.64470230769230763</v>
      </c>
      <c r="AE838" s="46">
        <f t="shared" si="68"/>
        <v>826.92307692307691</v>
      </c>
      <c r="AF838" s="43" t="s">
        <v>3054</v>
      </c>
      <c r="AG838" s="43">
        <v>37.95961407835</v>
      </c>
      <c r="AH838" s="43">
        <v>-8.8585863990486402</v>
      </c>
      <c r="AI838" s="122" t="s">
        <v>7286</v>
      </c>
      <c r="AJ838" s="41">
        <v>0.3</v>
      </c>
    </row>
    <row r="839" spans="1:36" ht="34.5" hidden="1" customHeight="1" x14ac:dyDescent="0.25">
      <c r="A839" s="40">
        <v>1297</v>
      </c>
      <c r="B839" s="40" t="s">
        <v>3046</v>
      </c>
      <c r="C839" s="40" t="s">
        <v>1764</v>
      </c>
      <c r="D839" s="44">
        <v>2025</v>
      </c>
      <c r="E839" s="44"/>
      <c r="F839" s="40" t="s">
        <v>1331</v>
      </c>
      <c r="G839" s="40" t="s">
        <v>1263</v>
      </c>
      <c r="H839" s="40" t="s">
        <v>2578</v>
      </c>
      <c r="K839" s="40" t="s">
        <v>578</v>
      </c>
      <c r="P839" s="40">
        <v>1</v>
      </c>
      <c r="Q839" s="40">
        <v>1</v>
      </c>
      <c r="Z839" s="40" t="s">
        <v>3047</v>
      </c>
      <c r="AB839" s="46">
        <f>AC839/(H2dens*HoursInYear/10^6)</f>
        <v>2052.2292340054387</v>
      </c>
      <c r="AC839" s="47">
        <v>1.6</v>
      </c>
      <c r="AE839" s="46">
        <f t="shared" si="68"/>
        <v>2052.2292340054387</v>
      </c>
      <c r="AF839" s="107" t="s">
        <v>4506</v>
      </c>
      <c r="AG839" s="43">
        <v>0</v>
      </c>
      <c r="AH839" s="43">
        <v>0</v>
      </c>
      <c r="AI839" s="122" t="s">
        <v>1255</v>
      </c>
      <c r="AJ839" s="41">
        <v>0.9</v>
      </c>
    </row>
    <row r="840" spans="1:36" ht="34.5" hidden="1" customHeight="1" x14ac:dyDescent="0.25">
      <c r="A840" s="40">
        <v>1299</v>
      </c>
      <c r="B840" s="40" t="s">
        <v>8442</v>
      </c>
      <c r="C840" s="40" t="s">
        <v>541</v>
      </c>
      <c r="D840" s="44">
        <v>2026</v>
      </c>
      <c r="E840" s="44"/>
      <c r="F840" s="40" t="s">
        <v>1331</v>
      </c>
      <c r="G840" s="40" t="s">
        <v>1259</v>
      </c>
      <c r="H840" s="40" t="s">
        <v>467</v>
      </c>
      <c r="I840" s="40" t="s">
        <v>1257</v>
      </c>
      <c r="K840" s="40" t="s">
        <v>578</v>
      </c>
      <c r="P840" s="40">
        <v>1</v>
      </c>
      <c r="Q840" s="40">
        <v>1</v>
      </c>
      <c r="Z840" s="40" t="s">
        <v>1581</v>
      </c>
      <c r="AA840" s="45">
        <v>6</v>
      </c>
      <c r="AB840" s="46">
        <f>IF(H2ProjectDB689571011[[#This Row],[Dummy_1]]="Electrolysis",
AA840/VLOOKUP(G840,ElectrolysisConvF,3,FALSE),
AC840*10^6/(H2dens*HoursInYear))</f>
        <v>1333.3333333333335</v>
      </c>
      <c r="AC840" s="47">
        <f>AB840*H2dens*HoursInYear/10^6</f>
        <v>1.03952</v>
      </c>
      <c r="AE840" s="46">
        <f t="shared" si="68"/>
        <v>1333.3333333333335</v>
      </c>
      <c r="AF840" s="107" t="s">
        <v>4508</v>
      </c>
      <c r="AG840" s="43">
        <v>45.955162388134298</v>
      </c>
      <c r="AH840" s="43">
        <v>10.291261347210201</v>
      </c>
      <c r="AI840" s="122" t="s">
        <v>7286</v>
      </c>
      <c r="AJ840" s="41">
        <v>0.56999999999999995</v>
      </c>
    </row>
    <row r="841" spans="1:36" ht="34.5" hidden="1" customHeight="1" x14ac:dyDescent="0.25">
      <c r="A841" s="40">
        <v>1300</v>
      </c>
      <c r="B841" s="40" t="s">
        <v>3048</v>
      </c>
      <c r="C841" s="40" t="s">
        <v>1761</v>
      </c>
      <c r="D841" s="44">
        <v>2022</v>
      </c>
      <c r="F841" s="40" t="s">
        <v>1540</v>
      </c>
      <c r="G841" s="40" t="s">
        <v>455</v>
      </c>
      <c r="I841" s="40" t="s">
        <v>1269</v>
      </c>
      <c r="J841" s="40" t="s">
        <v>1391</v>
      </c>
      <c r="K841" s="40" t="s">
        <v>578</v>
      </c>
      <c r="Z841" s="40" t="s">
        <v>3050</v>
      </c>
      <c r="AA841" s="47">
        <f>IF(H2ProjectDB689571011[[#This Row],[Dummy_1]]="Electrolysis",
AB841*VLOOKUP(G841,ElectrolysisConvF,3,FALSE),
"")</f>
        <v>0.10004617515776512</v>
      </c>
      <c r="AB841" s="46">
        <f>AC841/(H2dens*HoursInYear/10^6)</f>
        <v>19.239649068800986</v>
      </c>
      <c r="AC841" s="47">
        <v>1.4999999999999999E-2</v>
      </c>
      <c r="AE841" s="46">
        <f t="shared" si="68"/>
        <v>19.239649068800986</v>
      </c>
      <c r="AF841" s="43" t="s">
        <v>4428</v>
      </c>
      <c r="AG841" s="43">
        <v>38.571363636034299</v>
      </c>
      <c r="AH841" s="43">
        <v>-7.9125540524386704</v>
      </c>
      <c r="AI841" s="122" t="s">
        <v>7286</v>
      </c>
      <c r="AJ841" s="41">
        <v>0.3</v>
      </c>
    </row>
    <row r="842" spans="1:36" ht="34.5" hidden="1" customHeight="1" x14ac:dyDescent="0.25">
      <c r="A842" s="40">
        <v>1301</v>
      </c>
      <c r="B842" s="40" t="s">
        <v>3049</v>
      </c>
      <c r="C842" s="40" t="s">
        <v>1761</v>
      </c>
      <c r="D842" s="44">
        <v>2023</v>
      </c>
      <c r="F842" s="40" t="s">
        <v>1339</v>
      </c>
      <c r="G842" s="40" t="s">
        <v>455</v>
      </c>
      <c r="I842" s="40" t="s">
        <v>1269</v>
      </c>
      <c r="J842" s="40" t="s">
        <v>1391</v>
      </c>
      <c r="K842" s="40" t="s">
        <v>578</v>
      </c>
      <c r="S842" s="40">
        <v>1</v>
      </c>
      <c r="Z842" s="40" t="s">
        <v>3051</v>
      </c>
      <c r="AA842" s="47">
        <f>IF(H2ProjectDB689571011[[#This Row],[Dummy_1]]="Electrolysis",
AB842*VLOOKUP(G842,ElectrolysisConvF,3,FALSE),
"")</f>
        <v>0.30013852547329539</v>
      </c>
      <c r="AB842" s="46">
        <f>AC842/(H2dens*HoursInYear/10^6)</f>
        <v>57.718947206402959</v>
      </c>
      <c r="AC842" s="47">
        <v>4.4999999999999998E-2</v>
      </c>
      <c r="AE842" s="46">
        <f t="shared" si="68"/>
        <v>57.718947206402959</v>
      </c>
      <c r="AF842" s="43" t="s">
        <v>4530</v>
      </c>
      <c r="AG842" s="43">
        <v>38.571363636034299</v>
      </c>
      <c r="AH842" s="43">
        <v>-7.9125540524386704</v>
      </c>
      <c r="AI842" s="122" t="s">
        <v>7286</v>
      </c>
      <c r="AJ842" s="41">
        <v>0.3</v>
      </c>
    </row>
    <row r="843" spans="1:36" ht="34.5" hidden="1" customHeight="1" x14ac:dyDescent="0.25">
      <c r="A843" s="40">
        <v>1302</v>
      </c>
      <c r="B843" s="40" t="s">
        <v>3055</v>
      </c>
      <c r="C843" s="40" t="s">
        <v>1761</v>
      </c>
      <c r="D843" s="44"/>
      <c r="E843" s="44"/>
      <c r="F843" s="40" t="s">
        <v>1331</v>
      </c>
      <c r="G843" s="40" t="s">
        <v>455</v>
      </c>
      <c r="I843" s="40" t="s">
        <v>1269</v>
      </c>
      <c r="J843" s="40" t="s">
        <v>1391</v>
      </c>
      <c r="K843" s="40" t="s">
        <v>578</v>
      </c>
      <c r="P843" s="40">
        <v>1</v>
      </c>
      <c r="Q843" s="40">
        <v>1</v>
      </c>
      <c r="Z843" s="40" t="s">
        <v>3057</v>
      </c>
      <c r="AA843" s="47">
        <f>IF(H2ProjectDB689571011[[#This Row],[Dummy_1]]="Electrolysis",
AB843*VLOOKUP(G843,ElectrolysisConvF,3,FALSE),
"")</f>
        <v>0.93376430147247458</v>
      </c>
      <c r="AB843" s="46">
        <f>AC843/(H2dens*HoursInYear/10^6)</f>
        <v>179.57005797547589</v>
      </c>
      <c r="AC843" s="47">
        <v>0.14000000000000001</v>
      </c>
      <c r="AE843" s="46">
        <f t="shared" si="68"/>
        <v>179.57005797547589</v>
      </c>
      <c r="AF843" s="43" t="s">
        <v>3052</v>
      </c>
      <c r="AG843" s="43">
        <v>0</v>
      </c>
      <c r="AH843" s="43">
        <v>0</v>
      </c>
      <c r="AI843" s="122" t="s">
        <v>7286</v>
      </c>
      <c r="AJ843" s="41">
        <v>0.3</v>
      </c>
    </row>
    <row r="844" spans="1:36" ht="34.5" hidden="1" customHeight="1" x14ac:dyDescent="0.25">
      <c r="A844" s="40">
        <v>1303</v>
      </c>
      <c r="B844" s="40" t="s">
        <v>3056</v>
      </c>
      <c r="C844" s="40" t="s">
        <v>1761</v>
      </c>
      <c r="D844" s="44"/>
      <c r="E844" s="44"/>
      <c r="F844" s="40" t="s">
        <v>1331</v>
      </c>
      <c r="G844" s="40" t="s">
        <v>455</v>
      </c>
      <c r="I844" s="40" t="s">
        <v>1269</v>
      </c>
      <c r="J844" s="40" t="s">
        <v>1391</v>
      </c>
      <c r="K844" s="40" t="s">
        <v>578</v>
      </c>
      <c r="P844" s="40">
        <v>1</v>
      </c>
      <c r="Z844" s="40" t="s">
        <v>3057</v>
      </c>
      <c r="AA844" s="47">
        <f>IF(H2ProjectDB689571011[[#This Row],[Dummy_1]]="Electrolysis",
AB844*VLOOKUP(G844,ElectrolysisConvF,3,FALSE),
"")</f>
        <v>0.93376430147247458</v>
      </c>
      <c r="AB844" s="46">
        <f>AC844/(H2dens*HoursInYear/10^6)</f>
        <v>179.57005797547589</v>
      </c>
      <c r="AC844" s="47">
        <v>0.14000000000000001</v>
      </c>
      <c r="AE844" s="46">
        <f t="shared" si="68"/>
        <v>179.57005797547589</v>
      </c>
      <c r="AF844" s="43" t="s">
        <v>3052</v>
      </c>
      <c r="AG844" s="43">
        <v>37.987163945943102</v>
      </c>
      <c r="AH844" s="43">
        <v>-8.84848160225188</v>
      </c>
      <c r="AI844" s="122" t="s">
        <v>7286</v>
      </c>
      <c r="AJ844" s="41">
        <v>0.3</v>
      </c>
    </row>
    <row r="845" spans="1:36" ht="34.5" hidden="1" customHeight="1" x14ac:dyDescent="0.25">
      <c r="A845" s="40">
        <v>1304</v>
      </c>
      <c r="B845" s="40" t="s">
        <v>8663</v>
      </c>
      <c r="C845" s="40" t="s">
        <v>1761</v>
      </c>
      <c r="D845" s="44">
        <v>2026</v>
      </c>
      <c r="E845" s="44"/>
      <c r="F845" s="40" t="s">
        <v>1331</v>
      </c>
      <c r="G845" s="40" t="s">
        <v>455</v>
      </c>
      <c r="I845" s="40" t="s">
        <v>1269</v>
      </c>
      <c r="J845" s="40" t="s">
        <v>1391</v>
      </c>
      <c r="K845" s="40" t="s">
        <v>1268</v>
      </c>
      <c r="S845" s="40">
        <v>1</v>
      </c>
      <c r="Z845" s="40" t="s">
        <v>8668</v>
      </c>
      <c r="AA845" s="45">
        <v>91</v>
      </c>
      <c r="AB845" s="46">
        <f>IF(H2ProjectDB689571011[[#This Row],[Dummy_1]]="Electrolysis",
AA845/VLOOKUP(G845,ElectrolysisConvF,3,FALSE),
AC845*10^6/(H2dens*HoursInYear))</f>
        <v>17500</v>
      </c>
      <c r="AC845" s="47">
        <f>AB845*H2dens*HoursInYear/10^6</f>
        <v>13.643700000000001</v>
      </c>
      <c r="AE845" s="46">
        <f t="shared" si="68"/>
        <v>17500</v>
      </c>
      <c r="AF845" s="43" t="s">
        <v>8667</v>
      </c>
      <c r="AG845" s="43">
        <v>37.95961407835</v>
      </c>
      <c r="AH845" s="43">
        <v>-8.8585863990486402</v>
      </c>
      <c r="AI845" s="122" t="s">
        <v>7286</v>
      </c>
      <c r="AJ845" s="41">
        <v>0.3</v>
      </c>
    </row>
    <row r="846" spans="1:36" ht="34.5" hidden="1" customHeight="1" x14ac:dyDescent="0.25">
      <c r="A846" s="40">
        <v>1305</v>
      </c>
      <c r="B846" s="40" t="s">
        <v>3058</v>
      </c>
      <c r="C846" s="40" t="s">
        <v>1097</v>
      </c>
      <c r="D846" s="44">
        <v>2026</v>
      </c>
      <c r="E846" s="44"/>
      <c r="F846" s="40" t="s">
        <v>1331</v>
      </c>
      <c r="G846" s="40" t="s">
        <v>455</v>
      </c>
      <c r="I846" s="40" t="s">
        <v>1269</v>
      </c>
      <c r="J846" s="40" t="s">
        <v>1391</v>
      </c>
      <c r="K846" s="40" t="s">
        <v>1243</v>
      </c>
      <c r="M846" s="40">
        <v>1</v>
      </c>
      <c r="Z846" s="40" t="s">
        <v>8364</v>
      </c>
      <c r="AA846" s="47">
        <f>IF(H2ProjectDB689571011[[#This Row],[Dummy_1]]="Electrolysis",
AB846*VLOOKUP(G846,ElectrolysisConvF,3,FALSE),
"")</f>
        <v>689.20698442015976</v>
      </c>
      <c r="AB846" s="46">
        <f>AC846/(H2dens*HoursInYear/10^6)</f>
        <v>132539.80469618458</v>
      </c>
      <c r="AC846" s="47">
        <f>31/H2ProjectDB689571011[[#This Row],[LOWE_CF]]</f>
        <v>103.33333333333334</v>
      </c>
      <c r="AE846" s="46">
        <f t="shared" si="68"/>
        <v>132539.80469618458</v>
      </c>
      <c r="AF846" s="43" t="s">
        <v>3316</v>
      </c>
      <c r="AG846" s="43">
        <v>33.1267</v>
      </c>
      <c r="AH846" s="43">
        <v>-8.6202799999999993</v>
      </c>
      <c r="AI846" s="122" t="s">
        <v>7286</v>
      </c>
      <c r="AJ846" s="41">
        <v>0.3</v>
      </c>
    </row>
    <row r="847" spans="1:36" ht="34.5" hidden="1" customHeight="1" x14ac:dyDescent="0.25">
      <c r="A847" s="40">
        <v>1306</v>
      </c>
      <c r="B847" s="40" t="s">
        <v>3059</v>
      </c>
      <c r="C847" s="40" t="s">
        <v>1764</v>
      </c>
      <c r="D847" s="44"/>
      <c r="E847" s="44"/>
      <c r="F847" s="40" t="s">
        <v>1540</v>
      </c>
      <c r="G847" s="40" t="s">
        <v>1259</v>
      </c>
      <c r="H847" s="40" t="s">
        <v>467</v>
      </c>
      <c r="I847" s="40" t="s">
        <v>1269</v>
      </c>
      <c r="J847" s="40" t="s">
        <v>1393</v>
      </c>
      <c r="K847" s="40" t="s">
        <v>578</v>
      </c>
      <c r="AC847" s="47"/>
      <c r="AE847" s="46">
        <f t="shared" si="68"/>
        <v>0</v>
      </c>
      <c r="AF847" s="43" t="s">
        <v>3061</v>
      </c>
      <c r="AG847" s="43">
        <v>0</v>
      </c>
      <c r="AH847" s="43">
        <v>0</v>
      </c>
      <c r="AI847" s="122" t="s">
        <v>7286</v>
      </c>
      <c r="AJ847" s="41">
        <v>0.55000000000000004</v>
      </c>
    </row>
    <row r="848" spans="1:36" ht="34.5" hidden="1" customHeight="1" x14ac:dyDescent="0.25">
      <c r="A848" s="40">
        <v>1307</v>
      </c>
      <c r="B848" s="40" t="s">
        <v>3062</v>
      </c>
      <c r="C848" s="40" t="s">
        <v>543</v>
      </c>
      <c r="D848" s="44"/>
      <c r="E848" s="44"/>
      <c r="F848" s="40" t="s">
        <v>2222</v>
      </c>
      <c r="G848" s="40" t="s">
        <v>1259</v>
      </c>
      <c r="H848" s="40" t="s">
        <v>467</v>
      </c>
      <c r="I848" s="40" t="s">
        <v>1269</v>
      </c>
      <c r="J848" s="40" t="s">
        <v>1391</v>
      </c>
      <c r="K848" s="40" t="s">
        <v>578</v>
      </c>
      <c r="O848" s="40">
        <v>1</v>
      </c>
      <c r="AC848" s="47"/>
      <c r="AE848" s="46">
        <f t="shared" si="68"/>
        <v>0</v>
      </c>
      <c r="AF848" s="43" t="s">
        <v>3063</v>
      </c>
      <c r="AG848" s="43">
        <v>24.334910112615599</v>
      </c>
      <c r="AH848" s="43">
        <v>54.471010041408398</v>
      </c>
      <c r="AI848" s="122" t="s">
        <v>7286</v>
      </c>
      <c r="AJ848" s="41">
        <v>0.3</v>
      </c>
    </row>
    <row r="849" spans="1:36" ht="34.5" hidden="1" customHeight="1" x14ac:dyDescent="0.25">
      <c r="A849" s="40">
        <v>1308</v>
      </c>
      <c r="B849" s="40" t="s">
        <v>3065</v>
      </c>
      <c r="C849" s="40" t="s">
        <v>542</v>
      </c>
      <c r="D849" s="44"/>
      <c r="E849" s="44"/>
      <c r="F849" s="40" t="s">
        <v>2222</v>
      </c>
      <c r="G849" s="40" t="s">
        <v>1259</v>
      </c>
      <c r="H849" s="40" t="s">
        <v>467</v>
      </c>
      <c r="I849" s="40" t="s">
        <v>1269</v>
      </c>
      <c r="J849" s="40" t="s">
        <v>1393</v>
      </c>
      <c r="K849" s="40" t="s">
        <v>578</v>
      </c>
      <c r="Z849" s="40" t="s">
        <v>1333</v>
      </c>
      <c r="AA849" s="45">
        <v>10</v>
      </c>
      <c r="AB849" s="46">
        <f>IF(H2ProjectDB689571011[[#This Row],[Dummy_1]]="Electrolysis",
AA849/VLOOKUP(G849,ElectrolysisConvF,3,FALSE),
AC849*10^6/(H2dens*HoursInYear))</f>
        <v>2222.2222222222222</v>
      </c>
      <c r="AC849" s="47">
        <f>AB849*H2dens*HoursInYear/10^6</f>
        <v>1.7325333333333333</v>
      </c>
      <c r="AE849" s="46">
        <f t="shared" si="68"/>
        <v>2222.2222222222222</v>
      </c>
      <c r="AF849" s="43" t="s">
        <v>3066</v>
      </c>
      <c r="AG849" s="43">
        <v>57.682617094722303</v>
      </c>
      <c r="AH849" s="43">
        <v>-1.5136353158554201</v>
      </c>
      <c r="AI849" s="122" t="s">
        <v>7286</v>
      </c>
      <c r="AJ849" s="41">
        <v>0.55000000000000004</v>
      </c>
    </row>
    <row r="850" spans="1:36" ht="34.5" hidden="1" customHeight="1" x14ac:dyDescent="0.25">
      <c r="A850" s="40">
        <v>1309</v>
      </c>
      <c r="B850" s="40" t="s">
        <v>8112</v>
      </c>
      <c r="C850" s="40" t="s">
        <v>1045</v>
      </c>
      <c r="D850" s="44">
        <v>2030</v>
      </c>
      <c r="E850" s="44"/>
      <c r="F850" s="40" t="s">
        <v>1331</v>
      </c>
      <c r="G850" s="40" t="s">
        <v>1259</v>
      </c>
      <c r="H850" s="40" t="s">
        <v>467</v>
      </c>
      <c r="I850" s="40" t="s">
        <v>1269</v>
      </c>
      <c r="J850" s="40" t="s">
        <v>1395</v>
      </c>
      <c r="K850" s="40" t="s">
        <v>578</v>
      </c>
      <c r="M850" s="40">
        <v>1</v>
      </c>
      <c r="Z850" s="40" t="s">
        <v>2054</v>
      </c>
      <c r="AA850" s="45">
        <v>500</v>
      </c>
      <c r="AB850" s="46">
        <f>IF(H2ProjectDB689571011[[#This Row],[Dummy_1]]="Electrolysis",
AA850/VLOOKUP(G850,ElectrolysisConvF,3,FALSE),
AC850*10^6/(H2dens*HoursInYear))</f>
        <v>111111.11111111112</v>
      </c>
      <c r="AC850" s="47">
        <f>AB850*H2dens*HoursInYear/10^6</f>
        <v>86.626666666666665</v>
      </c>
      <c r="AE850" s="46">
        <f t="shared" si="68"/>
        <v>111111.11111111112</v>
      </c>
      <c r="AF850" s="43" t="s">
        <v>8093</v>
      </c>
      <c r="AG850" s="43">
        <v>29.6489099140896</v>
      </c>
      <c r="AH850" s="43">
        <v>32.350730394158397</v>
      </c>
      <c r="AI850" s="122" t="s">
        <v>7286</v>
      </c>
      <c r="AJ850" s="41">
        <v>0.5</v>
      </c>
    </row>
    <row r="851" spans="1:36" ht="34.5" hidden="1" customHeight="1" x14ac:dyDescent="0.25">
      <c r="A851" s="40">
        <v>1311</v>
      </c>
      <c r="B851" s="40" t="s">
        <v>3070</v>
      </c>
      <c r="C851" s="40" t="s">
        <v>538</v>
      </c>
      <c r="D851" s="44">
        <v>2021</v>
      </c>
      <c r="F851" s="40" t="s">
        <v>1339</v>
      </c>
      <c r="G851" s="40" t="s">
        <v>1263</v>
      </c>
      <c r="H851" s="40" t="s">
        <v>2578</v>
      </c>
      <c r="K851" s="40" t="s">
        <v>578</v>
      </c>
      <c r="Q851" s="40">
        <v>1</v>
      </c>
      <c r="Z851" s="40" t="s">
        <v>3071</v>
      </c>
      <c r="AA851" s="47" t="str">
        <f>IF(H2ProjectDB689571011[[#This Row],[Dummy_1]]="Electrolysis",
AB851*VLOOKUP(G851,ElectrolysisConvF,3,FALSE),
"")</f>
        <v/>
      </c>
      <c r="AB851" s="46">
        <f>AC851/(H2dens*HoursInYear/10^6)</f>
        <v>21.067415730337078</v>
      </c>
      <c r="AC851" s="47">
        <f>45*365/10^6</f>
        <v>1.6424999999999999E-2</v>
      </c>
      <c r="AE851" s="46">
        <f t="shared" si="68"/>
        <v>21.067415730337078</v>
      </c>
      <c r="AF851" s="43" t="s">
        <v>3073</v>
      </c>
      <c r="AG851" s="43">
        <v>35.663802160920703</v>
      </c>
      <c r="AH851" s="43">
        <v>139.72017480200401</v>
      </c>
      <c r="AI851" s="122" t="s">
        <v>1255</v>
      </c>
      <c r="AJ851" s="41">
        <v>0.9</v>
      </c>
    </row>
    <row r="852" spans="1:36" s="81" customFormat="1" ht="34.5" hidden="1" customHeight="1" x14ac:dyDescent="0.25">
      <c r="A852" s="81">
        <v>1312</v>
      </c>
      <c r="B852" s="81" t="s">
        <v>3074</v>
      </c>
      <c r="C852" s="81" t="s">
        <v>537</v>
      </c>
      <c r="D852" s="101">
        <v>2023</v>
      </c>
      <c r="E852" s="101"/>
      <c r="F852" s="81" t="s">
        <v>5701</v>
      </c>
      <c r="G852" s="81" t="s">
        <v>1259</v>
      </c>
      <c r="H852" s="81" t="s">
        <v>467</v>
      </c>
      <c r="I852" s="81" t="s">
        <v>1269</v>
      </c>
      <c r="J852" s="81" t="s">
        <v>1395</v>
      </c>
      <c r="K852" s="81" t="s">
        <v>578</v>
      </c>
      <c r="Q852" s="81">
        <v>1</v>
      </c>
      <c r="Z852" s="81" t="s">
        <v>5755</v>
      </c>
      <c r="AA852" s="83"/>
      <c r="AB852" s="84"/>
      <c r="AC852" s="85"/>
      <c r="AD852" s="84"/>
      <c r="AE852" s="84">
        <f t="shared" si="68"/>
        <v>0</v>
      </c>
      <c r="AF852" s="82" t="s">
        <v>3076</v>
      </c>
      <c r="AG852" s="82">
        <v>39.685589220384799</v>
      </c>
      <c r="AH852" s="82">
        <v>109.854354884424</v>
      </c>
      <c r="AI852" s="122" t="s">
        <v>7286</v>
      </c>
      <c r="AJ852" s="41">
        <v>0.5</v>
      </c>
    </row>
    <row r="853" spans="1:36" s="89" customFormat="1" ht="34.5" hidden="1" customHeight="1" x14ac:dyDescent="0.25">
      <c r="A853" s="40">
        <v>1314</v>
      </c>
      <c r="B853" s="40" t="s">
        <v>3078</v>
      </c>
      <c r="C853" s="40" t="s">
        <v>531</v>
      </c>
      <c r="D853" s="44">
        <v>2022</v>
      </c>
      <c r="E853" s="40"/>
      <c r="F853" s="40" t="s">
        <v>1339</v>
      </c>
      <c r="G853" s="40" t="s">
        <v>457</v>
      </c>
      <c r="H853" s="40"/>
      <c r="I853" s="40" t="s">
        <v>1269</v>
      </c>
      <c r="J853" s="40" t="s">
        <v>581</v>
      </c>
      <c r="K853" s="40" t="s">
        <v>578</v>
      </c>
      <c r="L853" s="40"/>
      <c r="M853" s="40"/>
      <c r="N853" s="40"/>
      <c r="O853" s="40"/>
      <c r="P853" s="40"/>
      <c r="Q853" s="40"/>
      <c r="R853" s="40"/>
      <c r="S853" s="40"/>
      <c r="T853" s="40"/>
      <c r="U853" s="40"/>
      <c r="V853" s="40"/>
      <c r="W853" s="40"/>
      <c r="X853" s="40"/>
      <c r="Y853" s="40"/>
      <c r="Z853" s="40" t="s">
        <v>6561</v>
      </c>
      <c r="AA853" s="45">
        <v>5.5</v>
      </c>
      <c r="AB853" s="46">
        <f>IF(H2ProjectDB689571011[[#This Row],[Dummy_1]]="Electrolysis",
AA853/VLOOKUP(G853,ElectrolysisConvF,3,FALSE),
AC853*10^6/(H2dens*HoursInYear))</f>
        <v>1195.6521739130435</v>
      </c>
      <c r="AC853" s="47">
        <f>AB853*H2dens*HoursInYear/10^6</f>
        <v>0.93217826086956523</v>
      </c>
      <c r="AD853" s="46"/>
      <c r="AE853" s="46">
        <f t="shared" si="68"/>
        <v>1195.6521739130435</v>
      </c>
      <c r="AF853" s="43" t="s">
        <v>4391</v>
      </c>
      <c r="AG853" s="43">
        <v>59.121222280313603</v>
      </c>
      <c r="AH853" s="43">
        <v>9.63051569954815</v>
      </c>
      <c r="AI853" s="122" t="s">
        <v>7286</v>
      </c>
      <c r="AJ853" s="41">
        <v>0.5</v>
      </c>
    </row>
    <row r="854" spans="1:36" ht="34.5" hidden="1" customHeight="1" x14ac:dyDescent="0.25">
      <c r="A854" s="40">
        <v>1315</v>
      </c>
      <c r="B854" s="40" t="s">
        <v>3541</v>
      </c>
      <c r="C854" s="40" t="s">
        <v>545</v>
      </c>
      <c r="D854" s="44">
        <v>2025</v>
      </c>
      <c r="E854" s="44"/>
      <c r="F854" s="40" t="s">
        <v>1331</v>
      </c>
      <c r="G854" s="40" t="s">
        <v>455</v>
      </c>
      <c r="I854" s="40" t="s">
        <v>1269</v>
      </c>
      <c r="J854" s="40" t="s">
        <v>1393</v>
      </c>
      <c r="K854" s="40" t="s">
        <v>578</v>
      </c>
      <c r="P854" s="40">
        <v>1</v>
      </c>
      <c r="Q854" s="40">
        <v>1</v>
      </c>
      <c r="Z854" s="40" t="s">
        <v>1334</v>
      </c>
      <c r="AA854" s="45">
        <v>1000</v>
      </c>
      <c r="AB854" s="46">
        <f>IF(H2ProjectDB689571011[[#This Row],[Dummy_1]]="Electrolysis",
AA854/VLOOKUP(G854,ElectrolysisConvF,3,FALSE),
AC854*10^6/(H2dens*HoursInYear))</f>
        <v>192307.69230769231</v>
      </c>
      <c r="AC854" s="47">
        <f>AB854*H2dens*HoursInYear/10^6</f>
        <v>149.93076923076922</v>
      </c>
      <c r="AE854" s="46">
        <f t="shared" si="68"/>
        <v>192307.69230769231</v>
      </c>
      <c r="AF854" s="93" t="s">
        <v>4251</v>
      </c>
      <c r="AG854" s="43">
        <v>55.476838533162898</v>
      </c>
      <c r="AH854" s="43">
        <v>8.4620964092026298</v>
      </c>
      <c r="AI854" s="122" t="s">
        <v>7286</v>
      </c>
      <c r="AJ854" s="41">
        <v>0.55000000000000004</v>
      </c>
    </row>
    <row r="855" spans="1:36" ht="34.5" hidden="1" customHeight="1" x14ac:dyDescent="0.25">
      <c r="A855" s="40">
        <v>1316</v>
      </c>
      <c r="B855" s="40" t="s">
        <v>5609</v>
      </c>
      <c r="C855" s="40" t="s">
        <v>537</v>
      </c>
      <c r="D855" s="44"/>
      <c r="E855" s="44"/>
      <c r="F855" s="40" t="s">
        <v>1331</v>
      </c>
      <c r="G855" s="40" t="s">
        <v>1259</v>
      </c>
      <c r="H855" s="40" t="s">
        <v>467</v>
      </c>
      <c r="I855" s="40" t="s">
        <v>1269</v>
      </c>
      <c r="J855" s="40" t="s">
        <v>581</v>
      </c>
      <c r="K855" s="40" t="s">
        <v>578</v>
      </c>
      <c r="O855" s="40">
        <v>1</v>
      </c>
      <c r="Z855" s="90" t="s">
        <v>5610</v>
      </c>
      <c r="AA855" s="47">
        <f>IF(H2ProjectDB689571011[[#This Row],[Dummy_1]]="Electrolysis",
AB855*VLOOKUP(G855,ElectrolysisConvF,3,FALSE),
"")</f>
        <v>869.52439587501931</v>
      </c>
      <c r="AB855" s="46">
        <f>AC855/(H2dens*HoursInYear/10^6)</f>
        <v>193227.64352778209</v>
      </c>
      <c r="AC855" s="92">
        <f>1200*0.06277/H2ProjectDB689571011[[#This Row],[LOWE_CF]]</f>
        <v>150.64800000000002</v>
      </c>
      <c r="AE855" s="46">
        <f t="shared" si="68"/>
        <v>193227.64352778209</v>
      </c>
      <c r="AF855" s="43" t="s">
        <v>3080</v>
      </c>
      <c r="AG855" s="43">
        <v>40.518349317327399</v>
      </c>
      <c r="AH855" s="43">
        <v>114.941767224968</v>
      </c>
      <c r="AI855" s="122" t="s">
        <v>7286</v>
      </c>
      <c r="AJ855" s="41">
        <v>0.5</v>
      </c>
    </row>
    <row r="856" spans="1:36" ht="34.5" hidden="1" customHeight="1" x14ac:dyDescent="0.25">
      <c r="A856" s="40">
        <v>1318</v>
      </c>
      <c r="B856" s="40" t="s">
        <v>3082</v>
      </c>
      <c r="C856" s="40" t="s">
        <v>533</v>
      </c>
      <c r="D856" s="44">
        <v>2027</v>
      </c>
      <c r="E856" s="44"/>
      <c r="F856" s="40" t="s">
        <v>2222</v>
      </c>
      <c r="G856" s="40" t="s">
        <v>1261</v>
      </c>
      <c r="H856" s="40" t="s">
        <v>1665</v>
      </c>
      <c r="K856" s="40" t="s">
        <v>1243</v>
      </c>
      <c r="M856" s="40">
        <v>1</v>
      </c>
      <c r="Z856" s="40" t="s">
        <v>3001</v>
      </c>
      <c r="AB856" s="46">
        <f>AC856/(H2dens*HoursInYear/10^6)</f>
        <v>230968.17609605024</v>
      </c>
      <c r="AC856" s="47">
        <f>1000*3/17/0.98</f>
        <v>180.0720288115246</v>
      </c>
      <c r="AE856" s="46">
        <f t="shared" si="68"/>
        <v>0</v>
      </c>
      <c r="AF856" s="43" t="s">
        <v>3084</v>
      </c>
      <c r="AG856" s="43">
        <v>53.697847693018304</v>
      </c>
      <c r="AH856" s="43">
        <v>-113.217084511778</v>
      </c>
      <c r="AI856" s="122" t="s">
        <v>7287</v>
      </c>
      <c r="AJ856" s="41">
        <v>0.9</v>
      </c>
    </row>
    <row r="857" spans="1:36" ht="34.5" hidden="1" customHeight="1" x14ac:dyDescent="0.25">
      <c r="A857" s="40">
        <v>1319</v>
      </c>
      <c r="B857" s="40" t="s">
        <v>5070</v>
      </c>
      <c r="C857" s="40" t="s">
        <v>542</v>
      </c>
      <c r="D857" s="44">
        <v>2028</v>
      </c>
      <c r="E857" s="44"/>
      <c r="F857" s="40" t="s">
        <v>1331</v>
      </c>
      <c r="G857" s="40" t="s">
        <v>1261</v>
      </c>
      <c r="H857" s="40" t="s">
        <v>1665</v>
      </c>
      <c r="K857" s="40" t="s">
        <v>578</v>
      </c>
      <c r="L857" s="40">
        <v>1</v>
      </c>
      <c r="Z857" s="40" t="s">
        <v>5071</v>
      </c>
      <c r="AC857" s="47"/>
      <c r="AD857" s="46">
        <v>550000</v>
      </c>
      <c r="AE857" s="46">
        <f t="shared" si="68"/>
        <v>68957.043523178349</v>
      </c>
      <c r="AF857" s="43" t="s">
        <v>4393</v>
      </c>
      <c r="AG857" s="43">
        <v>53.639746518732998</v>
      </c>
      <c r="AH857" s="43">
        <v>-0.25704555521170502</v>
      </c>
      <c r="AI857" s="122" t="s">
        <v>7287</v>
      </c>
      <c r="AJ857" s="41">
        <v>0.9</v>
      </c>
    </row>
    <row r="858" spans="1:36" ht="34.5" hidden="1" customHeight="1" x14ac:dyDescent="0.25">
      <c r="A858" s="40">
        <v>1320</v>
      </c>
      <c r="B858" s="40" t="s">
        <v>3088</v>
      </c>
      <c r="C858" s="40" t="s">
        <v>1305</v>
      </c>
      <c r="D858" s="44">
        <v>2025</v>
      </c>
      <c r="E858" s="44"/>
      <c r="F858" s="40" t="s">
        <v>5701</v>
      </c>
      <c r="G858" s="40" t="s">
        <v>1259</v>
      </c>
      <c r="H858" s="40" t="s">
        <v>467</v>
      </c>
      <c r="I858" s="40" t="s">
        <v>1269</v>
      </c>
      <c r="J858" s="40" t="s">
        <v>581</v>
      </c>
      <c r="K858" s="40" t="s">
        <v>578</v>
      </c>
      <c r="O858" s="40">
        <v>1</v>
      </c>
      <c r="Z858" s="40" t="s">
        <v>1483</v>
      </c>
      <c r="AA858" s="45">
        <v>50</v>
      </c>
      <c r="AB858" s="46">
        <f>IF(H2ProjectDB689571011[[#This Row],[Dummy_1]]="Electrolysis",
AA858/VLOOKUP(G858,ElectrolysisConvF,3,FALSE),
AC858*10^6/(H2dens*HoursInYear))</f>
        <v>11111.111111111111</v>
      </c>
      <c r="AC858" s="47">
        <f>AB858*H2dens*HoursInYear/10^6</f>
        <v>8.6626666666666665</v>
      </c>
      <c r="AE858" s="46">
        <f t="shared" si="68"/>
        <v>11111.111111111111</v>
      </c>
      <c r="AF858" s="43" t="s">
        <v>3087</v>
      </c>
      <c r="AG858" s="43">
        <v>53.5249648633703</v>
      </c>
      <c r="AH858" s="43">
        <v>9.9002418499930798</v>
      </c>
      <c r="AI858" s="122" t="s">
        <v>7286</v>
      </c>
      <c r="AJ858" s="41">
        <v>0.5</v>
      </c>
    </row>
    <row r="859" spans="1:36" ht="34.5" hidden="1" customHeight="1" x14ac:dyDescent="0.25">
      <c r="A859" s="40">
        <v>1321</v>
      </c>
      <c r="B859" s="40" t="s">
        <v>5818</v>
      </c>
      <c r="C859" s="40" t="s">
        <v>560</v>
      </c>
      <c r="D859" s="44">
        <v>2023</v>
      </c>
      <c r="F859" s="40" t="s">
        <v>1339</v>
      </c>
      <c r="G859" s="40" t="s">
        <v>1259</v>
      </c>
      <c r="H859" s="40" t="s">
        <v>467</v>
      </c>
      <c r="I859" s="40" t="s">
        <v>1269</v>
      </c>
      <c r="J859" s="40" t="s">
        <v>1391</v>
      </c>
      <c r="K859" s="40" t="s">
        <v>578</v>
      </c>
      <c r="S859" s="40">
        <v>1</v>
      </c>
      <c r="Z859" s="40" t="s">
        <v>3090</v>
      </c>
      <c r="AA859" s="45">
        <v>0.15</v>
      </c>
      <c r="AB859" s="46">
        <f>IF(H2ProjectDB689571011[[#This Row],[Dummy_1]]="Electrolysis",
AA859/VLOOKUP(G859,ElectrolysisConvF,3,FALSE),
AC859*10^6/(H2dens*HoursInYear))</f>
        <v>33.333333333333336</v>
      </c>
      <c r="AC859" s="47">
        <f>AB859*H2dens*HoursInYear/10^6</f>
        <v>2.5988000000000001E-2</v>
      </c>
      <c r="AE859" s="46">
        <f t="shared" si="68"/>
        <v>33.333333333333336</v>
      </c>
      <c r="AF859" s="43" t="s">
        <v>4514</v>
      </c>
      <c r="AG859" s="43">
        <v>-29.958939263801899</v>
      </c>
      <c r="AH859" s="43">
        <v>-71.339036111796105</v>
      </c>
      <c r="AI859" s="122" t="s">
        <v>7286</v>
      </c>
      <c r="AJ859" s="41">
        <v>0.3</v>
      </c>
    </row>
    <row r="860" spans="1:36" ht="34.5" hidden="1" customHeight="1" x14ac:dyDescent="0.25">
      <c r="A860" s="40">
        <v>1323</v>
      </c>
      <c r="B860" s="40" t="s">
        <v>3091</v>
      </c>
      <c r="C860" s="40" t="s">
        <v>546</v>
      </c>
      <c r="D860" s="44">
        <v>2026</v>
      </c>
      <c r="E860" s="44"/>
      <c r="F860" s="40" t="s">
        <v>1331</v>
      </c>
      <c r="G860" s="40" t="s">
        <v>1262</v>
      </c>
      <c r="H860" s="40" t="s">
        <v>5715</v>
      </c>
      <c r="K860" s="40" t="s">
        <v>578</v>
      </c>
      <c r="L860" s="40">
        <v>1</v>
      </c>
      <c r="Z860" s="40" t="s">
        <v>6757</v>
      </c>
      <c r="AB860" s="46">
        <f>AC860/(0.089*24*365/10^6)</f>
        <v>128264.32712533989</v>
      </c>
      <c r="AC860" s="47">
        <v>100</v>
      </c>
      <c r="AD860" s="46">
        <v>1000000</v>
      </c>
      <c r="AE860" s="46">
        <f t="shared" si="68"/>
        <v>59845.478973290963</v>
      </c>
      <c r="AF860" s="43" t="s">
        <v>652</v>
      </c>
      <c r="AG860" s="43">
        <v>51.880801736432403</v>
      </c>
      <c r="AH860" s="43">
        <v>4.3175818361300902</v>
      </c>
      <c r="AI860" s="122" t="s">
        <v>7287</v>
      </c>
      <c r="AJ860" s="41">
        <v>0.9</v>
      </c>
    </row>
    <row r="861" spans="1:36" ht="34.5" hidden="1" customHeight="1" x14ac:dyDescent="0.25">
      <c r="A861" s="40">
        <v>1325</v>
      </c>
      <c r="B861" s="40" t="s">
        <v>3100</v>
      </c>
      <c r="C861" s="40" t="s">
        <v>549</v>
      </c>
      <c r="D861" s="44">
        <v>2025</v>
      </c>
      <c r="E861" s="44"/>
      <c r="F861" s="40" t="s">
        <v>1331</v>
      </c>
      <c r="G861" s="40" t="s">
        <v>1259</v>
      </c>
      <c r="H861" s="40" t="s">
        <v>467</v>
      </c>
      <c r="I861" s="40" t="s">
        <v>1269</v>
      </c>
      <c r="J861" s="40" t="s">
        <v>581</v>
      </c>
      <c r="K861" s="40" t="s">
        <v>1243</v>
      </c>
      <c r="M861" s="40">
        <v>1</v>
      </c>
      <c r="Z861" s="40" t="s">
        <v>2038</v>
      </c>
      <c r="AA861" s="45">
        <v>600</v>
      </c>
      <c r="AB861" s="46">
        <f>IF(H2ProjectDB689571011[[#This Row],[Dummy_1]]="Electrolysis",
AA861/VLOOKUP(G861,ElectrolysisConvF,3,FALSE),
AC861*10^6/(H2dens*HoursInYear))</f>
        <v>133333.33333333334</v>
      </c>
      <c r="AC861" s="47">
        <f>AB861*H2dens*HoursInYear/10^6</f>
        <v>103.952</v>
      </c>
      <c r="AE861" s="46">
        <f t="shared" si="68"/>
        <v>133333.33333333334</v>
      </c>
      <c r="AF861" s="43" t="s">
        <v>3668</v>
      </c>
      <c r="AG861" s="43">
        <v>-44.077824264494403</v>
      </c>
      <c r="AH861" s="43">
        <v>170.54052911526799</v>
      </c>
      <c r="AI861" s="122" t="s">
        <v>7286</v>
      </c>
      <c r="AJ861" s="41">
        <v>0.5</v>
      </c>
    </row>
    <row r="862" spans="1:36" ht="34.5" hidden="1" customHeight="1" x14ac:dyDescent="0.25">
      <c r="A862" s="40">
        <v>1326</v>
      </c>
      <c r="B862" s="40" t="s">
        <v>5950</v>
      </c>
      <c r="C862" s="40" t="s">
        <v>530</v>
      </c>
      <c r="D862" s="44">
        <v>2030</v>
      </c>
      <c r="E862" s="44"/>
      <c r="F862" s="40" t="s">
        <v>2222</v>
      </c>
      <c r="G862" s="40" t="s">
        <v>1261</v>
      </c>
      <c r="H862" s="40" t="s">
        <v>4057</v>
      </c>
      <c r="K862" s="40" t="s">
        <v>578</v>
      </c>
      <c r="L862" s="40">
        <v>1</v>
      </c>
      <c r="Z862" s="40" t="s">
        <v>3197</v>
      </c>
      <c r="AB862" s="46">
        <f>IF(H2ProjectDB689571011[[#This Row],[Dummy_1]]="Electrolysis",
AA862/VLOOKUP(G862,ElectrolysisConvF,3,FALSE),
AC862*10^6/(H2dens*HoursInYear))</f>
        <v>119382.02247191011</v>
      </c>
      <c r="AC862" s="47">
        <f>0.255*365</f>
        <v>93.075000000000003</v>
      </c>
      <c r="AD862" s="46">
        <v>650000</v>
      </c>
      <c r="AE862" s="46">
        <f t="shared" si="68"/>
        <v>81494.687800119864</v>
      </c>
      <c r="AF862" s="43" t="s">
        <v>3103</v>
      </c>
      <c r="AG862" s="43">
        <v>49.4864623019023</v>
      </c>
      <c r="AH862" s="43">
        <v>0.21755931168275899</v>
      </c>
      <c r="AI862" s="122" t="s">
        <v>7287</v>
      </c>
      <c r="AJ862" s="41">
        <v>0.9</v>
      </c>
    </row>
    <row r="863" spans="1:36" ht="34.5" hidden="1" customHeight="1" x14ac:dyDescent="0.25">
      <c r="A863" s="40">
        <v>1328</v>
      </c>
      <c r="B863" s="40" t="s">
        <v>3109</v>
      </c>
      <c r="C863" s="40" t="s">
        <v>546</v>
      </c>
      <c r="D863" s="44">
        <v>2030</v>
      </c>
      <c r="E863" s="44"/>
      <c r="F863" s="40" t="s">
        <v>1331</v>
      </c>
      <c r="G863" s="40" t="s">
        <v>1259</v>
      </c>
      <c r="H863" s="40" t="s">
        <v>467</v>
      </c>
      <c r="I863" s="40" t="s">
        <v>1269</v>
      </c>
      <c r="J863" s="40" t="s">
        <v>1393</v>
      </c>
      <c r="K863" s="40" t="s">
        <v>578</v>
      </c>
      <c r="Z863" s="40" t="s">
        <v>1485</v>
      </c>
      <c r="AA863" s="45">
        <v>75</v>
      </c>
      <c r="AB863" s="46">
        <f>IF(H2ProjectDB689571011[[#This Row],[Dummy_1]]="Electrolysis",
AA863/VLOOKUP(G863,ElectrolysisConvF,3,FALSE),
AC863*10^6/(H2dens*HoursInYear))</f>
        <v>16666.666666666668</v>
      </c>
      <c r="AC863" s="47">
        <f>AB863*H2dens*HoursInYear/10^6</f>
        <v>12.994</v>
      </c>
      <c r="AE863" s="46">
        <f>AB863</f>
        <v>16666.666666666668</v>
      </c>
      <c r="AF863" s="43" t="s">
        <v>4709</v>
      </c>
      <c r="AG863" s="43">
        <v>51.455464389284003</v>
      </c>
      <c r="AH863" s="43">
        <v>3.56485156907884</v>
      </c>
      <c r="AI863" s="122" t="s">
        <v>7286</v>
      </c>
      <c r="AJ863" s="41">
        <v>0.55000000000000004</v>
      </c>
    </row>
    <row r="864" spans="1:36" ht="34.5" hidden="1" customHeight="1" x14ac:dyDescent="0.25">
      <c r="A864" s="40">
        <v>1329</v>
      </c>
      <c r="B864" s="40" t="s">
        <v>3184</v>
      </c>
      <c r="C864" s="40" t="s">
        <v>546</v>
      </c>
      <c r="D864" s="44">
        <v>2025</v>
      </c>
      <c r="E864" s="44"/>
      <c r="F864" s="40" t="s">
        <v>1331</v>
      </c>
      <c r="G864" s="40" t="s">
        <v>1259</v>
      </c>
      <c r="H864" s="40" t="s">
        <v>467</v>
      </c>
      <c r="I864" s="40" t="s">
        <v>1269</v>
      </c>
      <c r="J864" s="40" t="s">
        <v>1393</v>
      </c>
      <c r="K864" s="40" t="s">
        <v>578</v>
      </c>
      <c r="Z864" s="40" t="s">
        <v>1481</v>
      </c>
      <c r="AA864" s="45">
        <v>25</v>
      </c>
      <c r="AB864" s="46">
        <f>IF(H2ProjectDB689571011[[#This Row],[Dummy_1]]="Electrolysis",
AA864/VLOOKUP(G864,ElectrolysisConvF,3,FALSE),
AC864*10^6/(H2dens*HoursInYear))</f>
        <v>5555.5555555555557</v>
      </c>
      <c r="AC864" s="47">
        <f>AB864*H2dens*HoursInYear/10^6</f>
        <v>4.3313333333333333</v>
      </c>
      <c r="AE864" s="46">
        <f>AB864</f>
        <v>5555.5555555555557</v>
      </c>
      <c r="AF864" s="43" t="s">
        <v>4635</v>
      </c>
      <c r="AG864" s="43">
        <v>51.319823599464499</v>
      </c>
      <c r="AH864" s="43">
        <v>3.81552805542493</v>
      </c>
      <c r="AI864" s="122" t="s">
        <v>7286</v>
      </c>
      <c r="AJ864" s="41">
        <v>0.55000000000000004</v>
      </c>
    </row>
    <row r="865" spans="1:36" ht="34.5" hidden="1" customHeight="1" x14ac:dyDescent="0.25">
      <c r="A865" s="40">
        <v>1331</v>
      </c>
      <c r="B865" s="40" t="s">
        <v>3110</v>
      </c>
      <c r="C865" s="40" t="s">
        <v>559</v>
      </c>
      <c r="D865" s="44">
        <v>2026</v>
      </c>
      <c r="E865" s="44"/>
      <c r="F865" s="40" t="s">
        <v>1331</v>
      </c>
      <c r="G865" s="40" t="s">
        <v>1259</v>
      </c>
      <c r="H865" s="40" t="s">
        <v>467</v>
      </c>
      <c r="I865" s="40" t="s">
        <v>1269</v>
      </c>
      <c r="J865" s="40" t="s">
        <v>1395</v>
      </c>
      <c r="K865" s="40" t="s">
        <v>1243</v>
      </c>
      <c r="M865" s="40">
        <v>1</v>
      </c>
      <c r="Z865" s="40" t="s">
        <v>2038</v>
      </c>
      <c r="AA865" s="45">
        <v>600</v>
      </c>
      <c r="AB865" s="46">
        <f>IF(H2ProjectDB689571011[[#This Row],[Dummy_1]]="Electrolysis",
AA865/VLOOKUP(G865,ElectrolysisConvF,3,FALSE),
AC865*10^6/(H2dens*HoursInYear))</f>
        <v>133333.33333333334</v>
      </c>
      <c r="AC865" s="47">
        <f>AB865*H2dens*HoursInYear/10^6</f>
        <v>103.952</v>
      </c>
      <c r="AE865" s="46">
        <f t="shared" ref="AE865:AE890" si="69">IF(AND(G865&lt;&gt;"NG w CCUS",G865&lt;&gt;"Oil w CCUS",G865&lt;&gt;"Coal w CCUS"),AB865,AD865*10^3/(HoursInYear*IF(G865="NG w CCUS",0.9105,1.9075)))</f>
        <v>133333.33333333334</v>
      </c>
      <c r="AF865" s="43" t="s">
        <v>3111</v>
      </c>
      <c r="AG865" s="43">
        <v>65.731403412083694</v>
      </c>
      <c r="AH865" s="43">
        <v>21.9492628360798</v>
      </c>
      <c r="AI865" s="122" t="s">
        <v>7286</v>
      </c>
      <c r="AJ865" s="41">
        <v>0.5</v>
      </c>
    </row>
    <row r="866" spans="1:36" ht="34.5" hidden="1" customHeight="1" x14ac:dyDescent="0.25">
      <c r="A866" s="40">
        <v>1332</v>
      </c>
      <c r="B866" s="40" t="s">
        <v>5913</v>
      </c>
      <c r="C866" s="40" t="s">
        <v>1305</v>
      </c>
      <c r="D866" s="44">
        <v>2021</v>
      </c>
      <c r="F866" s="40" t="s">
        <v>1339</v>
      </c>
      <c r="G866" s="40" t="s">
        <v>455</v>
      </c>
      <c r="I866" s="40" t="s">
        <v>1269</v>
      </c>
      <c r="J866" s="40" t="s">
        <v>1395</v>
      </c>
      <c r="K866" s="40" t="s">
        <v>1267</v>
      </c>
      <c r="W866" s="40">
        <v>1</v>
      </c>
      <c r="Z866" s="40" t="s">
        <v>5914</v>
      </c>
      <c r="AA866" s="45">
        <v>1.3</v>
      </c>
      <c r="AB866" s="46">
        <f>IF(H2ProjectDB689571011[[#This Row],[Dummy_1]]="Electrolysis",
AA866/VLOOKUP(G866,ElectrolysisConvF,3,FALSE),
AC866*10^6/(H2dens*HoursInYear))</f>
        <v>250.00000000000003</v>
      </c>
      <c r="AC866" s="47">
        <f>AB866*H2dens*HoursInYear/10^6</f>
        <v>0.19491</v>
      </c>
      <c r="AE866" s="46">
        <f t="shared" si="69"/>
        <v>250.00000000000003</v>
      </c>
      <c r="AF866" s="43" t="s">
        <v>4421</v>
      </c>
      <c r="AG866" s="43">
        <v>52.852870099999997</v>
      </c>
      <c r="AH866" s="43">
        <v>7.6764178999999997</v>
      </c>
      <c r="AI866" s="122" t="s">
        <v>7286</v>
      </c>
      <c r="AJ866" s="41">
        <v>0.5</v>
      </c>
    </row>
    <row r="867" spans="1:36" ht="34.5" hidden="1" customHeight="1" x14ac:dyDescent="0.25">
      <c r="A867" s="40">
        <v>1333</v>
      </c>
      <c r="B867" s="40" t="s">
        <v>3115</v>
      </c>
      <c r="C867" s="40" t="s">
        <v>531</v>
      </c>
      <c r="D867" s="44">
        <v>2025</v>
      </c>
      <c r="E867" s="44"/>
      <c r="F867" s="40" t="s">
        <v>1540</v>
      </c>
      <c r="G867" s="40" t="s">
        <v>1259</v>
      </c>
      <c r="H867" s="40" t="s">
        <v>467</v>
      </c>
      <c r="I867" s="40" t="s">
        <v>1269</v>
      </c>
      <c r="J867" s="40" t="s">
        <v>581</v>
      </c>
      <c r="K867" s="40" t="s">
        <v>1268</v>
      </c>
      <c r="P867" s="40">
        <v>1</v>
      </c>
      <c r="Z867" s="40" t="s">
        <v>3118</v>
      </c>
      <c r="AA867" s="47">
        <f>IF(H2ProjectDB689571011[[#This Row],[Dummy_1]]="Electrolysis",
AB867*VLOOKUP(G867,ElectrolysisConvF,3,FALSE),
"")</f>
        <v>2.3837925196244418</v>
      </c>
      <c r="AB867" s="46">
        <f>AC867/(H2dens*HoursInYear/10^6)</f>
        <v>529.73167102765376</v>
      </c>
      <c r="AC867" s="47">
        <v>0.41299999999999998</v>
      </c>
      <c r="AE867" s="46">
        <f t="shared" si="69"/>
        <v>529.73167102765376</v>
      </c>
      <c r="AF867" s="43" t="s">
        <v>3117</v>
      </c>
      <c r="AG867" s="43">
        <v>0</v>
      </c>
      <c r="AH867" s="43">
        <v>0</v>
      </c>
      <c r="AI867" s="122" t="s">
        <v>7286</v>
      </c>
      <c r="AJ867" s="41">
        <v>0.5</v>
      </c>
    </row>
    <row r="868" spans="1:36" ht="34.5" hidden="1" customHeight="1" x14ac:dyDescent="0.25">
      <c r="A868" s="40">
        <v>1334</v>
      </c>
      <c r="B868" s="40" t="s">
        <v>3119</v>
      </c>
      <c r="C868" s="40" t="s">
        <v>532</v>
      </c>
      <c r="D868" s="44"/>
      <c r="E868" s="44"/>
      <c r="F868" s="40" t="s">
        <v>1331</v>
      </c>
      <c r="G868" s="40" t="s">
        <v>1259</v>
      </c>
      <c r="H868" s="40" t="s">
        <v>467</v>
      </c>
      <c r="I868" s="40" t="s">
        <v>1269</v>
      </c>
      <c r="J868" s="40" t="s">
        <v>581</v>
      </c>
      <c r="K868" s="40" t="s">
        <v>578</v>
      </c>
      <c r="AC868" s="47"/>
      <c r="AE868" s="46">
        <f t="shared" si="69"/>
        <v>0</v>
      </c>
      <c r="AF868" s="43" t="s">
        <v>6054</v>
      </c>
      <c r="AG868" s="43">
        <v>63.093045227867997</v>
      </c>
      <c r="AH868" s="43">
        <v>21.6051729342017</v>
      </c>
      <c r="AI868" s="122" t="s">
        <v>7286</v>
      </c>
      <c r="AJ868" s="41">
        <v>0.5</v>
      </c>
    </row>
    <row r="869" spans="1:36" ht="34.5" hidden="1" customHeight="1" x14ac:dyDescent="0.25">
      <c r="A869" s="40">
        <v>1335</v>
      </c>
      <c r="B869" s="40" t="s">
        <v>8449</v>
      </c>
      <c r="C869" s="40" t="s">
        <v>1995</v>
      </c>
      <c r="D869" s="44">
        <v>2031</v>
      </c>
      <c r="E869" s="44"/>
      <c r="F869" s="40" t="s">
        <v>1331</v>
      </c>
      <c r="G869" s="40" t="s">
        <v>1259</v>
      </c>
      <c r="H869" s="40" t="s">
        <v>467</v>
      </c>
      <c r="I869" s="40" t="s">
        <v>1269</v>
      </c>
      <c r="J869" s="40" t="s">
        <v>1395</v>
      </c>
      <c r="K869" s="40" t="s">
        <v>578</v>
      </c>
      <c r="M869" s="40">
        <v>1</v>
      </c>
      <c r="O869" s="40">
        <v>1</v>
      </c>
      <c r="Z869" s="40" t="s">
        <v>8455</v>
      </c>
      <c r="AA869" s="45">
        <v>1650</v>
      </c>
      <c r="AB869" s="46">
        <f>IF(H2ProjectDB689571011[[#This Row],[Dummy_1]]="Electrolysis",
AA869/VLOOKUP(G869,ElectrolysisConvF,3,FALSE),
AC869*10^6/(H2dens*HoursInYear))</f>
        <v>366666.66666666669</v>
      </c>
      <c r="AC869" s="47">
        <f>AB869*H2dens*HoursInYear/10^6</f>
        <v>285.86799999999999</v>
      </c>
      <c r="AE869" s="46">
        <f t="shared" si="69"/>
        <v>366666.66666666669</v>
      </c>
      <c r="AF869" s="43" t="s">
        <v>8453</v>
      </c>
      <c r="AG869" s="43">
        <v>19.171723</v>
      </c>
      <c r="AH869" s="43">
        <v>-15.994444</v>
      </c>
      <c r="AI869" s="122" t="s">
        <v>7286</v>
      </c>
      <c r="AJ869" s="41">
        <v>0.5</v>
      </c>
    </row>
    <row r="870" spans="1:36" ht="34.5" hidden="1" customHeight="1" x14ac:dyDescent="0.25">
      <c r="A870" s="40">
        <v>1336</v>
      </c>
      <c r="B870" s="40" t="s">
        <v>3122</v>
      </c>
      <c r="C870" s="40" t="s">
        <v>1305</v>
      </c>
      <c r="D870" s="44">
        <v>2025</v>
      </c>
      <c r="E870" s="44"/>
      <c r="F870" s="40" t="s">
        <v>1331</v>
      </c>
      <c r="G870" s="40" t="s">
        <v>457</v>
      </c>
      <c r="I870" s="40" t="s">
        <v>1269</v>
      </c>
      <c r="J870" s="40" t="s">
        <v>1395</v>
      </c>
      <c r="K870" s="40" t="s">
        <v>1242</v>
      </c>
      <c r="N870" s="40">
        <v>1</v>
      </c>
      <c r="O870" s="40">
        <v>1</v>
      </c>
      <c r="Q870" s="40">
        <v>1</v>
      </c>
      <c r="W870" s="40">
        <v>1</v>
      </c>
      <c r="Z870" s="40" t="s">
        <v>7166</v>
      </c>
      <c r="AA870" s="47">
        <f>IF(H2ProjectDB689571011[[#This Row],[Dummy_1]]="Electrolysis",
AB870*VLOOKUP(G870,ElectrolysisConvF,3,FALSE),
"")</f>
        <v>51.685393258426963</v>
      </c>
      <c r="AB870" s="45">
        <f>AC870/(H2dens*HoursInYear/10^6)</f>
        <v>11235.955056179775</v>
      </c>
      <c r="AC870" s="47">
        <f>(0.012*365)/H2ProjectDB689571011[[#This Row],[LOWE_CF]]</f>
        <v>8.76</v>
      </c>
      <c r="AE870" s="46">
        <f t="shared" si="69"/>
        <v>11235.955056179775</v>
      </c>
      <c r="AF870" s="43" t="s">
        <v>7030</v>
      </c>
      <c r="AG870" s="43">
        <v>52.478830325357599</v>
      </c>
      <c r="AH870" s="43">
        <v>13.829822737137601</v>
      </c>
      <c r="AI870" s="122" t="s">
        <v>7286</v>
      </c>
      <c r="AJ870" s="41">
        <v>0.5</v>
      </c>
    </row>
    <row r="871" spans="1:36" ht="34.5" hidden="1" customHeight="1" x14ac:dyDescent="0.25">
      <c r="A871" s="40">
        <v>1337</v>
      </c>
      <c r="B871" s="40" t="s">
        <v>3125</v>
      </c>
      <c r="C871" s="40" t="s">
        <v>1305</v>
      </c>
      <c r="D871" s="44">
        <v>2025</v>
      </c>
      <c r="E871" s="44"/>
      <c r="F871" s="40" t="s">
        <v>1331</v>
      </c>
      <c r="G871" s="40" t="s">
        <v>456</v>
      </c>
      <c r="I871" s="40" t="s">
        <v>1269</v>
      </c>
      <c r="J871" s="40" t="s">
        <v>1395</v>
      </c>
      <c r="K871" s="40" t="s">
        <v>1242</v>
      </c>
      <c r="N871" s="40">
        <v>1</v>
      </c>
      <c r="O871" s="40">
        <v>1</v>
      </c>
      <c r="P871" s="40">
        <v>1</v>
      </c>
      <c r="Z871" s="40" t="s">
        <v>1509</v>
      </c>
      <c r="AA871" s="45">
        <v>3</v>
      </c>
      <c r="AB871" s="46">
        <f>IF(H2ProjectDB689571011[[#This Row],[Dummy_1]]="Electrolysis",
AA871/VLOOKUP(G871,ElectrolysisConvF,3,FALSE),
AC871*10^6/(H2dens*HoursInYear))</f>
        <v>789.47368421052636</v>
      </c>
      <c r="AC871" s="47">
        <f>AB871*H2dens*HoursInYear/10^6</f>
        <v>0.61550526315789489</v>
      </c>
      <c r="AE871" s="46">
        <f t="shared" si="69"/>
        <v>789.47368421052636</v>
      </c>
      <c r="AF871" s="43" t="s">
        <v>3123</v>
      </c>
      <c r="AG871" s="43">
        <v>52.478830325357599</v>
      </c>
      <c r="AH871" s="43">
        <v>13.829822737137601</v>
      </c>
      <c r="AI871" s="122" t="s">
        <v>7286</v>
      </c>
      <c r="AJ871" s="41">
        <v>0.5</v>
      </c>
    </row>
    <row r="872" spans="1:36" ht="34.5" hidden="1" customHeight="1" x14ac:dyDescent="0.25">
      <c r="A872" s="40">
        <v>1338</v>
      </c>
      <c r="B872" s="40" t="s">
        <v>3126</v>
      </c>
      <c r="C872" s="40" t="s">
        <v>535</v>
      </c>
      <c r="D872" s="44"/>
      <c r="E872" s="44"/>
      <c r="F872" s="40" t="s">
        <v>1331</v>
      </c>
      <c r="G872" s="40" t="s">
        <v>1259</v>
      </c>
      <c r="H872" s="40" t="s">
        <v>467</v>
      </c>
      <c r="I872" s="40" t="s">
        <v>1266</v>
      </c>
      <c r="J872" s="40" t="str">
        <f>IF(I872&lt;&gt;"Dedicated renewable","N/A",)</f>
        <v>N/A</v>
      </c>
      <c r="K872" s="40" t="s">
        <v>1268</v>
      </c>
      <c r="M872" s="40">
        <v>1</v>
      </c>
      <c r="Q872" s="40">
        <v>1</v>
      </c>
      <c r="Z872" s="40" t="s">
        <v>1486</v>
      </c>
      <c r="AA872" s="45">
        <v>250</v>
      </c>
      <c r="AB872" s="46">
        <f>IF(H2ProjectDB689571011[[#This Row],[Dummy_1]]="Electrolysis",
AA872/VLOOKUP(G872,ElectrolysisConvF,3,FALSE),
AC872*10^6/(H2dens*HoursInYear))</f>
        <v>55555.555555555562</v>
      </c>
      <c r="AC872" s="47">
        <f>AB872*H2dens*HoursInYear/10^6</f>
        <v>43.313333333333333</v>
      </c>
      <c r="AE872" s="46">
        <f t="shared" si="69"/>
        <v>55555.555555555562</v>
      </c>
      <c r="AF872" s="43" t="s">
        <v>3128</v>
      </c>
      <c r="AG872" s="43">
        <v>-32.203000000000003</v>
      </c>
      <c r="AH872" s="43">
        <v>115.773</v>
      </c>
      <c r="AI872" s="122" t="s">
        <v>7286</v>
      </c>
      <c r="AJ872" s="41">
        <v>0.56999999999999995</v>
      </c>
    </row>
    <row r="873" spans="1:36" ht="34.5" hidden="1" customHeight="1" x14ac:dyDescent="0.25">
      <c r="A873" s="40">
        <v>1339</v>
      </c>
      <c r="B873" s="40" t="s">
        <v>3127</v>
      </c>
      <c r="C873" s="40" t="s">
        <v>535</v>
      </c>
      <c r="D873" s="44"/>
      <c r="E873" s="44"/>
      <c r="F873" s="40" t="s">
        <v>1331</v>
      </c>
      <c r="G873" s="40" t="s">
        <v>1259</v>
      </c>
      <c r="H873" s="40" t="s">
        <v>467</v>
      </c>
      <c r="I873" s="40" t="s">
        <v>1266</v>
      </c>
      <c r="J873" s="40" t="str">
        <f>IF(I873&lt;&gt;"Dedicated renewable","N/A",)</f>
        <v>N/A</v>
      </c>
      <c r="K873" s="40" t="s">
        <v>1268</v>
      </c>
      <c r="M873" s="40">
        <v>1</v>
      </c>
      <c r="Q873" s="40">
        <v>1</v>
      </c>
      <c r="Z873" s="40" t="s">
        <v>2081</v>
      </c>
      <c r="AA873" s="45">
        <v>2750</v>
      </c>
      <c r="AB873" s="46">
        <f>IF(H2ProjectDB689571011[[#This Row],[Dummy_1]]="Electrolysis",
AA873/VLOOKUP(G873,ElectrolysisConvF,3,FALSE),
AC873*10^6/(H2dens*HoursInYear))</f>
        <v>611111.11111111112</v>
      </c>
      <c r="AC873" s="47">
        <f>AB873*H2dens*HoursInYear/10^6</f>
        <v>476.44666666666666</v>
      </c>
      <c r="AE873" s="46">
        <f t="shared" si="69"/>
        <v>611111.11111111112</v>
      </c>
      <c r="AF873" s="43" t="s">
        <v>3128</v>
      </c>
      <c r="AG873" s="43">
        <v>-32.203000000000003</v>
      </c>
      <c r="AH873" s="43">
        <v>115.773</v>
      </c>
      <c r="AI873" s="122" t="s">
        <v>7286</v>
      </c>
      <c r="AJ873" s="41">
        <v>0.56999999999999995</v>
      </c>
    </row>
    <row r="874" spans="1:36" ht="34.5" hidden="1" customHeight="1" x14ac:dyDescent="0.25">
      <c r="A874" s="40">
        <v>1340</v>
      </c>
      <c r="B874" s="40" t="s">
        <v>3129</v>
      </c>
      <c r="C874" s="40" t="s">
        <v>535</v>
      </c>
      <c r="D874" s="44">
        <v>2027</v>
      </c>
      <c r="E874" s="44"/>
      <c r="F874" s="40" t="s">
        <v>1331</v>
      </c>
      <c r="G874" s="40" t="s">
        <v>1261</v>
      </c>
      <c r="H874" s="40" t="s">
        <v>1665</v>
      </c>
      <c r="K874" s="40" t="s">
        <v>1268</v>
      </c>
      <c r="M874" s="40">
        <v>1</v>
      </c>
      <c r="Q874" s="40">
        <v>1</v>
      </c>
      <c r="Z874" s="40" t="s">
        <v>3130</v>
      </c>
      <c r="AC874" s="47">
        <f>40*365/120*0.69</f>
        <v>83.95</v>
      </c>
      <c r="AE874" s="46">
        <f t="shared" si="69"/>
        <v>0</v>
      </c>
      <c r="AF874" s="43" t="s">
        <v>3128</v>
      </c>
      <c r="AG874" s="43">
        <v>-32.203000000000003</v>
      </c>
      <c r="AH874" s="43">
        <v>115.773</v>
      </c>
      <c r="AI874" s="122" t="s">
        <v>7287</v>
      </c>
      <c r="AJ874" s="41">
        <v>0.9</v>
      </c>
    </row>
    <row r="875" spans="1:36" ht="34.5" hidden="1" customHeight="1" x14ac:dyDescent="0.25">
      <c r="A875" s="40">
        <v>1342</v>
      </c>
      <c r="B875" s="40" t="s">
        <v>3322</v>
      </c>
      <c r="C875" s="40" t="s">
        <v>542</v>
      </c>
      <c r="D875" s="44"/>
      <c r="E875" s="44"/>
      <c r="F875" s="40" t="s">
        <v>1331</v>
      </c>
      <c r="G875" s="40" t="s">
        <v>1259</v>
      </c>
      <c r="H875" s="40" t="s">
        <v>467</v>
      </c>
      <c r="I875" s="40" t="s">
        <v>1269</v>
      </c>
      <c r="J875" s="40" t="s">
        <v>1393</v>
      </c>
      <c r="K875" s="40" t="s">
        <v>578</v>
      </c>
      <c r="P875" s="40">
        <v>1</v>
      </c>
      <c r="AC875" s="47"/>
      <c r="AE875" s="46">
        <f t="shared" si="69"/>
        <v>0</v>
      </c>
      <c r="AF875" s="43" t="s">
        <v>3323</v>
      </c>
      <c r="AG875" s="43">
        <v>58.8318121786481</v>
      </c>
      <c r="AH875" s="43">
        <v>-3.1081854354096099</v>
      </c>
      <c r="AI875" s="122" t="s">
        <v>7286</v>
      </c>
      <c r="AJ875" s="41">
        <v>0.55000000000000004</v>
      </c>
    </row>
    <row r="876" spans="1:36" ht="34.5" hidden="1" customHeight="1" x14ac:dyDescent="0.25">
      <c r="A876" s="40">
        <v>1344</v>
      </c>
      <c r="B876" s="43" t="s">
        <v>5085</v>
      </c>
      <c r="C876" s="40" t="s">
        <v>536</v>
      </c>
      <c r="D876" s="44">
        <v>2027</v>
      </c>
      <c r="E876" s="44"/>
      <c r="F876" s="40" t="s">
        <v>5701</v>
      </c>
      <c r="G876" s="40" t="s">
        <v>1261</v>
      </c>
      <c r="H876" s="40" t="s">
        <v>1665</v>
      </c>
      <c r="K876" s="40" t="s">
        <v>1268</v>
      </c>
      <c r="L876" s="40">
        <v>1</v>
      </c>
      <c r="M876" s="40">
        <v>1</v>
      </c>
      <c r="O876" s="40">
        <v>1</v>
      </c>
      <c r="W876" s="40">
        <v>1</v>
      </c>
      <c r="Z876" s="40" t="s">
        <v>3136</v>
      </c>
      <c r="AB876" s="46">
        <f>750*10^6*0.0283168/24</f>
        <v>884900</v>
      </c>
      <c r="AC876" s="47">
        <f t="shared" ref="AC876:AC884" si="70">AB876*H2dens*HoursInYear/10^6</f>
        <v>689.90343599999983</v>
      </c>
      <c r="AD876" s="46">
        <v>5000000</v>
      </c>
      <c r="AE876" s="46">
        <f t="shared" si="69"/>
        <v>626882.21384707582</v>
      </c>
      <c r="AF876" s="43" t="s">
        <v>3138</v>
      </c>
      <c r="AG876" s="43">
        <v>29.720295189931001</v>
      </c>
      <c r="AH876" s="43">
        <v>-92.212170993417104</v>
      </c>
      <c r="AI876" s="122" t="s">
        <v>7287</v>
      </c>
      <c r="AJ876" s="41">
        <v>0.9</v>
      </c>
    </row>
    <row r="877" spans="1:36" ht="34.5" hidden="1" customHeight="1" x14ac:dyDescent="0.25">
      <c r="A877" s="40">
        <v>1345</v>
      </c>
      <c r="B877" s="40" t="s">
        <v>3143</v>
      </c>
      <c r="C877" s="40" t="s">
        <v>530</v>
      </c>
      <c r="D877" s="44">
        <v>2023</v>
      </c>
      <c r="F877" s="40" t="s">
        <v>1540</v>
      </c>
      <c r="G877" s="40" t="s">
        <v>455</v>
      </c>
      <c r="I877" s="40" t="s">
        <v>1269</v>
      </c>
      <c r="J877" s="40" t="s">
        <v>581</v>
      </c>
      <c r="K877" s="40" t="s">
        <v>578</v>
      </c>
      <c r="Z877" s="40" t="s">
        <v>1480</v>
      </c>
      <c r="AA877" s="45">
        <v>1</v>
      </c>
      <c r="AB877" s="46">
        <f>IF(H2ProjectDB689571011[[#This Row],[Dummy_1]]="Electrolysis",
AA877/VLOOKUP(G877,ElectrolysisConvF,3,FALSE),
AC877*10^6/(H2dens*HoursInYear))</f>
        <v>192.30769230769232</v>
      </c>
      <c r="AC877" s="47">
        <f t="shared" si="70"/>
        <v>0.14993076923076926</v>
      </c>
      <c r="AE877" s="46">
        <f t="shared" si="69"/>
        <v>192.30769230769232</v>
      </c>
      <c r="AF877" s="43" t="s">
        <v>6339</v>
      </c>
      <c r="AG877" s="43">
        <v>0</v>
      </c>
      <c r="AH877" s="43">
        <v>0</v>
      </c>
      <c r="AI877" s="122" t="s">
        <v>7286</v>
      </c>
      <c r="AJ877" s="41">
        <v>0.5</v>
      </c>
    </row>
    <row r="878" spans="1:36" ht="34.5" hidden="1" customHeight="1" x14ac:dyDescent="0.25">
      <c r="A878" s="40">
        <v>1346</v>
      </c>
      <c r="B878" s="40" t="s">
        <v>3147</v>
      </c>
      <c r="C878" s="40" t="s">
        <v>1945</v>
      </c>
      <c r="D878" s="44">
        <v>2027</v>
      </c>
      <c r="E878" s="44"/>
      <c r="F878" s="40" t="s">
        <v>1331</v>
      </c>
      <c r="G878" s="40" t="s">
        <v>1259</v>
      </c>
      <c r="H878" s="40" t="s">
        <v>467</v>
      </c>
      <c r="I878" s="40" t="s">
        <v>1269</v>
      </c>
      <c r="J878" s="40" t="s">
        <v>581</v>
      </c>
      <c r="K878" s="40" t="s">
        <v>1243</v>
      </c>
      <c r="M878" s="40">
        <v>1</v>
      </c>
      <c r="Z878" s="40" t="s">
        <v>4758</v>
      </c>
      <c r="AA878" s="45">
        <v>1000</v>
      </c>
      <c r="AB878" s="46">
        <f>IF(H2ProjectDB689571011[[#This Row],[Dummy_1]]="Electrolysis",
AA878/VLOOKUP(G878,ElectrolysisConvF,3,FALSE),
AC878*10^6/(H2dens*HoursInYear))</f>
        <v>222222.22222222225</v>
      </c>
      <c r="AC878" s="47">
        <f t="shared" si="70"/>
        <v>173.25333333333333</v>
      </c>
      <c r="AE878" s="46">
        <f t="shared" si="69"/>
        <v>222222.22222222225</v>
      </c>
      <c r="AF878" s="43" t="s">
        <v>4293</v>
      </c>
      <c r="AG878" s="43">
        <v>-23.938686455782499</v>
      </c>
      <c r="AH878" s="43">
        <v>14.438242044318899</v>
      </c>
      <c r="AI878" s="122" t="s">
        <v>7286</v>
      </c>
      <c r="AJ878" s="41">
        <v>0.5</v>
      </c>
    </row>
    <row r="879" spans="1:36" ht="34.5" hidden="1" customHeight="1" x14ac:dyDescent="0.25">
      <c r="A879" s="40">
        <v>1347</v>
      </c>
      <c r="B879" s="40" t="s">
        <v>3148</v>
      </c>
      <c r="C879" s="40" t="s">
        <v>1945</v>
      </c>
      <c r="D879" s="44">
        <v>2029</v>
      </c>
      <c r="E879" s="44"/>
      <c r="F879" s="40" t="s">
        <v>1331</v>
      </c>
      <c r="G879" s="40" t="s">
        <v>1259</v>
      </c>
      <c r="H879" s="40" t="s">
        <v>467</v>
      </c>
      <c r="I879" s="40" t="s">
        <v>1269</v>
      </c>
      <c r="J879" s="40" t="s">
        <v>581</v>
      </c>
      <c r="K879" s="40" t="s">
        <v>1243</v>
      </c>
      <c r="M879" s="40">
        <v>1</v>
      </c>
      <c r="Z879" s="40" t="s">
        <v>4759</v>
      </c>
      <c r="AA879" s="45">
        <f>3000-AA878</f>
        <v>2000</v>
      </c>
      <c r="AB879" s="46">
        <f>IF(H2ProjectDB689571011[[#This Row],[Dummy_1]]="Electrolysis",
AA879/VLOOKUP(G879,ElectrolysisConvF,3,FALSE),
AC879*10^6/(H2dens*HoursInYear))</f>
        <v>444444.4444444445</v>
      </c>
      <c r="AC879" s="47">
        <f t="shared" si="70"/>
        <v>346.50666666666666</v>
      </c>
      <c r="AE879" s="46">
        <f t="shared" si="69"/>
        <v>444444.4444444445</v>
      </c>
      <c r="AF879" s="43" t="s">
        <v>4293</v>
      </c>
      <c r="AG879" s="43">
        <v>-23.938686455782499</v>
      </c>
      <c r="AH879" s="43">
        <v>14.438242044318899</v>
      </c>
      <c r="AI879" s="122" t="s">
        <v>7286</v>
      </c>
      <c r="AJ879" s="41">
        <v>0.5</v>
      </c>
    </row>
    <row r="880" spans="1:36" ht="34.5" hidden="1" customHeight="1" x14ac:dyDescent="0.25">
      <c r="A880" s="40">
        <v>1349</v>
      </c>
      <c r="B880" s="40" t="s">
        <v>3152</v>
      </c>
      <c r="C880" s="40" t="s">
        <v>535</v>
      </c>
      <c r="D880" s="44"/>
      <c r="E880" s="44"/>
      <c r="F880" s="40" t="s">
        <v>1331</v>
      </c>
      <c r="G880" s="40" t="s">
        <v>1259</v>
      </c>
      <c r="H880" s="40" t="s">
        <v>467</v>
      </c>
      <c r="I880" s="40" t="s">
        <v>1269</v>
      </c>
      <c r="J880" s="40" t="s">
        <v>1395</v>
      </c>
      <c r="K880" s="40" t="s">
        <v>578</v>
      </c>
      <c r="Q880" s="40">
        <v>1</v>
      </c>
      <c r="Z880" s="40" t="s">
        <v>4656</v>
      </c>
      <c r="AA880" s="45">
        <v>350</v>
      </c>
      <c r="AB880" s="46">
        <f>IF(H2ProjectDB689571011[[#This Row],[Dummy_1]]="Electrolysis",
AA880/VLOOKUP(G880,ElectrolysisConvF,3,FALSE),
AC880*10^6/(H2dens*HoursInYear))</f>
        <v>77777.777777777781</v>
      </c>
      <c r="AC880" s="47">
        <f t="shared" si="70"/>
        <v>60.638666666666673</v>
      </c>
      <c r="AE880" s="46">
        <f t="shared" si="69"/>
        <v>77777.777777777781</v>
      </c>
      <c r="AF880" s="43" t="s">
        <v>4658</v>
      </c>
      <c r="AG880" s="43">
        <v>-41.161971999999999</v>
      </c>
      <c r="AH880" s="43">
        <v>146.944028</v>
      </c>
      <c r="AI880" s="122" t="s">
        <v>7286</v>
      </c>
      <c r="AJ880" s="41">
        <v>0.5</v>
      </c>
    </row>
    <row r="881" spans="1:36" ht="34.5" hidden="1" customHeight="1" x14ac:dyDescent="0.25">
      <c r="A881" s="40">
        <v>1350</v>
      </c>
      <c r="B881" s="40" t="s">
        <v>3153</v>
      </c>
      <c r="C881" s="40" t="s">
        <v>535</v>
      </c>
      <c r="D881" s="44"/>
      <c r="E881" s="44"/>
      <c r="F881" s="40" t="s">
        <v>2222</v>
      </c>
      <c r="G881" s="40" t="s">
        <v>1259</v>
      </c>
      <c r="H881" s="40" t="s">
        <v>467</v>
      </c>
      <c r="I881" s="40" t="s">
        <v>1269</v>
      </c>
      <c r="J881" s="40" t="s">
        <v>1395</v>
      </c>
      <c r="K881" s="40" t="s">
        <v>578</v>
      </c>
      <c r="Q881" s="40">
        <v>1</v>
      </c>
      <c r="Z881" s="40" t="s">
        <v>4655</v>
      </c>
      <c r="AA881" s="45">
        <f>750-AA880</f>
        <v>400</v>
      </c>
      <c r="AB881" s="46">
        <f>IF(H2ProjectDB689571011[[#This Row],[Dummy_1]]="Electrolysis",
AA881/VLOOKUP(G881,ElectrolysisConvF,3,FALSE),
AC881*10^6/(H2dens*HoursInYear))</f>
        <v>88888.888888888891</v>
      </c>
      <c r="AC881" s="47">
        <f t="shared" si="70"/>
        <v>69.301333333333332</v>
      </c>
      <c r="AE881" s="46">
        <f t="shared" si="69"/>
        <v>88888.888888888891</v>
      </c>
      <c r="AF881" s="43" t="s">
        <v>4658</v>
      </c>
      <c r="AG881" s="43">
        <v>-41.161971999999999</v>
      </c>
      <c r="AH881" s="43">
        <v>146.944028</v>
      </c>
      <c r="AI881" s="122" t="s">
        <v>7286</v>
      </c>
      <c r="AJ881" s="41">
        <v>0.5</v>
      </c>
    </row>
    <row r="882" spans="1:36" ht="34.5" hidden="1" customHeight="1" x14ac:dyDescent="0.25">
      <c r="A882" s="40">
        <v>1351</v>
      </c>
      <c r="B882" s="40" t="s">
        <v>5956</v>
      </c>
      <c r="C882" s="40" t="s">
        <v>530</v>
      </c>
      <c r="D882" s="44">
        <v>2027</v>
      </c>
      <c r="E882" s="44"/>
      <c r="F882" s="40" t="s">
        <v>1331</v>
      </c>
      <c r="G882" s="40" t="s">
        <v>1259</v>
      </c>
      <c r="H882" s="40" t="s">
        <v>467</v>
      </c>
      <c r="I882" s="40" t="s">
        <v>1266</v>
      </c>
      <c r="K882" s="40" t="s">
        <v>1242</v>
      </c>
      <c r="N882" s="40">
        <v>1</v>
      </c>
      <c r="Z882" s="40" t="s">
        <v>7096</v>
      </c>
      <c r="AA882" s="45">
        <v>330</v>
      </c>
      <c r="AB882" s="46">
        <f>IF(H2ProjectDB689571011[[#This Row],[Dummy_1]]="Electrolysis",
AA882/VLOOKUP(G882,ElectrolysisConvF,3,FALSE),
AC882*10^6/(H2dens*HoursInYear))</f>
        <v>73333.333333333343</v>
      </c>
      <c r="AC882" s="47">
        <f t="shared" si="70"/>
        <v>57.1736</v>
      </c>
      <c r="AE882" s="46">
        <f t="shared" si="69"/>
        <v>73333.333333333343</v>
      </c>
      <c r="AF882" s="43" t="s">
        <v>3156</v>
      </c>
      <c r="AG882" s="43">
        <v>45.803497570979403</v>
      </c>
      <c r="AH882" s="43">
        <v>5.4209456136301002</v>
      </c>
      <c r="AI882" s="122" t="s">
        <v>7286</v>
      </c>
      <c r="AJ882" s="41">
        <v>0.56999999999999995</v>
      </c>
    </row>
    <row r="883" spans="1:36" ht="34.5" hidden="1" customHeight="1" x14ac:dyDescent="0.25">
      <c r="A883" s="40">
        <v>1352</v>
      </c>
      <c r="B883" s="40" t="s">
        <v>3157</v>
      </c>
      <c r="C883" s="40" t="s">
        <v>555</v>
      </c>
      <c r="D883" s="44">
        <v>2025</v>
      </c>
      <c r="E883" s="44"/>
      <c r="F883" s="40" t="s">
        <v>1331</v>
      </c>
      <c r="G883" s="40" t="s">
        <v>1259</v>
      </c>
      <c r="H883" s="40" t="s">
        <v>467</v>
      </c>
      <c r="I883" s="40" t="s">
        <v>1269</v>
      </c>
      <c r="J883" s="40" t="s">
        <v>1394</v>
      </c>
      <c r="K883" s="40" t="s">
        <v>578</v>
      </c>
      <c r="Q883" s="40">
        <v>1</v>
      </c>
      <c r="Z883" s="40" t="s">
        <v>3158</v>
      </c>
      <c r="AA883" s="45">
        <v>15</v>
      </c>
      <c r="AB883" s="46">
        <f>IF(H2ProjectDB689571011[[#This Row],[Dummy_1]]="Electrolysis",
AA883/VLOOKUP(G883,ElectrolysisConvF,3,FALSE),
AC883*10^6/(H2dens*HoursInYear))</f>
        <v>3333.3333333333335</v>
      </c>
      <c r="AC883" s="47">
        <f t="shared" si="70"/>
        <v>2.5988000000000002</v>
      </c>
      <c r="AE883" s="46">
        <f t="shared" si="69"/>
        <v>3333.3333333333335</v>
      </c>
      <c r="AF883" s="43" t="s">
        <v>4394</v>
      </c>
      <c r="AG883" s="43">
        <v>47.484278292532501</v>
      </c>
      <c r="AH883" s="43">
        <v>8.2008101221775895</v>
      </c>
      <c r="AI883" s="122" t="s">
        <v>7286</v>
      </c>
      <c r="AJ883" s="41">
        <v>0.8</v>
      </c>
    </row>
    <row r="884" spans="1:36" ht="34.5" hidden="1" customHeight="1" x14ac:dyDescent="0.25">
      <c r="A884" s="40">
        <v>1353</v>
      </c>
      <c r="B884" s="40" t="s">
        <v>3159</v>
      </c>
      <c r="C884" s="40" t="s">
        <v>542</v>
      </c>
      <c r="D884" s="44">
        <v>2024</v>
      </c>
      <c r="E884" s="44"/>
      <c r="F884" s="40" t="s">
        <v>5701</v>
      </c>
      <c r="G884" s="40" t="s">
        <v>1259</v>
      </c>
      <c r="H884" s="40" t="s">
        <v>467</v>
      </c>
      <c r="I884" s="40" t="s">
        <v>1269</v>
      </c>
      <c r="J884" s="40" t="s">
        <v>581</v>
      </c>
      <c r="K884" s="40" t="s">
        <v>1268</v>
      </c>
      <c r="M884" s="40">
        <v>1</v>
      </c>
      <c r="Q884" s="40">
        <v>1</v>
      </c>
      <c r="Z884" s="40" t="s">
        <v>1344</v>
      </c>
      <c r="AA884" s="45">
        <v>20</v>
      </c>
      <c r="AB884" s="46">
        <f>IF(H2ProjectDB689571011[[#This Row],[Dummy_1]]="Electrolysis",
AA884/VLOOKUP(G884,ElectrolysisConvF,3,FALSE),
AC884*10^6/(H2dens*HoursInYear))</f>
        <v>4444.4444444444443</v>
      </c>
      <c r="AC884" s="47">
        <f t="shared" si="70"/>
        <v>3.4650666666666665</v>
      </c>
      <c r="AE884" s="46">
        <f t="shared" si="69"/>
        <v>4444.4444444444443</v>
      </c>
      <c r="AF884" s="43" t="s">
        <v>4395</v>
      </c>
      <c r="AG884" s="43">
        <v>50.831705795536102</v>
      </c>
      <c r="AH884" s="43">
        <v>-0.23536615095708899</v>
      </c>
      <c r="AI884" s="122" t="s">
        <v>7286</v>
      </c>
      <c r="AJ884" s="41">
        <v>0.5</v>
      </c>
    </row>
    <row r="885" spans="1:36" ht="34.5" hidden="1" customHeight="1" x14ac:dyDescent="0.25">
      <c r="A885" s="40">
        <v>1354</v>
      </c>
      <c r="B885" s="40" t="s">
        <v>3633</v>
      </c>
      <c r="C885" s="40" t="s">
        <v>542</v>
      </c>
      <c r="D885" s="44">
        <v>2029</v>
      </c>
      <c r="E885" s="44"/>
      <c r="F885" s="40" t="s">
        <v>1331</v>
      </c>
      <c r="G885" s="40" t="s">
        <v>1259</v>
      </c>
      <c r="H885" s="40" t="s">
        <v>467</v>
      </c>
      <c r="I885" s="40" t="s">
        <v>1269</v>
      </c>
      <c r="J885" s="40" t="s">
        <v>581</v>
      </c>
      <c r="K885" s="40" t="s">
        <v>1268</v>
      </c>
      <c r="M885" s="40">
        <v>1</v>
      </c>
      <c r="Q885" s="40">
        <v>1</v>
      </c>
      <c r="Z885" s="40" t="s">
        <v>4984</v>
      </c>
      <c r="AA885" s="47">
        <f>IF(H2ProjectDB689571011[[#This Row],[Dummy_1]]="Electrolysis",
AB885*VLOOKUP(G885,ElectrolysisConvF,3,FALSE),
"")</f>
        <v>63.202247191011224</v>
      </c>
      <c r="AB885" s="46">
        <f>AC885/(H2dens*HoursInYear/10^6)</f>
        <v>14044.943820224718</v>
      </c>
      <c r="AC885" s="47">
        <f>15*0.365/H2ProjectDB689571011[[#This Row],[LOWE_CF]]</f>
        <v>10.95</v>
      </c>
      <c r="AE885" s="46">
        <f t="shared" si="69"/>
        <v>14044.943820224718</v>
      </c>
      <c r="AF885" s="43" t="s">
        <v>4395</v>
      </c>
      <c r="AG885" s="43">
        <v>50.831705795536102</v>
      </c>
      <c r="AH885" s="43">
        <v>-0.23536615095708899</v>
      </c>
      <c r="AI885" s="122" t="s">
        <v>7286</v>
      </c>
      <c r="AJ885" s="41">
        <v>0.5</v>
      </c>
    </row>
    <row r="886" spans="1:36" ht="34.5" hidden="1" customHeight="1" x14ac:dyDescent="0.25">
      <c r="A886" s="40">
        <v>1355</v>
      </c>
      <c r="B886" s="40" t="s">
        <v>3165</v>
      </c>
      <c r="C886" s="40" t="s">
        <v>559</v>
      </c>
      <c r="D886" s="44">
        <v>2024</v>
      </c>
      <c r="E886" s="44"/>
      <c r="F886" s="40" t="s">
        <v>1331</v>
      </c>
      <c r="G886" s="40" t="s">
        <v>1259</v>
      </c>
      <c r="H886" s="40" t="s">
        <v>467</v>
      </c>
      <c r="I886" s="40" t="s">
        <v>1269</v>
      </c>
      <c r="J886" s="40" t="s">
        <v>581</v>
      </c>
      <c r="K886" s="40" t="s">
        <v>578</v>
      </c>
      <c r="Q886" s="40">
        <v>1</v>
      </c>
      <c r="Z886" s="40" t="s">
        <v>1648</v>
      </c>
      <c r="AA886" s="45">
        <v>4</v>
      </c>
      <c r="AB886" s="46">
        <f>IF(H2ProjectDB689571011[[#This Row],[Dummy_1]]="Electrolysis",
AA886/VLOOKUP(G886,ElectrolysisConvF,3,FALSE),
AC886*10^6/(H2dens*HoursInYear))</f>
        <v>888.88888888888891</v>
      </c>
      <c r="AC886" s="47">
        <f>AB886*H2dens*HoursInYear/10^6</f>
        <v>0.69301333333333337</v>
      </c>
      <c r="AE886" s="46">
        <f t="shared" si="69"/>
        <v>888.88888888888891</v>
      </c>
      <c r="AF886" s="43" t="s">
        <v>3166</v>
      </c>
      <c r="AG886" s="43">
        <v>57.7022110419584</v>
      </c>
      <c r="AH886" s="43">
        <v>11.947645958932</v>
      </c>
      <c r="AI886" s="122" t="s">
        <v>7286</v>
      </c>
      <c r="AJ886" s="41">
        <v>0.5</v>
      </c>
    </row>
    <row r="887" spans="1:36" ht="34.5" hidden="1" customHeight="1" x14ac:dyDescent="0.25">
      <c r="A887" s="40">
        <v>1356</v>
      </c>
      <c r="B887" s="40" t="s">
        <v>3168</v>
      </c>
      <c r="C887" s="40" t="s">
        <v>546</v>
      </c>
      <c r="D887" s="44">
        <v>2033</v>
      </c>
      <c r="E887" s="44">
        <v>2063</v>
      </c>
      <c r="F887" s="40" t="s">
        <v>2222</v>
      </c>
      <c r="G887" s="40" t="s">
        <v>455</v>
      </c>
      <c r="I887" s="40" t="s">
        <v>1269</v>
      </c>
      <c r="J887" s="40" t="s">
        <v>1393</v>
      </c>
      <c r="K887" s="40" t="s">
        <v>578</v>
      </c>
      <c r="Z887" s="40" t="s">
        <v>2054</v>
      </c>
      <c r="AA887" s="45">
        <v>500</v>
      </c>
      <c r="AB887" s="46">
        <f>IF(H2ProjectDB689571011[[#This Row],[Dummy_1]]="Electrolysis",
AA887/VLOOKUP(G887,ElectrolysisConvF,3,FALSE),
AC887*10^6/(H2dens*HoursInYear))</f>
        <v>96153.846153846156</v>
      </c>
      <c r="AC887" s="47">
        <f>AB887*H2dens*HoursInYear/10^6</f>
        <v>74.965384615384608</v>
      </c>
      <c r="AE887" s="46">
        <f t="shared" si="69"/>
        <v>96153.846153846156</v>
      </c>
      <c r="AF887" s="43" t="s">
        <v>3607</v>
      </c>
      <c r="AG887" s="43">
        <v>53.678232930061199</v>
      </c>
      <c r="AH887" s="43">
        <v>4.3817835843605399</v>
      </c>
      <c r="AI887" s="122" t="s">
        <v>7286</v>
      </c>
      <c r="AJ887" s="41">
        <v>0.55000000000000004</v>
      </c>
    </row>
    <row r="888" spans="1:36" ht="34.5" hidden="1" customHeight="1" x14ac:dyDescent="0.25">
      <c r="A888" s="40">
        <v>1357</v>
      </c>
      <c r="B888" s="40" t="s">
        <v>3172</v>
      </c>
      <c r="C888" s="40" t="s">
        <v>975</v>
      </c>
      <c r="D888" s="44">
        <v>2026</v>
      </c>
      <c r="E888" s="44"/>
      <c r="F888" s="40" t="s">
        <v>1331</v>
      </c>
      <c r="G888" s="40" t="s">
        <v>1261</v>
      </c>
      <c r="H888" s="40" t="s">
        <v>4057</v>
      </c>
      <c r="K888" s="40" t="s">
        <v>578</v>
      </c>
      <c r="L888" s="40">
        <v>1</v>
      </c>
      <c r="Z888" s="40" t="s">
        <v>3173</v>
      </c>
      <c r="AC888" s="47"/>
      <c r="AD888" s="46">
        <v>400000</v>
      </c>
      <c r="AE888" s="46">
        <f t="shared" si="69"/>
        <v>50150.577107766068</v>
      </c>
      <c r="AG888" s="43">
        <v>35.433169999999997</v>
      </c>
      <c r="AH888" s="43">
        <v>129.34289999999999</v>
      </c>
      <c r="AI888" s="122" t="s">
        <v>7287</v>
      </c>
      <c r="AJ888" s="41">
        <v>0.9</v>
      </c>
    </row>
    <row r="889" spans="1:36" ht="34.5" hidden="1" customHeight="1" x14ac:dyDescent="0.25">
      <c r="A889" s="40">
        <v>1358</v>
      </c>
      <c r="B889" s="40" t="s">
        <v>5065</v>
      </c>
      <c r="C889" s="40" t="s">
        <v>533</v>
      </c>
      <c r="D889" s="44"/>
      <c r="E889" s="44"/>
      <c r="F889" s="40" t="s">
        <v>2222</v>
      </c>
      <c r="G889" s="40" t="s">
        <v>1261</v>
      </c>
      <c r="H889" s="40" t="s">
        <v>1665</v>
      </c>
      <c r="K889" s="40" t="s">
        <v>1243</v>
      </c>
      <c r="M889" s="40">
        <v>1</v>
      </c>
      <c r="Z889" s="40" t="s">
        <v>3175</v>
      </c>
      <c r="AC889" s="47">
        <v>165</v>
      </c>
      <c r="AE889" s="46">
        <f t="shared" si="69"/>
        <v>0</v>
      </c>
      <c r="AF889" s="43" t="s">
        <v>3177</v>
      </c>
      <c r="AG889" s="43">
        <v>53.796743099578997</v>
      </c>
      <c r="AH889" s="43">
        <v>-113.09115146981701</v>
      </c>
      <c r="AI889" s="122" t="s">
        <v>7287</v>
      </c>
      <c r="AJ889" s="41">
        <v>0.9</v>
      </c>
    </row>
    <row r="890" spans="1:36" ht="34.5" hidden="1" customHeight="1" x14ac:dyDescent="0.25">
      <c r="A890" s="40">
        <v>1361</v>
      </c>
      <c r="B890" s="40" t="s">
        <v>3181</v>
      </c>
      <c r="C890" s="40" t="s">
        <v>542</v>
      </c>
      <c r="D890" s="44">
        <v>2030</v>
      </c>
      <c r="E890" s="44"/>
      <c r="F890" s="40" t="s">
        <v>2222</v>
      </c>
      <c r="G890" s="40" t="s">
        <v>1259</v>
      </c>
      <c r="H890" s="40" t="s">
        <v>467</v>
      </c>
      <c r="I890" s="40" t="s">
        <v>1269</v>
      </c>
      <c r="J890" s="40" t="s">
        <v>1393</v>
      </c>
      <c r="K890" s="40" t="s">
        <v>1268</v>
      </c>
      <c r="AC890" s="47"/>
      <c r="AE890" s="46">
        <f t="shared" si="69"/>
        <v>0</v>
      </c>
      <c r="AF890" s="43" t="s">
        <v>3182</v>
      </c>
      <c r="AG890" s="43">
        <v>58.606915087196199</v>
      </c>
      <c r="AH890" s="43">
        <v>-2.6908378768089101</v>
      </c>
      <c r="AI890" s="122" t="s">
        <v>7286</v>
      </c>
      <c r="AJ890" s="41">
        <v>0.55000000000000004</v>
      </c>
    </row>
    <row r="891" spans="1:36" ht="34.5" hidden="1" customHeight="1" x14ac:dyDescent="0.25">
      <c r="A891" s="40">
        <v>1362</v>
      </c>
      <c r="B891" s="40" t="s">
        <v>3185</v>
      </c>
      <c r="C891" s="40" t="s">
        <v>546</v>
      </c>
      <c r="D891" s="44">
        <v>2030</v>
      </c>
      <c r="E891" s="44"/>
      <c r="F891" s="40" t="s">
        <v>2222</v>
      </c>
      <c r="G891" s="40" t="s">
        <v>1259</v>
      </c>
      <c r="H891" s="40" t="s">
        <v>467</v>
      </c>
      <c r="I891" s="40" t="s">
        <v>1269</v>
      </c>
      <c r="J891" s="40" t="s">
        <v>1393</v>
      </c>
      <c r="K891" s="40" t="s">
        <v>578</v>
      </c>
      <c r="Z891" s="40" t="s">
        <v>2605</v>
      </c>
      <c r="AA891" s="45">
        <v>55</v>
      </c>
      <c r="AB891" s="46">
        <f>IF(H2ProjectDB689571011[[#This Row],[Dummy_1]]="Electrolysis",
AA891/VLOOKUP(G891,ElectrolysisConvF,3,FALSE),
AC891*10^6/(H2dens*HoursInYear))</f>
        <v>12222.222222222223</v>
      </c>
      <c r="AC891" s="47">
        <f t="shared" ref="AC891:AC901" si="71">AB891*H2dens*HoursInYear/10^6</f>
        <v>9.5289333333333346</v>
      </c>
      <c r="AE891" s="46">
        <f>AB891</f>
        <v>12222.222222222223</v>
      </c>
      <c r="AF891" s="43" t="s">
        <v>3187</v>
      </c>
      <c r="AG891" s="43">
        <v>51.319823599464499</v>
      </c>
      <c r="AH891" s="43">
        <v>3.81552805542493</v>
      </c>
      <c r="AI891" s="122" t="s">
        <v>7286</v>
      </c>
      <c r="AJ891" s="41">
        <v>0.55000000000000004</v>
      </c>
    </row>
    <row r="892" spans="1:36" ht="34.5" hidden="1" customHeight="1" x14ac:dyDescent="0.25">
      <c r="A892" s="40">
        <v>1364</v>
      </c>
      <c r="B892" s="40" t="s">
        <v>7445</v>
      </c>
      <c r="C892" s="40" t="s">
        <v>547</v>
      </c>
      <c r="D892" s="44">
        <v>2028</v>
      </c>
      <c r="E892" s="44"/>
      <c r="F892" s="40" t="s">
        <v>1331</v>
      </c>
      <c r="G892" s="40" t="s">
        <v>457</v>
      </c>
      <c r="I892" s="40" t="s">
        <v>1266</v>
      </c>
      <c r="K892" s="40" t="s">
        <v>1243</v>
      </c>
      <c r="M892" s="40">
        <v>1</v>
      </c>
      <c r="Z892" s="40" t="s">
        <v>2024</v>
      </c>
      <c r="AA892" s="45">
        <v>300</v>
      </c>
      <c r="AB892" s="46">
        <f>IF(H2ProjectDB689571011[[#This Row],[Dummy_1]]="Electrolysis",
AA892/VLOOKUP(G892,ElectrolysisConvF,3,FALSE),
AC892*10^6/(H2dens*HoursInYear))</f>
        <v>65217.391304347824</v>
      </c>
      <c r="AC892" s="47">
        <f t="shared" si="71"/>
        <v>50.846086956521738</v>
      </c>
      <c r="AE892" s="46">
        <f t="shared" ref="AE892:AE897" si="72">IF(AND(G892&lt;&gt;"NG w CCUS",G892&lt;&gt;"Oil w CCUS",G892&lt;&gt;"Coal w CCUS"),AB892,AD892*10^3/(HoursInYear*IF(G892="NG w CCUS",0.9105,1.9075)))</f>
        <v>65217.391304347824</v>
      </c>
      <c r="AF892" s="43" t="s">
        <v>4061</v>
      </c>
      <c r="AG892" s="43">
        <v>-25.414797844545699</v>
      </c>
      <c r="AH892" s="43">
        <v>-54.613480743292797</v>
      </c>
      <c r="AI892" s="122" t="s">
        <v>7286</v>
      </c>
      <c r="AJ892" s="41">
        <v>0.56999999999999995</v>
      </c>
    </row>
    <row r="893" spans="1:36" ht="34.5" hidden="1" customHeight="1" x14ac:dyDescent="0.25">
      <c r="A893" s="40">
        <v>1365</v>
      </c>
      <c r="B893" s="40" t="s">
        <v>3188</v>
      </c>
      <c r="C893" s="40" t="s">
        <v>550</v>
      </c>
      <c r="D893" s="44">
        <v>2026</v>
      </c>
      <c r="E893" s="44"/>
      <c r="F893" s="40" t="s">
        <v>1331</v>
      </c>
      <c r="G893" s="40" t="s">
        <v>457</v>
      </c>
      <c r="I893" s="40" t="s">
        <v>1269</v>
      </c>
      <c r="J893" s="40" t="s">
        <v>1395</v>
      </c>
      <c r="K893" s="40" t="s">
        <v>1243</v>
      </c>
      <c r="M893" s="40">
        <v>1</v>
      </c>
      <c r="Q893" s="40">
        <v>1</v>
      </c>
      <c r="Z893" s="40" t="s">
        <v>1510</v>
      </c>
      <c r="AA893" s="45">
        <v>30</v>
      </c>
      <c r="AB893" s="46">
        <f>IF(H2ProjectDB689571011[[#This Row],[Dummy_1]]="Electrolysis",
AA893/VLOOKUP(G893,ElectrolysisConvF,3,FALSE),
AC893*10^6/(H2dens*HoursInYear))</f>
        <v>6521.739130434783</v>
      </c>
      <c r="AC893" s="47">
        <f t="shared" si="71"/>
        <v>5.0846086956521734</v>
      </c>
      <c r="AE893" s="46">
        <f t="shared" si="72"/>
        <v>6521.739130434783</v>
      </c>
      <c r="AF893" s="43" t="s">
        <v>4399</v>
      </c>
      <c r="AG893" s="43">
        <v>66.047646769339806</v>
      </c>
      <c r="AH893" s="43">
        <v>-17.343786625293699</v>
      </c>
      <c r="AI893" s="122" t="s">
        <v>7286</v>
      </c>
      <c r="AJ893" s="41">
        <v>0.5</v>
      </c>
    </row>
    <row r="894" spans="1:36" ht="34.5" hidden="1" customHeight="1" x14ac:dyDescent="0.25">
      <c r="A894" s="40">
        <v>1366</v>
      </c>
      <c r="B894" s="40" t="s">
        <v>3189</v>
      </c>
      <c r="C894" s="40" t="s">
        <v>550</v>
      </c>
      <c r="D894" s="44">
        <v>2028</v>
      </c>
      <c r="E894" s="44"/>
      <c r="F894" s="40" t="s">
        <v>2222</v>
      </c>
      <c r="G894" s="40" t="s">
        <v>457</v>
      </c>
      <c r="I894" s="40" t="s">
        <v>1269</v>
      </c>
      <c r="J894" s="40" t="s">
        <v>1395</v>
      </c>
      <c r="K894" s="40" t="s">
        <v>1243</v>
      </c>
      <c r="M894" s="40">
        <v>1</v>
      </c>
      <c r="Q894" s="40">
        <v>1</v>
      </c>
      <c r="Z894" s="40" t="s">
        <v>1485</v>
      </c>
      <c r="AA894" s="45">
        <v>70</v>
      </c>
      <c r="AB894" s="46">
        <f>IF(H2ProjectDB689571011[[#This Row],[Dummy_1]]="Electrolysis",
AA894/VLOOKUP(G894,ElectrolysisConvF,3,FALSE),
AC894*10^6/(H2dens*HoursInYear))</f>
        <v>15217.391304347826</v>
      </c>
      <c r="AC894" s="47">
        <f t="shared" si="71"/>
        <v>11.864086956521739</v>
      </c>
      <c r="AE894" s="46">
        <f t="shared" si="72"/>
        <v>15217.391304347826</v>
      </c>
      <c r="AF894" s="43" t="s">
        <v>4399</v>
      </c>
      <c r="AG894" s="43">
        <v>66.047646769339806</v>
      </c>
      <c r="AH894" s="43">
        <v>-17.343786625293699</v>
      </c>
      <c r="AI894" s="122" t="s">
        <v>7286</v>
      </c>
      <c r="AJ894" s="41">
        <v>0.5</v>
      </c>
    </row>
    <row r="895" spans="1:36" ht="34.5" hidden="1" customHeight="1" x14ac:dyDescent="0.25">
      <c r="A895" s="40">
        <v>1367</v>
      </c>
      <c r="B895" s="40" t="s">
        <v>5224</v>
      </c>
      <c r="C895" s="40" t="s">
        <v>1939</v>
      </c>
      <c r="D895" s="44">
        <v>2025</v>
      </c>
      <c r="E895" s="44"/>
      <c r="F895" s="40" t="s">
        <v>1331</v>
      </c>
      <c r="G895" s="40" t="s">
        <v>1259</v>
      </c>
      <c r="H895" s="40" t="s">
        <v>467</v>
      </c>
      <c r="I895" s="40" t="s">
        <v>1269</v>
      </c>
      <c r="J895" s="40" t="s">
        <v>581</v>
      </c>
      <c r="K895" s="40" t="s">
        <v>1243</v>
      </c>
      <c r="M895" s="40">
        <v>1</v>
      </c>
      <c r="Z895" s="40" t="s">
        <v>2024</v>
      </c>
      <c r="AA895" s="45">
        <v>300</v>
      </c>
      <c r="AB895" s="46">
        <f>IF(H2ProjectDB689571011[[#This Row],[Dummy_1]]="Electrolysis",
AA895/VLOOKUP(G895,ElectrolysisConvF,3,FALSE),
AC895*10^6/(H2dens*HoursInYear))</f>
        <v>66666.666666666672</v>
      </c>
      <c r="AC895" s="47">
        <f t="shared" si="71"/>
        <v>51.975999999999999</v>
      </c>
      <c r="AE895" s="46">
        <f t="shared" si="72"/>
        <v>66666.666666666672</v>
      </c>
      <c r="AF895" s="43" t="s">
        <v>3191</v>
      </c>
      <c r="AG895" s="43">
        <v>-0.84293431937073904</v>
      </c>
      <c r="AH895" s="43">
        <v>36.318704915658003</v>
      </c>
      <c r="AI895" s="122" t="s">
        <v>7286</v>
      </c>
      <c r="AJ895" s="41">
        <v>0.5</v>
      </c>
    </row>
    <row r="896" spans="1:36" ht="34.5" hidden="1" customHeight="1" x14ac:dyDescent="0.25">
      <c r="A896" s="40">
        <v>1368</v>
      </c>
      <c r="B896" s="40" t="s">
        <v>6752</v>
      </c>
      <c r="C896" s="40" t="s">
        <v>1045</v>
      </c>
      <c r="D896" s="44">
        <v>2022</v>
      </c>
      <c r="E896" s="44"/>
      <c r="F896" s="40" t="s">
        <v>1339</v>
      </c>
      <c r="G896" s="40" t="s">
        <v>455</v>
      </c>
      <c r="I896" s="40" t="s">
        <v>1269</v>
      </c>
      <c r="J896" s="40" t="s">
        <v>1395</v>
      </c>
      <c r="K896" s="40" t="s">
        <v>1243</v>
      </c>
      <c r="M896" s="40">
        <v>1</v>
      </c>
      <c r="Z896" s="40" t="s">
        <v>1582</v>
      </c>
      <c r="AA896" s="45">
        <v>15</v>
      </c>
      <c r="AB896" s="46">
        <f>IF(H2ProjectDB689571011[[#This Row],[Dummy_1]]="Electrolysis",
AA896/VLOOKUP(G896,ElectrolysisConvF,3,FALSE),
AC896*10^6/(H2dens*HoursInYear))</f>
        <v>2884.6153846153848</v>
      </c>
      <c r="AC896" s="47">
        <f t="shared" si="71"/>
        <v>2.2489615384615385</v>
      </c>
      <c r="AE896" s="46">
        <f t="shared" si="72"/>
        <v>2884.6153846153848</v>
      </c>
      <c r="AF896" s="43" t="s">
        <v>6755</v>
      </c>
      <c r="AG896" s="43">
        <v>29.6333926321958</v>
      </c>
      <c r="AH896" s="43">
        <v>32.3008063477238</v>
      </c>
      <c r="AI896" s="122" t="s">
        <v>7286</v>
      </c>
      <c r="AJ896" s="41">
        <v>0.5</v>
      </c>
    </row>
    <row r="897" spans="1:36" ht="34.5" hidden="1" customHeight="1" x14ac:dyDescent="0.25">
      <c r="A897" s="40">
        <v>1369</v>
      </c>
      <c r="B897" s="40" t="s">
        <v>3975</v>
      </c>
      <c r="C897" s="40" t="s">
        <v>1305</v>
      </c>
      <c r="D897" s="44">
        <v>2025</v>
      </c>
      <c r="E897" s="44"/>
      <c r="F897" s="40" t="s">
        <v>1331</v>
      </c>
      <c r="G897" s="40" t="s">
        <v>1259</v>
      </c>
      <c r="H897" s="40" t="s">
        <v>467</v>
      </c>
      <c r="I897" s="40" t="s">
        <v>1269</v>
      </c>
      <c r="J897" s="40" t="s">
        <v>1395</v>
      </c>
      <c r="K897" s="40" t="s">
        <v>578</v>
      </c>
      <c r="Z897" s="40" t="s">
        <v>1495</v>
      </c>
      <c r="AA897" s="45">
        <v>20</v>
      </c>
      <c r="AB897" s="46">
        <f>IF(H2ProjectDB689571011[[#This Row],[Dummy_1]]="Electrolysis",
AA897/VLOOKUP(G897,ElectrolysisConvF,3,FALSE),
AC897*10^6/(H2dens*HoursInYear))</f>
        <v>4444.4444444444443</v>
      </c>
      <c r="AC897" s="47">
        <f t="shared" si="71"/>
        <v>3.4650666666666665</v>
      </c>
      <c r="AE897" s="46">
        <f t="shared" si="72"/>
        <v>4444.4444444444443</v>
      </c>
      <c r="AF897" s="43" t="s">
        <v>4401</v>
      </c>
      <c r="AG897" s="43">
        <v>0</v>
      </c>
      <c r="AH897" s="43">
        <v>0</v>
      </c>
      <c r="AI897" s="122" t="s">
        <v>7286</v>
      </c>
      <c r="AJ897" s="41">
        <v>0.5</v>
      </c>
    </row>
    <row r="898" spans="1:36" ht="34.5" hidden="1" customHeight="1" x14ac:dyDescent="0.25">
      <c r="A898" s="40">
        <v>1371</v>
      </c>
      <c r="B898" s="40" t="s">
        <v>3203</v>
      </c>
      <c r="C898" s="40" t="s">
        <v>535</v>
      </c>
      <c r="D898" s="44"/>
      <c r="E898" s="44"/>
      <c r="F898" s="40" t="s">
        <v>2222</v>
      </c>
      <c r="G898" s="40" t="s">
        <v>1259</v>
      </c>
      <c r="H898" s="40" t="s">
        <v>467</v>
      </c>
      <c r="I898" s="40" t="s">
        <v>1269</v>
      </c>
      <c r="J898" s="40" t="s">
        <v>1395</v>
      </c>
      <c r="K898" s="40" t="s">
        <v>578</v>
      </c>
      <c r="P898" s="40">
        <v>1</v>
      </c>
      <c r="Q898" s="40">
        <v>1</v>
      </c>
      <c r="Z898" s="40" t="s">
        <v>1576</v>
      </c>
      <c r="AA898" s="45">
        <v>149</v>
      </c>
      <c r="AB898" s="46">
        <f>IF(H2ProjectDB689571011[[#This Row],[Dummy_1]]="Electrolysis",
AA898/VLOOKUP(G898,ElectrolysisConvF,3,FALSE),
AC898*10^6/(H2dens*HoursInYear))</f>
        <v>33111.111111111117</v>
      </c>
      <c r="AC898" s="47">
        <f t="shared" si="71"/>
        <v>25.814746666666668</v>
      </c>
      <c r="AE898" s="46">
        <f>AB898</f>
        <v>33111.111111111117</v>
      </c>
      <c r="AG898" s="43">
        <v>-19.331168634470401</v>
      </c>
      <c r="AH898" s="43">
        <v>146.883995766265</v>
      </c>
      <c r="AI898" s="122" t="s">
        <v>7286</v>
      </c>
      <c r="AJ898" s="41">
        <v>0.5</v>
      </c>
    </row>
    <row r="899" spans="1:36" ht="34.5" hidden="1" customHeight="1" x14ac:dyDescent="0.25">
      <c r="A899" s="40">
        <v>1372</v>
      </c>
      <c r="B899" s="40" t="s">
        <v>3200</v>
      </c>
      <c r="C899" s="40" t="s">
        <v>542</v>
      </c>
      <c r="D899" s="44">
        <v>2025</v>
      </c>
      <c r="E899" s="44"/>
      <c r="F899" s="40" t="s">
        <v>1331</v>
      </c>
      <c r="G899" s="40" t="s">
        <v>1259</v>
      </c>
      <c r="H899" s="40" t="s">
        <v>467</v>
      </c>
      <c r="I899" s="40" t="s">
        <v>1269</v>
      </c>
      <c r="J899" s="40" t="s">
        <v>581</v>
      </c>
      <c r="K899" s="40" t="s">
        <v>578</v>
      </c>
      <c r="P899" s="40">
        <v>1</v>
      </c>
      <c r="Z899" s="40" t="s">
        <v>2605</v>
      </c>
      <c r="AA899" s="45">
        <v>80</v>
      </c>
      <c r="AB899" s="46">
        <f>IF(H2ProjectDB689571011[[#This Row],[Dummy_1]]="Electrolysis",
AA899/VLOOKUP(G899,ElectrolysisConvF,3,FALSE),
AC899*10^6/(H2dens*HoursInYear))</f>
        <v>17777.777777777777</v>
      </c>
      <c r="AC899" s="47">
        <f t="shared" si="71"/>
        <v>13.860266666666666</v>
      </c>
      <c r="AE899" s="46">
        <f>IF(AND(G899&lt;&gt;"NG w CCUS",G899&lt;&gt;"Oil w CCUS",G899&lt;&gt;"Coal w CCUS"),AB899,AD899*10^3/(HoursInYear*IF(G899="NG w CCUS",0.9105,1.9075)))</f>
        <v>17777.777777777777</v>
      </c>
      <c r="AF899" s="43" t="s">
        <v>3939</v>
      </c>
      <c r="AG899" s="43">
        <v>54.597300915376302</v>
      </c>
      <c r="AH899" s="43">
        <v>-1.2047002340435899</v>
      </c>
      <c r="AI899" s="122" t="s">
        <v>7286</v>
      </c>
      <c r="AJ899" s="41">
        <v>0.5</v>
      </c>
    </row>
    <row r="900" spans="1:36" ht="34.5" hidden="1" customHeight="1" x14ac:dyDescent="0.25">
      <c r="A900" s="40">
        <v>1373</v>
      </c>
      <c r="B900" s="40" t="s">
        <v>3201</v>
      </c>
      <c r="C900" s="40" t="s">
        <v>542</v>
      </c>
      <c r="D900" s="44">
        <v>2030</v>
      </c>
      <c r="E900" s="44"/>
      <c r="F900" s="40" t="s">
        <v>2222</v>
      </c>
      <c r="G900" s="40" t="s">
        <v>1259</v>
      </c>
      <c r="H900" s="40" t="s">
        <v>467</v>
      </c>
      <c r="I900" s="40" t="s">
        <v>1269</v>
      </c>
      <c r="J900" s="40" t="s">
        <v>581</v>
      </c>
      <c r="K900" s="40" t="s">
        <v>578</v>
      </c>
      <c r="P900" s="40">
        <v>1</v>
      </c>
      <c r="Z900" s="40" t="s">
        <v>8339</v>
      </c>
      <c r="AA900" s="45">
        <f>500-AA899</f>
        <v>420</v>
      </c>
      <c r="AB900" s="46">
        <f>IF(H2ProjectDB689571011[[#This Row],[Dummy_1]]="Electrolysis",
AA900/VLOOKUP(G900,ElectrolysisConvF,3,FALSE),
AC900*10^6/(H2dens*HoursInYear))</f>
        <v>93333.333333333343</v>
      </c>
      <c r="AC900" s="47">
        <f t="shared" si="71"/>
        <v>72.766400000000019</v>
      </c>
      <c r="AE900" s="46">
        <f>IF(AND(G900&lt;&gt;"NG w CCUS",G900&lt;&gt;"Oil w CCUS",G900&lt;&gt;"Coal w CCUS"),AB900,AD900*10^3/(HoursInYear*IF(G900="NG w CCUS",0.9105,1.9075)))</f>
        <v>93333.333333333343</v>
      </c>
      <c r="AF900" s="43" t="s">
        <v>3939</v>
      </c>
      <c r="AG900" s="43">
        <v>54.597300915376302</v>
      </c>
      <c r="AH900" s="43">
        <v>-1.2047002340435899</v>
      </c>
      <c r="AI900" s="122" t="s">
        <v>7286</v>
      </c>
      <c r="AJ900" s="41">
        <v>0.5</v>
      </c>
    </row>
    <row r="901" spans="1:36" ht="34.5" hidden="1" customHeight="1" x14ac:dyDescent="0.25">
      <c r="A901" s="40">
        <v>1374</v>
      </c>
      <c r="B901" s="40" t="s">
        <v>3208</v>
      </c>
      <c r="C901" s="40" t="s">
        <v>542</v>
      </c>
      <c r="D901" s="44">
        <v>2030</v>
      </c>
      <c r="E901" s="44"/>
      <c r="F901" s="40" t="s">
        <v>1257</v>
      </c>
      <c r="G901" s="40" t="s">
        <v>455</v>
      </c>
      <c r="I901" s="40" t="s">
        <v>1269</v>
      </c>
      <c r="J901" s="40" t="s">
        <v>1393</v>
      </c>
      <c r="K901" s="40" t="s">
        <v>578</v>
      </c>
      <c r="Z901" s="40" t="s">
        <v>3209</v>
      </c>
      <c r="AA901" s="45">
        <v>900</v>
      </c>
      <c r="AB901" s="46">
        <f>IF(H2ProjectDB689571011[[#This Row],[Dummy_1]]="Electrolysis",
AA901/VLOOKUP(G901,ElectrolysisConvF,3,FALSE),
AC901*10^6/(H2dens*HoursInYear))</f>
        <v>173076.92307692309</v>
      </c>
      <c r="AC901" s="47">
        <f t="shared" si="71"/>
        <v>134.93769230769232</v>
      </c>
      <c r="AE901" s="46">
        <f>AB901</f>
        <v>173076.92307692309</v>
      </c>
      <c r="AF901" s="43" t="s">
        <v>3210</v>
      </c>
      <c r="AG901" s="43">
        <v>53.445944734825801</v>
      </c>
      <c r="AH901" s="43">
        <v>0.153631545886494</v>
      </c>
      <c r="AI901" s="122" t="s">
        <v>7286</v>
      </c>
      <c r="AJ901" s="41">
        <v>0.55000000000000004</v>
      </c>
    </row>
    <row r="902" spans="1:36" ht="34.5" hidden="1" customHeight="1" x14ac:dyDescent="0.25">
      <c r="A902" s="40">
        <v>1375</v>
      </c>
      <c r="B902" s="40" t="s">
        <v>3214</v>
      </c>
      <c r="C902" s="40" t="s">
        <v>1921</v>
      </c>
      <c r="D902" s="44">
        <v>2025</v>
      </c>
      <c r="E902" s="44"/>
      <c r="F902" s="40" t="s">
        <v>1331</v>
      </c>
      <c r="G902" s="40" t="s">
        <v>1255</v>
      </c>
      <c r="H902" s="40" t="s">
        <v>2727</v>
      </c>
      <c r="K902" s="40" t="s">
        <v>578</v>
      </c>
      <c r="Y902" s="72"/>
      <c r="AC902" s="47"/>
      <c r="AE902" s="46">
        <f t="shared" ref="AE902:AE920" si="73">IF(AND(G902&lt;&gt;"NG w CCUS",G902&lt;&gt;"Oil w CCUS",G902&lt;&gt;"Coal w CCUS"),AB902,AD902*10^3/(HoursInYear*IF(G902="NG w CCUS",0.9105,1.9075)))</f>
        <v>0</v>
      </c>
      <c r="AF902" s="43" t="s">
        <v>3216</v>
      </c>
      <c r="AG902" s="43">
        <v>0</v>
      </c>
      <c r="AH902" s="43">
        <v>0</v>
      </c>
      <c r="AI902" s="122" t="s">
        <v>1255</v>
      </c>
      <c r="AJ902" s="41">
        <v>0.9</v>
      </c>
    </row>
    <row r="903" spans="1:36" ht="34.5" hidden="1" customHeight="1" x14ac:dyDescent="0.25">
      <c r="A903" s="40">
        <v>1377</v>
      </c>
      <c r="B903" s="40" t="s">
        <v>3217</v>
      </c>
      <c r="C903" s="40" t="s">
        <v>537</v>
      </c>
      <c r="D903" s="44">
        <v>2027</v>
      </c>
      <c r="E903" s="44"/>
      <c r="F903" s="40" t="s">
        <v>5701</v>
      </c>
      <c r="G903" s="40" t="s">
        <v>1259</v>
      </c>
      <c r="H903" s="40" t="s">
        <v>467</v>
      </c>
      <c r="I903" s="40" t="s">
        <v>1269</v>
      </c>
      <c r="J903" s="40" t="s">
        <v>1393</v>
      </c>
      <c r="K903" s="40" t="s">
        <v>578</v>
      </c>
      <c r="Z903" s="40" t="s">
        <v>4988</v>
      </c>
      <c r="AA903" s="47">
        <f>IF(H2ProjectDB689571011[[#This Row],[Dummy_1]]="Electrolysis",
AB903*VLOOKUP(G903,ElectrolysisConvF,3,FALSE),
"")</f>
        <v>1049.435403752781</v>
      </c>
      <c r="AB903" s="46">
        <f>AC903/(H2dens*HoursInYear/10^6)</f>
        <v>233207.86750061801</v>
      </c>
      <c r="AC903" s="47">
        <f>100/H2ProjectDB689571011[[#This Row],[LOWE_CF]]</f>
        <v>181.81818181818181</v>
      </c>
      <c r="AE903" s="46">
        <f t="shared" si="73"/>
        <v>233207.86750061801</v>
      </c>
      <c r="AF903" s="43" t="s">
        <v>3219</v>
      </c>
      <c r="AG903" s="43">
        <v>24.518496859509199</v>
      </c>
      <c r="AH903" s="43">
        <v>117.64433806252499</v>
      </c>
      <c r="AI903" s="122" t="s">
        <v>7286</v>
      </c>
      <c r="AJ903" s="41">
        <v>0.55000000000000004</v>
      </c>
    </row>
    <row r="904" spans="1:36" ht="34.5" hidden="1" customHeight="1" x14ac:dyDescent="0.25">
      <c r="A904" s="40">
        <v>1378</v>
      </c>
      <c r="B904" s="40" t="s">
        <v>3220</v>
      </c>
      <c r="C904" s="40" t="s">
        <v>535</v>
      </c>
      <c r="D904" s="44"/>
      <c r="E904" s="44"/>
      <c r="F904" s="40" t="s">
        <v>1331</v>
      </c>
      <c r="G904" s="40" t="s">
        <v>1259</v>
      </c>
      <c r="H904" s="40" t="s">
        <v>467</v>
      </c>
      <c r="I904" s="40" t="s">
        <v>1269</v>
      </c>
      <c r="J904" s="40" t="s">
        <v>581</v>
      </c>
      <c r="K904" s="40" t="s">
        <v>578</v>
      </c>
      <c r="Z904" s="40" t="s">
        <v>1672</v>
      </c>
      <c r="AA904" s="45">
        <v>40</v>
      </c>
      <c r="AB904" s="46">
        <f>IF(H2ProjectDB689571011[[#This Row],[Dummy_1]]="Electrolysis",
AA904/VLOOKUP(G904,ElectrolysisConvF,3,FALSE),
AC904*10^6/(H2dens*HoursInYear))</f>
        <v>8888.8888888888887</v>
      </c>
      <c r="AC904" s="47">
        <f>AB904*H2dens*HoursInYear/10^6</f>
        <v>6.930133333333333</v>
      </c>
      <c r="AE904" s="46">
        <f t="shared" si="73"/>
        <v>8888.8888888888887</v>
      </c>
      <c r="AF904" s="43" t="s">
        <v>7696</v>
      </c>
      <c r="AG904" s="43">
        <v>-32.924294796585301</v>
      </c>
      <c r="AH904" s="43">
        <v>151.78704162680199</v>
      </c>
      <c r="AI904" s="122" t="s">
        <v>7286</v>
      </c>
      <c r="AJ904" s="41">
        <v>0.5</v>
      </c>
    </row>
    <row r="905" spans="1:36" ht="34.5" hidden="1" customHeight="1" x14ac:dyDescent="0.25">
      <c r="A905" s="40">
        <v>1379</v>
      </c>
      <c r="B905" s="40" t="s">
        <v>3222</v>
      </c>
      <c r="C905" s="40" t="s">
        <v>536</v>
      </c>
      <c r="D905" s="44">
        <v>2026</v>
      </c>
      <c r="E905" s="44"/>
      <c r="F905" s="40" t="s">
        <v>1331</v>
      </c>
      <c r="G905" s="40" t="s">
        <v>1263</v>
      </c>
      <c r="H905" s="40" t="s">
        <v>990</v>
      </c>
      <c r="K905" s="40" t="s">
        <v>578</v>
      </c>
      <c r="Z905" s="40" t="s">
        <v>3223</v>
      </c>
      <c r="AB905" s="46">
        <f>IF(H2ProjectDB689571011[[#This Row],[Dummy_1]]="Electrolysis",
AA905/VLOOKUP(G905,ElectrolysisConvF,3,FALSE),
AC905*10^6/(H2dens*HoursInYear))</f>
        <v>5711.6104868913862</v>
      </c>
      <c r="AC905" s="47">
        <f>12.2*365/1000</f>
        <v>4.4530000000000003</v>
      </c>
      <c r="AE905" s="46">
        <f t="shared" si="73"/>
        <v>5711.6104868913862</v>
      </c>
      <c r="AF905" s="43" t="s">
        <v>7456</v>
      </c>
      <c r="AG905" s="43">
        <v>39.542867766220198</v>
      </c>
      <c r="AH905" s="43">
        <v>-121.548156012574</v>
      </c>
      <c r="AI905" s="122" t="s">
        <v>1255</v>
      </c>
      <c r="AJ905" s="41">
        <v>0.9</v>
      </c>
    </row>
    <row r="906" spans="1:36" ht="34.5" hidden="1" customHeight="1" x14ac:dyDescent="0.25">
      <c r="A906" s="40">
        <v>1380</v>
      </c>
      <c r="B906" s="40" t="s">
        <v>3225</v>
      </c>
      <c r="C906" s="40" t="s">
        <v>1786</v>
      </c>
      <c r="D906" s="44"/>
      <c r="E906" s="44"/>
      <c r="F906" s="40" t="s">
        <v>2222</v>
      </c>
      <c r="G906" s="40" t="s">
        <v>1255</v>
      </c>
      <c r="H906" s="40" t="s">
        <v>3226</v>
      </c>
      <c r="K906" s="40" t="s">
        <v>578</v>
      </c>
      <c r="AC906" s="47"/>
      <c r="AE906" s="46">
        <f t="shared" si="73"/>
        <v>0</v>
      </c>
      <c r="AF906" s="43" t="s">
        <v>3229</v>
      </c>
      <c r="AG906" s="43">
        <v>49.175515325370398</v>
      </c>
      <c r="AH906" s="43">
        <v>65.847890294322198</v>
      </c>
      <c r="AI906" s="122" t="s">
        <v>1255</v>
      </c>
      <c r="AJ906" s="41">
        <v>0.9</v>
      </c>
    </row>
    <row r="907" spans="1:36" ht="34.5" hidden="1" customHeight="1" x14ac:dyDescent="0.25">
      <c r="A907" s="40">
        <v>1381</v>
      </c>
      <c r="B907" s="40" t="s">
        <v>3228</v>
      </c>
      <c r="C907" s="40" t="s">
        <v>563</v>
      </c>
      <c r="D907" s="44"/>
      <c r="E907" s="44"/>
      <c r="F907" s="40" t="s">
        <v>1331</v>
      </c>
      <c r="G907" s="40" t="s">
        <v>1259</v>
      </c>
      <c r="H907" s="40" t="s">
        <v>467</v>
      </c>
      <c r="I907" s="40" t="s">
        <v>1269</v>
      </c>
      <c r="J907" s="40" t="s">
        <v>581</v>
      </c>
      <c r="K907" s="40" t="s">
        <v>578</v>
      </c>
      <c r="Z907" s="40" t="s">
        <v>2038</v>
      </c>
      <c r="AA907" s="45">
        <v>600</v>
      </c>
      <c r="AB907" s="46">
        <f>IF(H2ProjectDB689571011[[#This Row],[Dummy_1]]="Electrolysis",
AA907/VLOOKUP(G907,ElectrolysisConvF,3,FALSE),
AC907*10^6/(H2dens*HoursInYear))</f>
        <v>133333.33333333334</v>
      </c>
      <c r="AC907" s="47">
        <f t="shared" ref="AC907:AC917" si="74">AB907*H2dens*HoursInYear/10^6</f>
        <v>103.952</v>
      </c>
      <c r="AE907" s="46">
        <f t="shared" si="73"/>
        <v>133333.33333333334</v>
      </c>
      <c r="AF907" s="43" t="s">
        <v>3230</v>
      </c>
      <c r="AG907" s="43">
        <v>-39.913588081365603</v>
      </c>
      <c r="AH907" s="43">
        <v>-64.961096644729295</v>
      </c>
      <c r="AI907" s="122" t="s">
        <v>7286</v>
      </c>
      <c r="AJ907" s="41">
        <v>0.5</v>
      </c>
    </row>
    <row r="908" spans="1:36" ht="34.5" hidden="1" customHeight="1" x14ac:dyDescent="0.25">
      <c r="A908" s="40">
        <v>1382</v>
      </c>
      <c r="B908" s="40" t="s">
        <v>3231</v>
      </c>
      <c r="C908" s="40" t="s">
        <v>563</v>
      </c>
      <c r="D908" s="44"/>
      <c r="E908" s="44"/>
      <c r="F908" s="40" t="s">
        <v>2222</v>
      </c>
      <c r="G908" s="40" t="s">
        <v>1259</v>
      </c>
      <c r="H908" s="40" t="s">
        <v>467</v>
      </c>
      <c r="I908" s="40" t="s">
        <v>1269</v>
      </c>
      <c r="J908" s="40" t="s">
        <v>581</v>
      </c>
      <c r="K908" s="40" t="s">
        <v>578</v>
      </c>
      <c r="Z908" s="40" t="s">
        <v>3233</v>
      </c>
      <c r="AA908" s="45">
        <v>1400</v>
      </c>
      <c r="AB908" s="46">
        <f>IF(H2ProjectDB689571011[[#This Row],[Dummy_1]]="Electrolysis",
AA908/VLOOKUP(G908,ElectrolysisConvF,3,FALSE),
AC908*10^6/(H2dens*HoursInYear))</f>
        <v>311111.11111111112</v>
      </c>
      <c r="AC908" s="47">
        <f t="shared" si="74"/>
        <v>242.55466666666669</v>
      </c>
      <c r="AE908" s="46">
        <f t="shared" si="73"/>
        <v>311111.11111111112</v>
      </c>
      <c r="AF908" s="43" t="s">
        <v>3230</v>
      </c>
      <c r="AG908" s="43">
        <v>-39.913588081365603</v>
      </c>
      <c r="AH908" s="43">
        <v>-64.961096644729295</v>
      </c>
      <c r="AI908" s="122" t="s">
        <v>7286</v>
      </c>
      <c r="AJ908" s="41">
        <v>0.5</v>
      </c>
    </row>
    <row r="909" spans="1:36" ht="34.5" hidden="1" customHeight="1" x14ac:dyDescent="0.25">
      <c r="A909" s="40">
        <v>1383</v>
      </c>
      <c r="B909" s="40" t="s">
        <v>3232</v>
      </c>
      <c r="C909" s="40" t="s">
        <v>563</v>
      </c>
      <c r="D909" s="44"/>
      <c r="E909" s="44"/>
      <c r="F909" s="40" t="s">
        <v>2222</v>
      </c>
      <c r="G909" s="40" t="s">
        <v>1259</v>
      </c>
      <c r="H909" s="40" t="s">
        <v>467</v>
      </c>
      <c r="I909" s="40" t="s">
        <v>1269</v>
      </c>
      <c r="J909" s="40" t="s">
        <v>581</v>
      </c>
      <c r="K909" s="40" t="s">
        <v>578</v>
      </c>
      <c r="Z909" s="40" t="s">
        <v>3234</v>
      </c>
      <c r="AA909" s="45">
        <v>13000</v>
      </c>
      <c r="AB909" s="46">
        <f>IF(H2ProjectDB689571011[[#This Row],[Dummy_1]]="Electrolysis",
AA909/VLOOKUP(G909,ElectrolysisConvF,3,FALSE),
AC909*10^6/(H2dens*HoursInYear))</f>
        <v>2888888.888888889</v>
      </c>
      <c r="AC909" s="47">
        <f t="shared" si="74"/>
        <v>2252.2933333333331</v>
      </c>
      <c r="AE909" s="46">
        <f t="shared" si="73"/>
        <v>2888888.888888889</v>
      </c>
      <c r="AF909" s="43" t="s">
        <v>3230</v>
      </c>
      <c r="AG909" s="43">
        <v>-39.913588081365603</v>
      </c>
      <c r="AH909" s="43">
        <v>-64.961096644729295</v>
      </c>
      <c r="AI909" s="122" t="s">
        <v>7286</v>
      </c>
      <c r="AJ909" s="41">
        <v>0.5</v>
      </c>
    </row>
    <row r="910" spans="1:36" ht="34.5" hidden="1" customHeight="1" x14ac:dyDescent="0.25">
      <c r="A910" s="40">
        <v>1384</v>
      </c>
      <c r="B910" s="40" t="s">
        <v>3236</v>
      </c>
      <c r="C910" s="40" t="s">
        <v>535</v>
      </c>
      <c r="D910" s="44">
        <v>2027</v>
      </c>
      <c r="E910" s="44"/>
      <c r="F910" s="40" t="s">
        <v>1331</v>
      </c>
      <c r="G910" s="40" t="s">
        <v>457</v>
      </c>
      <c r="I910" s="40" t="s">
        <v>1269</v>
      </c>
      <c r="J910" s="40" t="s">
        <v>1391</v>
      </c>
      <c r="K910" s="40" t="s">
        <v>578</v>
      </c>
      <c r="Z910" s="40" t="s">
        <v>4747</v>
      </c>
      <c r="AA910" s="45">
        <f>745*2/4</f>
        <v>372.5</v>
      </c>
      <c r="AB910" s="46">
        <f>IF(H2ProjectDB689571011[[#This Row],[Dummy_1]]="Electrolysis",
AA910/VLOOKUP(G910,ElectrolysisConvF,3,FALSE),
AC910*10^6/(H2dens*HoursInYear))</f>
        <v>80978.260869565216</v>
      </c>
      <c r="AC910" s="47">
        <f t="shared" si="74"/>
        <v>63.13389130434782</v>
      </c>
      <c r="AE910" s="46">
        <f t="shared" si="73"/>
        <v>80978.260869565216</v>
      </c>
      <c r="AF910" s="43" t="s">
        <v>4746</v>
      </c>
      <c r="AG910" s="43">
        <v>-11.586608349227101</v>
      </c>
      <c r="AH910" s="43">
        <v>130.881518242227</v>
      </c>
      <c r="AI910" s="122" t="s">
        <v>7286</v>
      </c>
      <c r="AJ910" s="41">
        <v>0.3</v>
      </c>
    </row>
    <row r="911" spans="1:36" ht="34.5" hidden="1" customHeight="1" x14ac:dyDescent="0.25">
      <c r="A911" s="40">
        <v>1385</v>
      </c>
      <c r="B911" s="40" t="s">
        <v>3237</v>
      </c>
      <c r="C911" s="40" t="s">
        <v>535</v>
      </c>
      <c r="D911" s="44"/>
      <c r="E911" s="44"/>
      <c r="F911" s="40" t="s">
        <v>2222</v>
      </c>
      <c r="G911" s="40" t="s">
        <v>457</v>
      </c>
      <c r="I911" s="40" t="s">
        <v>1269</v>
      </c>
      <c r="J911" s="40" t="s">
        <v>1391</v>
      </c>
      <c r="K911" s="40" t="s">
        <v>578</v>
      </c>
      <c r="Z911" s="40" t="s">
        <v>4817</v>
      </c>
      <c r="AA911" s="45">
        <f>745*2-AA910</f>
        <v>1117.5</v>
      </c>
      <c r="AB911" s="46">
        <f>IF(H2ProjectDB689571011[[#This Row],[Dummy_1]]="Electrolysis",
AA911/VLOOKUP(G911,ElectrolysisConvF,3,FALSE),
AC911*10^6/(H2dens*HoursInYear))</f>
        <v>242934.78260869565</v>
      </c>
      <c r="AC911" s="47">
        <f t="shared" si="74"/>
        <v>189.40167391304348</v>
      </c>
      <c r="AE911" s="46">
        <f t="shared" si="73"/>
        <v>242934.78260869565</v>
      </c>
      <c r="AF911" s="43" t="s">
        <v>6305</v>
      </c>
      <c r="AG911" s="43">
        <v>-11.586608349227101</v>
      </c>
      <c r="AH911" s="43">
        <v>130.881518242227</v>
      </c>
      <c r="AI911" s="122" t="s">
        <v>7286</v>
      </c>
      <c r="AJ911" s="41">
        <v>0.3</v>
      </c>
    </row>
    <row r="912" spans="1:36" ht="34.5" hidden="1" customHeight="1" x14ac:dyDescent="0.25">
      <c r="A912" s="40">
        <v>1386</v>
      </c>
      <c r="B912" s="40" t="s">
        <v>3254</v>
      </c>
      <c r="C912" s="40" t="s">
        <v>1305</v>
      </c>
      <c r="D912" s="44">
        <v>2023</v>
      </c>
      <c r="F912" s="40" t="s">
        <v>1540</v>
      </c>
      <c r="G912" s="40" t="s">
        <v>3239</v>
      </c>
      <c r="I912" s="40" t="s">
        <v>1266</v>
      </c>
      <c r="K912" s="40" t="s">
        <v>578</v>
      </c>
      <c r="Q912" s="40">
        <v>1</v>
      </c>
      <c r="Z912" s="40" t="s">
        <v>1480</v>
      </c>
      <c r="AA912" s="45">
        <v>1</v>
      </c>
      <c r="AB912" s="46">
        <f>IF(H2ProjectDB689571011[[#This Row],[Dummy_1]]="Electrolysis",
AA912/VLOOKUP(G912,ElectrolysisConvF,3,FALSE),
AC912*10^6/(H2dens*HoursInYear))</f>
        <v>222.22222222222223</v>
      </c>
      <c r="AC912" s="47">
        <f t="shared" si="74"/>
        <v>0.17325333333333334</v>
      </c>
      <c r="AE912" s="46">
        <f t="shared" si="73"/>
        <v>222.22222222222223</v>
      </c>
      <c r="AF912" s="43" t="s">
        <v>4816</v>
      </c>
      <c r="AG912" s="43">
        <v>52.316689743342899</v>
      </c>
      <c r="AH912" s="43">
        <v>10.5106643005899</v>
      </c>
      <c r="AI912" s="122" t="s">
        <v>7286</v>
      </c>
      <c r="AJ912" s="41">
        <v>0.56999999999999995</v>
      </c>
    </row>
    <row r="913" spans="1:36" ht="34.5" hidden="1" customHeight="1" x14ac:dyDescent="0.25">
      <c r="A913" s="40">
        <v>1387</v>
      </c>
      <c r="B913" s="40" t="s">
        <v>3243</v>
      </c>
      <c r="C913" s="40" t="s">
        <v>542</v>
      </c>
      <c r="D913" s="44">
        <v>2030</v>
      </c>
      <c r="E913" s="44"/>
      <c r="F913" s="40" t="s">
        <v>2222</v>
      </c>
      <c r="G913" s="40" t="s">
        <v>1259</v>
      </c>
      <c r="H913" s="40" t="s">
        <v>467</v>
      </c>
      <c r="I913" s="40" t="s">
        <v>1257</v>
      </c>
      <c r="K913" s="40" t="s">
        <v>578</v>
      </c>
      <c r="Q913" s="40">
        <v>1</v>
      </c>
      <c r="S913" s="40">
        <v>1</v>
      </c>
      <c r="U913" s="40">
        <v>1</v>
      </c>
      <c r="Z913" s="40" t="s">
        <v>2153</v>
      </c>
      <c r="AA913" s="78">
        <f>7-1.63</f>
        <v>5.37</v>
      </c>
      <c r="AB913" s="46">
        <f>IF(H2ProjectDB689571011[[#This Row],[Dummy_1]]="Electrolysis",
AA913/VLOOKUP(G913,ElectrolysisConvF,3,FALSE),
AC913*10^6/(H2dens*HoursInYear))</f>
        <v>1193.3333333333335</v>
      </c>
      <c r="AC913" s="47">
        <f t="shared" si="74"/>
        <v>0.93037040000000015</v>
      </c>
      <c r="AE913" s="46">
        <f t="shared" si="73"/>
        <v>1193.3333333333335</v>
      </c>
      <c r="AF913" s="43" t="s">
        <v>3242</v>
      </c>
      <c r="AG913" s="43">
        <v>57.179129750426497</v>
      </c>
      <c r="AH913" s="43">
        <v>-2.1016546560573701</v>
      </c>
      <c r="AI913" s="122" t="s">
        <v>7286</v>
      </c>
      <c r="AJ913" s="41">
        <v>0.56999999999999995</v>
      </c>
    </row>
    <row r="914" spans="1:36" ht="34.5" hidden="1" customHeight="1" x14ac:dyDescent="0.25">
      <c r="A914" s="40">
        <v>1388</v>
      </c>
      <c r="B914" s="40" t="s">
        <v>3244</v>
      </c>
      <c r="C914" s="40" t="s">
        <v>1305</v>
      </c>
      <c r="D914" s="44">
        <v>2025</v>
      </c>
      <c r="E914" s="44"/>
      <c r="F914" s="40" t="s">
        <v>5701</v>
      </c>
      <c r="G914" s="40" t="s">
        <v>1259</v>
      </c>
      <c r="H914" s="40" t="s">
        <v>467</v>
      </c>
      <c r="I914" s="40" t="s">
        <v>1257</v>
      </c>
      <c r="K914" s="40" t="s">
        <v>1268</v>
      </c>
      <c r="M914" s="40">
        <v>1</v>
      </c>
      <c r="N914" s="40">
        <v>1</v>
      </c>
      <c r="Z914" s="40" t="s">
        <v>1485</v>
      </c>
      <c r="AA914" s="45">
        <v>100</v>
      </c>
      <c r="AB914" s="46">
        <f>IF(H2ProjectDB689571011[[#This Row],[Dummy_1]]="Electrolysis",
AA914/VLOOKUP(G914,ElectrolysisConvF,3,FALSE),
AC914*10^6/(H2dens*HoursInYear))</f>
        <v>22222.222222222223</v>
      </c>
      <c r="AC914" s="47">
        <f t="shared" si="74"/>
        <v>17.325333333333333</v>
      </c>
      <c r="AE914" s="46">
        <f t="shared" si="73"/>
        <v>22222.222222222223</v>
      </c>
      <c r="AF914" s="43" t="s">
        <v>3288</v>
      </c>
      <c r="AG914" s="43">
        <v>51.071180463622603</v>
      </c>
      <c r="AH914" s="43">
        <v>6.8532302305270996</v>
      </c>
      <c r="AI914" s="122" t="s">
        <v>7286</v>
      </c>
      <c r="AJ914" s="41">
        <v>0.56999999999999995</v>
      </c>
    </row>
    <row r="915" spans="1:36" ht="34.5" hidden="1" customHeight="1" x14ac:dyDescent="0.25">
      <c r="A915" s="40">
        <v>1389</v>
      </c>
      <c r="B915" s="40" t="s">
        <v>3247</v>
      </c>
      <c r="C915" s="40" t="s">
        <v>536</v>
      </c>
      <c r="D915" s="44">
        <v>2024</v>
      </c>
      <c r="E915" s="44"/>
      <c r="F915" s="40" t="s">
        <v>5701</v>
      </c>
      <c r="G915" s="40" t="s">
        <v>455</v>
      </c>
      <c r="I915" s="40" t="s">
        <v>1269</v>
      </c>
      <c r="J915" s="40" t="s">
        <v>1391</v>
      </c>
      <c r="K915" s="40" t="s">
        <v>578</v>
      </c>
      <c r="Q915" s="40">
        <v>1</v>
      </c>
      <c r="Z915" s="40" t="s">
        <v>2605</v>
      </c>
      <c r="AA915" s="45">
        <v>80</v>
      </c>
      <c r="AB915" s="46">
        <f>IF(H2ProjectDB689571011[[#This Row],[Dummy_1]]="Electrolysis",
AA915/VLOOKUP(G915,ElectrolysisConvF,3,FALSE),
AC915*10^6/(H2dens*HoursInYear))</f>
        <v>15384.615384615385</v>
      </c>
      <c r="AC915" s="47">
        <f t="shared" si="74"/>
        <v>11.994461538461538</v>
      </c>
      <c r="AE915" s="46">
        <f t="shared" si="73"/>
        <v>15384.615384615385</v>
      </c>
      <c r="AF915" s="43" t="s">
        <v>6291</v>
      </c>
      <c r="AG915" s="43">
        <v>36.760922684974197</v>
      </c>
      <c r="AH915" s="43">
        <v>-119.772054900825</v>
      </c>
      <c r="AI915" s="122" t="s">
        <v>7286</v>
      </c>
      <c r="AJ915" s="41">
        <v>0.3</v>
      </c>
    </row>
    <row r="916" spans="1:36" ht="34.5" hidden="1" customHeight="1" x14ac:dyDescent="0.25">
      <c r="A916" s="40">
        <v>1390</v>
      </c>
      <c r="B916" s="40" t="s">
        <v>3249</v>
      </c>
      <c r="C916" s="40" t="s">
        <v>1085</v>
      </c>
      <c r="D916" s="44"/>
      <c r="E916" s="44"/>
      <c r="F916" s="40" t="s">
        <v>1331</v>
      </c>
      <c r="G916" s="40" t="s">
        <v>1259</v>
      </c>
      <c r="H916" s="40" t="s">
        <v>467</v>
      </c>
      <c r="I916" s="40" t="s">
        <v>1269</v>
      </c>
      <c r="J916" s="40" t="s">
        <v>1391</v>
      </c>
      <c r="K916" s="40" t="s">
        <v>578</v>
      </c>
      <c r="P916" s="40">
        <v>1</v>
      </c>
      <c r="Z916" s="40" t="s">
        <v>3320</v>
      </c>
      <c r="AA916" s="45">
        <v>400</v>
      </c>
      <c r="AB916" s="46">
        <f>IF(H2ProjectDB689571011[[#This Row],[Dummy_1]]="Electrolysis",
AA916/VLOOKUP(G916,ElectrolysisConvF,3,FALSE),
AC916*10^6/(H2dens*HoursInYear))</f>
        <v>88888.888888888891</v>
      </c>
      <c r="AC916" s="47">
        <f t="shared" si="74"/>
        <v>69.301333333333332</v>
      </c>
      <c r="AE916" s="46">
        <f t="shared" si="73"/>
        <v>88888.888888888891</v>
      </c>
      <c r="AF916" s="43" t="s">
        <v>3623</v>
      </c>
      <c r="AG916" s="43">
        <v>25.743290548070998</v>
      </c>
      <c r="AH916" s="43">
        <v>67.076080852379604</v>
      </c>
      <c r="AI916" s="122" t="s">
        <v>7286</v>
      </c>
      <c r="AJ916" s="41">
        <v>0.3</v>
      </c>
    </row>
    <row r="917" spans="1:36" ht="34.5" hidden="1" customHeight="1" x14ac:dyDescent="0.25">
      <c r="A917" s="40">
        <v>1391</v>
      </c>
      <c r="B917" s="40" t="s">
        <v>3255</v>
      </c>
      <c r="C917" s="40" t="s">
        <v>541</v>
      </c>
      <c r="D917" s="44">
        <v>2026</v>
      </c>
      <c r="E917" s="44"/>
      <c r="F917" s="40" t="s">
        <v>5701</v>
      </c>
      <c r="G917" s="40" t="s">
        <v>457</v>
      </c>
      <c r="I917" s="40" t="s">
        <v>1269</v>
      </c>
      <c r="J917" s="40" t="s">
        <v>1392</v>
      </c>
      <c r="K917" s="40" t="s">
        <v>578</v>
      </c>
      <c r="P917" s="40">
        <v>1</v>
      </c>
      <c r="Z917" s="40" t="s">
        <v>1648</v>
      </c>
      <c r="AA917" s="45">
        <v>4</v>
      </c>
      <c r="AB917" s="46">
        <f>IF(H2ProjectDB689571011[[#This Row],[Dummy_1]]="Electrolysis",
AA917/VLOOKUP(G917,ElectrolysisConvF,3,FALSE),
AC917*10^6/(H2dens*HoursInYear))</f>
        <v>869.56521739130437</v>
      </c>
      <c r="AC917" s="47">
        <f t="shared" si="74"/>
        <v>0.67794782608695647</v>
      </c>
      <c r="AE917" s="46">
        <f t="shared" si="73"/>
        <v>869.56521739130437</v>
      </c>
      <c r="AF917" s="43" t="s">
        <v>3257</v>
      </c>
      <c r="AG917" s="43">
        <v>37.272896803227198</v>
      </c>
      <c r="AH917" s="43">
        <v>15.012385111065001</v>
      </c>
      <c r="AI917" s="122" t="s">
        <v>7286</v>
      </c>
      <c r="AJ917" s="41">
        <v>0.4</v>
      </c>
    </row>
    <row r="918" spans="1:36" ht="34.5" hidden="1" customHeight="1" x14ac:dyDescent="0.25">
      <c r="A918" s="40">
        <v>1393</v>
      </c>
      <c r="B918" s="40" t="s">
        <v>3252</v>
      </c>
      <c r="C918" s="40" t="s">
        <v>542</v>
      </c>
      <c r="D918" s="44">
        <v>2027</v>
      </c>
      <c r="E918" s="44"/>
      <c r="F918" s="40" t="s">
        <v>2222</v>
      </c>
      <c r="G918" s="40" t="s">
        <v>1259</v>
      </c>
      <c r="H918" s="40" t="s">
        <v>467</v>
      </c>
      <c r="I918" s="40" t="s">
        <v>1269</v>
      </c>
      <c r="J918" s="40" t="s">
        <v>1393</v>
      </c>
      <c r="K918" s="40" t="s">
        <v>578</v>
      </c>
      <c r="P918" s="40">
        <v>1</v>
      </c>
      <c r="Z918" s="40" t="s">
        <v>4989</v>
      </c>
      <c r="AA918" s="47">
        <f>IF(H2ProjectDB689571011[[#This Row],[Dummy_1]]="Electrolysis",
AB918*VLOOKUP(G918,ElectrolysisConvF,3,FALSE),
"")</f>
        <v>32.558733401430025</v>
      </c>
      <c r="AB918" s="46">
        <f>AC918/(H2dens*HoursInYear/10^6)</f>
        <v>7235.2740892066731</v>
      </c>
      <c r="AC918" s="47">
        <f>8.5*0.365/H2ProjectDB689571011[[#This Row],[LOWE_CF]]</f>
        <v>5.6409090909090907</v>
      </c>
      <c r="AE918" s="46">
        <f t="shared" si="73"/>
        <v>7235.2740892066731</v>
      </c>
      <c r="AF918" s="43" t="s">
        <v>4644</v>
      </c>
      <c r="AG918" s="43">
        <v>51.377013591917603</v>
      </c>
      <c r="AH918" s="43">
        <v>1.1273054477332201</v>
      </c>
      <c r="AI918" s="122" t="s">
        <v>7286</v>
      </c>
      <c r="AJ918" s="41">
        <v>0.55000000000000004</v>
      </c>
    </row>
    <row r="919" spans="1:36" ht="34.5" hidden="1" customHeight="1" x14ac:dyDescent="0.25">
      <c r="A919" s="40">
        <v>1394</v>
      </c>
      <c r="B919" s="40" t="s">
        <v>3258</v>
      </c>
      <c r="C919" s="40" t="s">
        <v>1761</v>
      </c>
      <c r="D919" s="44">
        <v>2027</v>
      </c>
      <c r="E919" s="44"/>
      <c r="F919" s="40" t="s">
        <v>1331</v>
      </c>
      <c r="G919" s="40" t="s">
        <v>1259</v>
      </c>
      <c r="H919" s="40" t="s">
        <v>467</v>
      </c>
      <c r="I919" s="40" t="s">
        <v>1269</v>
      </c>
      <c r="J919" s="40" t="s">
        <v>1391</v>
      </c>
      <c r="K919" s="40" t="s">
        <v>578</v>
      </c>
      <c r="O919" s="40">
        <v>1</v>
      </c>
      <c r="Z919" s="40" t="s">
        <v>3968</v>
      </c>
      <c r="AA919" s="45">
        <v>800</v>
      </c>
      <c r="AB919" s="46">
        <f>IF(H2ProjectDB689571011[[#This Row],[Dummy_1]]="Electrolysis",
AA919/VLOOKUP(G919,ElectrolysisConvF,3,FALSE),
AC919*10^6/(H2dens*HoursInYear))</f>
        <v>177777.77777777778</v>
      </c>
      <c r="AC919" s="47">
        <f>AB919*H2dens*HoursInYear/10^6</f>
        <v>138.60266666666666</v>
      </c>
      <c r="AE919" s="46">
        <f t="shared" si="73"/>
        <v>177777.77777777778</v>
      </c>
      <c r="AF919" s="43" t="s">
        <v>3259</v>
      </c>
      <c r="AG919" s="43">
        <v>39.669443045407</v>
      </c>
      <c r="AH919" s="43">
        <v>-8.5132125350486998</v>
      </c>
      <c r="AI919" s="122" t="s">
        <v>7286</v>
      </c>
      <c r="AJ919" s="41">
        <v>0.3</v>
      </c>
    </row>
    <row r="920" spans="1:36" ht="34.5" hidden="1" customHeight="1" x14ac:dyDescent="0.25">
      <c r="A920" s="40">
        <v>1395</v>
      </c>
      <c r="B920" s="40" t="s">
        <v>3261</v>
      </c>
      <c r="C920" s="40" t="s">
        <v>530</v>
      </c>
      <c r="D920" s="44">
        <v>2021</v>
      </c>
      <c r="F920" s="40" t="s">
        <v>1339</v>
      </c>
      <c r="G920" s="40" t="s">
        <v>1259</v>
      </c>
      <c r="H920" s="40" t="s">
        <v>467</v>
      </c>
      <c r="I920" s="40" t="s">
        <v>1257</v>
      </c>
      <c r="K920" s="40" t="s">
        <v>578</v>
      </c>
      <c r="Q920" s="40">
        <v>1</v>
      </c>
      <c r="AC920" s="47"/>
      <c r="AE920" s="46">
        <f t="shared" si="73"/>
        <v>0</v>
      </c>
      <c r="AF920" s="43" t="s">
        <v>3263</v>
      </c>
      <c r="AG920" s="43">
        <v>43.1319781817433</v>
      </c>
      <c r="AH920" s="43">
        <v>1.6200478201492601</v>
      </c>
      <c r="AI920" s="122" t="s">
        <v>7286</v>
      </c>
      <c r="AJ920" s="41">
        <v>0.56999999999999995</v>
      </c>
    </row>
    <row r="921" spans="1:36" ht="34.5" hidden="1" customHeight="1" x14ac:dyDescent="0.25">
      <c r="A921" s="40">
        <v>1396</v>
      </c>
      <c r="B921" s="40" t="s">
        <v>6809</v>
      </c>
      <c r="C921" s="40" t="s">
        <v>535</v>
      </c>
      <c r="D921" s="44"/>
      <c r="E921" s="44"/>
      <c r="F921" s="40" t="s">
        <v>1331</v>
      </c>
      <c r="G921" s="40" t="s">
        <v>1259</v>
      </c>
      <c r="H921" s="40" t="s">
        <v>467</v>
      </c>
      <c r="I921" s="40" t="s">
        <v>1269</v>
      </c>
      <c r="J921" s="40" t="s">
        <v>1395</v>
      </c>
      <c r="K921" s="40" t="s">
        <v>1243</v>
      </c>
      <c r="M921" s="40">
        <v>1</v>
      </c>
      <c r="Z921" s="40" t="s">
        <v>3264</v>
      </c>
      <c r="AA921" s="45">
        <v>56</v>
      </c>
      <c r="AB921" s="46">
        <f>IF(H2ProjectDB689571011[[#This Row],[Dummy_1]]="Electrolysis",
AA921/VLOOKUP(G921,ElectrolysisConvF,3,FALSE),
AC921*10^6/(H2dens*HoursInYear))</f>
        <v>12444.444444444445</v>
      </c>
      <c r="AC921" s="47">
        <f>AB921*H2dens*HoursInYear/10^6</f>
        <v>9.7021866666666678</v>
      </c>
      <c r="AE921" s="46">
        <f>AB921</f>
        <v>12444.444444444445</v>
      </c>
      <c r="AF921" s="43" t="s">
        <v>3266</v>
      </c>
      <c r="AG921" s="43">
        <v>-20.624544351330801</v>
      </c>
      <c r="AH921" s="43">
        <v>116.783187518457</v>
      </c>
      <c r="AI921" s="122" t="s">
        <v>7286</v>
      </c>
      <c r="AJ921" s="41">
        <v>0.5</v>
      </c>
    </row>
    <row r="922" spans="1:36" ht="34.5" hidden="1" customHeight="1" x14ac:dyDescent="0.25">
      <c r="A922" s="40">
        <v>1397</v>
      </c>
      <c r="B922" s="40" t="s">
        <v>8456</v>
      </c>
      <c r="C922" s="40" t="s">
        <v>560</v>
      </c>
      <c r="D922" s="44">
        <v>2030</v>
      </c>
      <c r="E922" s="44"/>
      <c r="F922" s="40" t="s">
        <v>1331</v>
      </c>
      <c r="G922" s="40" t="s">
        <v>1259</v>
      </c>
      <c r="H922" s="40" t="s">
        <v>467</v>
      </c>
      <c r="I922" s="40" t="s">
        <v>1269</v>
      </c>
      <c r="J922" s="40" t="s">
        <v>1392</v>
      </c>
      <c r="K922" s="40" t="s">
        <v>1243</v>
      </c>
      <c r="M922" s="40">
        <v>1</v>
      </c>
      <c r="Z922" s="40" t="s">
        <v>8458</v>
      </c>
      <c r="AA922" s="45">
        <v>3600</v>
      </c>
      <c r="AB922" s="46">
        <f>IF(H2ProjectDB689571011[[#This Row],[Dummy_1]]="Electrolysis",
AA922/VLOOKUP(G922,ElectrolysisConvF,3,FALSE),
AC922*10^6/(H2dens*HoursInYear))</f>
        <v>800000.00000000012</v>
      </c>
      <c r="AC922" s="47">
        <f>AB922*H2dens*HoursInYear/10^6</f>
        <v>623.71199999999999</v>
      </c>
      <c r="AE922" s="46">
        <f>IF(AND(G922&lt;&gt;"NG w CCUS",G922&lt;&gt;"Oil w CCUS",G922&lt;&gt;"Coal w CCUS"),AB922,AD922*10^3/(HoursInYear*IF(G922="NG w CCUS",0.9105,1.9075)))</f>
        <v>800000.00000000012</v>
      </c>
      <c r="AF922" s="43" t="s">
        <v>8082</v>
      </c>
      <c r="AG922" s="43">
        <v>-52.276454565312001</v>
      </c>
      <c r="AH922" s="43">
        <v>-69.522907312652293</v>
      </c>
      <c r="AI922" s="122" t="s">
        <v>7286</v>
      </c>
      <c r="AJ922" s="41">
        <v>0.4</v>
      </c>
    </row>
    <row r="923" spans="1:36" ht="34.5" hidden="1" customHeight="1" x14ac:dyDescent="0.25">
      <c r="A923" s="40">
        <v>1398</v>
      </c>
      <c r="B923" s="40" t="s">
        <v>3794</v>
      </c>
      <c r="C923" s="40" t="s">
        <v>535</v>
      </c>
      <c r="D923" s="44">
        <v>2031</v>
      </c>
      <c r="E923" s="44"/>
      <c r="F923" s="40" t="s">
        <v>1331</v>
      </c>
      <c r="G923" s="40" t="s">
        <v>1259</v>
      </c>
      <c r="H923" s="40" t="s">
        <v>467</v>
      </c>
      <c r="I923" s="40" t="s">
        <v>1269</v>
      </c>
      <c r="J923" s="40" t="s">
        <v>1395</v>
      </c>
      <c r="K923" s="40" t="s">
        <v>578</v>
      </c>
      <c r="P923" s="40">
        <v>1</v>
      </c>
      <c r="Z923" s="40" t="s">
        <v>3233</v>
      </c>
      <c r="AA923" s="45">
        <f>2000-AA699</f>
        <v>1360</v>
      </c>
      <c r="AB923" s="46">
        <f>IF(H2ProjectDB689571011[[#This Row],[Dummy_1]]="Electrolysis",
AA923/VLOOKUP(G923,ElectrolysisConvF,3,FALSE),
AC923*10^6/(H2dens*HoursInYear))</f>
        <v>302222.22222222225</v>
      </c>
      <c r="AC923" s="47">
        <f>AB923*H2dens*HoursInYear/10^6</f>
        <v>235.62453333333335</v>
      </c>
      <c r="AE923" s="46">
        <f>IF(AND(G923&lt;&gt;"NG w CCUS",G923&lt;&gt;"Oil w CCUS",G923&lt;&gt;"Coal w CCUS"),AB923,AD923*10^3/(HoursInYear*IF(G923="NG w CCUS",0.9105,1.9075)))</f>
        <v>302222.22222222225</v>
      </c>
      <c r="AF923" s="43" t="s">
        <v>6846</v>
      </c>
      <c r="AG923" s="43">
        <v>-23.840207590899698</v>
      </c>
      <c r="AH923" s="43">
        <v>151.047341874176</v>
      </c>
      <c r="AI923" s="122" t="s">
        <v>7286</v>
      </c>
      <c r="AJ923" s="41">
        <v>0.5</v>
      </c>
    </row>
    <row r="924" spans="1:36" ht="34.5" hidden="1" customHeight="1" x14ac:dyDescent="0.25">
      <c r="A924" s="40">
        <v>1399</v>
      </c>
      <c r="B924" s="40" t="s">
        <v>3270</v>
      </c>
      <c r="C924" s="40" t="s">
        <v>539</v>
      </c>
      <c r="D924" s="44"/>
      <c r="E924" s="44"/>
      <c r="F924" s="40" t="s">
        <v>5701</v>
      </c>
      <c r="G924" s="40" t="s">
        <v>1259</v>
      </c>
      <c r="H924" s="40" t="s">
        <v>467</v>
      </c>
      <c r="I924" s="40" t="s">
        <v>1269</v>
      </c>
      <c r="J924" s="40" t="s">
        <v>1392</v>
      </c>
      <c r="K924" s="40" t="s">
        <v>578</v>
      </c>
      <c r="L924" s="40">
        <v>1</v>
      </c>
      <c r="Z924" s="40" t="s">
        <v>3272</v>
      </c>
      <c r="AA924" s="47">
        <f>IF(H2ProjectDB689571011[[#This Row],[Dummy_1]]="Electrolysis",
AB924*VLOOKUP(G924,ElectrolysisConvF,3,FALSE),
"")</f>
        <v>28.859473603201479</v>
      </c>
      <c r="AB924" s="46">
        <f>AC924/(H2dens*HoursInYear/10^6)</f>
        <v>6413.2163562669957</v>
      </c>
      <c r="AC924" s="47">
        <v>5</v>
      </c>
      <c r="AE924" s="46">
        <f>IF(AND(G924&lt;&gt;"NG w CCUS",G924&lt;&gt;"Oil w CCUS",G924&lt;&gt;"Coal w CCUS"),AB924,AD924*10^3/(HoursInYear*IF(G924="NG w CCUS",0.9105,1.9075)))</f>
        <v>6413.2163562669957</v>
      </c>
      <c r="AF924" s="43" t="s">
        <v>3494</v>
      </c>
      <c r="AG924" s="43">
        <v>27.377475160291599</v>
      </c>
      <c r="AH924" s="43">
        <v>77.685860699912396</v>
      </c>
      <c r="AI924" s="122" t="s">
        <v>7286</v>
      </c>
      <c r="AJ924" s="41">
        <v>0.4</v>
      </c>
    </row>
    <row r="925" spans="1:36" ht="34.5" hidden="1" customHeight="1" x14ac:dyDescent="0.25">
      <c r="A925" s="40">
        <v>1400</v>
      </c>
      <c r="B925" s="40" t="s">
        <v>3271</v>
      </c>
      <c r="C925" s="40" t="s">
        <v>539</v>
      </c>
      <c r="D925" s="44">
        <v>2028</v>
      </c>
      <c r="E925" s="44"/>
      <c r="F925" s="40" t="s">
        <v>1331</v>
      </c>
      <c r="G925" s="40" t="s">
        <v>1259</v>
      </c>
      <c r="H925" s="40" t="s">
        <v>467</v>
      </c>
      <c r="I925" s="40" t="s">
        <v>1269</v>
      </c>
      <c r="J925" s="40" t="s">
        <v>581</v>
      </c>
      <c r="K925" s="40" t="s">
        <v>578</v>
      </c>
      <c r="L925" s="40">
        <v>1</v>
      </c>
      <c r="Z925" s="40" t="s">
        <v>8173</v>
      </c>
      <c r="AA925" s="47">
        <f>IF(H2ProjectDB689571011[[#This Row],[Dummy_1]]="Electrolysis",
AB925*VLOOKUP(G925,ElectrolysisConvF,3,FALSE),
"")</f>
        <v>115.43789441280592</v>
      </c>
      <c r="AB925" s="46">
        <f>AC925/(H2dens*HoursInYear/10^6)</f>
        <v>25652.865425067983</v>
      </c>
      <c r="AC925" s="92">
        <f>(10/H2ProjectDB689571011[[#This Row],[LOWE_CF]])</f>
        <v>20</v>
      </c>
      <c r="AE925" s="46">
        <f>IF(AND(G925&lt;&gt;"NG w CCUS",G925&lt;&gt;"Oil w CCUS",G925&lt;&gt;"Coal w CCUS"),AB925,AD925*10^3/(HoursInYear*IF(G925="NG w CCUS",0.9105,1.9075)))</f>
        <v>25652.865425067983</v>
      </c>
      <c r="AF925" s="43" t="s">
        <v>8468</v>
      </c>
      <c r="AG925" s="43">
        <v>29.4770591757446</v>
      </c>
      <c r="AH925" s="43">
        <v>76.881231526329302</v>
      </c>
      <c r="AI925" s="122" t="s">
        <v>7286</v>
      </c>
      <c r="AJ925" s="41">
        <v>0.5</v>
      </c>
    </row>
    <row r="926" spans="1:36" ht="34.5" hidden="1" customHeight="1" x14ac:dyDescent="0.25">
      <c r="A926" s="40">
        <v>1401</v>
      </c>
      <c r="B926" s="40" t="s">
        <v>5981</v>
      </c>
      <c r="C926" s="40" t="s">
        <v>530</v>
      </c>
      <c r="D926" s="44">
        <v>2025</v>
      </c>
      <c r="E926" s="44"/>
      <c r="F926" s="40" t="s">
        <v>1331</v>
      </c>
      <c r="G926" s="40" t="s">
        <v>457</v>
      </c>
      <c r="I926" s="40" t="s">
        <v>1266</v>
      </c>
      <c r="K926" s="40" t="s">
        <v>578</v>
      </c>
      <c r="Q926" s="40">
        <v>1</v>
      </c>
      <c r="Z926" s="40" t="s">
        <v>1509</v>
      </c>
      <c r="AA926" s="45">
        <v>2</v>
      </c>
      <c r="AB926" s="46">
        <f>IF(H2ProjectDB689571011[[#This Row],[Dummy_1]]="Electrolysis",
AA926/VLOOKUP(G926,ElectrolysisConvF,3,FALSE),
AC926*10^6/(H2dens*HoursInYear))</f>
        <v>434.78260869565219</v>
      </c>
      <c r="AC926" s="47">
        <f>AB926*H2dens*HoursInYear/10^6</f>
        <v>0.33897391304347824</v>
      </c>
      <c r="AE926" s="46">
        <f>AB926</f>
        <v>434.78260869565219</v>
      </c>
      <c r="AF926" s="43" t="s">
        <v>1181</v>
      </c>
      <c r="AG926" s="43">
        <v>47.797445008789602</v>
      </c>
      <c r="AH926" s="43">
        <v>3.5662699155731801</v>
      </c>
      <c r="AI926" s="122" t="s">
        <v>7286</v>
      </c>
      <c r="AJ926" s="41">
        <v>0.56999999999999995</v>
      </c>
    </row>
    <row r="927" spans="1:36" ht="34.5" hidden="1" customHeight="1" x14ac:dyDescent="0.25">
      <c r="A927" s="40">
        <v>1402</v>
      </c>
      <c r="B927" s="40" t="s">
        <v>3300</v>
      </c>
      <c r="C927" s="40" t="s">
        <v>549</v>
      </c>
      <c r="D927" s="44">
        <v>2022</v>
      </c>
      <c r="F927" s="40" t="s">
        <v>1540</v>
      </c>
      <c r="G927" s="40" t="s">
        <v>1259</v>
      </c>
      <c r="H927" s="40" t="s">
        <v>467</v>
      </c>
      <c r="I927" s="40" t="s">
        <v>1257</v>
      </c>
      <c r="K927" s="40" t="s">
        <v>578</v>
      </c>
      <c r="Q927" s="40">
        <v>1</v>
      </c>
      <c r="Z927" s="40" t="s">
        <v>3285</v>
      </c>
      <c r="AA927" s="47">
        <f>IF(H2ProjectDB689571011[[#This Row],[Dummy_1]]="Electrolysis",
AB927*VLOOKUP(G927,ElectrolysisConvF,3,FALSE),
"")</f>
        <v>0.9480337078651685</v>
      </c>
      <c r="AB927" s="46">
        <f>AC927/(H2dens*HoursInYear/10^6)</f>
        <v>210.67415730337081</v>
      </c>
      <c r="AC927" s="47">
        <f>450*365/10^6</f>
        <v>0.16425000000000001</v>
      </c>
      <c r="AE927" s="46">
        <f t="shared" ref="AE927:AE940" si="75">IF(AND(G927&lt;&gt;"NG w CCUS",G927&lt;&gt;"Oil w CCUS",G927&lt;&gt;"Coal w CCUS"),AB927,AD927*10^3/(HoursInYear*IF(G927="NG w CCUS",0.9105,1.9075)))</f>
        <v>210.67415730337081</v>
      </c>
      <c r="AF927" s="43" t="s">
        <v>3283</v>
      </c>
      <c r="AG927" s="43">
        <v>-36.846541723063297</v>
      </c>
      <c r="AH927" s="43">
        <v>174.785640463253</v>
      </c>
      <c r="AI927" s="122" t="s">
        <v>7286</v>
      </c>
      <c r="AJ927" s="41">
        <v>0.56999999999999995</v>
      </c>
    </row>
    <row r="928" spans="1:36" ht="34.5" hidden="1" customHeight="1" x14ac:dyDescent="0.25">
      <c r="A928" s="40">
        <v>1403</v>
      </c>
      <c r="B928" s="40" t="s">
        <v>3281</v>
      </c>
      <c r="C928" s="40" t="s">
        <v>542</v>
      </c>
      <c r="D928" s="44">
        <v>2027</v>
      </c>
      <c r="E928" s="44"/>
      <c r="F928" s="40" t="s">
        <v>5701</v>
      </c>
      <c r="G928" s="40" t="s">
        <v>1259</v>
      </c>
      <c r="H928" s="40" t="s">
        <v>467</v>
      </c>
      <c r="I928" s="40" t="s">
        <v>1269</v>
      </c>
      <c r="J928" s="40" t="s">
        <v>581</v>
      </c>
      <c r="K928" s="40" t="s">
        <v>578</v>
      </c>
      <c r="P928" s="40">
        <v>1</v>
      </c>
      <c r="Q928" s="40">
        <v>1</v>
      </c>
      <c r="Z928" s="40" t="s">
        <v>1344</v>
      </c>
      <c r="AA928" s="45">
        <v>20</v>
      </c>
      <c r="AB928" s="46">
        <f>IF(H2ProjectDB689571011[[#This Row],[Dummy_1]]="Electrolysis",
AA928/VLOOKUP(G928,ElectrolysisConvF,3,FALSE),
AC928*10^6/(H2dens*HoursInYear))</f>
        <v>4444.4444444444443</v>
      </c>
      <c r="AC928" s="47">
        <f>AB928*H2dens*HoursInYear/10^6</f>
        <v>3.4650666666666665</v>
      </c>
      <c r="AE928" s="46">
        <f t="shared" si="75"/>
        <v>4444.4444444444443</v>
      </c>
      <c r="AF928" s="43" t="s">
        <v>3284</v>
      </c>
      <c r="AG928" s="43">
        <v>51.586172549032597</v>
      </c>
      <c r="AH928" s="43">
        <v>-2.8466690903303902</v>
      </c>
      <c r="AI928" s="122" t="s">
        <v>7286</v>
      </c>
      <c r="AJ928" s="41">
        <v>0.5</v>
      </c>
    </row>
    <row r="929" spans="1:36" ht="34.5" hidden="1" customHeight="1" x14ac:dyDescent="0.25">
      <c r="A929" s="40">
        <v>1404</v>
      </c>
      <c r="B929" s="40" t="s">
        <v>3291</v>
      </c>
      <c r="C929" s="40" t="s">
        <v>536</v>
      </c>
      <c r="D929" s="44">
        <v>2025</v>
      </c>
      <c r="E929" s="44"/>
      <c r="F929" s="40" t="s">
        <v>1331</v>
      </c>
      <c r="G929" s="40" t="s">
        <v>1259</v>
      </c>
      <c r="H929" s="40" t="s">
        <v>467</v>
      </c>
      <c r="I929" s="40" t="s">
        <v>1269</v>
      </c>
      <c r="J929" s="40" t="s">
        <v>581</v>
      </c>
      <c r="K929" s="40" t="s">
        <v>578</v>
      </c>
      <c r="Z929" s="40" t="s">
        <v>3292</v>
      </c>
      <c r="AA929" s="47">
        <f>IF(H2ProjectDB689571011[[#This Row],[Dummy_1]]="Electrolysis",
AB929*VLOOKUP(G929,ElectrolysisConvF,3,FALSE),
"")</f>
        <v>634.90841927043243</v>
      </c>
      <c r="AB929" s="46">
        <f>AC929/(H2dens*HoursInYear/10^6)</f>
        <v>141090.75983787389</v>
      </c>
      <c r="AC929" s="47">
        <v>110</v>
      </c>
      <c r="AE929" s="46">
        <f t="shared" si="75"/>
        <v>141090.75983787389</v>
      </c>
      <c r="AF929" s="43" t="s">
        <v>7433</v>
      </c>
      <c r="AG929" s="43">
        <v>33.722905402913199</v>
      </c>
      <c r="AH929" s="43">
        <v>-90.027926933747494</v>
      </c>
      <c r="AI929" s="122" t="s">
        <v>7286</v>
      </c>
      <c r="AJ929" s="41">
        <v>0.5</v>
      </c>
    </row>
    <row r="930" spans="1:36" ht="34.5" hidden="1" customHeight="1" x14ac:dyDescent="0.25">
      <c r="A930" s="40">
        <v>1405</v>
      </c>
      <c r="B930" s="40" t="s">
        <v>3295</v>
      </c>
      <c r="C930" s="40" t="s">
        <v>533</v>
      </c>
      <c r="D930" s="44"/>
      <c r="E930" s="44"/>
      <c r="F930" s="40" t="s">
        <v>2222</v>
      </c>
      <c r="G930" s="40" t="s">
        <v>1259</v>
      </c>
      <c r="H930" s="40" t="s">
        <v>467</v>
      </c>
      <c r="I930" s="40" t="s">
        <v>1269</v>
      </c>
      <c r="J930" s="40" t="s">
        <v>1395</v>
      </c>
      <c r="K930" s="40" t="s">
        <v>578</v>
      </c>
      <c r="AC930" s="47"/>
      <c r="AE930" s="46">
        <f t="shared" si="75"/>
        <v>0</v>
      </c>
      <c r="AF930" s="43" t="s">
        <v>3297</v>
      </c>
      <c r="AG930" s="43">
        <v>49.551464735448597</v>
      </c>
      <c r="AH930" s="43">
        <v>-114.72493306457901</v>
      </c>
      <c r="AI930" s="122" t="s">
        <v>7286</v>
      </c>
      <c r="AJ930" s="41">
        <v>0.5</v>
      </c>
    </row>
    <row r="931" spans="1:36" ht="34.5" hidden="1" customHeight="1" x14ac:dyDescent="0.25">
      <c r="A931" s="40">
        <v>1406</v>
      </c>
      <c r="B931" s="40" t="s">
        <v>8540</v>
      </c>
      <c r="C931" s="40" t="s">
        <v>542</v>
      </c>
      <c r="D931" s="44">
        <v>2026</v>
      </c>
      <c r="E931" s="44"/>
      <c r="F931" s="40" t="s">
        <v>1331</v>
      </c>
      <c r="G931" s="40" t="s">
        <v>455</v>
      </c>
      <c r="I931" s="40" t="s">
        <v>1269</v>
      </c>
      <c r="J931" s="40" t="s">
        <v>581</v>
      </c>
      <c r="K931" s="40" t="s">
        <v>578</v>
      </c>
      <c r="P931" s="40">
        <v>1</v>
      </c>
      <c r="Z931" s="40" t="s">
        <v>8543</v>
      </c>
      <c r="AA931" s="45">
        <f>68.8-AA2363</f>
        <v>51.599999999999994</v>
      </c>
      <c r="AB931" s="46">
        <f>IF(H2ProjectDB689571011[[#This Row],[Dummy_1]]="Electrolysis",
AA931/VLOOKUP(G931,ElectrolysisConvF,3,FALSE),
AC931*10^6/(H2dens*HoursInYear))</f>
        <v>9923.076923076922</v>
      </c>
      <c r="AC931" s="47">
        <f>AB931*H2dens*HoursInYear/10^6</f>
        <v>7.7364276923076902</v>
      </c>
      <c r="AE931" s="46">
        <f t="shared" si="75"/>
        <v>9923.076923076922</v>
      </c>
      <c r="AF931" s="43" t="s">
        <v>4404</v>
      </c>
      <c r="AG931" s="43">
        <v>54.586749866330898</v>
      </c>
      <c r="AH931" s="43">
        <v>-1.2287466464821899</v>
      </c>
      <c r="AI931" s="122" t="s">
        <v>7286</v>
      </c>
      <c r="AJ931" s="41">
        <v>0.5</v>
      </c>
    </row>
    <row r="932" spans="1:36" ht="34.5" hidden="1" customHeight="1" x14ac:dyDescent="0.25">
      <c r="A932" s="40">
        <v>1409</v>
      </c>
      <c r="B932" s="40" t="s">
        <v>7872</v>
      </c>
      <c r="C932" s="40" t="s">
        <v>541</v>
      </c>
      <c r="D932" s="44">
        <v>2027</v>
      </c>
      <c r="E932" s="44"/>
      <c r="F932" s="40" t="s">
        <v>1331</v>
      </c>
      <c r="G932" s="40" t="s">
        <v>1259</v>
      </c>
      <c r="H932" s="40" t="s">
        <v>467</v>
      </c>
      <c r="I932" s="40" t="s">
        <v>1269</v>
      </c>
      <c r="J932" s="40" t="s">
        <v>1391</v>
      </c>
      <c r="K932" s="40" t="s">
        <v>578</v>
      </c>
      <c r="O932" s="40">
        <v>1</v>
      </c>
      <c r="P932" s="40">
        <v>1</v>
      </c>
      <c r="S932" s="40">
        <v>1</v>
      </c>
      <c r="Z932" s="40" t="s">
        <v>1577</v>
      </c>
      <c r="AA932" s="45">
        <v>60</v>
      </c>
      <c r="AB932" s="46">
        <f>IF(H2ProjectDB689571011[[#This Row],[Dummy_1]]="Electrolysis",
AA932/VLOOKUP(G932,ElectrolysisConvF,3,FALSE),
AC932*10^6/(H2dens*HoursInYear))</f>
        <v>13333.333333333334</v>
      </c>
      <c r="AC932" s="47">
        <f>AB932*H2dens*HoursInYear/10^6</f>
        <v>10.395200000000001</v>
      </c>
      <c r="AE932" s="46">
        <f t="shared" si="75"/>
        <v>13333.333333333334</v>
      </c>
      <c r="AF932" s="43" t="s">
        <v>8067</v>
      </c>
      <c r="AG932" s="43">
        <v>40.632650417594498</v>
      </c>
      <c r="AH932" s="43">
        <v>17.941677850172901</v>
      </c>
      <c r="AI932" s="122" t="s">
        <v>7286</v>
      </c>
      <c r="AJ932" s="41">
        <v>0.3</v>
      </c>
    </row>
    <row r="933" spans="1:36" ht="34.5" hidden="1" customHeight="1" x14ac:dyDescent="0.25">
      <c r="A933" s="40">
        <v>1410</v>
      </c>
      <c r="B933" s="40" t="s">
        <v>3301</v>
      </c>
      <c r="C933" s="40" t="s">
        <v>536</v>
      </c>
      <c r="D933" s="44">
        <v>2025</v>
      </c>
      <c r="E933" s="44"/>
      <c r="F933" s="87" t="s">
        <v>5701</v>
      </c>
      <c r="G933" s="87" t="s">
        <v>455</v>
      </c>
      <c r="H933" s="87"/>
      <c r="I933" s="40" t="s">
        <v>1269</v>
      </c>
      <c r="J933" s="40" t="s">
        <v>1394</v>
      </c>
      <c r="K933" s="40" t="s">
        <v>578</v>
      </c>
      <c r="Z933" s="40" t="s">
        <v>3810</v>
      </c>
      <c r="AA933" s="45">
        <v>35</v>
      </c>
      <c r="AB933" s="46">
        <f>IF(H2ProjectDB689571011[[#This Row],[Dummy_1]]="Electrolysis",
AA933/VLOOKUP(G933,ElectrolysisConvF,3,FALSE),
AC933*10^6/(H2dens*HoursInYear))</f>
        <v>6730.7692307692314</v>
      </c>
      <c r="AC933" s="47">
        <f>AB933*H2dens*HoursInYear/10^6</f>
        <v>5.2475769230769229</v>
      </c>
      <c r="AE933" s="46">
        <f t="shared" si="75"/>
        <v>6730.7692307692314</v>
      </c>
      <c r="AF933" s="43" t="s">
        <v>4503</v>
      </c>
      <c r="AG933" s="43">
        <v>43.098486360047403</v>
      </c>
      <c r="AH933" s="43">
        <v>-79.061753535532702</v>
      </c>
      <c r="AI933" s="122" t="s">
        <v>7286</v>
      </c>
      <c r="AJ933" s="41">
        <v>0.8</v>
      </c>
    </row>
    <row r="934" spans="1:36" ht="34.5" hidden="1" customHeight="1" x14ac:dyDescent="0.25">
      <c r="A934" s="40">
        <v>1411</v>
      </c>
      <c r="B934" s="40" t="s">
        <v>3303</v>
      </c>
      <c r="C934" s="40" t="s">
        <v>975</v>
      </c>
      <c r="D934" s="44">
        <v>2023</v>
      </c>
      <c r="F934" s="40" t="s">
        <v>1339</v>
      </c>
      <c r="G934" s="40" t="s">
        <v>1261</v>
      </c>
      <c r="H934" s="40" t="s">
        <v>4057</v>
      </c>
      <c r="K934" s="40" t="s">
        <v>578</v>
      </c>
      <c r="Q934" s="40">
        <v>1</v>
      </c>
      <c r="Z934" s="40" t="s">
        <v>3304</v>
      </c>
      <c r="AB934" s="46">
        <f>IF(H2ProjectDB689571011[[#This Row],[Dummy_1]]="Electrolysis",
AA934/VLOOKUP(G934,ElectrolysisConvF,3,FALSE),
AC934*10^6/(H2dens*HoursInYear))</f>
        <v>2340.8239700374534</v>
      </c>
      <c r="AC934" s="47">
        <f>5*365/1000</f>
        <v>1.825</v>
      </c>
      <c r="AD934" s="46">
        <f>48*365</f>
        <v>17520</v>
      </c>
      <c r="AE934" s="46">
        <f t="shared" si="75"/>
        <v>2196.5952773201539</v>
      </c>
      <c r="AF934" s="43" t="s">
        <v>7625</v>
      </c>
      <c r="AG934" s="43">
        <v>35.188031529192003</v>
      </c>
      <c r="AH934" s="43">
        <v>128.59075369168801</v>
      </c>
      <c r="AI934" s="122" t="s">
        <v>7287</v>
      </c>
      <c r="AJ934" s="41">
        <v>0.9</v>
      </c>
    </row>
    <row r="935" spans="1:36" ht="34.5" hidden="1" customHeight="1" x14ac:dyDescent="0.25">
      <c r="A935" s="40">
        <v>1412</v>
      </c>
      <c r="B935" s="40" t="s">
        <v>3312</v>
      </c>
      <c r="C935" s="40" t="s">
        <v>535</v>
      </c>
      <c r="D935" s="44"/>
      <c r="E935" s="44"/>
      <c r="F935" s="40" t="s">
        <v>2222</v>
      </c>
      <c r="G935" s="40" t="s">
        <v>1263</v>
      </c>
      <c r="H935" s="40" t="s">
        <v>990</v>
      </c>
      <c r="K935" s="40" t="s">
        <v>578</v>
      </c>
      <c r="AC935" s="47"/>
      <c r="AE935" s="46">
        <f t="shared" si="75"/>
        <v>0</v>
      </c>
      <c r="AF935" s="43" t="s">
        <v>3307</v>
      </c>
      <c r="AG935" s="43">
        <v>-32.481554084940797</v>
      </c>
      <c r="AH935" s="43">
        <v>151.050595914068</v>
      </c>
      <c r="AI935" s="122" t="s">
        <v>1255</v>
      </c>
      <c r="AJ935" s="41">
        <v>0.9</v>
      </c>
    </row>
    <row r="936" spans="1:36" ht="34.5" hidden="1" customHeight="1" x14ac:dyDescent="0.25">
      <c r="A936" s="40">
        <v>1413</v>
      </c>
      <c r="B936" s="40" t="s">
        <v>3310</v>
      </c>
      <c r="C936" s="40" t="s">
        <v>1305</v>
      </c>
      <c r="D936" s="44">
        <v>2030</v>
      </c>
      <c r="E936" s="44"/>
      <c r="F936" s="40" t="s">
        <v>1331</v>
      </c>
      <c r="G936" s="40" t="s">
        <v>1259</v>
      </c>
      <c r="H936" s="40" t="s">
        <v>467</v>
      </c>
      <c r="I936" s="40" t="s">
        <v>1269</v>
      </c>
      <c r="J936" s="40" t="s">
        <v>581</v>
      </c>
      <c r="K936" s="40" t="s">
        <v>578</v>
      </c>
      <c r="O936" s="40">
        <v>1</v>
      </c>
      <c r="P936" s="40">
        <v>1</v>
      </c>
      <c r="Z936" s="40" t="s">
        <v>2990</v>
      </c>
      <c r="AA936" s="45">
        <v>340</v>
      </c>
      <c r="AB936" s="46">
        <f>IF(H2ProjectDB689571011[[#This Row],[Dummy_1]]="Electrolysis",
AA936/VLOOKUP(G936,ElectrolysisConvF,3,FALSE),
AC936*10^6/(H2dens*HoursInYear))</f>
        <v>75555.555555555562</v>
      </c>
      <c r="AC936" s="47">
        <f>AB936*H2dens*HoursInYear/10^6</f>
        <v>58.906133333333337</v>
      </c>
      <c r="AE936" s="46">
        <f t="shared" si="75"/>
        <v>75555.555555555562</v>
      </c>
      <c r="AF936" s="43" t="s">
        <v>3616</v>
      </c>
      <c r="AG936" s="43">
        <v>53.5295406441506</v>
      </c>
      <c r="AH936" s="43">
        <v>8.1296932004386608</v>
      </c>
      <c r="AI936" s="122" t="s">
        <v>7286</v>
      </c>
      <c r="AJ936" s="41">
        <v>0.5</v>
      </c>
    </row>
    <row r="937" spans="1:36" ht="34.5" hidden="1" customHeight="1" x14ac:dyDescent="0.25">
      <c r="A937" s="40">
        <v>1414</v>
      </c>
      <c r="B937" s="40" t="s">
        <v>4072</v>
      </c>
      <c r="C937" s="40" t="s">
        <v>559</v>
      </c>
      <c r="D937" s="44">
        <v>2027</v>
      </c>
      <c r="E937" s="44"/>
      <c r="F937" s="40" t="s">
        <v>1331</v>
      </c>
      <c r="G937" s="40" t="s">
        <v>1259</v>
      </c>
      <c r="H937" s="40" t="s">
        <v>467</v>
      </c>
      <c r="I937" s="40" t="s">
        <v>1680</v>
      </c>
      <c r="K937" s="40" t="s">
        <v>1267</v>
      </c>
      <c r="W937" s="40">
        <v>1</v>
      </c>
      <c r="Z937" s="40" t="s">
        <v>8036</v>
      </c>
      <c r="AA937" s="47">
        <f>IF(H2ProjectDB689571011[[#This Row],[Dummy_1]]="Electrolysis",
AB937*VLOOKUP(G937,ElectrolysisConvF,3,FALSE),
"")</f>
        <v>303.91397715700185</v>
      </c>
      <c r="AB937" s="46">
        <f>AC937/(H2dens*HoursInYear/10^6)</f>
        <v>67536.439368222636</v>
      </c>
      <c r="AC937" s="47">
        <f>82*0.045/0.73/0.12/H2ProjectDB689571011[[#This Row],[LOWE_CF]]</f>
        <v>52.654109589041099</v>
      </c>
      <c r="AE937" s="46">
        <f t="shared" si="75"/>
        <v>67536.439368222636</v>
      </c>
      <c r="AF937" s="43" t="s">
        <v>4076</v>
      </c>
      <c r="AG937" s="43">
        <v>60.3692750686876</v>
      </c>
      <c r="AH937" s="43">
        <v>18.160259509859301</v>
      </c>
      <c r="AI937" s="122" t="s">
        <v>7286</v>
      </c>
      <c r="AJ937" s="41">
        <v>0.8</v>
      </c>
    </row>
    <row r="938" spans="1:36" ht="34.5" hidden="1" customHeight="1" x14ac:dyDescent="0.25">
      <c r="A938" s="40">
        <v>1415</v>
      </c>
      <c r="B938" s="40" t="s">
        <v>3317</v>
      </c>
      <c r="C938" s="40" t="s">
        <v>674</v>
      </c>
      <c r="D938" s="44">
        <v>2024</v>
      </c>
      <c r="E938" s="44"/>
      <c r="F938" s="40" t="s">
        <v>1331</v>
      </c>
      <c r="G938" s="40" t="s">
        <v>1259</v>
      </c>
      <c r="H938" s="40" t="s">
        <v>467</v>
      </c>
      <c r="I938" s="40" t="s">
        <v>1269</v>
      </c>
      <c r="J938" s="40" t="s">
        <v>1395</v>
      </c>
      <c r="K938" s="40" t="s">
        <v>1243</v>
      </c>
      <c r="M938" s="40">
        <v>1</v>
      </c>
      <c r="Z938" s="40" t="s">
        <v>2393</v>
      </c>
      <c r="AA938" s="45">
        <v>400</v>
      </c>
      <c r="AB938" s="46">
        <f>IF(H2ProjectDB689571011[[#This Row],[Dummy_1]]="Electrolysis",
AA938/VLOOKUP(G938,ElectrolysisConvF,3,FALSE),
AC938*10^6/(H2dens*HoursInYear))</f>
        <v>88888.888888888891</v>
      </c>
      <c r="AC938" s="47">
        <f>AB938*H2dens*HoursInYear/10^6</f>
        <v>69.301333333333332</v>
      </c>
      <c r="AE938" s="46">
        <f t="shared" si="75"/>
        <v>88888.888888888891</v>
      </c>
      <c r="AF938" s="43" t="s">
        <v>3319</v>
      </c>
      <c r="AG938" s="43">
        <v>17.023371042232199</v>
      </c>
      <c r="AH938" s="43">
        <v>54.124774267585998</v>
      </c>
      <c r="AI938" s="122" t="s">
        <v>7286</v>
      </c>
      <c r="AJ938" s="41">
        <v>0.5</v>
      </c>
    </row>
    <row r="939" spans="1:36" ht="34.5" hidden="1" customHeight="1" x14ac:dyDescent="0.25">
      <c r="A939" s="40">
        <v>1416</v>
      </c>
      <c r="B939" s="40" t="s">
        <v>5072</v>
      </c>
      <c r="C939" s="40" t="s">
        <v>542</v>
      </c>
      <c r="D939" s="44">
        <v>2027</v>
      </c>
      <c r="E939" s="44"/>
      <c r="F939" s="40" t="s">
        <v>1331</v>
      </c>
      <c r="G939" s="40" t="s">
        <v>1261</v>
      </c>
      <c r="H939" s="40" t="s">
        <v>1665</v>
      </c>
      <c r="K939" s="40" t="s">
        <v>578</v>
      </c>
      <c r="Z939" s="40" t="s">
        <v>3321</v>
      </c>
      <c r="AB939" s="46">
        <f>IF(H2ProjectDB689571011[[#This Row],[Dummy_1]]="Electrolysis",
AA939/VLOOKUP(G939,ElectrolysisConvF,3,FALSE),
AC939*10^6/(H2dens*HoursInYear))</f>
        <v>224157.30337078651</v>
      </c>
      <c r="AC939" s="47">
        <f>700*HoursInYear*0.95*3.6/120/1000</f>
        <v>174.762</v>
      </c>
      <c r="AD939" s="46">
        <v>1200000</v>
      </c>
      <c r="AE939" s="46">
        <f t="shared" si="75"/>
        <v>150451.73132329821</v>
      </c>
      <c r="AF939" s="43" t="s">
        <v>4406</v>
      </c>
      <c r="AG939" s="43">
        <v>51.500986663514297</v>
      </c>
      <c r="AH939" s="43">
        <v>0.56299096389185699</v>
      </c>
      <c r="AI939" s="122" t="s">
        <v>7287</v>
      </c>
      <c r="AJ939" s="41">
        <v>0.9</v>
      </c>
    </row>
    <row r="940" spans="1:36" ht="34.5" hidden="1" customHeight="1" x14ac:dyDescent="0.25">
      <c r="A940" s="40">
        <v>1418</v>
      </c>
      <c r="B940" s="40" t="s">
        <v>3384</v>
      </c>
      <c r="C940" s="40" t="s">
        <v>539</v>
      </c>
      <c r="D940" s="44">
        <v>2024</v>
      </c>
      <c r="E940" s="44"/>
      <c r="F940" s="40" t="s">
        <v>5701</v>
      </c>
      <c r="G940" s="40" t="s">
        <v>455</v>
      </c>
      <c r="I940" s="90" t="s">
        <v>5700</v>
      </c>
      <c r="J940" s="40" t="s">
        <v>581</v>
      </c>
      <c r="K940" s="40" t="s">
        <v>1242</v>
      </c>
      <c r="N940" s="40">
        <v>1</v>
      </c>
      <c r="Z940" s="40" t="s">
        <v>1484</v>
      </c>
      <c r="AA940" s="45">
        <v>5</v>
      </c>
      <c r="AB940" s="46">
        <f>IF(H2ProjectDB689571011[[#This Row],[Dummy_1]]="Electrolysis",
AA940/VLOOKUP(G940,ElectrolysisConvF,3,FALSE),
AC940*10^6/(H2dens*HoursInYear))</f>
        <v>961.53846153846155</v>
      </c>
      <c r="AC940" s="47">
        <f>AB940*H2dens*HoursInYear/10^6</f>
        <v>0.74965384615384612</v>
      </c>
      <c r="AE940" s="46">
        <f t="shared" si="75"/>
        <v>961.53846153846155</v>
      </c>
      <c r="AF940" s="43" t="s">
        <v>6321</v>
      </c>
      <c r="AG940" s="43">
        <v>25.1731488138469</v>
      </c>
      <c r="AH940" s="43">
        <v>82.5005445803328</v>
      </c>
      <c r="AI940" s="122" t="s">
        <v>7286</v>
      </c>
      <c r="AJ940" s="41">
        <v>0.7</v>
      </c>
    </row>
    <row r="941" spans="1:36" ht="34.5" hidden="1" customHeight="1" x14ac:dyDescent="0.25">
      <c r="A941" s="40">
        <v>1420</v>
      </c>
      <c r="B941" s="40" t="s">
        <v>3331</v>
      </c>
      <c r="C941" s="40" t="s">
        <v>535</v>
      </c>
      <c r="D941" s="44"/>
      <c r="E941" s="44"/>
      <c r="F941" s="40" t="s">
        <v>1331</v>
      </c>
      <c r="G941" s="40" t="s">
        <v>457</v>
      </c>
      <c r="I941" s="40" t="s">
        <v>1269</v>
      </c>
      <c r="J941" s="40" t="s">
        <v>1395</v>
      </c>
      <c r="K941" s="40" t="s">
        <v>578</v>
      </c>
      <c r="P941" s="40">
        <v>1</v>
      </c>
      <c r="Q941" s="40">
        <v>1</v>
      </c>
      <c r="Z941" s="40" t="s">
        <v>4801</v>
      </c>
      <c r="AA941" s="45">
        <v>45</v>
      </c>
      <c r="AB941" s="46">
        <f>IF(H2ProjectDB689571011[[#This Row],[Dummy_1]]="Electrolysis",
AA941/VLOOKUP(G941,ElectrolysisConvF,3,FALSE),
AC941*10^6/(H2dens*HoursInYear))</f>
        <v>9782.608695652174</v>
      </c>
      <c r="AC941" s="47">
        <f>AB941*H2dens*HoursInYear/10^6</f>
        <v>7.626913043478261</v>
      </c>
      <c r="AE941" s="46">
        <f>AB941</f>
        <v>9782.608695652174</v>
      </c>
      <c r="AF941" s="43" t="s">
        <v>4797</v>
      </c>
      <c r="AG941" s="43">
        <v>-29.245342804981799</v>
      </c>
      <c r="AH941" s="43">
        <v>114.93415911585301</v>
      </c>
      <c r="AI941" s="122" t="s">
        <v>7286</v>
      </c>
      <c r="AJ941" s="41">
        <v>0.5</v>
      </c>
    </row>
    <row r="942" spans="1:36" ht="34.5" hidden="1" customHeight="1" x14ac:dyDescent="0.25">
      <c r="A942" s="40">
        <v>1421</v>
      </c>
      <c r="B942" s="40" t="s">
        <v>3335</v>
      </c>
      <c r="C942" s="40" t="s">
        <v>535</v>
      </c>
      <c r="D942" s="44"/>
      <c r="E942" s="44"/>
      <c r="F942" s="40" t="s">
        <v>2222</v>
      </c>
      <c r="G942" s="40" t="s">
        <v>1259</v>
      </c>
      <c r="H942" s="40" t="s">
        <v>467</v>
      </c>
      <c r="I942" s="40" t="s">
        <v>1269</v>
      </c>
      <c r="J942" s="40" t="s">
        <v>581</v>
      </c>
      <c r="K942" s="40" t="s">
        <v>578</v>
      </c>
      <c r="O942" s="40">
        <v>1</v>
      </c>
      <c r="Z942" s="40" t="s">
        <v>1333</v>
      </c>
      <c r="AA942" s="45">
        <v>10</v>
      </c>
      <c r="AB942" s="46">
        <f>IF(H2ProjectDB689571011[[#This Row],[Dummy_1]]="Electrolysis",
AA942/VLOOKUP(G942,ElectrolysisConvF,3,FALSE),
AC942*10^6/(H2dens*HoursInYear))</f>
        <v>2222.2222222222222</v>
      </c>
      <c r="AC942" s="47">
        <f>AB942*H2dens*HoursInYear/10^6</f>
        <v>1.7325333333333333</v>
      </c>
      <c r="AE942" s="46">
        <f>AB942</f>
        <v>2222.2222222222222</v>
      </c>
      <c r="AF942" s="43" t="s">
        <v>3334</v>
      </c>
      <c r="AG942" s="43">
        <v>-34.474263328882898</v>
      </c>
      <c r="AH942" s="43">
        <v>150.88802186802701</v>
      </c>
      <c r="AI942" s="122" t="s">
        <v>7286</v>
      </c>
      <c r="AJ942" s="41">
        <v>0.5</v>
      </c>
    </row>
    <row r="943" spans="1:36" ht="34.5" hidden="1" customHeight="1" x14ac:dyDescent="0.25">
      <c r="A943" s="40">
        <v>1422</v>
      </c>
      <c r="B943" s="40" t="s">
        <v>3337</v>
      </c>
      <c r="C943" s="40" t="s">
        <v>535</v>
      </c>
      <c r="D943" s="44"/>
      <c r="E943" s="44"/>
      <c r="F943" s="40" t="s">
        <v>1331</v>
      </c>
      <c r="G943" s="40" t="s">
        <v>1259</v>
      </c>
      <c r="H943" s="40" t="s">
        <v>467</v>
      </c>
      <c r="I943" s="40" t="s">
        <v>1269</v>
      </c>
      <c r="J943" s="40" t="s">
        <v>1392</v>
      </c>
      <c r="K943" s="40" t="s">
        <v>578</v>
      </c>
      <c r="M943" s="40">
        <v>1</v>
      </c>
      <c r="S943" s="40">
        <v>1</v>
      </c>
      <c r="AC943" s="47"/>
      <c r="AE943" s="46">
        <f t="shared" ref="AE943:AE953" si="76">IF(AND(G943&lt;&gt;"NG w CCUS",G943&lt;&gt;"Oil w CCUS",G943&lt;&gt;"Coal w CCUS"),AB943,AD943*10^3/(HoursInYear*IF(G943="NG w CCUS",0.9105,1.9075)))</f>
        <v>0</v>
      </c>
      <c r="AF943" s="43" t="s">
        <v>3339</v>
      </c>
      <c r="AG943" s="43">
        <v>-28.830068687080001</v>
      </c>
      <c r="AH943" s="43">
        <v>114.67835148314499</v>
      </c>
      <c r="AI943" s="122" t="s">
        <v>7286</v>
      </c>
      <c r="AJ943" s="41">
        <v>0.4</v>
      </c>
    </row>
    <row r="944" spans="1:36" ht="34.5" hidden="1" customHeight="1" x14ac:dyDescent="0.25">
      <c r="A944" s="40">
        <v>1424</v>
      </c>
      <c r="B944" s="40" t="s">
        <v>4907</v>
      </c>
      <c r="C944" s="40" t="s">
        <v>535</v>
      </c>
      <c r="D944" s="44">
        <v>2027</v>
      </c>
      <c r="E944" s="44"/>
      <c r="F944" s="40" t="s">
        <v>1331</v>
      </c>
      <c r="G944" s="40" t="s">
        <v>1261</v>
      </c>
      <c r="H944" s="40" t="s">
        <v>1665</v>
      </c>
      <c r="K944" s="40" t="s">
        <v>1243</v>
      </c>
      <c r="M944" s="40">
        <v>1</v>
      </c>
      <c r="Z944" s="40" t="s">
        <v>4908</v>
      </c>
      <c r="AB944" s="46">
        <f>AC944/(H2dens*HoursInYear/10^6)</f>
        <v>277161.8113152603</v>
      </c>
      <c r="AC944" s="46">
        <f>1200*3/17/0.98</f>
        <v>216.08643457382954</v>
      </c>
      <c r="AE944" s="46">
        <f t="shared" si="76"/>
        <v>0</v>
      </c>
      <c r="AF944" s="43" t="s">
        <v>4911</v>
      </c>
      <c r="AG944" s="43">
        <v>-29.4737332197233</v>
      </c>
      <c r="AH944" s="43">
        <v>115.080098618816</v>
      </c>
      <c r="AI944" s="122" t="s">
        <v>7287</v>
      </c>
      <c r="AJ944" s="41">
        <v>0.9</v>
      </c>
    </row>
    <row r="945" spans="1:36" ht="34.5" hidden="1" customHeight="1" x14ac:dyDescent="0.25">
      <c r="A945" s="40">
        <v>1425</v>
      </c>
      <c r="B945" s="40" t="s">
        <v>3342</v>
      </c>
      <c r="C945" s="40" t="s">
        <v>535</v>
      </c>
      <c r="D945" s="44"/>
      <c r="E945" s="44"/>
      <c r="F945" s="40" t="s">
        <v>1331</v>
      </c>
      <c r="G945" s="40" t="s">
        <v>1261</v>
      </c>
      <c r="H945" s="40" t="s">
        <v>1665</v>
      </c>
      <c r="K945" s="40" t="s">
        <v>578</v>
      </c>
      <c r="AE945" s="46">
        <f t="shared" si="76"/>
        <v>0</v>
      </c>
      <c r="AF945" s="43" t="s">
        <v>3341</v>
      </c>
      <c r="AG945" s="43">
        <v>-29.4737332197233</v>
      </c>
      <c r="AH945" s="43">
        <v>115.080098618816</v>
      </c>
      <c r="AI945" s="122" t="s">
        <v>7287</v>
      </c>
      <c r="AJ945" s="41">
        <v>0.9</v>
      </c>
    </row>
    <row r="946" spans="1:36" ht="34.5" hidden="1" customHeight="1" x14ac:dyDescent="0.25">
      <c r="A946" s="40">
        <v>1426</v>
      </c>
      <c r="B946" s="40" t="s">
        <v>6818</v>
      </c>
      <c r="C946" s="90" t="s">
        <v>542</v>
      </c>
      <c r="D946" s="44">
        <v>2030</v>
      </c>
      <c r="E946" s="44"/>
      <c r="F946" s="40" t="s">
        <v>1331</v>
      </c>
      <c r="G946" s="40" t="s">
        <v>1261</v>
      </c>
      <c r="H946" s="40" t="s">
        <v>4057</v>
      </c>
      <c r="I946" s="90"/>
      <c r="J946" s="90"/>
      <c r="K946" s="90" t="s">
        <v>578</v>
      </c>
      <c r="L946" s="90">
        <v>1</v>
      </c>
      <c r="M946" s="90"/>
      <c r="N946" s="90"/>
      <c r="O946" s="90"/>
      <c r="P946" s="90"/>
      <c r="Q946" s="90"/>
      <c r="R946" s="90"/>
      <c r="S946" s="90"/>
      <c r="T946" s="90"/>
      <c r="U946" s="90"/>
      <c r="V946" s="90"/>
      <c r="W946" s="90"/>
      <c r="X946" s="90"/>
      <c r="Y946" s="90"/>
      <c r="Z946" s="40" t="s">
        <v>3435</v>
      </c>
      <c r="AA946" s="91"/>
      <c r="AB946" s="46">
        <f>IF(H2ProjectDB689571011[[#This Row],[Dummy_1]]="Electrolysis",
AA946/VLOOKUP(G946,ElectrolysisConvF,3,FALSE),
AC946*10^6/(H2dens*HoursInYear))</f>
        <v>243702.22153814582</v>
      </c>
      <c r="AC946" s="92">
        <v>190</v>
      </c>
      <c r="AD946" s="46">
        <v>1000000</v>
      </c>
      <c r="AE946" s="92">
        <f t="shared" si="76"/>
        <v>125376.44276941518</v>
      </c>
      <c r="AF946" s="93" t="s">
        <v>3437</v>
      </c>
      <c r="AG946" s="43">
        <v>56.013513258258101</v>
      </c>
      <c r="AH946" s="43">
        <v>-3.6965291927935402</v>
      </c>
      <c r="AI946" s="122" t="s">
        <v>7287</v>
      </c>
      <c r="AJ946" s="41">
        <v>0.9</v>
      </c>
    </row>
    <row r="947" spans="1:36" ht="34.5" hidden="1" customHeight="1" x14ac:dyDescent="0.25">
      <c r="A947" s="40">
        <v>1427</v>
      </c>
      <c r="B947" s="40" t="s">
        <v>3345</v>
      </c>
      <c r="C947" s="90" t="s">
        <v>546</v>
      </c>
      <c r="D947" s="44">
        <v>2026</v>
      </c>
      <c r="E947" s="44"/>
      <c r="F947" s="40" t="s">
        <v>5701</v>
      </c>
      <c r="G947" s="40" t="s">
        <v>1261</v>
      </c>
      <c r="H947" s="90" t="s">
        <v>1665</v>
      </c>
      <c r="I947" s="90"/>
      <c r="J947" s="90"/>
      <c r="K947" s="90" t="s">
        <v>578</v>
      </c>
      <c r="L947" s="90">
        <v>1</v>
      </c>
      <c r="M947" s="90"/>
      <c r="N947" s="90"/>
      <c r="O947" s="90"/>
      <c r="P947" s="90"/>
      <c r="Q947" s="90"/>
      <c r="R947" s="90"/>
      <c r="S947" s="90"/>
      <c r="T947" s="90"/>
      <c r="U947" s="90"/>
      <c r="V947" s="90"/>
      <c r="W947" s="90"/>
      <c r="X947" s="90"/>
      <c r="Y947" s="90"/>
      <c r="Z947" s="40" t="s">
        <v>7571</v>
      </c>
      <c r="AA947" s="91"/>
      <c r="AB947" s="92">
        <v>130000</v>
      </c>
      <c r="AC947" s="92">
        <f>H2ProjectDB689571011[[#This Row],[Capacity_Nm³ H₂/h]]*(H2dens*HoursInYear/10^6)</f>
        <v>101.3532</v>
      </c>
      <c r="AD947" s="92">
        <v>500000</v>
      </c>
      <c r="AE947" s="92">
        <f t="shared" si="76"/>
        <v>62688.221384707591</v>
      </c>
      <c r="AF947" s="43" t="s">
        <v>6605</v>
      </c>
      <c r="AG947" s="43">
        <v>51.885755522420901</v>
      </c>
      <c r="AH947" s="43">
        <v>4.2563427693094704</v>
      </c>
      <c r="AI947" s="122" t="s">
        <v>7287</v>
      </c>
      <c r="AJ947" s="41">
        <v>0.9</v>
      </c>
    </row>
    <row r="948" spans="1:36" ht="34.5" hidden="1" customHeight="1" x14ac:dyDescent="0.25">
      <c r="A948" s="40">
        <v>1428</v>
      </c>
      <c r="B948" s="40" t="s">
        <v>3346</v>
      </c>
      <c r="C948" s="90" t="s">
        <v>546</v>
      </c>
      <c r="D948" s="44">
        <v>2026</v>
      </c>
      <c r="E948" s="44"/>
      <c r="F948" s="40" t="s">
        <v>5701</v>
      </c>
      <c r="G948" s="40" t="s">
        <v>1261</v>
      </c>
      <c r="H948" s="40" t="s">
        <v>4057</v>
      </c>
      <c r="I948" s="90"/>
      <c r="J948" s="90"/>
      <c r="K948" s="90" t="s">
        <v>578</v>
      </c>
      <c r="L948" s="90">
        <v>1</v>
      </c>
      <c r="M948" s="90"/>
      <c r="N948" s="90"/>
      <c r="O948" s="90"/>
      <c r="P948" s="90"/>
      <c r="Q948" s="90"/>
      <c r="R948" s="90"/>
      <c r="S948" s="90"/>
      <c r="T948" s="90"/>
      <c r="U948" s="90"/>
      <c r="V948" s="90"/>
      <c r="W948" s="90"/>
      <c r="X948" s="90"/>
      <c r="Y948" s="90"/>
      <c r="Z948" s="40" t="s">
        <v>7634</v>
      </c>
      <c r="AA948" s="91" t="str">
        <f>IF(OR(G948="ALK",G948="PEM",G948="SOEC",G948="Other Electrolysis"),
AB948*VLOOKUP(G948,ElectrolysisConvF,3,FALSE),
"")</f>
        <v/>
      </c>
      <c r="AC948" s="95">
        <f>300*365/1000</f>
        <v>109.5</v>
      </c>
      <c r="AD948" s="92">
        <v>1000000</v>
      </c>
      <c r="AE948" s="92">
        <f t="shared" si="76"/>
        <v>125376.44276941518</v>
      </c>
      <c r="AF948" s="43" t="s">
        <v>6831</v>
      </c>
      <c r="AG948" s="43">
        <v>51.869718680589699</v>
      </c>
      <c r="AH948" s="43">
        <v>4.2862648709461704</v>
      </c>
      <c r="AI948" s="122" t="s">
        <v>7287</v>
      </c>
      <c r="AJ948" s="41">
        <v>0.9</v>
      </c>
    </row>
    <row r="949" spans="1:36" ht="34.5" hidden="1" customHeight="1" x14ac:dyDescent="0.25">
      <c r="A949" s="40">
        <v>1431</v>
      </c>
      <c r="B949" s="90" t="s">
        <v>3410</v>
      </c>
      <c r="C949" s="90" t="s">
        <v>866</v>
      </c>
      <c r="D949" s="90"/>
      <c r="E949" s="90"/>
      <c r="F949" s="40" t="s">
        <v>1331</v>
      </c>
      <c r="G949" s="40" t="s">
        <v>1259</v>
      </c>
      <c r="H949" s="40" t="s">
        <v>467</v>
      </c>
      <c r="I949" s="40" t="s">
        <v>1269</v>
      </c>
      <c r="J949" s="40" t="s">
        <v>1395</v>
      </c>
      <c r="K949" s="90" t="s">
        <v>578</v>
      </c>
      <c r="L949" s="90"/>
      <c r="M949" s="90"/>
      <c r="N949" s="90"/>
      <c r="O949" s="90"/>
      <c r="P949" s="90"/>
      <c r="Q949" s="90"/>
      <c r="R949" s="90"/>
      <c r="S949" s="90"/>
      <c r="T949" s="90"/>
      <c r="U949" s="90"/>
      <c r="V949" s="90"/>
      <c r="W949" s="90"/>
      <c r="X949" s="90"/>
      <c r="Y949" s="90"/>
      <c r="Z949" s="40" t="s">
        <v>8150</v>
      </c>
      <c r="AA949" s="47">
        <f>IF(H2ProjectDB689571011[[#This Row],[Dummy_1]]="Electrolysis",
AB949*VLOOKUP(G949,ElectrolysisConvF,3,FALSE),
"")</f>
        <v>2308.7578882561183</v>
      </c>
      <c r="AB949" s="46">
        <f>AC949/(H2dens*HoursInYear/10^6)</f>
        <v>513057.30850135966</v>
      </c>
      <c r="AC949" s="92">
        <f>400</f>
        <v>400</v>
      </c>
      <c r="AD949" s="92"/>
      <c r="AE949" s="92">
        <f t="shared" si="76"/>
        <v>513057.30850135966</v>
      </c>
      <c r="AF949" s="43" t="s">
        <v>8152</v>
      </c>
      <c r="AG949" s="43">
        <v>-30.051766349829499</v>
      </c>
      <c r="AH949" s="43">
        <v>18.758338032061499</v>
      </c>
      <c r="AI949" s="122" t="s">
        <v>7286</v>
      </c>
      <c r="AJ949" s="41">
        <v>0.5</v>
      </c>
    </row>
    <row r="950" spans="1:36" ht="35.1" hidden="1" customHeight="1" x14ac:dyDescent="0.25">
      <c r="A950" s="40">
        <v>1432</v>
      </c>
      <c r="B950" s="90" t="s">
        <v>3349</v>
      </c>
      <c r="C950" s="90" t="s">
        <v>674</v>
      </c>
      <c r="D950" s="90">
        <v>2030</v>
      </c>
      <c r="E950" s="90"/>
      <c r="F950" s="40" t="s">
        <v>2222</v>
      </c>
      <c r="G950" s="40" t="s">
        <v>1259</v>
      </c>
      <c r="H950" s="40" t="s">
        <v>467</v>
      </c>
      <c r="I950" s="40" t="s">
        <v>1269</v>
      </c>
      <c r="J950" s="40" t="s">
        <v>581</v>
      </c>
      <c r="K950" s="90" t="s">
        <v>578</v>
      </c>
      <c r="L950" s="90"/>
      <c r="M950" s="90"/>
      <c r="N950" s="90"/>
      <c r="O950" s="90"/>
      <c r="P950" s="90"/>
      <c r="Q950" s="90"/>
      <c r="R950" s="90"/>
      <c r="S950" s="90"/>
      <c r="T950" s="90"/>
      <c r="U950" s="90"/>
      <c r="V950" s="90"/>
      <c r="W950" s="90"/>
      <c r="X950" s="90"/>
      <c r="Y950" s="90"/>
      <c r="Z950" s="90" t="s">
        <v>4890</v>
      </c>
      <c r="AA950" s="47">
        <f>IF(H2ProjectDB689571011[[#This Row],[Dummy_1]]="Electrolysis",
AB950*VLOOKUP(G950,ElectrolysisConvF,3,FALSE),
"")</f>
        <v>2078.7135848644521</v>
      </c>
      <c r="AB950" s="46">
        <f>AC950/(H2dens*HoursInYear/10^6)</f>
        <v>461936.35219210049</v>
      </c>
      <c r="AC950" s="92">
        <f>1000*3/17/0.98/H2ProjectDB689571011[[#This Row],[LOWE_CF]]</f>
        <v>360.14405762304921</v>
      </c>
      <c r="AD950" s="92"/>
      <c r="AE950" s="92">
        <f t="shared" si="76"/>
        <v>461936.35219210049</v>
      </c>
      <c r="AF950" s="93" t="s">
        <v>4372</v>
      </c>
      <c r="AG950" s="43">
        <v>18.632508497259</v>
      </c>
      <c r="AH950" s="43">
        <v>53.955881271768099</v>
      </c>
      <c r="AI950" s="122" t="s">
        <v>7286</v>
      </c>
      <c r="AJ950" s="41">
        <v>0.5</v>
      </c>
    </row>
    <row r="951" spans="1:36" ht="35.1" hidden="1" customHeight="1" x14ac:dyDescent="0.25">
      <c r="A951" s="40">
        <v>1433</v>
      </c>
      <c r="B951" s="90" t="s">
        <v>3350</v>
      </c>
      <c r="C951" s="90" t="s">
        <v>542</v>
      </c>
      <c r="D951" s="44">
        <v>2030</v>
      </c>
      <c r="E951" s="44"/>
      <c r="F951" s="40" t="s">
        <v>1331</v>
      </c>
      <c r="G951" s="40" t="s">
        <v>1261</v>
      </c>
      <c r="H951" s="40" t="s">
        <v>5709</v>
      </c>
      <c r="K951" s="90" t="s">
        <v>578</v>
      </c>
      <c r="L951" s="90">
        <v>1</v>
      </c>
      <c r="M951" s="90"/>
      <c r="N951" s="90"/>
      <c r="O951" s="90"/>
      <c r="P951" s="90"/>
      <c r="Q951" s="90"/>
      <c r="R951" s="90"/>
      <c r="S951" s="90">
        <v>1</v>
      </c>
      <c r="T951" s="90"/>
      <c r="U951" s="90"/>
      <c r="V951" s="90"/>
      <c r="W951" s="90"/>
      <c r="X951" s="90"/>
      <c r="Y951" s="90"/>
      <c r="Z951" s="90" t="s">
        <v>3351</v>
      </c>
      <c r="AA951" s="91"/>
      <c r="AB951" s="46">
        <f>AC951/365/24/0.089*10^6</f>
        <v>165460.98199168849</v>
      </c>
      <c r="AC951" s="92">
        <f>4.3*3.6/0.12</f>
        <v>129</v>
      </c>
      <c r="AD951" s="92">
        <v>2000000</v>
      </c>
      <c r="AE951" s="92">
        <f t="shared" si="76"/>
        <v>250752.88553883036</v>
      </c>
      <c r="AF951" s="93" t="s">
        <v>4408</v>
      </c>
      <c r="AG951" s="43">
        <v>50.895615297379898</v>
      </c>
      <c r="AH951" s="43">
        <v>-1.3592919268735999</v>
      </c>
      <c r="AI951" s="122" t="s">
        <v>7287</v>
      </c>
      <c r="AJ951" s="41">
        <v>0.9</v>
      </c>
    </row>
    <row r="952" spans="1:36" ht="35.1" hidden="1" customHeight="1" x14ac:dyDescent="0.25">
      <c r="A952" s="40">
        <v>1434</v>
      </c>
      <c r="B952" s="90" t="s">
        <v>3352</v>
      </c>
      <c r="C952" s="90" t="s">
        <v>535</v>
      </c>
      <c r="D952" s="44">
        <v>2026</v>
      </c>
      <c r="E952" s="44"/>
      <c r="F952" s="40" t="s">
        <v>1331</v>
      </c>
      <c r="G952" s="40" t="s">
        <v>1259</v>
      </c>
      <c r="H952" s="40" t="s">
        <v>467</v>
      </c>
      <c r="I952" s="40" t="s">
        <v>1269</v>
      </c>
      <c r="J952" s="40" t="s">
        <v>581</v>
      </c>
      <c r="K952" s="90" t="s">
        <v>578</v>
      </c>
      <c r="L952" s="90"/>
      <c r="M952" s="90">
        <v>1</v>
      </c>
      <c r="N952" s="90"/>
      <c r="O952" s="90"/>
      <c r="P952" s="90">
        <v>1</v>
      </c>
      <c r="Q952" s="90"/>
      <c r="R952" s="90"/>
      <c r="S952" s="90"/>
      <c r="T952" s="90"/>
      <c r="U952" s="90"/>
      <c r="V952" s="90"/>
      <c r="W952" s="90"/>
      <c r="X952" s="90"/>
      <c r="Y952" s="90"/>
      <c r="Z952" s="90" t="s">
        <v>3044</v>
      </c>
      <c r="AA952" s="91">
        <v>85</v>
      </c>
      <c r="AB952" s="46">
        <f>IF(H2ProjectDB689571011[[#This Row],[Dummy_1]]="Electrolysis",
AA952/VLOOKUP(G952,ElectrolysisConvF,3,FALSE),
AC952*10^6/(H2dens*HoursInYear))</f>
        <v>18888.888888888891</v>
      </c>
      <c r="AC952" s="47">
        <f>AB952*H2dens*HoursInYear/10^6</f>
        <v>14.726533333333334</v>
      </c>
      <c r="AD952" s="92"/>
      <c r="AE952" s="92">
        <f t="shared" si="76"/>
        <v>18888.888888888891</v>
      </c>
      <c r="AF952" s="93" t="s">
        <v>3449</v>
      </c>
      <c r="AG952" s="43">
        <v>-33.169399646606699</v>
      </c>
      <c r="AH952" s="43">
        <v>138.01187707556301</v>
      </c>
      <c r="AI952" s="122" t="s">
        <v>7286</v>
      </c>
      <c r="AJ952" s="41">
        <v>0.5</v>
      </c>
    </row>
    <row r="953" spans="1:36" ht="35.1" hidden="1" customHeight="1" x14ac:dyDescent="0.25">
      <c r="A953" s="40">
        <v>1435</v>
      </c>
      <c r="B953" s="90" t="s">
        <v>3353</v>
      </c>
      <c r="C953" s="90" t="s">
        <v>535</v>
      </c>
      <c r="D953" s="90"/>
      <c r="E953" s="90"/>
      <c r="F953" s="40" t="s">
        <v>1331</v>
      </c>
      <c r="G953" s="40" t="s">
        <v>1259</v>
      </c>
      <c r="H953" s="40" t="s">
        <v>467</v>
      </c>
      <c r="I953" s="40" t="s">
        <v>1269</v>
      </c>
      <c r="J953" s="40" t="s">
        <v>581</v>
      </c>
      <c r="K953" s="90" t="s">
        <v>578</v>
      </c>
      <c r="L953" s="90"/>
      <c r="M953" s="90">
        <v>1</v>
      </c>
      <c r="N953" s="90"/>
      <c r="O953" s="90"/>
      <c r="P953" s="90">
        <v>1</v>
      </c>
      <c r="Q953" s="90"/>
      <c r="R953" s="90"/>
      <c r="S953" s="90"/>
      <c r="T953" s="90"/>
      <c r="U953" s="90"/>
      <c r="V953" s="90"/>
      <c r="W953" s="90"/>
      <c r="X953" s="90"/>
      <c r="Y953" s="90"/>
      <c r="Z953" s="90" t="s">
        <v>3355</v>
      </c>
      <c r="AA953" s="91">
        <f>440-85</f>
        <v>355</v>
      </c>
      <c r="AB953" s="46">
        <f>IF(H2ProjectDB689571011[[#This Row],[Dummy_1]]="Electrolysis",
AA953/VLOOKUP(G953,ElectrolysisConvF,3,FALSE),
AC953*10^6/(H2dens*HoursInYear))</f>
        <v>78888.888888888891</v>
      </c>
      <c r="AC953" s="47">
        <f>AB953*H2dens*HoursInYear/10^6</f>
        <v>61.504933333333334</v>
      </c>
      <c r="AD953" s="92"/>
      <c r="AE953" s="92">
        <f t="shared" si="76"/>
        <v>78888.888888888891</v>
      </c>
      <c r="AF953" s="93" t="s">
        <v>3449</v>
      </c>
      <c r="AG953" s="43">
        <v>-33.169399646606699</v>
      </c>
      <c r="AH953" s="43">
        <v>138.01187707556301</v>
      </c>
      <c r="AI953" s="122" t="s">
        <v>7286</v>
      </c>
      <c r="AJ953" s="41">
        <v>0.5</v>
      </c>
    </row>
    <row r="954" spans="1:36" ht="35.1" hidden="1" customHeight="1" x14ac:dyDescent="0.25">
      <c r="A954" s="40">
        <v>1436</v>
      </c>
      <c r="B954" s="40" t="s">
        <v>8839</v>
      </c>
      <c r="C954" s="40" t="s">
        <v>1305</v>
      </c>
      <c r="D954" s="44">
        <v>2027</v>
      </c>
      <c r="E954" s="44"/>
      <c r="F954" s="40" t="s">
        <v>5701</v>
      </c>
      <c r="G954" s="40" t="s">
        <v>457</v>
      </c>
      <c r="I954" s="40" t="s">
        <v>1269</v>
      </c>
      <c r="J954" s="40" t="s">
        <v>1393</v>
      </c>
      <c r="K954" s="40" t="s">
        <v>578</v>
      </c>
      <c r="L954" s="40">
        <v>1</v>
      </c>
      <c r="O954" s="40">
        <v>1</v>
      </c>
      <c r="P954" s="40">
        <v>1</v>
      </c>
      <c r="Q954" s="40">
        <v>1</v>
      </c>
      <c r="R954" s="40">
        <v>1</v>
      </c>
      <c r="S954" s="40">
        <v>1</v>
      </c>
      <c r="Z954" s="40" t="s">
        <v>2773</v>
      </c>
      <c r="AA954" s="45">
        <f>300-200</f>
        <v>100</v>
      </c>
      <c r="AB954" s="46">
        <f>IF(H2ProjectDB689571011[[#This Row],[Dummy_1]]="Electrolysis",
AA954/VLOOKUP(G954,ElectrolysisConvF,3,FALSE),
AC954*10^6/(H2dens*HoursInYear))</f>
        <v>21739.130434782608</v>
      </c>
      <c r="AC954" s="47">
        <f>AB954*H2dens*HoursInYear/10^6</f>
        <v>16.94869565217391</v>
      </c>
      <c r="AE954" s="46">
        <f>AB954</f>
        <v>21739.130434782608</v>
      </c>
      <c r="AF954" s="43" t="s">
        <v>3430</v>
      </c>
      <c r="AG954" s="43">
        <v>52.482556513702299</v>
      </c>
      <c r="AH954" s="43">
        <v>7.2996678118249898</v>
      </c>
      <c r="AI954" s="122" t="s">
        <v>7286</v>
      </c>
      <c r="AJ954" s="41">
        <v>0.55000000000000004</v>
      </c>
    </row>
    <row r="955" spans="1:36" ht="35.1" hidden="1" customHeight="1" x14ac:dyDescent="0.25">
      <c r="A955" s="40">
        <v>1437</v>
      </c>
      <c r="B955" s="40" t="s">
        <v>5801</v>
      </c>
      <c r="C955" s="40" t="s">
        <v>1305</v>
      </c>
      <c r="D955" s="44">
        <v>2035</v>
      </c>
      <c r="E955" s="44"/>
      <c r="F955" s="40" t="s">
        <v>1331</v>
      </c>
      <c r="G955" s="40" t="s">
        <v>1259</v>
      </c>
      <c r="H955" s="40" t="s">
        <v>467</v>
      </c>
      <c r="I955" s="40" t="s">
        <v>1269</v>
      </c>
      <c r="J955" s="40" t="s">
        <v>1393</v>
      </c>
      <c r="K955" s="40" t="s">
        <v>578</v>
      </c>
      <c r="L955" s="40">
        <v>1</v>
      </c>
      <c r="O955" s="40">
        <v>1</v>
      </c>
      <c r="Q955" s="40">
        <v>1</v>
      </c>
      <c r="R955" s="40">
        <v>1</v>
      </c>
      <c r="Z955" s="40" t="s">
        <v>8142</v>
      </c>
      <c r="AA955" s="45">
        <v>1500</v>
      </c>
      <c r="AB955" s="46">
        <f>IF(H2ProjectDB689571011[[#This Row],[Dummy_1]]="Electrolysis",
AA955/VLOOKUP(G955,ElectrolysisConvF,3,FALSE),
AC955*10^6/(H2dens*HoursInYear))</f>
        <v>333333.33333333337</v>
      </c>
      <c r="AC955" s="47">
        <f>AB955*H2dens*HoursInYear/10^6</f>
        <v>259.88</v>
      </c>
      <c r="AE955" s="46">
        <f>AB955</f>
        <v>333333.33333333337</v>
      </c>
      <c r="AF955" s="43" t="s">
        <v>3357</v>
      </c>
      <c r="AG955" s="43">
        <v>52.482556513702299</v>
      </c>
      <c r="AH955" s="43">
        <v>7.2996678118249898</v>
      </c>
      <c r="AI955" s="122" t="s">
        <v>7286</v>
      </c>
      <c r="AJ955" s="41">
        <v>0.55000000000000004</v>
      </c>
    </row>
    <row r="956" spans="1:36" ht="35.1" hidden="1" customHeight="1" x14ac:dyDescent="0.25">
      <c r="A956" s="40">
        <v>1439</v>
      </c>
      <c r="B956" s="90" t="s">
        <v>3361</v>
      </c>
      <c r="C956" s="40" t="s">
        <v>536</v>
      </c>
      <c r="D956" s="44">
        <v>2026</v>
      </c>
      <c r="E956" s="44"/>
      <c r="F956" s="40" t="s">
        <v>1331</v>
      </c>
      <c r="G956" s="40" t="s">
        <v>1261</v>
      </c>
      <c r="H956" s="40" t="s">
        <v>5708</v>
      </c>
      <c r="I956" s="90"/>
      <c r="J956" s="90"/>
      <c r="K956" s="40" t="s">
        <v>1243</v>
      </c>
      <c r="L956" s="90"/>
      <c r="M956" s="90">
        <v>1</v>
      </c>
      <c r="N956" s="90"/>
      <c r="O956" s="90"/>
      <c r="P956" s="90"/>
      <c r="Q956" s="90"/>
      <c r="R956" s="90"/>
      <c r="S956" s="90"/>
      <c r="T956" s="90"/>
      <c r="U956" s="90"/>
      <c r="V956" s="90"/>
      <c r="W956" s="90"/>
      <c r="X956" s="90"/>
      <c r="Y956" s="90"/>
      <c r="Z956" s="40" t="s">
        <v>6822</v>
      </c>
      <c r="AA956" s="91" t="str">
        <f>IF(OR(G956="ALK",G956="PEM",G956="SOEC",G956="Other Electrolysis"),
AB956*VLOOKUP(G956,ElectrolysisConvF,3,FALSE),
"")</f>
        <v/>
      </c>
      <c r="AB956" s="92"/>
      <c r="AC956" s="92"/>
      <c r="AD956" s="92">
        <f>0.5*10^6</f>
        <v>500000</v>
      </c>
      <c r="AE956" s="92">
        <f t="shared" ref="AE956:AE965" si="77">IF(AND(G956&lt;&gt;"NG w CCUS",G956&lt;&gt;"Oil w CCUS",G956&lt;&gt;"Coal w CCUS"),AB956,AD956*10^3/(HoursInYear*IF(G956="NG w CCUS",0.9105,1.9075)))</f>
        <v>62688.221384707591</v>
      </c>
      <c r="AF956" s="43" t="s">
        <v>6824</v>
      </c>
      <c r="AG956" s="43">
        <v>41.219764373359901</v>
      </c>
      <c r="AH956" s="43">
        <v>-78.017828354720905</v>
      </c>
      <c r="AI956" s="122" t="s">
        <v>7287</v>
      </c>
      <c r="AJ956" s="41">
        <v>0.9</v>
      </c>
    </row>
    <row r="957" spans="1:36" ht="35.1" hidden="1" customHeight="1" x14ac:dyDescent="0.25">
      <c r="A957" s="40">
        <v>1440</v>
      </c>
      <c r="B957" s="90" t="s">
        <v>3363</v>
      </c>
      <c r="C957" s="90" t="s">
        <v>535</v>
      </c>
      <c r="D957" s="44"/>
      <c r="E957" s="44"/>
      <c r="F957" s="40" t="s">
        <v>2222</v>
      </c>
      <c r="G957" s="40" t="s">
        <v>1259</v>
      </c>
      <c r="H957" s="40" t="s">
        <v>467</v>
      </c>
      <c r="I957" s="40" t="s">
        <v>1269</v>
      </c>
      <c r="J957" s="90" t="s">
        <v>1391</v>
      </c>
      <c r="K957" s="90" t="s">
        <v>578</v>
      </c>
      <c r="L957" s="90"/>
      <c r="M957" s="90"/>
      <c r="N957" s="90"/>
      <c r="O957" s="90"/>
      <c r="P957" s="90"/>
      <c r="Q957" s="90"/>
      <c r="R957" s="90"/>
      <c r="S957" s="90"/>
      <c r="T957" s="90"/>
      <c r="U957" s="90"/>
      <c r="V957" s="90"/>
      <c r="W957" s="90"/>
      <c r="X957" s="90"/>
      <c r="Y957" s="90"/>
      <c r="Z957" s="90" t="s">
        <v>3365</v>
      </c>
      <c r="AA957" s="91">
        <v>400</v>
      </c>
      <c r="AB957" s="46">
        <f>IF(H2ProjectDB689571011[[#This Row],[Dummy_1]]="Electrolysis",
AA957/VLOOKUP(G957,ElectrolysisConvF,3,FALSE),
AC957*10^6/(H2dens*HoursInYear))</f>
        <v>88888.888888888891</v>
      </c>
      <c r="AC957" s="47">
        <f>AB957*H2dens*HoursInYear/10^6</f>
        <v>69.301333333333332</v>
      </c>
      <c r="AD957" s="92"/>
      <c r="AE957" s="92">
        <f t="shared" si="77"/>
        <v>88888.888888888891</v>
      </c>
      <c r="AF957" s="43" t="s">
        <v>7803</v>
      </c>
      <c r="AG957" s="43">
        <v>-19.647015777525102</v>
      </c>
      <c r="AH957" s="43">
        <v>134.17880922904601</v>
      </c>
      <c r="AI957" s="122" t="s">
        <v>7286</v>
      </c>
      <c r="AJ957" s="41">
        <v>0.3</v>
      </c>
    </row>
    <row r="958" spans="1:36" ht="35.1" hidden="1" customHeight="1" x14ac:dyDescent="0.25">
      <c r="A958" s="40">
        <v>1441</v>
      </c>
      <c r="B958" s="90" t="s">
        <v>3364</v>
      </c>
      <c r="C958" s="90" t="s">
        <v>535</v>
      </c>
      <c r="D958" s="44"/>
      <c r="E958" s="44"/>
      <c r="F958" s="40" t="s">
        <v>2222</v>
      </c>
      <c r="G958" s="40" t="s">
        <v>1259</v>
      </c>
      <c r="H958" s="40" t="s">
        <v>467</v>
      </c>
      <c r="I958" s="40" t="s">
        <v>1269</v>
      </c>
      <c r="J958" s="90" t="s">
        <v>1391</v>
      </c>
      <c r="K958" s="90" t="s">
        <v>578</v>
      </c>
      <c r="L958" s="90"/>
      <c r="M958" s="90"/>
      <c r="N958" s="90"/>
      <c r="O958" s="90"/>
      <c r="P958" s="90"/>
      <c r="Q958" s="90"/>
      <c r="R958" s="90"/>
      <c r="S958" s="90"/>
      <c r="T958" s="90"/>
      <c r="U958" s="90"/>
      <c r="V958" s="90"/>
      <c r="W958" s="90"/>
      <c r="X958" s="90"/>
      <c r="Y958" s="90"/>
      <c r="Z958" s="40" t="s">
        <v>3267</v>
      </c>
      <c r="AA958" s="91">
        <v>7600</v>
      </c>
      <c r="AB958" s="46">
        <f>IF(H2ProjectDB689571011[[#This Row],[Dummy_1]]="Electrolysis",
AA958/VLOOKUP(G958,ElectrolysisConvF,3,FALSE),
AC958*10^6/(H2dens*HoursInYear))</f>
        <v>1688888.888888889</v>
      </c>
      <c r="AC958" s="47">
        <f>AB958*H2dens*HoursInYear/10^6</f>
        <v>1316.7253333333335</v>
      </c>
      <c r="AD958" s="92"/>
      <c r="AE958" s="92">
        <f t="shared" si="77"/>
        <v>1688888.888888889</v>
      </c>
      <c r="AF958" s="93" t="s">
        <v>7804</v>
      </c>
      <c r="AG958" s="43">
        <v>-19.647015777525102</v>
      </c>
      <c r="AH958" s="43">
        <v>134.17880922904601</v>
      </c>
      <c r="AI958" s="122" t="s">
        <v>7286</v>
      </c>
      <c r="AJ958" s="41">
        <v>0.3</v>
      </c>
    </row>
    <row r="959" spans="1:36" ht="35.1" hidden="1" customHeight="1" x14ac:dyDescent="0.25">
      <c r="A959" s="40">
        <v>1442</v>
      </c>
      <c r="B959" s="90" t="s">
        <v>3367</v>
      </c>
      <c r="C959" s="90" t="s">
        <v>535</v>
      </c>
      <c r="D959" s="90"/>
      <c r="E959" s="90"/>
      <c r="F959" s="40" t="s">
        <v>2222</v>
      </c>
      <c r="G959" s="40" t="s">
        <v>1259</v>
      </c>
      <c r="H959" s="40" t="s">
        <v>467</v>
      </c>
      <c r="I959" s="40" t="s">
        <v>1269</v>
      </c>
      <c r="J959" s="90" t="s">
        <v>581</v>
      </c>
      <c r="K959" s="90" t="s">
        <v>578</v>
      </c>
      <c r="L959" s="90"/>
      <c r="M959" s="90"/>
      <c r="N959" s="90"/>
      <c r="O959" s="90"/>
      <c r="P959" s="90"/>
      <c r="Q959" s="90"/>
      <c r="R959" s="90"/>
      <c r="S959" s="90"/>
      <c r="T959" s="90"/>
      <c r="U959" s="90"/>
      <c r="V959" s="90"/>
      <c r="W959" s="90"/>
      <c r="X959" s="90"/>
      <c r="Y959" s="90"/>
      <c r="Z959" s="90" t="s">
        <v>4181</v>
      </c>
      <c r="AA959" s="91">
        <v>1075</v>
      </c>
      <c r="AB959" s="46">
        <f>IF(H2ProjectDB689571011[[#This Row],[Dummy_1]]="Electrolysis",
AA959/VLOOKUP(G959,ElectrolysisConvF,3,FALSE),
AC959*10^6/(H2dens*HoursInYear))</f>
        <v>238888.88888888891</v>
      </c>
      <c r="AC959" s="47">
        <f>AB959*H2dens*HoursInYear/10^6</f>
        <v>186.24733333333333</v>
      </c>
      <c r="AD959" s="92"/>
      <c r="AE959" s="92">
        <f t="shared" si="77"/>
        <v>238888.88888888891</v>
      </c>
      <c r="AF959" s="93" t="s">
        <v>4183</v>
      </c>
      <c r="AG959" s="43">
        <v>-32.369607325118302</v>
      </c>
      <c r="AH959" s="43">
        <v>150.979894681068</v>
      </c>
      <c r="AI959" s="122" t="s">
        <v>7286</v>
      </c>
      <c r="AJ959" s="41">
        <v>0.5</v>
      </c>
    </row>
    <row r="960" spans="1:36" ht="35.1" hidden="1" customHeight="1" x14ac:dyDescent="0.25">
      <c r="A960" s="40">
        <v>1444</v>
      </c>
      <c r="B960" s="90" t="s">
        <v>3371</v>
      </c>
      <c r="C960" s="90" t="s">
        <v>536</v>
      </c>
      <c r="D960" s="90">
        <v>2015</v>
      </c>
      <c r="E960" s="90">
        <v>2018</v>
      </c>
      <c r="F960" s="40" t="s">
        <v>1256</v>
      </c>
      <c r="G960" s="40" t="s">
        <v>1255</v>
      </c>
      <c r="H960" s="90" t="s">
        <v>2727</v>
      </c>
      <c r="I960" s="90"/>
      <c r="J960" s="90"/>
      <c r="K960" s="90" t="s">
        <v>578</v>
      </c>
      <c r="L960" s="90"/>
      <c r="M960" s="90"/>
      <c r="N960" s="90"/>
      <c r="O960" s="90"/>
      <c r="P960" s="90"/>
      <c r="Q960" s="90"/>
      <c r="R960" s="90"/>
      <c r="S960" s="90"/>
      <c r="T960" s="90"/>
      <c r="U960" s="90"/>
      <c r="V960" s="90"/>
      <c r="W960" s="90"/>
      <c r="X960" s="90"/>
      <c r="Y960" s="90"/>
      <c r="Z960" s="90" t="s">
        <v>3372</v>
      </c>
      <c r="AA960" s="91"/>
      <c r="AB960" s="46">
        <f>AC960/(H2dens*HoursInYear/10^6)</f>
        <v>256.52865425067984</v>
      </c>
      <c r="AC960" s="92">
        <v>0.2</v>
      </c>
      <c r="AD960" s="92"/>
      <c r="AE960" s="92">
        <f t="shared" si="77"/>
        <v>256.52865425067984</v>
      </c>
      <c r="AF960" s="93" t="s">
        <v>3374</v>
      </c>
      <c r="AG960" s="43">
        <v>0</v>
      </c>
      <c r="AH960" s="43">
        <v>0</v>
      </c>
      <c r="AI960" s="122" t="s">
        <v>1255</v>
      </c>
      <c r="AJ960" s="41">
        <v>0.9</v>
      </c>
    </row>
    <row r="961" spans="1:36" ht="35.1" hidden="1" customHeight="1" x14ac:dyDescent="0.25">
      <c r="A961" s="40">
        <v>1446</v>
      </c>
      <c r="B961" s="40" t="s">
        <v>6658</v>
      </c>
      <c r="C961" s="90" t="s">
        <v>866</v>
      </c>
      <c r="D961" s="44">
        <v>2025</v>
      </c>
      <c r="E961" s="44"/>
      <c r="F961" s="40" t="s">
        <v>1331</v>
      </c>
      <c r="G961" s="40" t="s">
        <v>1259</v>
      </c>
      <c r="H961" s="40" t="s">
        <v>467</v>
      </c>
      <c r="I961" s="40" t="s">
        <v>1269</v>
      </c>
      <c r="J961" s="90" t="s">
        <v>1391</v>
      </c>
      <c r="K961" s="40" t="s">
        <v>1243</v>
      </c>
      <c r="L961" s="90"/>
      <c r="M961" s="90">
        <v>1</v>
      </c>
      <c r="N961" s="90"/>
      <c r="O961" s="90"/>
      <c r="P961" s="90"/>
      <c r="Q961" s="90"/>
      <c r="R961" s="90"/>
      <c r="S961" s="90"/>
      <c r="T961" s="90"/>
      <c r="U961" s="90"/>
      <c r="V961" s="90"/>
      <c r="W961" s="90"/>
      <c r="X961" s="90"/>
      <c r="Y961" s="90"/>
      <c r="Z961" s="90" t="s">
        <v>4991</v>
      </c>
      <c r="AA961" s="47">
        <f>IF(H2ProjectDB689571011[[#This Row],[Dummy_1]]="Electrolysis",
AB961*VLOOKUP(G961,ElectrolysisConvF,3,FALSE),
"")</f>
        <v>540.46553206475755</v>
      </c>
      <c r="AB961" s="46">
        <f>AC961/(H2dens*HoursInYear/10^6)</f>
        <v>120103.45156994613</v>
      </c>
      <c r="AC961" s="47">
        <f>156*3/17/0.98/H2ProjectDB689571011[[#This Row],[LOWE_CF]]</f>
        <v>93.637454981992803</v>
      </c>
      <c r="AD961" s="92"/>
      <c r="AE961" s="92">
        <f t="shared" si="77"/>
        <v>120103.45156994613</v>
      </c>
      <c r="AF961" s="43" t="s">
        <v>3399</v>
      </c>
      <c r="AG961" s="43">
        <v>-33.923835207186301</v>
      </c>
      <c r="AH961" s="43">
        <v>25.6523711490143</v>
      </c>
      <c r="AI961" s="122" t="s">
        <v>7286</v>
      </c>
      <c r="AJ961" s="41">
        <v>0.3</v>
      </c>
    </row>
    <row r="962" spans="1:36" ht="35.1" hidden="1" customHeight="1" x14ac:dyDescent="0.25">
      <c r="A962" s="40">
        <v>1447</v>
      </c>
      <c r="B962" s="90" t="s">
        <v>3378</v>
      </c>
      <c r="C962" s="90" t="s">
        <v>975</v>
      </c>
      <c r="D962" s="44"/>
      <c r="E962" s="44"/>
      <c r="F962" s="40" t="s">
        <v>2222</v>
      </c>
      <c r="G962" s="40" t="s">
        <v>456</v>
      </c>
      <c r="I962" s="40" t="s">
        <v>1680</v>
      </c>
      <c r="J962" s="90"/>
      <c r="K962" s="40" t="s">
        <v>578</v>
      </c>
      <c r="L962" s="90"/>
      <c r="M962" s="90"/>
      <c r="N962" s="90"/>
      <c r="O962" s="90"/>
      <c r="P962" s="90"/>
      <c r="Q962" s="90"/>
      <c r="R962" s="90"/>
      <c r="S962" s="90"/>
      <c r="T962" s="90"/>
      <c r="U962" s="90"/>
      <c r="V962" s="90"/>
      <c r="W962" s="90"/>
      <c r="X962" s="90"/>
      <c r="Y962" s="90"/>
      <c r="Z962" s="90"/>
      <c r="AC962" s="47"/>
      <c r="AD962" s="92"/>
      <c r="AE962" s="92">
        <f t="shared" si="77"/>
        <v>0</v>
      </c>
      <c r="AF962" s="93" t="s">
        <v>4410</v>
      </c>
      <c r="AG962" s="43">
        <v>37.085078020624401</v>
      </c>
      <c r="AH962" s="43">
        <v>129.389676830691</v>
      </c>
      <c r="AI962" s="122" t="s">
        <v>7286</v>
      </c>
      <c r="AJ962" s="41">
        <v>0.8</v>
      </c>
    </row>
    <row r="963" spans="1:36" ht="35.1" hidden="1" customHeight="1" x14ac:dyDescent="0.25">
      <c r="A963" s="40">
        <v>1448</v>
      </c>
      <c r="B963" s="90" t="s">
        <v>3379</v>
      </c>
      <c r="C963" s="90" t="s">
        <v>539</v>
      </c>
      <c r="D963" s="44">
        <v>2024</v>
      </c>
      <c r="E963" s="44"/>
      <c r="F963" s="90" t="s">
        <v>1331</v>
      </c>
      <c r="G963" s="90" t="s">
        <v>455</v>
      </c>
      <c r="H963" s="90"/>
      <c r="I963" s="40" t="s">
        <v>1269</v>
      </c>
      <c r="J963" s="40" t="s">
        <v>1391</v>
      </c>
      <c r="K963" s="90" t="s">
        <v>578</v>
      </c>
      <c r="L963" s="90"/>
      <c r="M963" s="90"/>
      <c r="N963" s="90"/>
      <c r="O963" s="90"/>
      <c r="P963" s="90"/>
      <c r="Q963" s="90"/>
      <c r="R963" s="90"/>
      <c r="S963" s="90"/>
      <c r="T963" s="90"/>
      <c r="U963" s="90"/>
      <c r="V963" s="90"/>
      <c r="W963" s="90"/>
      <c r="X963" s="90"/>
      <c r="Y963" s="90"/>
      <c r="Z963" s="90"/>
      <c r="AA963" s="91"/>
      <c r="AB963" s="92"/>
      <c r="AC963" s="92"/>
      <c r="AD963" s="92"/>
      <c r="AE963" s="92">
        <f t="shared" si="77"/>
        <v>0</v>
      </c>
      <c r="AF963" s="93" t="s">
        <v>3381</v>
      </c>
      <c r="AG963" s="43">
        <v>11.7480072682973</v>
      </c>
      <c r="AH963" s="43">
        <v>79.770966503651806</v>
      </c>
      <c r="AI963" s="122" t="s">
        <v>7286</v>
      </c>
      <c r="AJ963" s="41">
        <v>0.3</v>
      </c>
    </row>
    <row r="964" spans="1:36" ht="35.1" hidden="1" customHeight="1" x14ac:dyDescent="0.25">
      <c r="A964" s="40">
        <v>1449</v>
      </c>
      <c r="B964" s="90" t="s">
        <v>3385</v>
      </c>
      <c r="C964" s="90" t="s">
        <v>539</v>
      </c>
      <c r="D964" s="44">
        <v>2024</v>
      </c>
      <c r="E964" s="44"/>
      <c r="F964" s="40" t="s">
        <v>5701</v>
      </c>
      <c r="G964" s="40" t="s">
        <v>457</v>
      </c>
      <c r="I964" s="90" t="s">
        <v>5700</v>
      </c>
      <c r="J964" s="40" t="s">
        <v>1391</v>
      </c>
      <c r="K964" s="90" t="s">
        <v>578</v>
      </c>
      <c r="L964" s="90"/>
      <c r="M964" s="90"/>
      <c r="N964" s="90"/>
      <c r="O964" s="90"/>
      <c r="P964" s="90"/>
      <c r="Q964" s="90">
        <v>1</v>
      </c>
      <c r="R964" s="90"/>
      <c r="S964" s="90"/>
      <c r="T964" s="90"/>
      <c r="U964" s="90"/>
      <c r="V964" s="90"/>
      <c r="W964" s="90"/>
      <c r="X964" s="90"/>
      <c r="Y964" s="90"/>
      <c r="Z964" s="40" t="s">
        <v>4624</v>
      </c>
      <c r="AA964" s="91">
        <v>0.8</v>
      </c>
      <c r="AB964" s="46">
        <f>IF(H2ProjectDB689571011[[#This Row],[Dummy_1]]="Electrolysis",
AA964/VLOOKUP(G964,ElectrolysisConvF,3,FALSE),
AC964*10^6/(H2dens*HoursInYear))</f>
        <v>173.91304347826087</v>
      </c>
      <c r="AC964" s="47">
        <f>AB964*H2dens*HoursInYear/10^6</f>
        <v>0.13558956521739129</v>
      </c>
      <c r="AD964" s="92"/>
      <c r="AE964" s="92">
        <f t="shared" si="77"/>
        <v>173.91304347826087</v>
      </c>
      <c r="AF964" s="93" t="s">
        <v>3387</v>
      </c>
      <c r="AG964" s="43">
        <v>34.153741792254102</v>
      </c>
      <c r="AH964" s="43">
        <v>77.574631416734704</v>
      </c>
      <c r="AI964" s="122" t="s">
        <v>7286</v>
      </c>
      <c r="AJ964" s="41">
        <v>0.7</v>
      </c>
    </row>
    <row r="965" spans="1:36" ht="35.1" hidden="1" customHeight="1" x14ac:dyDescent="0.25">
      <c r="A965" s="40">
        <v>1450</v>
      </c>
      <c r="B965" s="90" t="s">
        <v>3390</v>
      </c>
      <c r="C965" s="90" t="s">
        <v>548</v>
      </c>
      <c r="D965" s="44">
        <v>2028</v>
      </c>
      <c r="E965" s="44"/>
      <c r="F965" s="40" t="s">
        <v>1331</v>
      </c>
      <c r="G965" s="40" t="s">
        <v>1261</v>
      </c>
      <c r="H965" s="40" t="s">
        <v>5708</v>
      </c>
      <c r="K965" s="90" t="s">
        <v>578</v>
      </c>
      <c r="L965" s="90"/>
      <c r="M965" s="90"/>
      <c r="N965" s="90"/>
      <c r="O965" s="90"/>
      <c r="P965" s="90">
        <v>1</v>
      </c>
      <c r="Q965" s="90">
        <v>1</v>
      </c>
      <c r="R965" s="90"/>
      <c r="S965" s="90"/>
      <c r="T965" s="90"/>
      <c r="U965" s="90"/>
      <c r="V965" s="90"/>
      <c r="W965" s="90"/>
      <c r="X965" s="90"/>
      <c r="Y965" s="90"/>
      <c r="Z965" s="90" t="s">
        <v>5776</v>
      </c>
      <c r="AA965" s="91" t="str">
        <f>IF(OR(G965="ALK",G965="PEM",G965="SOEC",G965="Other Electrolysis"),
AB965*VLOOKUP(G965,ElectrolysisConvF,3,FALSE),
"")</f>
        <v/>
      </c>
      <c r="AB965" s="46">
        <f>IF(H2ProjectDB689571011[[#This Row],[Dummy_1]]="Electrolysis",
AA965/VLOOKUP(G965,ElectrolysisConvF,3,FALSE),
AC965*10^6/(H2dens*HoursInYear))</f>
        <v>320224.71910112363</v>
      </c>
      <c r="AC965" s="47">
        <f>1000*HoursInYear*0.95*3.6/120/1000</f>
        <v>249.66</v>
      </c>
      <c r="AD965" s="92">
        <v>1800000</v>
      </c>
      <c r="AE965" s="92">
        <f t="shared" si="77"/>
        <v>225677.5969849473</v>
      </c>
      <c r="AF965" s="43" t="s">
        <v>4557</v>
      </c>
      <c r="AG965" s="43">
        <v>51.040977890772801</v>
      </c>
      <c r="AH965" s="43">
        <v>3.84433114911818</v>
      </c>
      <c r="AI965" s="122" t="s">
        <v>7287</v>
      </c>
      <c r="AJ965" s="41">
        <v>0.9</v>
      </c>
    </row>
    <row r="966" spans="1:36" ht="35.1" hidden="1" customHeight="1" x14ac:dyDescent="0.25">
      <c r="A966" s="40">
        <v>1451</v>
      </c>
      <c r="B966" s="40" t="s">
        <v>3400</v>
      </c>
      <c r="C966" s="40" t="s">
        <v>537</v>
      </c>
      <c r="D966" s="44">
        <v>2021</v>
      </c>
      <c r="F966" s="40" t="s">
        <v>1339</v>
      </c>
      <c r="G966" s="40" t="s">
        <v>457</v>
      </c>
      <c r="I966" s="40" t="s">
        <v>1269</v>
      </c>
      <c r="J966" s="40" t="s">
        <v>1391</v>
      </c>
      <c r="K966" s="40" t="s">
        <v>578</v>
      </c>
      <c r="N966" s="40">
        <v>1</v>
      </c>
      <c r="Z966" s="40" t="s">
        <v>1576</v>
      </c>
      <c r="AA966" s="45">
        <v>120</v>
      </c>
      <c r="AB966" s="46">
        <f>IF(H2ProjectDB689571011[[#This Row],[Dummy_1]]="Electrolysis",
AA966/VLOOKUP(G966,ElectrolysisConvF,3,FALSE),
AC966*10^6/(H2dens*HoursInYear))</f>
        <v>26086.956521739132</v>
      </c>
      <c r="AC966" s="47">
        <f>AB966*H2dens*HoursInYear/10^6</f>
        <v>20.338434782608694</v>
      </c>
      <c r="AE966" s="46">
        <f>AB966</f>
        <v>26086.956521739132</v>
      </c>
      <c r="AF966" s="43" t="s">
        <v>3514</v>
      </c>
      <c r="AG966" s="43">
        <v>38.492532903085397</v>
      </c>
      <c r="AH966" s="43">
        <v>106.23846956603001</v>
      </c>
      <c r="AI966" s="122" t="s">
        <v>7286</v>
      </c>
      <c r="AJ966" s="41">
        <v>0.3</v>
      </c>
    </row>
    <row r="967" spans="1:36" ht="35.1" hidden="1" customHeight="1" x14ac:dyDescent="0.25">
      <c r="A967" s="40">
        <v>1452</v>
      </c>
      <c r="B967" s="40" t="s">
        <v>6659</v>
      </c>
      <c r="C967" s="90" t="s">
        <v>866</v>
      </c>
      <c r="D967" s="44">
        <v>2026</v>
      </c>
      <c r="E967" s="44"/>
      <c r="F967" s="40" t="s">
        <v>1331</v>
      </c>
      <c r="G967" s="40" t="s">
        <v>1259</v>
      </c>
      <c r="H967" s="40" t="s">
        <v>467</v>
      </c>
      <c r="I967" s="40" t="s">
        <v>1269</v>
      </c>
      <c r="J967" s="90" t="s">
        <v>1391</v>
      </c>
      <c r="K967" s="40" t="s">
        <v>1243</v>
      </c>
      <c r="L967" s="90"/>
      <c r="M967" s="90">
        <v>1</v>
      </c>
      <c r="N967" s="90"/>
      <c r="O967" s="90"/>
      <c r="P967" s="90"/>
      <c r="Q967" s="90"/>
      <c r="R967" s="90"/>
      <c r="S967" s="90"/>
      <c r="T967" s="90"/>
      <c r="U967" s="90"/>
      <c r="V967" s="90"/>
      <c r="W967" s="90"/>
      <c r="X967" s="90"/>
      <c r="Y967" s="90"/>
      <c r="Z967" s="90" t="s">
        <v>4992</v>
      </c>
      <c r="AA967" s="47">
        <f>IF(H2ProjectDB689571011[[#This Row],[Dummy_1]]="Electrolysis",
AB967*VLOOKUP(G967,ElectrolysisConvF,3,FALSE),
"")</f>
        <v>2161.8621282590302</v>
      </c>
      <c r="AB967" s="46">
        <f>AC967/(H2dens*HoursInYear/10^6)</f>
        <v>480413.80627978453</v>
      </c>
      <c r="AC967" s="47">
        <f>(780-156)*3/17/0.98/H2ProjectDB689571011[[#This Row],[LOWE_CF]]</f>
        <v>374.54981992797121</v>
      </c>
      <c r="AD967" s="92"/>
      <c r="AE967" s="92">
        <f t="shared" ref="AE967:AE981" si="78">IF(AND(G967&lt;&gt;"NG w CCUS",G967&lt;&gt;"Oil w CCUS",G967&lt;&gt;"Coal w CCUS"),AB967,AD967*10^3/(HoursInYear*IF(G967="NG w CCUS",0.9105,1.9075)))</f>
        <v>480413.80627978453</v>
      </c>
      <c r="AF967" s="93" t="s">
        <v>3399</v>
      </c>
      <c r="AG967" s="43">
        <v>-33.923835207186301</v>
      </c>
      <c r="AH967" s="43">
        <v>25.6523711490143</v>
      </c>
      <c r="AI967" s="122" t="s">
        <v>7286</v>
      </c>
      <c r="AJ967" s="41">
        <v>0.3</v>
      </c>
    </row>
    <row r="968" spans="1:36" ht="35.1" hidden="1" customHeight="1" x14ac:dyDescent="0.25">
      <c r="A968" s="40">
        <v>1453</v>
      </c>
      <c r="B968" s="90" t="s">
        <v>5086</v>
      </c>
      <c r="C968" s="90" t="s">
        <v>536</v>
      </c>
      <c r="D968" s="44">
        <v>2026</v>
      </c>
      <c r="E968" s="44"/>
      <c r="F968" s="90" t="s">
        <v>1331</v>
      </c>
      <c r="G968" s="90" t="s">
        <v>1264</v>
      </c>
      <c r="H968" s="90"/>
      <c r="I968" s="90"/>
      <c r="J968" s="90"/>
      <c r="K968" s="90" t="s">
        <v>578</v>
      </c>
      <c r="L968" s="90"/>
      <c r="M968" s="90"/>
      <c r="N968" s="90"/>
      <c r="O968" s="90"/>
      <c r="P968" s="90"/>
      <c r="Q968" s="90"/>
      <c r="R968" s="90"/>
      <c r="S968" s="90"/>
      <c r="T968" s="90"/>
      <c r="U968" s="90"/>
      <c r="V968" s="90"/>
      <c r="W968" s="90"/>
      <c r="X968" s="90"/>
      <c r="Y968" s="90"/>
      <c r="Z968" s="90" t="s">
        <v>5087</v>
      </c>
      <c r="AA968" s="91"/>
      <c r="AB968" s="46">
        <f>AC968/(H2dens*HoursInYear/10^6)</f>
        <v>8978.5028987737933</v>
      </c>
      <c r="AC968" s="92">
        <v>7</v>
      </c>
      <c r="AD968" s="92">
        <v>140000</v>
      </c>
      <c r="AE968" s="92">
        <f t="shared" si="78"/>
        <v>8978.5028987737933</v>
      </c>
      <c r="AF968" s="93" t="s">
        <v>3403</v>
      </c>
      <c r="AG968" s="43">
        <v>35.3525820509497</v>
      </c>
      <c r="AH968" s="43">
        <v>-119.068161386695</v>
      </c>
      <c r="AI968" s="122" t="s">
        <v>1255</v>
      </c>
      <c r="AJ968" s="41">
        <v>0.9</v>
      </c>
    </row>
    <row r="969" spans="1:36" ht="35.1" hidden="1" customHeight="1" x14ac:dyDescent="0.25">
      <c r="A969" s="40">
        <v>1456</v>
      </c>
      <c r="B969" s="90" t="s">
        <v>3404</v>
      </c>
      <c r="C969" s="90" t="s">
        <v>536</v>
      </c>
      <c r="D969" s="90"/>
      <c r="E969" s="90"/>
      <c r="F969" s="90" t="s">
        <v>1331</v>
      </c>
      <c r="G969" s="90" t="s">
        <v>1261</v>
      </c>
      <c r="H969" s="90" t="s">
        <v>5708</v>
      </c>
      <c r="I969" s="90"/>
      <c r="J969" s="90"/>
      <c r="K969" s="90" t="s">
        <v>578</v>
      </c>
      <c r="L969" s="90"/>
      <c r="M969" s="90"/>
      <c r="N969" s="90"/>
      <c r="O969" s="90"/>
      <c r="P969" s="90"/>
      <c r="Q969" s="90"/>
      <c r="R969" s="90"/>
      <c r="S969" s="90"/>
      <c r="T969" s="90"/>
      <c r="U969" s="90"/>
      <c r="V969" s="90"/>
      <c r="W969" s="90"/>
      <c r="X969" s="90"/>
      <c r="Y969" s="90"/>
      <c r="Z969" s="90" t="s">
        <v>3405</v>
      </c>
      <c r="AA969" s="91"/>
      <c r="AB969" s="92">
        <f>100*10^6*0.028/24</f>
        <v>116666.66666666667</v>
      </c>
      <c r="AC969" s="47">
        <f>AB969*H2dens*HoursInYear/10^6</f>
        <v>90.957999999999998</v>
      </c>
      <c r="AD969" s="92"/>
      <c r="AE969" s="92">
        <f t="shared" si="78"/>
        <v>0</v>
      </c>
      <c r="AF969" s="93" t="s">
        <v>3408</v>
      </c>
      <c r="AG969" s="43">
        <v>41.259710064820403</v>
      </c>
      <c r="AH969" s="43">
        <v>-110.96468545543399</v>
      </c>
      <c r="AI969" s="122" t="s">
        <v>7287</v>
      </c>
      <c r="AJ969" s="41">
        <v>0.9</v>
      </c>
    </row>
    <row r="970" spans="1:36" ht="35.1" hidden="1" customHeight="1" x14ac:dyDescent="0.25">
      <c r="A970" s="40">
        <v>1457</v>
      </c>
      <c r="B970" s="90" t="s">
        <v>3406</v>
      </c>
      <c r="C970" s="90" t="s">
        <v>536</v>
      </c>
      <c r="D970" s="90"/>
      <c r="E970" s="90"/>
      <c r="F970" s="90" t="s">
        <v>2222</v>
      </c>
      <c r="G970" s="90" t="s">
        <v>1261</v>
      </c>
      <c r="H970" s="40" t="s">
        <v>4057</v>
      </c>
      <c r="I970" s="90" t="str">
        <f>IF(AND(G970&lt;&gt;"ALK",G970&lt;&gt;"PEM",G970&lt;&gt;"SOEC",G970&lt;&gt;"Other electrolysis"),"N/A","")</f>
        <v>N/A</v>
      </c>
      <c r="J970" s="90" t="str">
        <f>IF(I970&lt;&gt;"Dedicated renewable","N/A",)</f>
        <v>N/A</v>
      </c>
      <c r="K970" s="40" t="s">
        <v>1243</v>
      </c>
      <c r="L970" s="90"/>
      <c r="M970" s="90">
        <v>1</v>
      </c>
      <c r="N970" s="90"/>
      <c r="O970" s="90"/>
      <c r="P970" s="90"/>
      <c r="Q970" s="90"/>
      <c r="R970" s="90"/>
      <c r="S970" s="90"/>
      <c r="T970" s="90"/>
      <c r="U970" s="90"/>
      <c r="V970" s="90"/>
      <c r="W970" s="90"/>
      <c r="X970" s="90"/>
      <c r="Y970" s="90"/>
      <c r="Z970" s="90"/>
      <c r="AA970" s="91" t="str">
        <f>IF(OR(G970="ALK",G970="PEM",G970="SOEC",G970="Other Electrolysis"),
AB970*VLOOKUP(G970,ElectrolysisConvF,3,FALSE),
"")</f>
        <v/>
      </c>
      <c r="AB970" s="92"/>
      <c r="AC970" s="92"/>
      <c r="AD970" s="92"/>
      <c r="AE970" s="92">
        <f t="shared" si="78"/>
        <v>0</v>
      </c>
      <c r="AF970" s="93" t="s">
        <v>3408</v>
      </c>
      <c r="AG970" s="43">
        <v>41.259710064820403</v>
      </c>
      <c r="AH970" s="43">
        <v>-110.96468545543399</v>
      </c>
      <c r="AI970" s="122" t="s">
        <v>7287</v>
      </c>
      <c r="AJ970" s="41">
        <v>0.9</v>
      </c>
    </row>
    <row r="971" spans="1:36" ht="35.1" hidden="1" customHeight="1" x14ac:dyDescent="0.25">
      <c r="A971" s="40">
        <v>1458</v>
      </c>
      <c r="B971" s="90" t="s">
        <v>7457</v>
      </c>
      <c r="C971" s="90" t="s">
        <v>866</v>
      </c>
      <c r="D971" s="44">
        <v>2024</v>
      </c>
      <c r="E971" s="44"/>
      <c r="F971" s="40" t="s">
        <v>5701</v>
      </c>
      <c r="G971" s="40" t="s">
        <v>457</v>
      </c>
      <c r="I971" s="40" t="s">
        <v>1269</v>
      </c>
      <c r="J971" s="90" t="s">
        <v>1395</v>
      </c>
      <c r="K971" s="90" t="s">
        <v>578</v>
      </c>
      <c r="L971" s="90"/>
      <c r="M971" s="90"/>
      <c r="N971" s="90">
        <v>1</v>
      </c>
      <c r="O971" s="90">
        <v>1</v>
      </c>
      <c r="P971" s="90"/>
      <c r="Q971" s="90">
        <v>1</v>
      </c>
      <c r="R971" s="90">
        <v>1</v>
      </c>
      <c r="S971" s="90"/>
      <c r="T971" s="90"/>
      <c r="U971" s="90"/>
      <c r="V971" s="90"/>
      <c r="W971" s="90"/>
      <c r="X971" s="90"/>
      <c r="Y971" s="90"/>
      <c r="Z971" s="40" t="s">
        <v>1577</v>
      </c>
      <c r="AA971" s="91">
        <v>60</v>
      </c>
      <c r="AB971" s="46">
        <f>IF(H2ProjectDB689571011[[#This Row],[Dummy_1]]="Electrolysis",
AA971/VLOOKUP(G971,ElectrolysisConvF,3,FALSE),
AC971*10^6/(H2dens*HoursInYear))</f>
        <v>13043.478260869566</v>
      </c>
      <c r="AC971" s="47">
        <f>AB971*H2dens*HoursInYear/10^6</f>
        <v>10.169217391304347</v>
      </c>
      <c r="AD971" s="92"/>
      <c r="AE971" s="92">
        <f t="shared" si="78"/>
        <v>13043.478260869566</v>
      </c>
      <c r="AF971" s="43" t="s">
        <v>4994</v>
      </c>
      <c r="AG971" s="43">
        <v>-26.809853677981199</v>
      </c>
      <c r="AH971" s="43">
        <v>27.829135223684201</v>
      </c>
      <c r="AI971" s="122" t="s">
        <v>7286</v>
      </c>
      <c r="AJ971" s="41">
        <v>0.5</v>
      </c>
    </row>
    <row r="972" spans="1:36" ht="35.1" hidden="1" customHeight="1" x14ac:dyDescent="0.25">
      <c r="A972" s="40">
        <v>1459</v>
      </c>
      <c r="B972" s="90" t="s">
        <v>3413</v>
      </c>
      <c r="C972" s="90" t="s">
        <v>1097</v>
      </c>
      <c r="D972" s="44">
        <v>2025</v>
      </c>
      <c r="E972" s="44"/>
      <c r="F972" s="40" t="s">
        <v>1331</v>
      </c>
      <c r="G972" s="40" t="s">
        <v>1259</v>
      </c>
      <c r="H972" s="40" t="s">
        <v>467</v>
      </c>
      <c r="I972" s="40" t="s">
        <v>1269</v>
      </c>
      <c r="J972" s="90" t="s">
        <v>1395</v>
      </c>
      <c r="K972" s="90" t="s">
        <v>578</v>
      </c>
      <c r="L972" s="90"/>
      <c r="M972" s="90"/>
      <c r="N972" s="90"/>
      <c r="O972" s="90"/>
      <c r="P972" s="90"/>
      <c r="Q972" s="90"/>
      <c r="R972" s="90"/>
      <c r="S972" s="90"/>
      <c r="T972" s="90"/>
      <c r="U972" s="90"/>
      <c r="V972" s="90"/>
      <c r="W972" s="90"/>
      <c r="X972" s="90"/>
      <c r="Y972" s="90"/>
      <c r="Z972" s="90" t="s">
        <v>1485</v>
      </c>
      <c r="AA972" s="91">
        <v>100</v>
      </c>
      <c r="AB972" s="46">
        <f>IF(H2ProjectDB689571011[[#This Row],[Dummy_1]]="Electrolysis",
AA972/VLOOKUP(G972,ElectrolysisConvF,3,FALSE),
AC972*10^6/(H2dens*HoursInYear))</f>
        <v>22222.222222222223</v>
      </c>
      <c r="AC972" s="47">
        <f>AB972*H2dens*HoursInYear/10^6</f>
        <v>17.325333333333333</v>
      </c>
      <c r="AD972" s="92"/>
      <c r="AE972" s="92">
        <f t="shared" si="78"/>
        <v>22222.222222222223</v>
      </c>
      <c r="AF972" s="93" t="s">
        <v>3415</v>
      </c>
      <c r="AG972" s="43">
        <v>31.150904484298501</v>
      </c>
      <c r="AH972" s="43">
        <v>-9.8437694001257494</v>
      </c>
      <c r="AI972" s="122" t="s">
        <v>7286</v>
      </c>
      <c r="AJ972" s="41">
        <v>0.5</v>
      </c>
    </row>
    <row r="973" spans="1:36" ht="35.1" hidden="1" customHeight="1" x14ac:dyDescent="0.25">
      <c r="A973" s="40">
        <v>1460</v>
      </c>
      <c r="B973" s="40" t="s">
        <v>3417</v>
      </c>
      <c r="C973" s="90" t="s">
        <v>866</v>
      </c>
      <c r="D973" s="90"/>
      <c r="E973" s="90"/>
      <c r="F973" s="40" t="s">
        <v>1331</v>
      </c>
      <c r="G973" s="40" t="s">
        <v>1259</v>
      </c>
      <c r="H973" s="40" t="s">
        <v>467</v>
      </c>
      <c r="I973" s="40" t="s">
        <v>1269</v>
      </c>
      <c r="J973" s="90" t="s">
        <v>1395</v>
      </c>
      <c r="K973" s="90" t="s">
        <v>1267</v>
      </c>
      <c r="L973" s="90"/>
      <c r="M973" s="90"/>
      <c r="N973" s="90"/>
      <c r="O973" s="90"/>
      <c r="P973" s="90"/>
      <c r="Q973" s="90"/>
      <c r="R973" s="90"/>
      <c r="S973" s="90"/>
      <c r="T973" s="90"/>
      <c r="U973" s="90"/>
      <c r="V973" s="90"/>
      <c r="W973" s="90">
        <v>1</v>
      </c>
      <c r="X973" s="90"/>
      <c r="Y973" s="90"/>
      <c r="Z973" s="40" t="s">
        <v>4995</v>
      </c>
      <c r="AA973" s="47">
        <f>IF(H2ProjectDB689571011[[#This Row],[Dummy_1]]="Electrolysis",
AB973*VLOOKUP(G973,ElectrolysisConvF,3,FALSE),
"")</f>
        <v>88.950432338634684</v>
      </c>
      <c r="AB973" s="46">
        <f>AC973/(H2dens*HoursInYear/10^6)</f>
        <v>19766.762741918821</v>
      </c>
      <c r="AC973" s="47">
        <f>15*0.045/0.73/0.12/H2ProjectDB689571011[[#This Row],[LOWE_CF]]</f>
        <v>15.410958904109588</v>
      </c>
      <c r="AD973" s="92"/>
      <c r="AE973" s="92">
        <f t="shared" si="78"/>
        <v>19766.762741918821</v>
      </c>
      <c r="AF973" s="93" t="s">
        <v>4936</v>
      </c>
      <c r="AG973" s="43">
        <v>-26.545339983065201</v>
      </c>
      <c r="AH973" s="43">
        <v>29.169671967063501</v>
      </c>
      <c r="AI973" s="122" t="s">
        <v>7286</v>
      </c>
      <c r="AJ973" s="41">
        <v>0.5</v>
      </c>
    </row>
    <row r="974" spans="1:36" ht="35.1" hidden="1" customHeight="1" x14ac:dyDescent="0.25">
      <c r="A974" s="40">
        <v>1461</v>
      </c>
      <c r="B974" s="90" t="s">
        <v>3418</v>
      </c>
      <c r="C974" s="90" t="s">
        <v>866</v>
      </c>
      <c r="D974" s="44">
        <v>2040</v>
      </c>
      <c r="E974" s="44"/>
      <c r="F974" s="40" t="s">
        <v>2222</v>
      </c>
      <c r="G974" s="40" t="s">
        <v>1259</v>
      </c>
      <c r="H974" s="40" t="s">
        <v>467</v>
      </c>
      <c r="I974" s="40" t="s">
        <v>1269</v>
      </c>
      <c r="J974" s="90" t="s">
        <v>1395</v>
      </c>
      <c r="K974" s="90" t="s">
        <v>1267</v>
      </c>
      <c r="L974" s="90"/>
      <c r="M974" s="90"/>
      <c r="N974" s="90"/>
      <c r="O974" s="90"/>
      <c r="P974" s="90"/>
      <c r="Q974" s="90"/>
      <c r="R974" s="90"/>
      <c r="S974" s="90"/>
      <c r="T974" s="90"/>
      <c r="U974" s="90"/>
      <c r="V974" s="90"/>
      <c r="W974" s="90">
        <v>1</v>
      </c>
      <c r="X974" s="90"/>
      <c r="Y974" s="90"/>
      <c r="Z974" s="40" t="s">
        <v>4962</v>
      </c>
      <c r="AA974" s="47">
        <f>IF(H2ProjectDB689571011[[#This Row],[Dummy_1]]="Electrolysis",
AB974*VLOOKUP(G974,ElectrolysisConvF,3,FALSE),
"")</f>
        <v>14825.072056439114</v>
      </c>
      <c r="AB974" s="46">
        <f>AC974/(H2dens*HoursInYear/10^6)</f>
        <v>3294460.4569864701</v>
      </c>
      <c r="AC974" s="47">
        <f>2500*0.045/0.73/0.12/H2ProjectDB689571011[[#This Row],[LOWE_CF]]</f>
        <v>2568.4931506849316</v>
      </c>
      <c r="AD974" s="92"/>
      <c r="AE974" s="92">
        <f t="shared" si="78"/>
        <v>3294460.4569864701</v>
      </c>
      <c r="AF974" s="93" t="s">
        <v>4936</v>
      </c>
      <c r="AG974" s="43">
        <v>-26.545339983065201</v>
      </c>
      <c r="AH974" s="43">
        <v>29.169671967063501</v>
      </c>
      <c r="AI974" s="122" t="s">
        <v>7286</v>
      </c>
      <c r="AJ974" s="41">
        <v>0.5</v>
      </c>
    </row>
    <row r="975" spans="1:36" ht="35.1" hidden="1" customHeight="1" x14ac:dyDescent="0.25">
      <c r="A975" s="40">
        <v>1462</v>
      </c>
      <c r="B975" s="40" t="s">
        <v>8094</v>
      </c>
      <c r="C975" s="90" t="s">
        <v>1045</v>
      </c>
      <c r="D975" s="90"/>
      <c r="E975" s="90"/>
      <c r="F975" s="40" t="s">
        <v>2222</v>
      </c>
      <c r="G975" s="40" t="s">
        <v>1259</v>
      </c>
      <c r="H975" s="40" t="s">
        <v>467</v>
      </c>
      <c r="I975" s="40" t="s">
        <v>1269</v>
      </c>
      <c r="J975" s="90" t="s">
        <v>1395</v>
      </c>
      <c r="K975" s="90" t="s">
        <v>578</v>
      </c>
      <c r="L975" s="90"/>
      <c r="M975" s="90"/>
      <c r="N975" s="90"/>
      <c r="O975" s="90"/>
      <c r="P975" s="90"/>
      <c r="Q975" s="90"/>
      <c r="R975" s="90"/>
      <c r="S975" s="90"/>
      <c r="T975" s="90"/>
      <c r="U975" s="90"/>
      <c r="V975" s="90"/>
      <c r="W975" s="90"/>
      <c r="X975" s="90"/>
      <c r="Y975" s="90"/>
      <c r="Z975" s="90" t="s">
        <v>3419</v>
      </c>
      <c r="AA975" s="91">
        <v>150</v>
      </c>
      <c r="AB975" s="46">
        <f>IF(H2ProjectDB689571011[[#This Row],[Dummy_1]]="Electrolysis",
AA975/VLOOKUP(G975,ElectrolysisConvF,3,FALSE),
AC975*10^6/(H2dens*HoursInYear))</f>
        <v>33333.333333333336</v>
      </c>
      <c r="AC975" s="47">
        <f t="shared" ref="AC975:AC980" si="79">AB975*H2dens*HoursInYear/10^6</f>
        <v>25.988</v>
      </c>
      <c r="AD975" s="92"/>
      <c r="AE975" s="92">
        <f t="shared" si="78"/>
        <v>33333.333333333336</v>
      </c>
      <c r="AF975" s="43" t="s">
        <v>8096</v>
      </c>
      <c r="AG975" s="43">
        <v>29.845133223691601</v>
      </c>
      <c r="AH975" s="43">
        <v>32.162837132099497</v>
      </c>
      <c r="AI975" s="122" t="s">
        <v>7286</v>
      </c>
      <c r="AJ975" s="41">
        <v>0.5</v>
      </c>
    </row>
    <row r="976" spans="1:36" ht="35.1" hidden="1" customHeight="1" x14ac:dyDescent="0.25">
      <c r="A976" s="40">
        <v>1463</v>
      </c>
      <c r="B976" s="90" t="s">
        <v>7444</v>
      </c>
      <c r="C976" s="90" t="s">
        <v>560</v>
      </c>
      <c r="D976" s="44">
        <v>2028</v>
      </c>
      <c r="E976" s="44"/>
      <c r="F976" s="40" t="s">
        <v>1331</v>
      </c>
      <c r="G976" s="40" t="s">
        <v>455</v>
      </c>
      <c r="I976" s="40" t="s">
        <v>1269</v>
      </c>
      <c r="J976" s="40" t="s">
        <v>1392</v>
      </c>
      <c r="K976" s="90" t="s">
        <v>1242</v>
      </c>
      <c r="L976" s="90"/>
      <c r="M976" s="90"/>
      <c r="N976" s="90">
        <v>1</v>
      </c>
      <c r="O976" s="90"/>
      <c r="P976" s="90"/>
      <c r="Q976" s="90"/>
      <c r="R976" s="90"/>
      <c r="S976" s="90"/>
      <c r="T976" s="90"/>
      <c r="U976" s="90"/>
      <c r="V976" s="90"/>
      <c r="W976" s="90">
        <v>1</v>
      </c>
      <c r="X976" s="90"/>
      <c r="Y976" s="90"/>
      <c r="Z976" s="90" t="s">
        <v>3421</v>
      </c>
      <c r="AA976" s="91">
        <v>240</v>
      </c>
      <c r="AB976" s="46">
        <f>IF(H2ProjectDB689571011[[#This Row],[Dummy_1]]="Electrolysis",
AA976/VLOOKUP(G976,ElectrolysisConvF,3,FALSE),
AC976*10^6/(H2dens*HoursInYear))</f>
        <v>46153.846153846156</v>
      </c>
      <c r="AC976" s="47">
        <f t="shared" si="79"/>
        <v>35.983384615384615</v>
      </c>
      <c r="AD976" s="92"/>
      <c r="AE976" s="92">
        <f t="shared" si="78"/>
        <v>46153.846153846156</v>
      </c>
      <c r="AF976" s="93" t="s">
        <v>3423</v>
      </c>
      <c r="AG976" s="43">
        <v>-50.615096291667001</v>
      </c>
      <c r="AH976" s="43">
        <v>-74.501358900263796</v>
      </c>
      <c r="AI976" s="122" t="s">
        <v>7286</v>
      </c>
      <c r="AJ976" s="41">
        <v>0.4</v>
      </c>
    </row>
    <row r="977" spans="1:36" ht="35.1" hidden="1" customHeight="1" x14ac:dyDescent="0.25">
      <c r="A977" s="40">
        <v>1464</v>
      </c>
      <c r="B977" s="90" t="s">
        <v>3426</v>
      </c>
      <c r="C977" s="90" t="s">
        <v>560</v>
      </c>
      <c r="D977" s="44"/>
      <c r="E977" s="44"/>
      <c r="F977" s="40" t="s">
        <v>1331</v>
      </c>
      <c r="G977" s="40" t="s">
        <v>1259</v>
      </c>
      <c r="H977" s="40" t="s">
        <v>467</v>
      </c>
      <c r="I977" s="40" t="s">
        <v>1266</v>
      </c>
      <c r="K977" s="90" t="s">
        <v>578</v>
      </c>
      <c r="L977" s="90">
        <v>1</v>
      </c>
      <c r="M977" s="90"/>
      <c r="N977" s="90"/>
      <c r="O977" s="90"/>
      <c r="P977" s="90"/>
      <c r="Q977" s="90"/>
      <c r="R977" s="90"/>
      <c r="S977" s="90"/>
      <c r="T977" s="90"/>
      <c r="U977" s="90"/>
      <c r="V977" s="90"/>
      <c r="W977" s="90"/>
      <c r="X977" s="90"/>
      <c r="Y977" s="90"/>
      <c r="Z977" s="90" t="s">
        <v>2110</v>
      </c>
      <c r="AA977" s="91">
        <v>20</v>
      </c>
      <c r="AB977" s="46">
        <f>IF(H2ProjectDB689571011[[#This Row],[Dummy_1]]="Electrolysis",
AA977/VLOOKUP(G977,ElectrolysisConvF,3,FALSE),
AC977*10^6/(H2dens*HoursInYear))</f>
        <v>4444.4444444444443</v>
      </c>
      <c r="AC977" s="47">
        <f t="shared" si="79"/>
        <v>3.4650666666666665</v>
      </c>
      <c r="AD977" s="92"/>
      <c r="AE977" s="92">
        <f t="shared" si="78"/>
        <v>4444.4444444444443</v>
      </c>
      <c r="AF977" s="93" t="s">
        <v>3423</v>
      </c>
      <c r="AG977" s="43">
        <v>-32.912697681410101</v>
      </c>
      <c r="AH977" s="43">
        <v>-71.488153491729705</v>
      </c>
      <c r="AI977" s="122" t="s">
        <v>7286</v>
      </c>
      <c r="AJ977" s="41">
        <v>0.56999999999999995</v>
      </c>
    </row>
    <row r="978" spans="1:36" ht="35.1" hidden="1" customHeight="1" x14ac:dyDescent="0.25">
      <c r="A978" s="40">
        <v>1465</v>
      </c>
      <c r="B978" s="40" t="s">
        <v>5817</v>
      </c>
      <c r="C978" s="90" t="s">
        <v>560</v>
      </c>
      <c r="D978" s="44">
        <v>2025</v>
      </c>
      <c r="E978" s="44"/>
      <c r="F978" s="40" t="s">
        <v>1331</v>
      </c>
      <c r="G978" s="40" t="s">
        <v>1259</v>
      </c>
      <c r="H978" s="40" t="s">
        <v>467</v>
      </c>
      <c r="I978" s="40" t="s">
        <v>1269</v>
      </c>
      <c r="J978" s="40" t="s">
        <v>581</v>
      </c>
      <c r="K978" s="90" t="s">
        <v>1242</v>
      </c>
      <c r="L978" s="90"/>
      <c r="M978" s="90"/>
      <c r="N978" s="90">
        <v>1</v>
      </c>
      <c r="O978" s="90"/>
      <c r="P978" s="90"/>
      <c r="Q978" s="90"/>
      <c r="R978" s="90"/>
      <c r="S978" s="90"/>
      <c r="T978" s="90"/>
      <c r="U978" s="90"/>
      <c r="V978" s="90"/>
      <c r="W978" s="90"/>
      <c r="X978" s="90"/>
      <c r="Y978" s="90"/>
      <c r="Z978" s="90" t="s">
        <v>2605</v>
      </c>
      <c r="AA978" s="91">
        <v>80</v>
      </c>
      <c r="AB978" s="46">
        <f>IF(H2ProjectDB689571011[[#This Row],[Dummy_1]]="Electrolysis",
AA978/VLOOKUP(G978,ElectrolysisConvF,3,FALSE),
AC978*10^6/(H2dens*HoursInYear))</f>
        <v>17777.777777777777</v>
      </c>
      <c r="AC978" s="47">
        <f t="shared" si="79"/>
        <v>13.860266666666666</v>
      </c>
      <c r="AD978" s="92"/>
      <c r="AE978" s="92">
        <f t="shared" si="78"/>
        <v>17777.777777777777</v>
      </c>
      <c r="AF978" s="93" t="s">
        <v>3423</v>
      </c>
      <c r="AG978" s="43">
        <v>-23.3990803648907</v>
      </c>
      <c r="AH978" s="43">
        <v>-69.252182822015996</v>
      </c>
      <c r="AI978" s="122" t="s">
        <v>7286</v>
      </c>
      <c r="AJ978" s="41">
        <v>0.5</v>
      </c>
    </row>
    <row r="979" spans="1:36" ht="35.1" hidden="1" customHeight="1" x14ac:dyDescent="0.25">
      <c r="A979" s="40">
        <v>1466</v>
      </c>
      <c r="B979" s="90" t="s">
        <v>3597</v>
      </c>
      <c r="C979" s="90" t="s">
        <v>560</v>
      </c>
      <c r="D979" s="44">
        <v>2025</v>
      </c>
      <c r="E979" s="44"/>
      <c r="F979" s="40" t="s">
        <v>1331</v>
      </c>
      <c r="G979" s="40" t="s">
        <v>1259</v>
      </c>
      <c r="H979" s="40" t="s">
        <v>467</v>
      </c>
      <c r="I979" s="40" t="s">
        <v>1266</v>
      </c>
      <c r="K979" s="90" t="s">
        <v>578</v>
      </c>
      <c r="L979" s="90"/>
      <c r="M979" s="90"/>
      <c r="N979" s="90"/>
      <c r="O979" s="90">
        <v>1</v>
      </c>
      <c r="P979" s="90"/>
      <c r="Q979" s="90"/>
      <c r="R979" s="90"/>
      <c r="S979" s="90"/>
      <c r="T979" s="90"/>
      <c r="U979" s="90"/>
      <c r="V979" s="90"/>
      <c r="W979" s="90"/>
      <c r="X979" s="90"/>
      <c r="Y979" s="90"/>
      <c r="Z979" s="40" t="s">
        <v>2675</v>
      </c>
      <c r="AA979" s="91">
        <v>12</v>
      </c>
      <c r="AB979" s="46">
        <f>IF(H2ProjectDB689571011[[#This Row],[Dummy_1]]="Electrolysis",
AA979/VLOOKUP(G979,ElectrolysisConvF,3,FALSE),
AC979*10^6/(H2dens*HoursInYear))</f>
        <v>2666.666666666667</v>
      </c>
      <c r="AC979" s="47">
        <f t="shared" si="79"/>
        <v>2.07904</v>
      </c>
      <c r="AD979" s="92"/>
      <c r="AE979" s="92">
        <f t="shared" si="78"/>
        <v>2666.666666666667</v>
      </c>
      <c r="AF979" s="93" t="s">
        <v>3598</v>
      </c>
      <c r="AG979" s="43">
        <v>-36.751210130290303</v>
      </c>
      <c r="AH979" s="43">
        <v>-73.124981548414596</v>
      </c>
      <c r="AI979" s="122" t="s">
        <v>7286</v>
      </c>
      <c r="AJ979" s="41">
        <v>0.56999999999999995</v>
      </c>
    </row>
    <row r="980" spans="1:36" ht="35.1" hidden="1" customHeight="1" x14ac:dyDescent="0.25">
      <c r="A980" s="40">
        <v>1467</v>
      </c>
      <c r="B980" s="40" t="s">
        <v>5476</v>
      </c>
      <c r="C980" s="90" t="s">
        <v>1764</v>
      </c>
      <c r="D980" s="44">
        <v>2023</v>
      </c>
      <c r="E980" s="44"/>
      <c r="F980" s="40" t="s">
        <v>1339</v>
      </c>
      <c r="G980" s="40" t="s">
        <v>1259</v>
      </c>
      <c r="H980" s="40" t="s">
        <v>467</v>
      </c>
      <c r="I980" s="40" t="s">
        <v>1269</v>
      </c>
      <c r="J980" s="90" t="s">
        <v>1391</v>
      </c>
      <c r="K980" s="90" t="s">
        <v>578</v>
      </c>
      <c r="L980" s="90"/>
      <c r="M980" s="90"/>
      <c r="N980" s="90"/>
      <c r="O980" s="90"/>
      <c r="P980" s="90"/>
      <c r="Q980" s="90"/>
      <c r="R980" s="90"/>
      <c r="S980" s="90"/>
      <c r="T980" s="90"/>
      <c r="U980" s="90"/>
      <c r="V980" s="90"/>
      <c r="W980" s="90"/>
      <c r="X980" s="90"/>
      <c r="Y980" s="90"/>
      <c r="Z980" s="90" t="s">
        <v>1484</v>
      </c>
      <c r="AA980" s="91">
        <v>5</v>
      </c>
      <c r="AB980" s="46">
        <f>IF(H2ProjectDB689571011[[#This Row],[Dummy_1]]="Electrolysis",
AA980/VLOOKUP(G980,ElectrolysisConvF,3,FALSE),
AC980*10^6/(H2dens*HoursInYear))</f>
        <v>1111.1111111111111</v>
      </c>
      <c r="AC980" s="47">
        <f t="shared" si="79"/>
        <v>0.86626666666666663</v>
      </c>
      <c r="AD980" s="92"/>
      <c r="AE980" s="92">
        <f t="shared" si="78"/>
        <v>1111.1111111111111</v>
      </c>
      <c r="AF980" s="43" t="s">
        <v>6582</v>
      </c>
      <c r="AG980" s="43">
        <v>36.185140223750899</v>
      </c>
      <c r="AH980" s="43">
        <v>-5.4926091681151199</v>
      </c>
      <c r="AI980" s="122" t="s">
        <v>7286</v>
      </c>
      <c r="AJ980" s="41">
        <v>0.3</v>
      </c>
    </row>
    <row r="981" spans="1:36" ht="35.1" hidden="1" customHeight="1" x14ac:dyDescent="0.25">
      <c r="A981" s="40">
        <v>1468</v>
      </c>
      <c r="B981" s="90" t="s">
        <v>3432</v>
      </c>
      <c r="C981" s="90" t="s">
        <v>1929</v>
      </c>
      <c r="D981" s="90"/>
      <c r="E981" s="90"/>
      <c r="F981" s="40" t="s">
        <v>2222</v>
      </c>
      <c r="G981" s="40" t="s">
        <v>1259</v>
      </c>
      <c r="H981" s="40" t="s">
        <v>467</v>
      </c>
      <c r="I981" s="40" t="s">
        <v>1269</v>
      </c>
      <c r="J981" s="90" t="s">
        <v>1394</v>
      </c>
      <c r="K981" s="90" t="s">
        <v>578</v>
      </c>
      <c r="L981" s="90"/>
      <c r="M981" s="90"/>
      <c r="N981" s="90"/>
      <c r="O981" s="90"/>
      <c r="P981" s="90">
        <v>1</v>
      </c>
      <c r="Q981" s="90"/>
      <c r="R981" s="90"/>
      <c r="S981" s="90"/>
      <c r="T981" s="90"/>
      <c r="U981" s="90">
        <v>1</v>
      </c>
      <c r="V981" s="90"/>
      <c r="W981" s="90"/>
      <c r="X981" s="90"/>
      <c r="Y981" s="90"/>
      <c r="Z981" s="90"/>
      <c r="AA981" s="91"/>
      <c r="AB981" s="92"/>
      <c r="AC981" s="92"/>
      <c r="AD981" s="92"/>
      <c r="AE981" s="92">
        <f t="shared" si="78"/>
        <v>0</v>
      </c>
      <c r="AF981" s="93" t="s">
        <v>3434</v>
      </c>
      <c r="AG981" s="43">
        <v>-5.5442188171421698</v>
      </c>
      <c r="AH981" s="43">
        <v>13.557405988054301</v>
      </c>
      <c r="AI981" s="122" t="s">
        <v>7286</v>
      </c>
      <c r="AJ981" s="41">
        <v>0.8</v>
      </c>
    </row>
    <row r="982" spans="1:36" ht="35.1" hidden="1" customHeight="1" x14ac:dyDescent="0.25">
      <c r="A982" s="40">
        <v>1469</v>
      </c>
      <c r="B982" s="40" t="s">
        <v>3442</v>
      </c>
      <c r="C982" s="40" t="s">
        <v>537</v>
      </c>
      <c r="D982" s="44">
        <v>2026</v>
      </c>
      <c r="E982" s="44"/>
      <c r="F982" s="40" t="s">
        <v>5701</v>
      </c>
      <c r="G982" s="40" t="s">
        <v>457</v>
      </c>
      <c r="I982" s="40" t="s">
        <v>1269</v>
      </c>
      <c r="J982" s="40" t="s">
        <v>1392</v>
      </c>
      <c r="K982" s="40" t="s">
        <v>578</v>
      </c>
      <c r="Q982" s="40">
        <v>1</v>
      </c>
      <c r="Z982" s="40" t="s">
        <v>1577</v>
      </c>
      <c r="AA982" s="45">
        <v>40</v>
      </c>
      <c r="AB982" s="46">
        <f>IF(H2ProjectDB689571011[[#This Row],[Dummy_1]]="Electrolysis",
AA982/VLOOKUP(G982,ElectrolysisConvF,3,FALSE),
AC982*10^6/(H2dens*HoursInYear))</f>
        <v>8695.652173913044</v>
      </c>
      <c r="AC982" s="47">
        <f>AB982*H2dens*HoursInYear/10^6</f>
        <v>6.7794782608695652</v>
      </c>
      <c r="AE982" s="46">
        <f>AB982</f>
        <v>8695.652173913044</v>
      </c>
      <c r="AF982" s="43" t="s">
        <v>3443</v>
      </c>
      <c r="AG982" s="43">
        <v>40.781632150911399</v>
      </c>
      <c r="AH982" s="43">
        <v>114.867657780727</v>
      </c>
      <c r="AI982" s="122" t="s">
        <v>7286</v>
      </c>
      <c r="AJ982" s="41">
        <v>0.4</v>
      </c>
    </row>
    <row r="983" spans="1:36" ht="35.1" hidden="1" customHeight="1" x14ac:dyDescent="0.25">
      <c r="A983" s="40">
        <v>1470</v>
      </c>
      <c r="B983" s="90" t="s">
        <v>3444</v>
      </c>
      <c r="C983" s="90" t="s">
        <v>534</v>
      </c>
      <c r="D983" s="44">
        <v>2028</v>
      </c>
      <c r="E983" s="44"/>
      <c r="F983" s="40" t="s">
        <v>1331</v>
      </c>
      <c r="G983" s="40" t="s">
        <v>1259</v>
      </c>
      <c r="H983" s="40" t="s">
        <v>467</v>
      </c>
      <c r="I983" s="40" t="s">
        <v>1269</v>
      </c>
      <c r="J983" s="90" t="s">
        <v>1394</v>
      </c>
      <c r="K983" s="90" t="s">
        <v>578</v>
      </c>
      <c r="L983" s="90"/>
      <c r="M983" s="90"/>
      <c r="N983" s="90"/>
      <c r="O983" s="90"/>
      <c r="P983" s="90"/>
      <c r="Q983" s="90"/>
      <c r="R983" s="90"/>
      <c r="S983" s="90"/>
      <c r="T983" s="90"/>
      <c r="U983" s="90"/>
      <c r="V983" s="90"/>
      <c r="W983" s="90"/>
      <c r="X983" s="90"/>
      <c r="Y983" s="90"/>
      <c r="Z983" s="40" t="s">
        <v>4997</v>
      </c>
      <c r="AA983" s="47">
        <f>IF(H2ProjectDB689571011[[#This Row],[Dummy_1]]="Electrolysis",
AB983*VLOOKUP(G983,ElectrolysisConvF,3,FALSE),
"")</f>
        <v>50.504078805602589</v>
      </c>
      <c r="AB983" s="47">
        <f>AC983/(H2dens*HoursInYear/10^6)</f>
        <v>11223.128623467243</v>
      </c>
      <c r="AC983" s="92">
        <f>7/H2ProjectDB689571011[[#This Row],[LOWE_CF]]</f>
        <v>8.75</v>
      </c>
      <c r="AD983" s="92"/>
      <c r="AE983" s="92">
        <f t="shared" ref="AE983:AE1011" si="80">IF(AND(G983&lt;&gt;"NG w CCUS",G983&lt;&gt;"Oil w CCUS",G983&lt;&gt;"Coal w CCUS"),AB983,AD983*10^3/(HoursInYear*IF(G983="NG w CCUS",0.9105,1.9075)))</f>
        <v>11223.128623467243</v>
      </c>
      <c r="AF983" s="43" t="s">
        <v>7663</v>
      </c>
      <c r="AG983" s="43">
        <v>3.16772922820277</v>
      </c>
      <c r="AH983" s="43">
        <v>113.003279715861</v>
      </c>
      <c r="AI983" s="122" t="s">
        <v>7286</v>
      </c>
      <c r="AJ983" s="41">
        <v>0.8</v>
      </c>
    </row>
    <row r="984" spans="1:36" ht="35.1" hidden="1" customHeight="1" x14ac:dyDescent="0.25">
      <c r="A984" s="40">
        <v>1471</v>
      </c>
      <c r="B984" s="90" t="s">
        <v>3445</v>
      </c>
      <c r="C984" s="90" t="s">
        <v>534</v>
      </c>
      <c r="D984" s="90"/>
      <c r="E984" s="90"/>
      <c r="F984" s="40" t="s">
        <v>2222</v>
      </c>
      <c r="G984" s="40" t="s">
        <v>1259</v>
      </c>
      <c r="H984" s="40" t="s">
        <v>467</v>
      </c>
      <c r="I984" s="40" t="s">
        <v>1269</v>
      </c>
      <c r="J984" s="90" t="s">
        <v>1394</v>
      </c>
      <c r="K984" s="90" t="s">
        <v>1243</v>
      </c>
      <c r="L984" s="90"/>
      <c r="M984" s="90">
        <v>1</v>
      </c>
      <c r="N984" s="90"/>
      <c r="O984" s="90"/>
      <c r="P984" s="90"/>
      <c r="Q984" s="90"/>
      <c r="R984" s="90"/>
      <c r="S984" s="90"/>
      <c r="T984" s="90"/>
      <c r="U984" s="90"/>
      <c r="V984" s="90"/>
      <c r="W984" s="90"/>
      <c r="X984" s="90"/>
      <c r="Y984" s="90"/>
      <c r="Z984" s="40" t="s">
        <v>4996</v>
      </c>
      <c r="AA984" s="47">
        <f>IF(H2ProjectDB689571011[[#This Row],[Dummy_1]]="Electrolysis",
AB984*VLOOKUP(G984,ElectrolysisConvF,3,FALSE),
"")</f>
        <v>818.49334308142227</v>
      </c>
      <c r="AB984" s="47">
        <f>AC984/(H2dens*HoursInYear/10^6)</f>
        <v>181887.40957364941</v>
      </c>
      <c r="AC984" s="92">
        <f>630*0.180072/H2ProjectDB689571011[[#This Row],[LOWE_CF]]</f>
        <v>141.80670000000001</v>
      </c>
      <c r="AD984" s="92"/>
      <c r="AE984" s="92">
        <f t="shared" si="80"/>
        <v>181887.40957364941</v>
      </c>
      <c r="AF984" s="43" t="s">
        <v>7663</v>
      </c>
      <c r="AG984" s="43">
        <v>3.16772922820277</v>
      </c>
      <c r="AH984" s="43">
        <v>113.003279715861</v>
      </c>
      <c r="AI984" s="122" t="s">
        <v>7286</v>
      </c>
      <c r="AJ984" s="41">
        <v>0.8</v>
      </c>
    </row>
    <row r="985" spans="1:36" ht="35.1" hidden="1" customHeight="1" x14ac:dyDescent="0.25">
      <c r="A985" s="40">
        <v>1472</v>
      </c>
      <c r="B985" s="90" t="s">
        <v>3446</v>
      </c>
      <c r="C985" s="90" t="s">
        <v>534</v>
      </c>
      <c r="D985" s="90"/>
      <c r="E985" s="90"/>
      <c r="F985" s="40" t="s">
        <v>2222</v>
      </c>
      <c r="G985" s="40" t="s">
        <v>1259</v>
      </c>
      <c r="H985" s="40" t="s">
        <v>467</v>
      </c>
      <c r="I985" s="40" t="s">
        <v>1269</v>
      </c>
      <c r="J985" s="90" t="s">
        <v>1394</v>
      </c>
      <c r="K985" s="90" t="s">
        <v>1242</v>
      </c>
      <c r="L985" s="90"/>
      <c r="M985" s="90"/>
      <c r="N985" s="90"/>
      <c r="O985" s="90"/>
      <c r="P985" s="90"/>
      <c r="Q985" s="90"/>
      <c r="R985" s="90"/>
      <c r="S985" s="90"/>
      <c r="T985" s="90"/>
      <c r="U985" s="90"/>
      <c r="V985" s="90"/>
      <c r="W985" s="90"/>
      <c r="X985" s="90"/>
      <c r="Y985" s="90"/>
      <c r="Z985" s="40" t="s">
        <v>4998</v>
      </c>
      <c r="AA985" s="47">
        <f>IF(H2ProjectDB689571011[[#This Row],[Dummy_1]]="Electrolysis",
AB985*VLOOKUP(G985,ElectrolysisConvF,3,FALSE),
"")</f>
        <v>634.9835981991688</v>
      </c>
      <c r="AB985" s="47">
        <f>AC985/(H2dens*HoursInYear/10^6)</f>
        <v>141107.46626648196</v>
      </c>
      <c r="AC985" s="92">
        <f>460*0.191327/H2ProjectDB689571011[[#This Row],[LOWE_CF]]</f>
        <v>110.01302499999998</v>
      </c>
      <c r="AD985" s="92"/>
      <c r="AE985" s="92">
        <f t="shared" si="80"/>
        <v>141107.46626648196</v>
      </c>
      <c r="AF985" s="43" t="s">
        <v>7663</v>
      </c>
      <c r="AG985" s="43">
        <v>3.16772922820277</v>
      </c>
      <c r="AH985" s="43">
        <v>113.003279715861</v>
      </c>
      <c r="AI985" s="122" t="s">
        <v>7286</v>
      </c>
      <c r="AJ985" s="41">
        <v>0.8</v>
      </c>
    </row>
    <row r="986" spans="1:36" ht="35.1" hidden="1" customHeight="1" x14ac:dyDescent="0.25">
      <c r="A986" s="40">
        <v>1474</v>
      </c>
      <c r="B986" s="40" t="s">
        <v>4058</v>
      </c>
      <c r="C986" s="90" t="s">
        <v>543</v>
      </c>
      <c r="D986" s="44">
        <v>2025</v>
      </c>
      <c r="E986" s="44"/>
      <c r="F986" s="40" t="s">
        <v>2222</v>
      </c>
      <c r="G986" s="40" t="s">
        <v>1259</v>
      </c>
      <c r="H986" s="40" t="s">
        <v>467</v>
      </c>
      <c r="I986" s="40" t="s">
        <v>1269</v>
      </c>
      <c r="J986" s="90" t="s">
        <v>1391</v>
      </c>
      <c r="K986" s="90" t="s">
        <v>1243</v>
      </c>
      <c r="L986" s="90"/>
      <c r="M986" s="90">
        <v>1</v>
      </c>
      <c r="N986" s="90"/>
      <c r="O986" s="90"/>
      <c r="P986" s="90"/>
      <c r="Q986" s="90"/>
      <c r="R986" s="90"/>
      <c r="S986" s="90"/>
      <c r="T986" s="90"/>
      <c r="U986" s="90"/>
      <c r="V986" s="90"/>
      <c r="W986" s="90"/>
      <c r="X986" s="90"/>
      <c r="Y986" s="90"/>
      <c r="Z986" s="90" t="s">
        <v>1574</v>
      </c>
      <c r="AA986" s="91">
        <v>200</v>
      </c>
      <c r="AB986" s="46">
        <f>IF(H2ProjectDB689571011[[#This Row],[Dummy_1]]="Electrolysis",
AA986/VLOOKUP(G986,ElectrolysisConvF,3,FALSE),
AC986*10^6/(H2dens*HoursInYear))</f>
        <v>44444.444444444445</v>
      </c>
      <c r="AC986" s="47">
        <f>AB986*H2dens*HoursInYear/10^6</f>
        <v>34.650666666666666</v>
      </c>
      <c r="AD986" s="92"/>
      <c r="AE986" s="92">
        <f t="shared" si="80"/>
        <v>44444.444444444445</v>
      </c>
      <c r="AF986" s="43" t="s">
        <v>4201</v>
      </c>
      <c r="AG986" s="43">
        <v>24.4852421565258</v>
      </c>
      <c r="AH986" s="43">
        <v>54.392728038977801</v>
      </c>
      <c r="AI986" s="122" t="s">
        <v>7286</v>
      </c>
      <c r="AJ986" s="41">
        <v>0.3</v>
      </c>
    </row>
    <row r="987" spans="1:36" ht="35.1" hidden="1" customHeight="1" x14ac:dyDescent="0.25">
      <c r="A987" s="40">
        <v>1475</v>
      </c>
      <c r="B987" s="90" t="s">
        <v>3453</v>
      </c>
      <c r="C987" s="90" t="s">
        <v>559</v>
      </c>
      <c r="D987" s="90">
        <v>1992</v>
      </c>
      <c r="E987" s="90"/>
      <c r="F987" s="90" t="s">
        <v>1339</v>
      </c>
      <c r="G987" s="90" t="s">
        <v>457</v>
      </c>
      <c r="H987" s="90"/>
      <c r="I987" s="90" t="s">
        <v>1680</v>
      </c>
      <c r="J987" s="90"/>
      <c r="K987" s="90" t="s">
        <v>578</v>
      </c>
      <c r="L987" s="90"/>
      <c r="M987" s="90"/>
      <c r="N987" s="90"/>
      <c r="O987" s="90"/>
      <c r="P987" s="90">
        <v>1</v>
      </c>
      <c r="Q987" s="90"/>
      <c r="R987" s="90"/>
      <c r="S987" s="90"/>
      <c r="T987" s="90"/>
      <c r="U987" s="90"/>
      <c r="V987" s="90"/>
      <c r="W987" s="90"/>
      <c r="X987" s="90"/>
      <c r="Y987" s="90"/>
      <c r="Z987" s="40" t="s">
        <v>5923</v>
      </c>
      <c r="AA987" s="91">
        <v>0.7</v>
      </c>
      <c r="AB987" s="46">
        <f>IF(H2ProjectDB689571011[[#This Row],[Dummy_1]]="Electrolysis",
AA987/VLOOKUP(G987,ElectrolysisConvF,3,FALSE),
AC987*10^6/(H2dens*HoursInYear))</f>
        <v>152.17391304347825</v>
      </c>
      <c r="AC987" s="47">
        <f>AB987*H2dens*HoursInYear/10^6</f>
        <v>0.1186408695652174</v>
      </c>
      <c r="AD987" s="92"/>
      <c r="AE987" s="92">
        <f t="shared" si="80"/>
        <v>152.17391304347825</v>
      </c>
      <c r="AF987" s="93" t="s">
        <v>3455</v>
      </c>
      <c r="AG987" s="43">
        <v>57.4169938413905</v>
      </c>
      <c r="AH987" s="43">
        <v>16.673019015345499</v>
      </c>
      <c r="AI987" s="122" t="s">
        <v>7286</v>
      </c>
      <c r="AJ987" s="41">
        <v>0.8</v>
      </c>
    </row>
    <row r="988" spans="1:36" ht="35.1" hidden="1" customHeight="1" x14ac:dyDescent="0.25">
      <c r="A988" s="40">
        <v>1476</v>
      </c>
      <c r="B988" s="90" t="s">
        <v>5957</v>
      </c>
      <c r="C988" s="90" t="s">
        <v>530</v>
      </c>
      <c r="D988" s="44">
        <v>2026</v>
      </c>
      <c r="E988" s="44"/>
      <c r="F988" s="40" t="s">
        <v>1331</v>
      </c>
      <c r="G988" s="40" t="s">
        <v>1259</v>
      </c>
      <c r="H988" s="40" t="s">
        <v>467</v>
      </c>
      <c r="I988" s="40" t="s">
        <v>1257</v>
      </c>
      <c r="J988" s="90"/>
      <c r="K988" s="90" t="s">
        <v>578</v>
      </c>
      <c r="L988" s="90">
        <v>1</v>
      </c>
      <c r="M988" s="90"/>
      <c r="N988" s="90"/>
      <c r="O988" s="90">
        <v>1</v>
      </c>
      <c r="P988" s="90">
        <v>1</v>
      </c>
      <c r="Q988" s="90"/>
      <c r="R988" s="90"/>
      <c r="S988" s="90"/>
      <c r="T988" s="90"/>
      <c r="U988" s="90"/>
      <c r="V988" s="90"/>
      <c r="W988" s="90"/>
      <c r="X988" s="90"/>
      <c r="Y988" s="90"/>
      <c r="Z988" s="90" t="s">
        <v>1485</v>
      </c>
      <c r="AA988" s="91">
        <v>100</v>
      </c>
      <c r="AB988" s="46">
        <f>IF(H2ProjectDB689571011[[#This Row],[Dummy_1]]="Electrolysis",
AA988/VLOOKUP(G988,ElectrolysisConvF,3,FALSE),
AC988*10^6/(H2dens*HoursInYear))</f>
        <v>22222.222222222223</v>
      </c>
      <c r="AC988" s="47">
        <f>AB988*H2dens*HoursInYear/10^6</f>
        <v>17.325333333333333</v>
      </c>
      <c r="AD988" s="92"/>
      <c r="AE988" s="92">
        <f t="shared" si="80"/>
        <v>22222.222222222223</v>
      </c>
      <c r="AF988" s="93" t="s">
        <v>3747</v>
      </c>
      <c r="AG988" s="43">
        <v>43.416852212323903</v>
      </c>
      <c r="AH988" s="43">
        <v>4.8343980348886797</v>
      </c>
      <c r="AI988" s="122" t="s">
        <v>7286</v>
      </c>
      <c r="AJ988" s="41">
        <v>0.56999999999999995</v>
      </c>
    </row>
    <row r="989" spans="1:36" ht="35.1" hidden="1" customHeight="1" x14ac:dyDescent="0.25">
      <c r="A989" s="40">
        <v>1477</v>
      </c>
      <c r="B989" s="90" t="s">
        <v>5958</v>
      </c>
      <c r="C989" s="90" t="s">
        <v>530</v>
      </c>
      <c r="D989" s="44">
        <v>2031</v>
      </c>
      <c r="E989" s="44"/>
      <c r="F989" s="40" t="s">
        <v>1331</v>
      </c>
      <c r="G989" s="40" t="s">
        <v>1259</v>
      </c>
      <c r="H989" s="40" t="s">
        <v>467</v>
      </c>
      <c r="I989" s="40" t="s">
        <v>1257</v>
      </c>
      <c r="J989" s="90"/>
      <c r="K989" s="90" t="s">
        <v>578</v>
      </c>
      <c r="L989" s="90">
        <v>1</v>
      </c>
      <c r="M989" s="90"/>
      <c r="N989" s="90"/>
      <c r="O989" s="90">
        <v>1</v>
      </c>
      <c r="P989" s="90">
        <v>1</v>
      </c>
      <c r="Q989" s="90"/>
      <c r="R989" s="90"/>
      <c r="S989" s="90"/>
      <c r="T989" s="90"/>
      <c r="U989" s="90"/>
      <c r="V989" s="90"/>
      <c r="W989" s="90"/>
      <c r="X989" s="90"/>
      <c r="Y989" s="90"/>
      <c r="Z989" s="90" t="s">
        <v>2038</v>
      </c>
      <c r="AA989" s="91">
        <v>100</v>
      </c>
      <c r="AB989" s="46">
        <f>IF(H2ProjectDB689571011[[#This Row],[Dummy_1]]="Electrolysis",
AA989/VLOOKUP(G989,ElectrolysisConvF,3,FALSE),
AC989*10^6/(H2dens*HoursInYear))</f>
        <v>22222.222222222223</v>
      </c>
      <c r="AC989" s="47">
        <f>AB989*H2dens*HoursInYear/10^6</f>
        <v>17.325333333333333</v>
      </c>
      <c r="AD989" s="92"/>
      <c r="AE989" s="92">
        <f t="shared" si="80"/>
        <v>22222.222222222223</v>
      </c>
      <c r="AF989" s="93" t="s">
        <v>3747</v>
      </c>
      <c r="AG989" s="43">
        <v>43.416852212323903</v>
      </c>
      <c r="AH989" s="43">
        <v>4.8343980348886797</v>
      </c>
      <c r="AI989" s="122" t="s">
        <v>7286</v>
      </c>
      <c r="AJ989" s="41">
        <v>0.56999999999999995</v>
      </c>
    </row>
    <row r="990" spans="1:36" ht="35.1" hidden="1" customHeight="1" x14ac:dyDescent="0.25">
      <c r="A990" s="40">
        <v>1478</v>
      </c>
      <c r="B990" s="40" t="s">
        <v>5990</v>
      </c>
      <c r="C990" s="90" t="s">
        <v>530</v>
      </c>
      <c r="D990" s="44">
        <v>2023</v>
      </c>
      <c r="E990" s="90"/>
      <c r="F990" s="90" t="s">
        <v>1339</v>
      </c>
      <c r="G990" s="90" t="s">
        <v>457</v>
      </c>
      <c r="H990" s="90"/>
      <c r="I990" s="40" t="s">
        <v>1266</v>
      </c>
      <c r="J990" s="90"/>
      <c r="K990" s="90" t="s">
        <v>578</v>
      </c>
      <c r="L990" s="90"/>
      <c r="M990" s="90"/>
      <c r="N990" s="90"/>
      <c r="O990" s="90"/>
      <c r="P990" s="90"/>
      <c r="Q990" s="90">
        <v>1</v>
      </c>
      <c r="R990" s="90"/>
      <c r="S990" s="90"/>
      <c r="T990" s="90"/>
      <c r="U990" s="90"/>
      <c r="V990" s="90"/>
      <c r="W990" s="90"/>
      <c r="X990" s="90"/>
      <c r="Y990" s="90"/>
      <c r="Z990" s="40" t="s">
        <v>5992</v>
      </c>
      <c r="AA990" s="91">
        <v>1</v>
      </c>
      <c r="AB990" s="46">
        <f>IF(H2ProjectDB689571011[[#This Row],[Dummy_1]]="Electrolysis",
AA990/VLOOKUP(G990,ElectrolysisConvF,3,FALSE),
AC990*10^6/(H2dens*HoursInYear))</f>
        <v>217.39130434782609</v>
      </c>
      <c r="AC990" s="47">
        <f>AB990*H2dens*HoursInYear/10^6</f>
        <v>0.16948695652173912</v>
      </c>
      <c r="AD990" s="92"/>
      <c r="AE990" s="92">
        <f t="shared" si="80"/>
        <v>217.39130434782609</v>
      </c>
      <c r="AF990" s="93" t="s">
        <v>3457</v>
      </c>
      <c r="AG990" s="43">
        <v>47.619245091977199</v>
      </c>
      <c r="AH990" s="43">
        <v>6.8650378524872204</v>
      </c>
      <c r="AI990" s="122" t="s">
        <v>7286</v>
      </c>
      <c r="AJ990" s="41">
        <v>0.56999999999999995</v>
      </c>
    </row>
    <row r="991" spans="1:36" ht="35.1" hidden="1" customHeight="1" x14ac:dyDescent="0.25">
      <c r="A991" s="40">
        <v>1479</v>
      </c>
      <c r="B991" s="90" t="s">
        <v>3460</v>
      </c>
      <c r="C991" s="90" t="s">
        <v>536</v>
      </c>
      <c r="D991" s="90">
        <v>2021</v>
      </c>
      <c r="E991" s="90"/>
      <c r="F991" s="90" t="s">
        <v>1540</v>
      </c>
      <c r="G991" s="90" t="s">
        <v>1263</v>
      </c>
      <c r="H991" s="90" t="s">
        <v>3461</v>
      </c>
      <c r="I991" s="90"/>
      <c r="J991" s="90"/>
      <c r="K991" s="90" t="s">
        <v>578</v>
      </c>
      <c r="L991" s="90"/>
      <c r="M991" s="90"/>
      <c r="N991" s="90"/>
      <c r="O991" s="90"/>
      <c r="P991" s="90"/>
      <c r="Q991" s="90"/>
      <c r="R991" s="90"/>
      <c r="S991" s="90"/>
      <c r="T991" s="90"/>
      <c r="U991" s="90"/>
      <c r="V991" s="90"/>
      <c r="W991" s="90"/>
      <c r="X991" s="90"/>
      <c r="Y991" s="90"/>
      <c r="Z991" s="90" t="s">
        <v>2630</v>
      </c>
      <c r="AA991" s="91" t="str">
        <f>IF(OR(G991="ALK",G991="PEM",G991="SOEC",G991="Other Electrolysis"),
AB991*VLOOKUP(G991,ElectrolysisConvF,3,FALSE),
"")</f>
        <v/>
      </c>
      <c r="AB991" s="46">
        <f>IF(H2ProjectDB689571011[[#This Row],[Dummy_1]]="Electrolysis",
AA991/VLOOKUP(G991,ElectrolysisConvF,3,FALSE),
AC991*10^6/(H2dens*HoursInYear))</f>
        <v>468.16479400749063</v>
      </c>
      <c r="AC991" s="92">
        <v>0.36499999999999999</v>
      </c>
      <c r="AD991" s="92"/>
      <c r="AE991" s="92">
        <f t="shared" si="80"/>
        <v>468.16479400749063</v>
      </c>
      <c r="AF991" s="93" t="s">
        <v>3462</v>
      </c>
      <c r="AG991" s="43">
        <v>33.9865765996311</v>
      </c>
      <c r="AH991" s="43">
        <v>-118.476313802775</v>
      </c>
      <c r="AI991" s="122" t="s">
        <v>1255</v>
      </c>
      <c r="AJ991" s="41">
        <v>0.9</v>
      </c>
    </row>
    <row r="992" spans="1:36" ht="35.1" hidden="1" customHeight="1" x14ac:dyDescent="0.25">
      <c r="A992" s="40">
        <v>1480</v>
      </c>
      <c r="B992" s="90" t="s">
        <v>3464</v>
      </c>
      <c r="C992" s="90" t="s">
        <v>545</v>
      </c>
      <c r="D992" s="90"/>
      <c r="E992" s="90"/>
      <c r="F992" s="40" t="s">
        <v>2222</v>
      </c>
      <c r="G992" s="40" t="s">
        <v>1259</v>
      </c>
      <c r="H992" s="40" t="s">
        <v>467</v>
      </c>
      <c r="I992" s="40" t="s">
        <v>1269</v>
      </c>
      <c r="J992" s="90" t="s">
        <v>1395</v>
      </c>
      <c r="K992" s="90" t="s">
        <v>578</v>
      </c>
      <c r="L992" s="90"/>
      <c r="M992" s="90"/>
      <c r="N992" s="90"/>
      <c r="O992" s="90"/>
      <c r="P992" s="90"/>
      <c r="Q992" s="90"/>
      <c r="R992" s="90"/>
      <c r="S992" s="90"/>
      <c r="T992" s="90"/>
      <c r="U992" s="90"/>
      <c r="V992" s="90"/>
      <c r="W992" s="90"/>
      <c r="X992" s="90"/>
      <c r="Y992" s="90"/>
      <c r="Z992" s="90"/>
      <c r="AA992" s="91"/>
      <c r="AB992" s="92"/>
      <c r="AC992" s="92"/>
      <c r="AD992" s="92"/>
      <c r="AE992" s="92">
        <f t="shared" si="80"/>
        <v>0</v>
      </c>
      <c r="AF992" s="93" t="s">
        <v>3466</v>
      </c>
      <c r="AG992" s="43">
        <v>57.122453037672202</v>
      </c>
      <c r="AH992" s="43">
        <v>8.5932193994042603</v>
      </c>
      <c r="AI992" s="122" t="s">
        <v>7286</v>
      </c>
      <c r="AJ992" s="41">
        <v>0.5</v>
      </c>
    </row>
    <row r="993" spans="1:36" ht="35.1" hidden="1" customHeight="1" x14ac:dyDescent="0.25">
      <c r="A993" s="40">
        <v>1481</v>
      </c>
      <c r="B993" s="90" t="s">
        <v>3467</v>
      </c>
      <c r="C993" s="90" t="s">
        <v>545</v>
      </c>
      <c r="D993" s="44">
        <v>2025</v>
      </c>
      <c r="E993" s="44"/>
      <c r="F993" s="40" t="s">
        <v>2222</v>
      </c>
      <c r="G993" s="40" t="s">
        <v>1259</v>
      </c>
      <c r="H993" s="40" t="s">
        <v>467</v>
      </c>
      <c r="I993" s="40" t="s">
        <v>1269</v>
      </c>
      <c r="J993" s="90" t="s">
        <v>1395</v>
      </c>
      <c r="K993" s="40" t="s">
        <v>1242</v>
      </c>
      <c r="N993" s="40">
        <v>1</v>
      </c>
      <c r="O993" s="90"/>
      <c r="P993" s="90"/>
      <c r="Q993" s="90"/>
      <c r="R993" s="90"/>
      <c r="S993" s="90"/>
      <c r="T993" s="90"/>
      <c r="U993" s="90"/>
      <c r="V993" s="90"/>
      <c r="W993" s="90"/>
      <c r="X993" s="90"/>
      <c r="Y993" s="90"/>
      <c r="Z993" s="90"/>
      <c r="AA993" s="91"/>
      <c r="AB993" s="92"/>
      <c r="AC993" s="92"/>
      <c r="AD993" s="92"/>
      <c r="AE993" s="92">
        <f t="shared" si="80"/>
        <v>0</v>
      </c>
      <c r="AF993" s="93" t="s">
        <v>3466</v>
      </c>
      <c r="AG993" s="43">
        <v>57.122453037672202</v>
      </c>
      <c r="AH993" s="43">
        <v>8.5932193994042603</v>
      </c>
      <c r="AI993" s="122" t="s">
        <v>7286</v>
      </c>
      <c r="AJ993" s="41">
        <v>0.5</v>
      </c>
    </row>
    <row r="994" spans="1:36" ht="35.1" hidden="1" customHeight="1" x14ac:dyDescent="0.25">
      <c r="A994" s="40">
        <v>1482</v>
      </c>
      <c r="B994" s="90" t="s">
        <v>3472</v>
      </c>
      <c r="C994" s="90" t="s">
        <v>1305</v>
      </c>
      <c r="D994" s="44">
        <v>2024</v>
      </c>
      <c r="E994" s="44"/>
      <c r="F994" s="40" t="s">
        <v>1331</v>
      </c>
      <c r="G994" s="40" t="s">
        <v>457</v>
      </c>
      <c r="I994" s="40" t="s">
        <v>1269</v>
      </c>
      <c r="J994" s="90" t="s">
        <v>1391</v>
      </c>
      <c r="K994" s="40" t="s">
        <v>578</v>
      </c>
      <c r="O994" s="90"/>
      <c r="P994" s="90">
        <v>1</v>
      </c>
      <c r="Q994" s="90">
        <v>1</v>
      </c>
      <c r="R994" s="90"/>
      <c r="S994" s="90"/>
      <c r="T994" s="90"/>
      <c r="U994" s="90"/>
      <c r="V994" s="90"/>
      <c r="W994" s="90"/>
      <c r="X994" s="90"/>
      <c r="Y994" s="90"/>
      <c r="Z994" s="90" t="s">
        <v>1484</v>
      </c>
      <c r="AA994" s="91">
        <v>5</v>
      </c>
      <c r="AB994" s="46">
        <f>IF(H2ProjectDB689571011[[#This Row],[Dummy_1]]="Electrolysis",
AA994/VLOOKUP(G994,ElectrolysisConvF,3,FALSE),
AC994*10^6/(H2dens*HoursInYear))</f>
        <v>1086.9565217391305</v>
      </c>
      <c r="AC994" s="92">
        <f t="shared" ref="AC994:AC1000" si="81">AB994*H2dens*HoursInYear/10^6</f>
        <v>0.84743478260869565</v>
      </c>
      <c r="AD994" s="92"/>
      <c r="AE994" s="92">
        <f t="shared" si="80"/>
        <v>1086.9565217391305</v>
      </c>
      <c r="AF994" s="93" t="s">
        <v>4413</v>
      </c>
      <c r="AG994" s="43">
        <v>51.853127549675001</v>
      </c>
      <c r="AH994" s="43">
        <v>13.7097750119131</v>
      </c>
      <c r="AI994" s="122" t="s">
        <v>7286</v>
      </c>
      <c r="AJ994" s="41">
        <v>0.3</v>
      </c>
    </row>
    <row r="995" spans="1:36" ht="35.1" hidden="1" customHeight="1" x14ac:dyDescent="0.25">
      <c r="A995" s="40">
        <v>1483</v>
      </c>
      <c r="B995" s="90" t="s">
        <v>3473</v>
      </c>
      <c r="C995" s="90" t="s">
        <v>547</v>
      </c>
      <c r="D995" s="90"/>
      <c r="E995" s="90"/>
      <c r="F995" s="40" t="s">
        <v>2222</v>
      </c>
      <c r="G995" s="40" t="s">
        <v>1259</v>
      </c>
      <c r="H995" s="40" t="s">
        <v>467</v>
      </c>
      <c r="I995" s="40" t="s">
        <v>1269</v>
      </c>
      <c r="J995" s="90" t="s">
        <v>1394</v>
      </c>
      <c r="K995" s="90" t="s">
        <v>578</v>
      </c>
      <c r="L995" s="90"/>
      <c r="M995" s="90">
        <v>1</v>
      </c>
      <c r="N995" s="90"/>
      <c r="O995" s="90"/>
      <c r="P995" s="90">
        <v>1</v>
      </c>
      <c r="Q995" s="90"/>
      <c r="R995" s="90"/>
      <c r="S995" s="90"/>
      <c r="T995" s="90"/>
      <c r="U995" s="90"/>
      <c r="V995" s="90"/>
      <c r="W995" s="90"/>
      <c r="X995" s="90"/>
      <c r="Y995" s="90"/>
      <c r="Z995" s="90" t="s">
        <v>2038</v>
      </c>
      <c r="AA995" s="91">
        <v>600</v>
      </c>
      <c r="AB995" s="46">
        <f>IF(H2ProjectDB689571011[[#This Row],[Dummy_1]]="Electrolysis",
AA995/VLOOKUP(G995,ElectrolysisConvF,3,FALSE),
AC995*10^6/(H2dens*HoursInYear))</f>
        <v>133333.33333333334</v>
      </c>
      <c r="AC995" s="47">
        <f t="shared" si="81"/>
        <v>103.952</v>
      </c>
      <c r="AD995" s="92"/>
      <c r="AE995" s="92">
        <f t="shared" si="80"/>
        <v>133333.33333333334</v>
      </c>
      <c r="AF995" s="93" t="s">
        <v>3498</v>
      </c>
      <c r="AG995" s="43">
        <v>-25.414797844545699</v>
      </c>
      <c r="AH995" s="43">
        <v>-54.613480743292797</v>
      </c>
      <c r="AI995" s="122" t="s">
        <v>7286</v>
      </c>
      <c r="AJ995" s="41">
        <v>0.8</v>
      </c>
    </row>
    <row r="996" spans="1:36" ht="35.1" hidden="1" customHeight="1" x14ac:dyDescent="0.25">
      <c r="A996" s="40">
        <v>1484</v>
      </c>
      <c r="B996" s="90" t="s">
        <v>3474</v>
      </c>
      <c r="C996" s="90" t="s">
        <v>547</v>
      </c>
      <c r="D996" s="44">
        <v>2026</v>
      </c>
      <c r="E996" s="44"/>
      <c r="F996" s="40" t="s">
        <v>1331</v>
      </c>
      <c r="G996" s="40" t="s">
        <v>1259</v>
      </c>
      <c r="H996" s="40" t="s">
        <v>467</v>
      </c>
      <c r="I996" s="40" t="s">
        <v>1269</v>
      </c>
      <c r="J996" s="90" t="s">
        <v>1394</v>
      </c>
      <c r="K996" s="90" t="s">
        <v>1243</v>
      </c>
      <c r="L996" s="90"/>
      <c r="M996" s="90">
        <v>1</v>
      </c>
      <c r="N996" s="90"/>
      <c r="O996" s="90"/>
      <c r="P996" s="90"/>
      <c r="Q996" s="90"/>
      <c r="R996" s="90"/>
      <c r="S996" s="90"/>
      <c r="T996" s="90"/>
      <c r="U996" s="90"/>
      <c r="V996" s="90"/>
      <c r="W996" s="90"/>
      <c r="X996" s="90"/>
      <c r="Y996" s="90"/>
      <c r="Z996" s="90" t="s">
        <v>3475</v>
      </c>
      <c r="AA996" s="91">
        <v>350</v>
      </c>
      <c r="AB996" s="46">
        <f>IF(H2ProjectDB689571011[[#This Row],[Dummy_1]]="Electrolysis",
AA996/VLOOKUP(G996,ElectrolysisConvF,3,FALSE),
AC996*10^6/(H2dens*HoursInYear))</f>
        <v>77777.777777777781</v>
      </c>
      <c r="AC996" s="47">
        <f t="shared" si="81"/>
        <v>60.638666666666673</v>
      </c>
      <c r="AD996" s="92"/>
      <c r="AE996" s="92">
        <f t="shared" si="80"/>
        <v>77777.777777777781</v>
      </c>
      <c r="AF996" s="93" t="s">
        <v>3500</v>
      </c>
      <c r="AG996" s="43">
        <v>-25.414797844545699</v>
      </c>
      <c r="AH996" s="43">
        <v>-54.613480743292797</v>
      </c>
      <c r="AI996" s="122" t="s">
        <v>7286</v>
      </c>
      <c r="AJ996" s="41">
        <v>0.8</v>
      </c>
    </row>
    <row r="997" spans="1:36" ht="35.1" hidden="1" customHeight="1" x14ac:dyDescent="0.25">
      <c r="A997" s="40">
        <v>1485</v>
      </c>
      <c r="B997" s="90" t="s">
        <v>3477</v>
      </c>
      <c r="C997" s="90" t="s">
        <v>547</v>
      </c>
      <c r="D997" s="44">
        <v>2026</v>
      </c>
      <c r="E997" s="44"/>
      <c r="F997" s="40" t="s">
        <v>1331</v>
      </c>
      <c r="G997" s="40" t="s">
        <v>1259</v>
      </c>
      <c r="H997" s="40" t="s">
        <v>467</v>
      </c>
      <c r="I997" s="40" t="s">
        <v>1269</v>
      </c>
      <c r="J997" s="90" t="s">
        <v>1394</v>
      </c>
      <c r="K997" s="90" t="s">
        <v>578</v>
      </c>
      <c r="L997" s="90"/>
      <c r="M997" s="90">
        <v>1</v>
      </c>
      <c r="N997" s="90"/>
      <c r="O997" s="90"/>
      <c r="P997" s="90">
        <v>1</v>
      </c>
      <c r="Q997" s="90"/>
      <c r="R997" s="90"/>
      <c r="S997" s="90"/>
      <c r="T997" s="90"/>
      <c r="U997" s="90"/>
      <c r="V997" s="90"/>
      <c r="W997" s="90"/>
      <c r="X997" s="90"/>
      <c r="Y997" s="90"/>
      <c r="Z997" s="90" t="s">
        <v>3786</v>
      </c>
      <c r="AA997" s="91">
        <v>75</v>
      </c>
      <c r="AB997" s="46">
        <f>IF(H2ProjectDB689571011[[#This Row],[Dummy_1]]="Electrolysis",
AA997/VLOOKUP(G997,ElectrolysisConvF,3,FALSE),
AC997*10^6/(H2dens*HoursInYear))</f>
        <v>16666.666666666668</v>
      </c>
      <c r="AC997" s="47">
        <f t="shared" si="81"/>
        <v>12.994</v>
      </c>
      <c r="AD997" s="92"/>
      <c r="AE997" s="92">
        <f t="shared" si="80"/>
        <v>16666.666666666668</v>
      </c>
      <c r="AF997" s="93" t="s">
        <v>3496</v>
      </c>
      <c r="AG997" s="43">
        <v>-25.414797844545699</v>
      </c>
      <c r="AH997" s="43">
        <v>-54.613480743292797</v>
      </c>
      <c r="AI997" s="122" t="s">
        <v>7286</v>
      </c>
      <c r="AJ997" s="41">
        <v>0.8</v>
      </c>
    </row>
    <row r="998" spans="1:36" ht="35.1" hidden="1" customHeight="1" x14ac:dyDescent="0.25">
      <c r="A998" s="40">
        <v>1486</v>
      </c>
      <c r="B998" s="90" t="s">
        <v>3476</v>
      </c>
      <c r="C998" s="90" t="s">
        <v>547</v>
      </c>
      <c r="D998" s="90"/>
      <c r="E998" s="90"/>
      <c r="F998" s="40" t="s">
        <v>2222</v>
      </c>
      <c r="G998" s="40" t="s">
        <v>1259</v>
      </c>
      <c r="H998" s="40" t="s">
        <v>467</v>
      </c>
      <c r="I998" s="40" t="s">
        <v>1269</v>
      </c>
      <c r="J998" s="90" t="s">
        <v>1394</v>
      </c>
      <c r="K998" s="90" t="s">
        <v>578</v>
      </c>
      <c r="L998" s="90"/>
      <c r="M998" s="90"/>
      <c r="N998" s="90"/>
      <c r="O998" s="90"/>
      <c r="P998" s="90"/>
      <c r="Q998" s="90"/>
      <c r="R998" s="90"/>
      <c r="S998" s="90"/>
      <c r="T998" s="90"/>
      <c r="U998" s="90"/>
      <c r="V998" s="90"/>
      <c r="W998" s="90"/>
      <c r="X998" s="90"/>
      <c r="Y998" s="90"/>
      <c r="Z998" s="90" t="s">
        <v>2773</v>
      </c>
      <c r="AA998" s="91">
        <f>300-AA997</f>
        <v>225</v>
      </c>
      <c r="AB998" s="46">
        <f>IF(H2ProjectDB689571011[[#This Row],[Dummy_1]]="Electrolysis",
AA998/VLOOKUP(G998,ElectrolysisConvF,3,FALSE),
AC998*10^6/(H2dens*HoursInYear))</f>
        <v>50000.000000000007</v>
      </c>
      <c r="AC998" s="47">
        <f t="shared" si="81"/>
        <v>38.981999999999999</v>
      </c>
      <c r="AD998" s="92"/>
      <c r="AE998" s="92">
        <f t="shared" si="80"/>
        <v>50000.000000000007</v>
      </c>
      <c r="AF998" s="93" t="s">
        <v>3496</v>
      </c>
      <c r="AG998" s="43">
        <v>-25.414797844545699</v>
      </c>
      <c r="AH998" s="43">
        <v>-54.613480743292797</v>
      </c>
      <c r="AI998" s="122" t="s">
        <v>7286</v>
      </c>
      <c r="AJ998" s="41">
        <v>0.8</v>
      </c>
    </row>
    <row r="999" spans="1:36" ht="35.1" hidden="1" customHeight="1" x14ac:dyDescent="0.25">
      <c r="A999" s="40">
        <v>1487</v>
      </c>
      <c r="B999" s="90" t="s">
        <v>3480</v>
      </c>
      <c r="C999" s="90" t="s">
        <v>542</v>
      </c>
      <c r="D999" s="44">
        <v>2023</v>
      </c>
      <c r="E999" s="44">
        <v>2026</v>
      </c>
      <c r="F999" s="40" t="s">
        <v>1339</v>
      </c>
      <c r="G999" s="40" t="s">
        <v>1259</v>
      </c>
      <c r="H999" s="40" t="s">
        <v>467</v>
      </c>
      <c r="I999" s="40" t="s">
        <v>1269</v>
      </c>
      <c r="J999" s="90" t="s">
        <v>1391</v>
      </c>
      <c r="K999" s="90" t="s">
        <v>578</v>
      </c>
      <c r="L999" s="90"/>
      <c r="M999" s="90"/>
      <c r="N999" s="90"/>
      <c r="O999" s="90"/>
      <c r="P999" s="90"/>
      <c r="Q999" s="90"/>
      <c r="R999" s="90"/>
      <c r="S999" s="90"/>
      <c r="T999" s="90"/>
      <c r="U999" s="90"/>
      <c r="V999" s="90"/>
      <c r="W999" s="90"/>
      <c r="X999" s="90"/>
      <c r="Y999" s="90"/>
      <c r="Z999" s="40" t="s">
        <v>3025</v>
      </c>
      <c r="AA999" s="91">
        <v>0.9</v>
      </c>
      <c r="AB999" s="46">
        <f>IF(H2ProjectDB689571011[[#This Row],[Dummy_1]]="Electrolysis",
AA999/VLOOKUP(G999,ElectrolysisConvF,3,FALSE),
AC999*10^6/(H2dens*HoursInYear))</f>
        <v>200.00000000000003</v>
      </c>
      <c r="AC999" s="47">
        <f t="shared" si="81"/>
        <v>0.15592800000000001</v>
      </c>
      <c r="AD999" s="92"/>
      <c r="AE999" s="92">
        <f t="shared" si="80"/>
        <v>200.00000000000003</v>
      </c>
      <c r="AF999" s="93" t="s">
        <v>3482</v>
      </c>
      <c r="AG999" s="43">
        <v>50.715754540962102</v>
      </c>
      <c r="AH999" s="43">
        <v>-1.9842812736004201</v>
      </c>
      <c r="AI999" s="122" t="s">
        <v>7286</v>
      </c>
      <c r="AJ999" s="41">
        <v>0.3</v>
      </c>
    </row>
    <row r="1000" spans="1:36" ht="35.1" hidden="1" customHeight="1" x14ac:dyDescent="0.25">
      <c r="A1000" s="40">
        <v>1489</v>
      </c>
      <c r="B1000" s="90" t="s">
        <v>3487</v>
      </c>
      <c r="C1000" s="90" t="s">
        <v>1764</v>
      </c>
      <c r="D1000" s="44">
        <v>2029</v>
      </c>
      <c r="E1000" s="44"/>
      <c r="F1000" s="40" t="s">
        <v>1331</v>
      </c>
      <c r="G1000" s="40" t="s">
        <v>1259</v>
      </c>
      <c r="H1000" s="40" t="s">
        <v>467</v>
      </c>
      <c r="I1000" s="40" t="s">
        <v>1269</v>
      </c>
      <c r="J1000" s="90" t="s">
        <v>1395</v>
      </c>
      <c r="K1000" s="90" t="s">
        <v>578</v>
      </c>
      <c r="L1000" s="90"/>
      <c r="M1000" s="90">
        <v>1</v>
      </c>
      <c r="N1000" s="90"/>
      <c r="O1000" s="90"/>
      <c r="P1000" s="90"/>
      <c r="Q1000" s="90"/>
      <c r="R1000" s="90"/>
      <c r="S1000" s="90">
        <v>1</v>
      </c>
      <c r="T1000" s="90"/>
      <c r="U1000" s="90"/>
      <c r="V1000" s="90"/>
      <c r="W1000" s="90"/>
      <c r="X1000" s="90"/>
      <c r="Y1000" s="90"/>
      <c r="Z1000" s="90" t="s">
        <v>3488</v>
      </c>
      <c r="AA1000" s="91">
        <v>500</v>
      </c>
      <c r="AB1000" s="46">
        <f>IF(H2ProjectDB689571011[[#This Row],[Dummy_1]]="Electrolysis",
AA1000/VLOOKUP(G1000,ElectrolysisConvF,3,FALSE),
AC1000*10^6/(H2dens*HoursInYear))</f>
        <v>111111.11111111112</v>
      </c>
      <c r="AC1000" s="47">
        <f t="shared" si="81"/>
        <v>86.626666666666665</v>
      </c>
      <c r="AD1000" s="92"/>
      <c r="AE1000" s="92">
        <f t="shared" si="80"/>
        <v>111111.11111111112</v>
      </c>
      <c r="AF1000" s="43" t="s">
        <v>4731</v>
      </c>
      <c r="AG1000" s="43">
        <v>39.6801847454457</v>
      </c>
      <c r="AH1000" s="43">
        <v>-0.27829544771473202</v>
      </c>
      <c r="AI1000" s="122" t="s">
        <v>7286</v>
      </c>
      <c r="AJ1000" s="41">
        <v>0.5</v>
      </c>
    </row>
    <row r="1001" spans="1:36" ht="35.1" hidden="1" customHeight="1" x14ac:dyDescent="0.25">
      <c r="A1001" s="40">
        <v>1491</v>
      </c>
      <c r="B1001" s="90" t="s">
        <v>3489</v>
      </c>
      <c r="C1001" s="90" t="s">
        <v>561</v>
      </c>
      <c r="D1001" s="90">
        <v>2021</v>
      </c>
      <c r="E1001" s="90"/>
      <c r="F1001" s="40" t="s">
        <v>1339</v>
      </c>
      <c r="G1001" s="40" t="s">
        <v>1259</v>
      </c>
      <c r="H1001" s="40" t="s">
        <v>467</v>
      </c>
      <c r="I1001" s="90" t="s">
        <v>1257</v>
      </c>
      <c r="J1001" s="90"/>
      <c r="K1001" s="90" t="s">
        <v>578</v>
      </c>
      <c r="L1001" s="90">
        <v>1</v>
      </c>
      <c r="M1001" s="90"/>
      <c r="N1001" s="90"/>
      <c r="O1001" s="90"/>
      <c r="P1001" s="90"/>
      <c r="Q1001" s="90">
        <v>1</v>
      </c>
      <c r="R1001" s="90"/>
      <c r="S1001" s="90"/>
      <c r="T1001" s="90"/>
      <c r="U1001" s="90"/>
      <c r="V1001" s="90"/>
      <c r="W1001" s="90"/>
      <c r="X1001" s="90"/>
      <c r="Y1001" s="90"/>
      <c r="Z1001" s="90" t="s">
        <v>4109</v>
      </c>
      <c r="AA1001" s="47">
        <f>IF(H2ProjectDB689571011[[#This Row],[Dummy_1]]="Electrolysis",
AB1001*VLOOKUP(G1001,ElectrolysisConvF,3,FALSE),
"")</f>
        <v>2.0201631522241033</v>
      </c>
      <c r="AB1001" s="47">
        <f>AC1001/(H2dens*HoursInYear/10^6)</f>
        <v>448.92514493868964</v>
      </c>
      <c r="AC1001" s="92">
        <v>0.35</v>
      </c>
      <c r="AD1001" s="92"/>
      <c r="AE1001" s="92">
        <f t="shared" si="80"/>
        <v>448.92514493868964</v>
      </c>
      <c r="AF1001" s="43" t="s">
        <v>4112</v>
      </c>
      <c r="AG1001" s="43">
        <v>50.160671547576399</v>
      </c>
      <c r="AH1001" s="43">
        <v>19.447416130966101</v>
      </c>
      <c r="AI1001" s="122" t="s">
        <v>7286</v>
      </c>
      <c r="AJ1001" s="41">
        <v>0.56999999999999995</v>
      </c>
    </row>
    <row r="1002" spans="1:36" ht="35.1" hidden="1" customHeight="1" x14ac:dyDescent="0.25">
      <c r="A1002" s="81">
        <v>1492</v>
      </c>
      <c r="B1002" s="81" t="s">
        <v>3490</v>
      </c>
      <c r="C1002" s="101" t="s">
        <v>561</v>
      </c>
      <c r="D1002" s="101">
        <v>2028</v>
      </c>
      <c r="E1002" s="101"/>
      <c r="F1002" s="101" t="s">
        <v>1331</v>
      </c>
      <c r="G1002" s="101" t="s">
        <v>1259</v>
      </c>
      <c r="H1002" s="101" t="s">
        <v>467</v>
      </c>
      <c r="I1002" s="101" t="s">
        <v>1269</v>
      </c>
      <c r="J1002" s="101" t="s">
        <v>1393</v>
      </c>
      <c r="K1002" s="101" t="s">
        <v>578</v>
      </c>
      <c r="L1002" s="101"/>
      <c r="M1002" s="101"/>
      <c r="N1002" s="101"/>
      <c r="O1002" s="101"/>
      <c r="P1002" s="101"/>
      <c r="Q1002" s="101"/>
      <c r="R1002" s="101"/>
      <c r="S1002" s="101"/>
      <c r="T1002" s="101"/>
      <c r="U1002" s="101"/>
      <c r="V1002" s="101"/>
      <c r="W1002" s="101"/>
      <c r="X1002" s="101"/>
      <c r="Y1002" s="101"/>
      <c r="Z1002" s="101"/>
      <c r="AA1002" s="103"/>
      <c r="AB1002" s="104"/>
      <c r="AC1002" s="104"/>
      <c r="AD1002" s="104"/>
      <c r="AE1002" s="104">
        <f t="shared" si="80"/>
        <v>0</v>
      </c>
      <c r="AF1002" s="102"/>
      <c r="AG1002" s="82">
        <v>55.012843765091802</v>
      </c>
      <c r="AH1002" s="82">
        <v>17.854748269755</v>
      </c>
      <c r="AI1002" s="122" t="s">
        <v>7286</v>
      </c>
      <c r="AJ1002" s="41">
        <v>0.55000000000000004</v>
      </c>
    </row>
    <row r="1003" spans="1:36" ht="35.1" hidden="1" customHeight="1" x14ac:dyDescent="0.25">
      <c r="A1003" s="40">
        <v>1493</v>
      </c>
      <c r="B1003" s="40" t="s">
        <v>8490</v>
      </c>
      <c r="C1003" s="90" t="s">
        <v>542</v>
      </c>
      <c r="D1003" s="44">
        <v>2027</v>
      </c>
      <c r="E1003" s="44"/>
      <c r="F1003" s="90" t="s">
        <v>1331</v>
      </c>
      <c r="G1003" s="90" t="s">
        <v>1259</v>
      </c>
      <c r="H1003" s="90" t="s">
        <v>467</v>
      </c>
      <c r="I1003" s="90" t="s">
        <v>1266</v>
      </c>
      <c r="J1003" s="90"/>
      <c r="K1003" s="90" t="s">
        <v>578</v>
      </c>
      <c r="L1003" s="90"/>
      <c r="M1003" s="90"/>
      <c r="N1003" s="90"/>
      <c r="O1003" s="90">
        <v>1</v>
      </c>
      <c r="P1003" s="90">
        <v>1</v>
      </c>
      <c r="Q1003" s="90"/>
      <c r="R1003" s="90"/>
      <c r="S1003" s="90"/>
      <c r="T1003" s="90"/>
      <c r="U1003" s="90"/>
      <c r="V1003" s="90"/>
      <c r="W1003" s="90"/>
      <c r="X1003" s="90"/>
      <c r="Y1003" s="90"/>
      <c r="Z1003" s="90" t="s">
        <v>5804</v>
      </c>
      <c r="AA1003" s="91">
        <v>110</v>
      </c>
      <c r="AB1003" s="46">
        <f>IF(H2ProjectDB689571011[[#This Row],[Dummy_1]]="Electrolysis",
AA1003/VLOOKUP(G1003,ElectrolysisConvF,3,FALSE),
AC1003*10^6/(H2dens*HoursInYear))</f>
        <v>24444.444444444445</v>
      </c>
      <c r="AC1003" s="92">
        <f>AB1003*H2dens*HoursInYear/10^6</f>
        <v>19.057866666666669</v>
      </c>
      <c r="AD1003" s="92"/>
      <c r="AE1003" s="92">
        <f t="shared" si="80"/>
        <v>24444.444444444445</v>
      </c>
      <c r="AF1003" s="93" t="s">
        <v>4415</v>
      </c>
      <c r="AG1003" s="43">
        <v>51.6845551518729</v>
      </c>
      <c r="AH1003" s="43">
        <v>-4.9824728448295703</v>
      </c>
      <c r="AI1003" s="122" t="s">
        <v>7286</v>
      </c>
      <c r="AJ1003" s="41">
        <v>0.56999999999999995</v>
      </c>
    </row>
    <row r="1004" spans="1:36" ht="35.1" hidden="1" customHeight="1" x14ac:dyDescent="0.25">
      <c r="A1004" s="40">
        <v>1497</v>
      </c>
      <c r="B1004" s="40" t="s">
        <v>3505</v>
      </c>
      <c r="C1004" s="90" t="s">
        <v>535</v>
      </c>
      <c r="D1004" s="44">
        <v>2025</v>
      </c>
      <c r="E1004" s="44"/>
      <c r="F1004" s="40" t="s">
        <v>1331</v>
      </c>
      <c r="G1004" s="40" t="s">
        <v>1259</v>
      </c>
      <c r="H1004" s="40" t="s">
        <v>467</v>
      </c>
      <c r="I1004" s="40" t="s">
        <v>1269</v>
      </c>
      <c r="J1004" s="90" t="s">
        <v>581</v>
      </c>
      <c r="K1004" s="90" t="s">
        <v>578</v>
      </c>
      <c r="L1004" s="90"/>
      <c r="M1004" s="90"/>
      <c r="N1004" s="90"/>
      <c r="O1004" s="90"/>
      <c r="P1004" s="90"/>
      <c r="Q1004" s="90"/>
      <c r="R1004" s="90"/>
      <c r="S1004" s="90"/>
      <c r="T1004" s="90"/>
      <c r="U1004" s="90"/>
      <c r="V1004" s="90"/>
      <c r="W1004" s="90"/>
      <c r="X1004" s="90"/>
      <c r="Y1004" s="90"/>
      <c r="Z1004" s="40" t="s">
        <v>4999</v>
      </c>
      <c r="AA1004" s="47">
        <f>IF(H2ProjectDB689571011[[#This Row],[Dummy_1]]="Electrolysis",
AB1004*VLOOKUP(G1004,ElectrolysisConvF,3,FALSE),
"")</f>
        <v>716.29213483146066</v>
      </c>
      <c r="AB1004" s="92">
        <f>AC1004/(H2dens*HoursInYear/10^6)</f>
        <v>159176.02996254683</v>
      </c>
      <c r="AC1004" s="92">
        <f>170*365/1000/H2ProjectDB689571011[[#This Row],[LOWE_CF]]</f>
        <v>124.1</v>
      </c>
      <c r="AD1004" s="92"/>
      <c r="AE1004" s="92">
        <f t="shared" si="80"/>
        <v>159176.02996254683</v>
      </c>
      <c r="AF1004" s="93" t="s">
        <v>3507</v>
      </c>
      <c r="AG1004" s="43">
        <v>-38.103775791056798</v>
      </c>
      <c r="AH1004" s="43">
        <v>144.362414598475</v>
      </c>
      <c r="AI1004" s="122" t="s">
        <v>7286</v>
      </c>
      <c r="AJ1004" s="41">
        <v>0.5</v>
      </c>
    </row>
    <row r="1005" spans="1:36" ht="35.1" hidden="1" customHeight="1" x14ac:dyDescent="0.25">
      <c r="A1005" s="40">
        <v>1498</v>
      </c>
      <c r="B1005" s="40" t="s">
        <v>8643</v>
      </c>
      <c r="C1005" s="90" t="s">
        <v>1761</v>
      </c>
      <c r="D1005" s="44">
        <v>2026</v>
      </c>
      <c r="E1005" s="44"/>
      <c r="F1005" s="40" t="s">
        <v>1331</v>
      </c>
      <c r="G1005" s="40" t="s">
        <v>457</v>
      </c>
      <c r="I1005" s="40" t="s">
        <v>1269</v>
      </c>
      <c r="J1005" s="90" t="s">
        <v>581</v>
      </c>
      <c r="K1005" s="90" t="s">
        <v>1243</v>
      </c>
      <c r="L1005" s="90"/>
      <c r="M1005" s="90">
        <v>1</v>
      </c>
      <c r="N1005" s="90"/>
      <c r="O1005" s="90"/>
      <c r="P1005" s="90">
        <v>1</v>
      </c>
      <c r="Q1005" s="90"/>
      <c r="R1005" s="90"/>
      <c r="S1005" s="90"/>
      <c r="T1005" s="90"/>
      <c r="U1005" s="90"/>
      <c r="V1005" s="90"/>
      <c r="W1005" s="90"/>
      <c r="X1005" s="90"/>
      <c r="Y1005" s="90"/>
      <c r="Z1005" s="90" t="s">
        <v>3922</v>
      </c>
      <c r="AA1005" s="91">
        <v>40</v>
      </c>
      <c r="AB1005" s="46">
        <f>IF(H2ProjectDB689571011[[#This Row],[Dummy_1]]="Electrolysis",
AA1005/VLOOKUP(G1005,ElectrolysisConvF,3,FALSE),
AC1005*10^6/(H2dens*HoursInYear))</f>
        <v>8695.652173913044</v>
      </c>
      <c r="AC1005" s="47">
        <f>AB1005*H2dens*HoursInYear/10^6</f>
        <v>6.7794782608695652</v>
      </c>
      <c r="AD1005" s="92"/>
      <c r="AE1005" s="92">
        <f t="shared" si="80"/>
        <v>8695.652173913044</v>
      </c>
      <c r="AF1005" s="43" t="s">
        <v>6056</v>
      </c>
      <c r="AG1005" s="43">
        <v>40.759733629346499</v>
      </c>
      <c r="AH1005" s="43">
        <v>-8.5732669846510898</v>
      </c>
      <c r="AI1005" s="122" t="s">
        <v>7286</v>
      </c>
      <c r="AJ1005" s="41">
        <v>0.5</v>
      </c>
    </row>
    <row r="1006" spans="1:36" ht="35.1" hidden="1" customHeight="1" x14ac:dyDescent="0.25">
      <c r="A1006" s="40">
        <v>1499</v>
      </c>
      <c r="B1006" s="90" t="s">
        <v>3511</v>
      </c>
      <c r="C1006" s="90" t="s">
        <v>531</v>
      </c>
      <c r="D1006" s="44">
        <v>2027</v>
      </c>
      <c r="E1006" s="44"/>
      <c r="F1006" s="40" t="s">
        <v>1331</v>
      </c>
      <c r="G1006" s="40" t="s">
        <v>1259</v>
      </c>
      <c r="H1006" s="40" t="s">
        <v>467</v>
      </c>
      <c r="I1006" s="40" t="s">
        <v>1269</v>
      </c>
      <c r="J1006" s="40" t="s">
        <v>581</v>
      </c>
      <c r="K1006" s="90" t="s">
        <v>1243</v>
      </c>
      <c r="L1006" s="90"/>
      <c r="M1006" s="90">
        <v>1</v>
      </c>
      <c r="N1006" s="90"/>
      <c r="O1006" s="90"/>
      <c r="P1006" s="90"/>
      <c r="Q1006" s="90">
        <v>1</v>
      </c>
      <c r="R1006" s="90"/>
      <c r="S1006" s="90"/>
      <c r="T1006" s="90"/>
      <c r="U1006" s="90"/>
      <c r="V1006" s="90"/>
      <c r="W1006" s="90"/>
      <c r="X1006" s="90"/>
      <c r="Y1006" s="90"/>
      <c r="Z1006" s="90" t="s">
        <v>2773</v>
      </c>
      <c r="AA1006" s="91">
        <v>300</v>
      </c>
      <c r="AB1006" s="46">
        <f>IF(H2ProjectDB689571011[[#This Row],[Dummy_1]]="Electrolysis",
AA1006/VLOOKUP(G1006,ElectrolysisConvF,3,FALSE),
AC1006*10^6/(H2dens*HoursInYear))</f>
        <v>66666.666666666672</v>
      </c>
      <c r="AC1006" s="47">
        <f>AB1006*H2dens*HoursInYear/10^6</f>
        <v>51.975999999999999</v>
      </c>
      <c r="AD1006" s="92"/>
      <c r="AE1006" s="92">
        <f t="shared" si="80"/>
        <v>66666.666666666672</v>
      </c>
      <c r="AF1006" s="93" t="s">
        <v>4227</v>
      </c>
      <c r="AG1006" s="43">
        <v>59.678845075728503</v>
      </c>
      <c r="AH1006" s="43">
        <v>6.35287471683493</v>
      </c>
      <c r="AI1006" s="122" t="s">
        <v>7286</v>
      </c>
      <c r="AJ1006" s="41">
        <v>0.5</v>
      </c>
    </row>
    <row r="1007" spans="1:36" ht="35.1" hidden="1" customHeight="1" x14ac:dyDescent="0.25">
      <c r="A1007" s="40">
        <v>1500</v>
      </c>
      <c r="B1007" s="90" t="s">
        <v>3515</v>
      </c>
      <c r="C1007" s="90" t="s">
        <v>1756</v>
      </c>
      <c r="D1007" s="44">
        <v>2027</v>
      </c>
      <c r="E1007" s="44"/>
      <c r="F1007" s="40" t="s">
        <v>5701</v>
      </c>
      <c r="G1007" s="40" t="s">
        <v>1259</v>
      </c>
      <c r="H1007" s="40" t="s">
        <v>467</v>
      </c>
      <c r="I1007" s="40" t="s">
        <v>1269</v>
      </c>
      <c r="J1007" s="90" t="s">
        <v>1392</v>
      </c>
      <c r="K1007" s="90" t="s">
        <v>578</v>
      </c>
      <c r="L1007" s="90"/>
      <c r="M1007" s="90"/>
      <c r="N1007" s="90"/>
      <c r="O1007" s="90"/>
      <c r="P1007" s="90"/>
      <c r="Q1007" s="90">
        <v>1</v>
      </c>
      <c r="R1007" s="90"/>
      <c r="S1007" s="90"/>
      <c r="T1007" s="90"/>
      <c r="U1007" s="90"/>
      <c r="V1007" s="90"/>
      <c r="W1007" s="90"/>
      <c r="X1007" s="90"/>
      <c r="Y1007" s="90"/>
      <c r="Z1007" s="40" t="s">
        <v>8591</v>
      </c>
      <c r="AA1007" s="91">
        <v>45</v>
      </c>
      <c r="AB1007" s="46">
        <f>IF(H2ProjectDB689571011[[#This Row],[Dummy_1]]="Electrolysis",
AA1007/VLOOKUP(G1007,ElectrolysisConvF,3,FALSE),
AC1007*10^6/(H2dens*HoursInYear))</f>
        <v>10000</v>
      </c>
      <c r="AC1007" s="47">
        <f>AB1007*H2dens*HoursInYear/10^6</f>
        <v>7.7964000000000002</v>
      </c>
      <c r="AD1007" s="92"/>
      <c r="AE1007" s="92">
        <f t="shared" si="80"/>
        <v>10000</v>
      </c>
      <c r="AF1007" s="93" t="s">
        <v>3517</v>
      </c>
      <c r="AG1007" s="43">
        <v>54.109642673522501</v>
      </c>
      <c r="AH1007" s="43">
        <v>-9.0311362746789303</v>
      </c>
      <c r="AI1007" s="122" t="s">
        <v>7286</v>
      </c>
      <c r="AJ1007" s="41">
        <v>0.4</v>
      </c>
    </row>
    <row r="1008" spans="1:36" ht="35.1" hidden="1" customHeight="1" x14ac:dyDescent="0.25">
      <c r="A1008" s="40">
        <v>1501</v>
      </c>
      <c r="B1008" s="90" t="s">
        <v>3518</v>
      </c>
      <c r="C1008" s="90" t="s">
        <v>1764</v>
      </c>
      <c r="D1008" s="44">
        <v>2024</v>
      </c>
      <c r="E1008" s="44"/>
      <c r="F1008" s="40" t="s">
        <v>5701</v>
      </c>
      <c r="G1008" s="40" t="s">
        <v>455</v>
      </c>
      <c r="I1008" s="40" t="s">
        <v>1269</v>
      </c>
      <c r="J1008" s="90" t="s">
        <v>581</v>
      </c>
      <c r="K1008" s="90" t="s">
        <v>578</v>
      </c>
      <c r="L1008" s="90"/>
      <c r="M1008" s="90"/>
      <c r="N1008" s="90"/>
      <c r="O1008" s="90"/>
      <c r="P1008" s="90"/>
      <c r="Q1008" s="90">
        <v>1</v>
      </c>
      <c r="R1008" s="90"/>
      <c r="S1008" s="90"/>
      <c r="T1008" s="90"/>
      <c r="U1008" s="90"/>
      <c r="V1008" s="90"/>
      <c r="W1008" s="90"/>
      <c r="X1008" s="90"/>
      <c r="Y1008" s="90"/>
      <c r="Z1008" s="90" t="s">
        <v>3552</v>
      </c>
      <c r="AA1008" s="91">
        <v>10</v>
      </c>
      <c r="AB1008" s="46">
        <f>IF(H2ProjectDB689571011[[#This Row],[Dummy_1]]="Electrolysis",
AA1008/VLOOKUP(G1008,ElectrolysisConvF,3,FALSE),
AC1008*10^6/(H2dens*HoursInYear))</f>
        <v>1923.0769230769231</v>
      </c>
      <c r="AC1008" s="47">
        <f>AB1008*H2dens*HoursInYear/10^6</f>
        <v>1.4993076923076922</v>
      </c>
      <c r="AD1008" s="92"/>
      <c r="AE1008" s="92">
        <f t="shared" si="80"/>
        <v>1923.0769230769231</v>
      </c>
      <c r="AF1008" s="93" t="s">
        <v>3519</v>
      </c>
      <c r="AG1008" s="43">
        <v>39.417838099762399</v>
      </c>
      <c r="AH1008" s="43">
        <v>-3.21761548796866</v>
      </c>
      <c r="AI1008" s="122" t="s">
        <v>7286</v>
      </c>
      <c r="AJ1008" s="41">
        <v>0.5</v>
      </c>
    </row>
    <row r="1009" spans="1:36" ht="35.1" hidden="1" customHeight="1" x14ac:dyDescent="0.25">
      <c r="A1009" s="40">
        <v>1502</v>
      </c>
      <c r="B1009" s="90" t="s">
        <v>3520</v>
      </c>
      <c r="C1009" s="90" t="s">
        <v>535</v>
      </c>
      <c r="D1009" s="44">
        <v>2024</v>
      </c>
      <c r="E1009" s="44"/>
      <c r="F1009" s="40" t="s">
        <v>5701</v>
      </c>
      <c r="G1009" s="40" t="s">
        <v>1259</v>
      </c>
      <c r="H1009" s="40" t="s">
        <v>467</v>
      </c>
      <c r="I1009" s="40" t="s">
        <v>1269</v>
      </c>
      <c r="J1009" s="90" t="s">
        <v>581</v>
      </c>
      <c r="K1009" s="90" t="s">
        <v>578</v>
      </c>
      <c r="L1009" s="90"/>
      <c r="M1009" s="90"/>
      <c r="N1009" s="90"/>
      <c r="O1009" s="90"/>
      <c r="P1009" s="90"/>
      <c r="Q1009" s="90"/>
      <c r="R1009" s="90"/>
      <c r="S1009" s="90"/>
      <c r="T1009" s="90"/>
      <c r="U1009" s="90"/>
      <c r="V1009" s="90"/>
      <c r="W1009" s="90"/>
      <c r="X1009" s="90"/>
      <c r="Y1009" s="90"/>
      <c r="Z1009" s="90"/>
      <c r="AA1009" s="91"/>
      <c r="AB1009" s="92"/>
      <c r="AC1009" s="92"/>
      <c r="AD1009" s="92"/>
      <c r="AE1009" s="92">
        <f t="shared" si="80"/>
        <v>0</v>
      </c>
      <c r="AF1009" s="93" t="s">
        <v>3522</v>
      </c>
      <c r="AG1009" s="43">
        <v>-22.918530871666398</v>
      </c>
      <c r="AH1009" s="43">
        <v>144.37395076818399</v>
      </c>
      <c r="AI1009" s="122" t="s">
        <v>7286</v>
      </c>
      <c r="AJ1009" s="41">
        <v>0.5</v>
      </c>
    </row>
    <row r="1010" spans="1:36" ht="35.1" hidden="1" customHeight="1" x14ac:dyDescent="0.25">
      <c r="A1010" s="40">
        <v>1503</v>
      </c>
      <c r="B1010" s="90" t="s">
        <v>3526</v>
      </c>
      <c r="C1010" s="90" t="s">
        <v>545</v>
      </c>
      <c r="D1010" s="44">
        <v>2025</v>
      </c>
      <c r="E1010" s="44"/>
      <c r="F1010" s="40" t="s">
        <v>5701</v>
      </c>
      <c r="G1010" s="40" t="s">
        <v>1259</v>
      </c>
      <c r="H1010" s="40" t="s">
        <v>467</v>
      </c>
      <c r="I1010" s="40" t="s">
        <v>1269</v>
      </c>
      <c r="J1010" s="90" t="s">
        <v>1395</v>
      </c>
      <c r="K1010" s="40" t="s">
        <v>1242</v>
      </c>
      <c r="L1010" s="90"/>
      <c r="M1010" s="90"/>
      <c r="O1010" s="90"/>
      <c r="P1010" s="90"/>
      <c r="Q1010" s="90">
        <v>1</v>
      </c>
      <c r="R1010" s="90"/>
      <c r="S1010" s="90"/>
      <c r="T1010" s="90"/>
      <c r="U1010" s="90"/>
      <c r="V1010" s="90"/>
      <c r="W1010" s="90"/>
      <c r="X1010" s="90"/>
      <c r="Y1010" s="90"/>
      <c r="Z1010" s="90" t="s">
        <v>3527</v>
      </c>
      <c r="AA1010" s="91">
        <v>120</v>
      </c>
      <c r="AB1010" s="46">
        <f>IF(H2ProjectDB689571011[[#This Row],[Dummy_1]]="Electrolysis",
AA1010/VLOOKUP(G1010,ElectrolysisConvF,3,FALSE),
AC1010*10^6/(H2dens*HoursInYear))</f>
        <v>26666.666666666668</v>
      </c>
      <c r="AC1010" s="47">
        <f t="shared" ref="AC1010:AC1018" si="82">AB1010*H2dens*HoursInYear/10^6</f>
        <v>20.790400000000002</v>
      </c>
      <c r="AD1010" s="92"/>
      <c r="AE1010" s="92">
        <f t="shared" si="80"/>
        <v>26666.666666666668</v>
      </c>
      <c r="AF1010" s="93" t="s">
        <v>3528</v>
      </c>
      <c r="AG1010" s="43">
        <v>57.051975090218903</v>
      </c>
      <c r="AH1010" s="43">
        <v>9.9935988530856008</v>
      </c>
      <c r="AI1010" s="122" t="s">
        <v>7286</v>
      </c>
      <c r="AJ1010" s="41">
        <v>0.5</v>
      </c>
    </row>
    <row r="1011" spans="1:36" ht="35.1" hidden="1" customHeight="1" x14ac:dyDescent="0.25">
      <c r="A1011" s="40">
        <v>1504</v>
      </c>
      <c r="B1011" s="90" t="s">
        <v>3531</v>
      </c>
      <c r="C1011" s="90" t="s">
        <v>545</v>
      </c>
      <c r="D1011" s="90"/>
      <c r="E1011" s="90"/>
      <c r="F1011" s="40" t="s">
        <v>1331</v>
      </c>
      <c r="G1011" s="40" t="s">
        <v>1259</v>
      </c>
      <c r="H1011" s="40" t="s">
        <v>467</v>
      </c>
      <c r="I1011" s="40" t="s">
        <v>1269</v>
      </c>
      <c r="J1011" s="90" t="s">
        <v>1395</v>
      </c>
      <c r="K1011" s="90" t="s">
        <v>578</v>
      </c>
      <c r="L1011" s="90"/>
      <c r="M1011" s="90"/>
      <c r="N1011" s="90"/>
      <c r="O1011" s="90"/>
      <c r="P1011" s="90"/>
      <c r="Q1011" s="90">
        <v>1</v>
      </c>
      <c r="R1011" s="90"/>
      <c r="S1011" s="90"/>
      <c r="T1011" s="90"/>
      <c r="U1011" s="90"/>
      <c r="V1011" s="90"/>
      <c r="W1011" s="90"/>
      <c r="X1011" s="90"/>
      <c r="Y1011" s="90"/>
      <c r="Z1011" s="90" t="s">
        <v>1483</v>
      </c>
      <c r="AA1011" s="91">
        <v>50</v>
      </c>
      <c r="AB1011" s="46">
        <f>IF(H2ProjectDB689571011[[#This Row],[Dummy_1]]="Electrolysis",
AA1011/VLOOKUP(G1011,ElectrolysisConvF,3,FALSE),
AC1011*10^6/(H2dens*HoursInYear))</f>
        <v>11111.111111111111</v>
      </c>
      <c r="AC1011" s="47">
        <f t="shared" si="82"/>
        <v>8.6626666666666665</v>
      </c>
      <c r="AD1011" s="92"/>
      <c r="AE1011" s="92">
        <f t="shared" si="80"/>
        <v>11111.111111111111</v>
      </c>
      <c r="AF1011" s="93" t="s">
        <v>3528</v>
      </c>
      <c r="AG1011" s="43">
        <v>56.639419207121399</v>
      </c>
      <c r="AH1011" s="43">
        <v>9.7984180900851907</v>
      </c>
      <c r="AI1011" s="122" t="s">
        <v>7286</v>
      </c>
      <c r="AJ1011" s="41">
        <v>0.5</v>
      </c>
    </row>
    <row r="1012" spans="1:36" ht="35.1" hidden="1" customHeight="1" x14ac:dyDescent="0.25">
      <c r="A1012" s="40">
        <v>1505</v>
      </c>
      <c r="B1012" s="40" t="s">
        <v>3533</v>
      </c>
      <c r="C1012" s="40" t="s">
        <v>545</v>
      </c>
      <c r="D1012" s="44">
        <v>2027</v>
      </c>
      <c r="E1012" s="44"/>
      <c r="F1012" s="40" t="s">
        <v>2222</v>
      </c>
      <c r="G1012" s="40" t="s">
        <v>1259</v>
      </c>
      <c r="H1012" s="40" t="s">
        <v>467</v>
      </c>
      <c r="I1012" s="40" t="s">
        <v>1269</v>
      </c>
      <c r="J1012" s="40" t="s">
        <v>1395</v>
      </c>
      <c r="K1012" s="40" t="s">
        <v>1242</v>
      </c>
      <c r="N1012" s="40">
        <v>1</v>
      </c>
      <c r="Z1012" s="40" t="s">
        <v>1486</v>
      </c>
      <c r="AA1012" s="45">
        <f>250-24</f>
        <v>226</v>
      </c>
      <c r="AB1012" s="46">
        <f>IF(H2ProjectDB689571011[[#This Row],[Dummy_1]]="Electrolysis",
AA1012/VLOOKUP(G1012,ElectrolysisConvF,3,FALSE),
AC1012*10^6/(H2dens*HoursInYear))</f>
        <v>50222.222222222226</v>
      </c>
      <c r="AC1012" s="47">
        <f t="shared" si="82"/>
        <v>39.155253333333334</v>
      </c>
      <c r="AE1012" s="46">
        <f>AB1012</f>
        <v>50222.222222222226</v>
      </c>
      <c r="AF1012" s="43" t="s">
        <v>3534</v>
      </c>
      <c r="AG1012" s="43">
        <v>56.565301947196097</v>
      </c>
      <c r="AH1012" s="43">
        <v>9.0296588701011302</v>
      </c>
      <c r="AI1012" s="122" t="s">
        <v>7286</v>
      </c>
      <c r="AJ1012" s="41">
        <v>0.5</v>
      </c>
    </row>
    <row r="1013" spans="1:36" ht="35.1" hidden="1" customHeight="1" x14ac:dyDescent="0.25">
      <c r="A1013" s="40">
        <v>1506</v>
      </c>
      <c r="B1013" s="40" t="s">
        <v>3536</v>
      </c>
      <c r="C1013" s="90" t="s">
        <v>545</v>
      </c>
      <c r="D1013" s="44">
        <v>2024</v>
      </c>
      <c r="E1013" s="44"/>
      <c r="F1013" s="40" t="s">
        <v>5701</v>
      </c>
      <c r="G1013" s="40" t="s">
        <v>1259</v>
      </c>
      <c r="H1013" s="40" t="s">
        <v>467</v>
      </c>
      <c r="I1013" s="40" t="s">
        <v>1269</v>
      </c>
      <c r="J1013" s="40" t="s">
        <v>1393</v>
      </c>
      <c r="K1013" s="40" t="s">
        <v>578</v>
      </c>
      <c r="L1013" s="90"/>
      <c r="M1013" s="90"/>
      <c r="N1013" s="90"/>
      <c r="O1013" s="90"/>
      <c r="P1013" s="90"/>
      <c r="Q1013" s="90"/>
      <c r="R1013" s="90"/>
      <c r="S1013" s="90"/>
      <c r="T1013" s="90"/>
      <c r="U1013" s="90"/>
      <c r="V1013" s="90"/>
      <c r="W1013" s="90"/>
      <c r="X1013" s="90"/>
      <c r="Y1013" s="90"/>
      <c r="Z1013" s="90" t="s">
        <v>1581</v>
      </c>
      <c r="AA1013" s="91">
        <v>3</v>
      </c>
      <c r="AB1013" s="46">
        <f>IF(H2ProjectDB689571011[[#This Row],[Dummy_1]]="Electrolysis",
AA1013/VLOOKUP(G1013,ElectrolysisConvF,3,FALSE),
AC1013*10^6/(H2dens*HoursInYear))</f>
        <v>666.66666666666674</v>
      </c>
      <c r="AC1013" s="47">
        <f t="shared" si="82"/>
        <v>0.51976</v>
      </c>
      <c r="AD1013" s="92"/>
      <c r="AE1013" s="92">
        <f t="shared" ref="AE1013:AE1065" si="83">IF(AND(G1013&lt;&gt;"NG w CCUS",G1013&lt;&gt;"Oil w CCUS",G1013&lt;&gt;"Coal w CCUS"),AB1013,AD1013*10^3/(HoursInYear*IF(G1013="NG w CCUS",0.9105,1.9075)))</f>
        <v>666.66666666666674</v>
      </c>
      <c r="AF1013" s="43" t="s">
        <v>4664</v>
      </c>
      <c r="AG1013" s="43">
        <v>55.476838533162898</v>
      </c>
      <c r="AH1013" s="43">
        <v>8.4620964092026298</v>
      </c>
      <c r="AI1013" s="122" t="s">
        <v>7286</v>
      </c>
      <c r="AJ1013" s="41">
        <v>0.55000000000000004</v>
      </c>
    </row>
    <row r="1014" spans="1:36" ht="35.1" hidden="1" customHeight="1" x14ac:dyDescent="0.25">
      <c r="A1014" s="40">
        <v>1507</v>
      </c>
      <c r="B1014" s="90" t="s">
        <v>3537</v>
      </c>
      <c r="C1014" s="90" t="s">
        <v>545</v>
      </c>
      <c r="D1014" s="44">
        <v>2025</v>
      </c>
      <c r="E1014" s="44"/>
      <c r="F1014" s="40" t="s">
        <v>5701</v>
      </c>
      <c r="G1014" s="40" t="s">
        <v>1259</v>
      </c>
      <c r="H1014" s="40" t="s">
        <v>467</v>
      </c>
      <c r="I1014" s="40" t="s">
        <v>1269</v>
      </c>
      <c r="J1014" s="40" t="s">
        <v>1393</v>
      </c>
      <c r="K1014" s="40" t="s">
        <v>578</v>
      </c>
      <c r="L1014" s="90"/>
      <c r="M1014" s="90"/>
      <c r="N1014" s="90"/>
      <c r="O1014" s="90"/>
      <c r="P1014" s="90"/>
      <c r="Q1014" s="90"/>
      <c r="R1014" s="90"/>
      <c r="S1014" s="90"/>
      <c r="T1014" s="90"/>
      <c r="U1014" s="90"/>
      <c r="V1014" s="90"/>
      <c r="W1014" s="90"/>
      <c r="X1014" s="90"/>
      <c r="Y1014" s="90"/>
      <c r="Z1014" s="90" t="s">
        <v>2675</v>
      </c>
      <c r="AA1014" s="91">
        <v>9</v>
      </c>
      <c r="AB1014" s="46">
        <f>IF(H2ProjectDB689571011[[#This Row],[Dummy_1]]="Electrolysis",
AA1014/VLOOKUP(G1014,ElectrolysisConvF,3,FALSE),
AC1014*10^6/(H2dens*HoursInYear))</f>
        <v>2000.0000000000002</v>
      </c>
      <c r="AC1014" s="47">
        <f t="shared" si="82"/>
        <v>1.55928</v>
      </c>
      <c r="AD1014" s="92"/>
      <c r="AE1014" s="92">
        <f t="shared" si="83"/>
        <v>2000.0000000000002</v>
      </c>
      <c r="AF1014" s="43" t="s">
        <v>4664</v>
      </c>
      <c r="AG1014" s="43">
        <v>55.476838533162898</v>
      </c>
      <c r="AH1014" s="43">
        <v>8.4620964092026298</v>
      </c>
      <c r="AI1014" s="122" t="s">
        <v>7286</v>
      </c>
      <c r="AJ1014" s="41">
        <v>0.55000000000000004</v>
      </c>
    </row>
    <row r="1015" spans="1:36" ht="35.1" hidden="1" customHeight="1" x14ac:dyDescent="0.25">
      <c r="A1015" s="40">
        <v>1508</v>
      </c>
      <c r="B1015" s="90" t="s">
        <v>3538</v>
      </c>
      <c r="C1015" s="90" t="s">
        <v>545</v>
      </c>
      <c r="D1015" s="90"/>
      <c r="E1015" s="90"/>
      <c r="F1015" s="40" t="s">
        <v>2222</v>
      </c>
      <c r="G1015" s="40" t="s">
        <v>1259</v>
      </c>
      <c r="H1015" s="40" t="s">
        <v>467</v>
      </c>
      <c r="I1015" s="40" t="s">
        <v>1269</v>
      </c>
      <c r="J1015" s="40" t="s">
        <v>1395</v>
      </c>
      <c r="K1015" s="90" t="s">
        <v>578</v>
      </c>
      <c r="L1015" s="90"/>
      <c r="M1015" s="90"/>
      <c r="N1015" s="90"/>
      <c r="O1015" s="90"/>
      <c r="P1015" s="90"/>
      <c r="Q1015" s="90"/>
      <c r="R1015" s="90"/>
      <c r="S1015" s="90"/>
      <c r="T1015" s="90"/>
      <c r="U1015" s="90"/>
      <c r="V1015" s="90"/>
      <c r="W1015" s="90"/>
      <c r="X1015" s="90"/>
      <c r="Y1015" s="90"/>
      <c r="Z1015" s="90" t="s">
        <v>3540</v>
      </c>
      <c r="AA1015" s="91">
        <v>43</v>
      </c>
      <c r="AB1015" s="46">
        <f>IF(H2ProjectDB689571011[[#This Row],[Dummy_1]]="Electrolysis",
AA1015/VLOOKUP(G1015,ElectrolysisConvF,3,FALSE),
AC1015*10^6/(H2dens*HoursInYear))</f>
        <v>9555.5555555555566</v>
      </c>
      <c r="AC1015" s="47">
        <f t="shared" si="82"/>
        <v>7.4498933333333328</v>
      </c>
      <c r="AD1015" s="92"/>
      <c r="AE1015" s="92">
        <f t="shared" si="83"/>
        <v>9555.5555555555566</v>
      </c>
      <c r="AF1015" s="93" t="s">
        <v>3528</v>
      </c>
      <c r="AG1015" s="43">
        <v>56.637818665921898</v>
      </c>
      <c r="AH1015" s="43">
        <v>9.6343927504787601</v>
      </c>
      <c r="AI1015" s="122" t="s">
        <v>7286</v>
      </c>
      <c r="AJ1015" s="41">
        <v>0.5</v>
      </c>
    </row>
    <row r="1016" spans="1:36" ht="35.1" hidden="1" customHeight="1" x14ac:dyDescent="0.25">
      <c r="A1016" s="40">
        <v>1509</v>
      </c>
      <c r="B1016" s="90" t="s">
        <v>3539</v>
      </c>
      <c r="C1016" s="90" t="s">
        <v>545</v>
      </c>
      <c r="D1016" s="90"/>
      <c r="E1016" s="90"/>
      <c r="F1016" s="40" t="s">
        <v>2222</v>
      </c>
      <c r="G1016" s="40" t="s">
        <v>1259</v>
      </c>
      <c r="H1016" s="40" t="s">
        <v>467</v>
      </c>
      <c r="I1016" s="40" t="s">
        <v>1269</v>
      </c>
      <c r="J1016" s="40" t="s">
        <v>1395</v>
      </c>
      <c r="K1016" s="90" t="s">
        <v>578</v>
      </c>
      <c r="L1016" s="90"/>
      <c r="M1016" s="90"/>
      <c r="N1016" s="90"/>
      <c r="O1016" s="90"/>
      <c r="P1016" s="90"/>
      <c r="Q1016" s="90"/>
      <c r="R1016" s="90"/>
      <c r="S1016" s="90"/>
      <c r="T1016" s="90"/>
      <c r="U1016" s="90"/>
      <c r="V1016" s="90"/>
      <c r="W1016" s="90"/>
      <c r="X1016" s="90"/>
      <c r="Y1016" s="90"/>
      <c r="Z1016" s="90" t="s">
        <v>3540</v>
      </c>
      <c r="AA1016" s="91">
        <v>43</v>
      </c>
      <c r="AB1016" s="46">
        <f>IF(H2ProjectDB689571011[[#This Row],[Dummy_1]]="Electrolysis",
AA1016/VLOOKUP(G1016,ElectrolysisConvF,3,FALSE),
AC1016*10^6/(H2dens*HoursInYear))</f>
        <v>9555.5555555555566</v>
      </c>
      <c r="AC1016" s="47">
        <f t="shared" si="82"/>
        <v>7.4498933333333328</v>
      </c>
      <c r="AD1016" s="92"/>
      <c r="AE1016" s="92">
        <f t="shared" si="83"/>
        <v>9555.5555555555566</v>
      </c>
      <c r="AF1016" s="93" t="s">
        <v>3528</v>
      </c>
      <c r="AG1016" s="43">
        <v>56.637818665921898</v>
      </c>
      <c r="AH1016" s="43">
        <v>9.6343927504787601</v>
      </c>
      <c r="AI1016" s="122" t="s">
        <v>7286</v>
      </c>
      <c r="AJ1016" s="41">
        <v>0.5</v>
      </c>
    </row>
    <row r="1017" spans="1:36" ht="35.1" hidden="1" customHeight="1" x14ac:dyDescent="0.25">
      <c r="A1017" s="40">
        <v>1510</v>
      </c>
      <c r="B1017" s="40" t="s">
        <v>4619</v>
      </c>
      <c r="C1017" s="90" t="s">
        <v>545</v>
      </c>
      <c r="D1017" s="44">
        <v>2025</v>
      </c>
      <c r="E1017" s="44"/>
      <c r="F1017" s="40" t="s">
        <v>1331</v>
      </c>
      <c r="G1017" s="40" t="s">
        <v>1259</v>
      </c>
      <c r="H1017" s="40" t="s">
        <v>467</v>
      </c>
      <c r="I1017" s="40" t="s">
        <v>1269</v>
      </c>
      <c r="J1017" s="40" t="s">
        <v>1395</v>
      </c>
      <c r="K1017" s="90" t="s">
        <v>578</v>
      </c>
      <c r="L1017" s="90"/>
      <c r="M1017" s="90"/>
      <c r="N1017" s="90"/>
      <c r="O1017" s="90"/>
      <c r="P1017" s="90"/>
      <c r="Q1017" s="90"/>
      <c r="R1017" s="90"/>
      <c r="S1017" s="90"/>
      <c r="T1017" s="90"/>
      <c r="U1017" s="90"/>
      <c r="V1017" s="90"/>
      <c r="W1017" s="90"/>
      <c r="X1017" s="90"/>
      <c r="Y1017" s="90"/>
      <c r="Z1017" s="90" t="s">
        <v>1485</v>
      </c>
      <c r="AA1017" s="91">
        <v>100</v>
      </c>
      <c r="AB1017" s="46">
        <f>IF(H2ProjectDB689571011[[#This Row],[Dummy_1]]="Electrolysis",
AA1017/VLOOKUP(G1017,ElectrolysisConvF,3,FALSE),
AC1017*10^6/(H2dens*HoursInYear))</f>
        <v>22222.222222222223</v>
      </c>
      <c r="AC1017" s="47">
        <f t="shared" si="82"/>
        <v>17.325333333333333</v>
      </c>
      <c r="AD1017" s="92"/>
      <c r="AE1017" s="92">
        <f t="shared" si="83"/>
        <v>22222.222222222223</v>
      </c>
      <c r="AF1017" s="93" t="s">
        <v>3528</v>
      </c>
      <c r="AG1017" s="43">
        <v>55.045759861823598</v>
      </c>
      <c r="AH1017" s="43">
        <v>9.4267392783422697</v>
      </c>
      <c r="AI1017" s="122" t="s">
        <v>7286</v>
      </c>
      <c r="AJ1017" s="41">
        <v>0.5</v>
      </c>
    </row>
    <row r="1018" spans="1:36" ht="35.1" hidden="1" customHeight="1" x14ac:dyDescent="0.25">
      <c r="A1018" s="40">
        <v>1511</v>
      </c>
      <c r="B1018" s="40" t="s">
        <v>4618</v>
      </c>
      <c r="C1018" s="90" t="s">
        <v>545</v>
      </c>
      <c r="D1018" s="44">
        <v>2025</v>
      </c>
      <c r="E1018" s="44"/>
      <c r="F1018" s="40" t="s">
        <v>5701</v>
      </c>
      <c r="G1018" s="40" t="s">
        <v>455</v>
      </c>
      <c r="I1018" s="40" t="s">
        <v>1269</v>
      </c>
      <c r="J1018" s="40" t="s">
        <v>1391</v>
      </c>
      <c r="K1018" s="90" t="s">
        <v>1242</v>
      </c>
      <c r="L1018" s="90"/>
      <c r="M1018" s="90"/>
      <c r="N1018" s="90">
        <v>1</v>
      </c>
      <c r="O1018" s="90"/>
      <c r="P1018" s="90"/>
      <c r="Q1018" s="90"/>
      <c r="R1018" s="90"/>
      <c r="S1018" s="90"/>
      <c r="T1018" s="90"/>
      <c r="U1018" s="90"/>
      <c r="V1018" s="90"/>
      <c r="W1018" s="90">
        <v>1</v>
      </c>
      <c r="X1018" s="90"/>
      <c r="Y1018" s="90"/>
      <c r="Z1018" s="40" t="s">
        <v>7132</v>
      </c>
      <c r="AA1018" s="91">
        <v>60</v>
      </c>
      <c r="AB1018" s="46">
        <f>IF(H2ProjectDB689571011[[#This Row],[Dummy_1]]="Electrolysis",
AA1018/VLOOKUP(G1018,ElectrolysisConvF,3,FALSE),
AC1018*10^6/(H2dens*HoursInYear))</f>
        <v>11538.461538461539</v>
      </c>
      <c r="AC1018" s="47">
        <f t="shared" si="82"/>
        <v>8.9958461538461538</v>
      </c>
      <c r="AD1018" s="92"/>
      <c r="AE1018" s="92">
        <f t="shared" si="83"/>
        <v>11538.461538461539</v>
      </c>
      <c r="AF1018" s="43" t="s">
        <v>6931</v>
      </c>
      <c r="AG1018" s="43">
        <v>55.045759861823598</v>
      </c>
      <c r="AH1018" s="43">
        <v>9.4267392783422697</v>
      </c>
      <c r="AI1018" s="122" t="s">
        <v>7286</v>
      </c>
      <c r="AJ1018" s="41">
        <v>0.3</v>
      </c>
    </row>
    <row r="1019" spans="1:36" ht="35.1" hidden="1" customHeight="1" x14ac:dyDescent="0.25">
      <c r="A1019" s="40">
        <v>1512</v>
      </c>
      <c r="B1019" s="90" t="s">
        <v>3542</v>
      </c>
      <c r="C1019" s="90" t="s">
        <v>545</v>
      </c>
      <c r="D1019" s="44">
        <v>2025</v>
      </c>
      <c r="E1019" s="44"/>
      <c r="F1019" s="40" t="s">
        <v>1331</v>
      </c>
      <c r="G1019" s="40" t="s">
        <v>1259</v>
      </c>
      <c r="H1019" s="40" t="s">
        <v>467</v>
      </c>
      <c r="I1019" s="40" t="s">
        <v>1269</v>
      </c>
      <c r="J1019" s="40" t="s">
        <v>1395</v>
      </c>
      <c r="K1019" s="90" t="s">
        <v>1242</v>
      </c>
      <c r="L1019" s="90"/>
      <c r="M1019" s="90"/>
      <c r="N1019" s="90">
        <v>1</v>
      </c>
      <c r="O1019" s="90"/>
      <c r="P1019" s="90"/>
      <c r="Q1019" s="90"/>
      <c r="R1019" s="90"/>
      <c r="S1019" s="90"/>
      <c r="T1019" s="90"/>
      <c r="U1019" s="90"/>
      <c r="V1019" s="90"/>
      <c r="W1019" s="90"/>
      <c r="X1019" s="90"/>
      <c r="Y1019" s="90"/>
      <c r="Z1019" s="40" t="s">
        <v>5000</v>
      </c>
      <c r="AA1019" s="47">
        <f>IF(H2ProjectDB689571011[[#This Row],[Dummy_1]]="Electrolysis",
AB1019*VLOOKUP(G1019,ElectrolysisConvF,3,FALSE),
"")</f>
        <v>220.86386024318918</v>
      </c>
      <c r="AB1019" s="47">
        <f>AC1019/(H2dens*HoursInYear/10^6)</f>
        <v>49080.85783181982</v>
      </c>
      <c r="AC1019" s="47">
        <f>0.191327*100/H2ProjectDB689571011[[#This Row],[LOWE_CF]]</f>
        <v>38.2654</v>
      </c>
      <c r="AD1019" s="92"/>
      <c r="AE1019" s="92">
        <f t="shared" si="83"/>
        <v>49080.85783181982</v>
      </c>
      <c r="AF1019" s="93" t="s">
        <v>3528</v>
      </c>
      <c r="AG1019" s="43">
        <v>55.017084168726299</v>
      </c>
      <c r="AH1019" s="43">
        <v>11.917353309683399</v>
      </c>
      <c r="AI1019" s="122" t="s">
        <v>7286</v>
      </c>
      <c r="AJ1019" s="41">
        <v>0.5</v>
      </c>
    </row>
    <row r="1020" spans="1:36" ht="35.1" hidden="1" customHeight="1" x14ac:dyDescent="0.25">
      <c r="A1020" s="40">
        <v>1513</v>
      </c>
      <c r="B1020" s="90" t="s">
        <v>3543</v>
      </c>
      <c r="C1020" s="90" t="s">
        <v>545</v>
      </c>
      <c r="D1020" s="44">
        <v>2028</v>
      </c>
      <c r="E1020" s="44"/>
      <c r="F1020" s="40" t="s">
        <v>1331</v>
      </c>
      <c r="G1020" s="40" t="s">
        <v>1259</v>
      </c>
      <c r="H1020" s="40" t="s">
        <v>467</v>
      </c>
      <c r="I1020" s="40" t="s">
        <v>1269</v>
      </c>
      <c r="J1020" s="40" t="s">
        <v>1395</v>
      </c>
      <c r="K1020" s="90" t="s">
        <v>1242</v>
      </c>
      <c r="L1020" s="90"/>
      <c r="M1020" s="90"/>
      <c r="N1020" s="90">
        <v>1</v>
      </c>
      <c r="O1020" s="90"/>
      <c r="P1020" s="90"/>
      <c r="Q1020" s="90"/>
      <c r="R1020" s="90"/>
      <c r="S1020" s="90"/>
      <c r="T1020" s="90"/>
      <c r="U1020" s="90"/>
      <c r="V1020" s="90"/>
      <c r="W1020" s="90"/>
      <c r="X1020" s="90"/>
      <c r="Y1020" s="90"/>
      <c r="Z1020" s="90" t="s">
        <v>3544</v>
      </c>
      <c r="AA1020" s="91">
        <v>350</v>
      </c>
      <c r="AB1020" s="46">
        <f>IF(H2ProjectDB689571011[[#This Row],[Dummy_1]]="Electrolysis",
AA1020/VLOOKUP(G1020,ElectrolysisConvF,3,FALSE),
AC1020*10^6/(H2dens*HoursInYear))</f>
        <v>77777.777777777781</v>
      </c>
      <c r="AC1020" s="47">
        <f>AB1020*H2dens*HoursInYear/10^6</f>
        <v>60.638666666666673</v>
      </c>
      <c r="AD1020" s="92"/>
      <c r="AE1020" s="92">
        <f t="shared" si="83"/>
        <v>77777.777777777781</v>
      </c>
      <c r="AF1020" s="93" t="s">
        <v>3528</v>
      </c>
      <c r="AG1020" s="43">
        <v>57.051975090218903</v>
      </c>
      <c r="AH1020" s="43">
        <v>9.9935988530856008</v>
      </c>
      <c r="AI1020" s="122" t="s">
        <v>7286</v>
      </c>
      <c r="AJ1020" s="41">
        <v>0.5</v>
      </c>
    </row>
    <row r="1021" spans="1:36" ht="35.1" hidden="1" customHeight="1" x14ac:dyDescent="0.25">
      <c r="A1021" s="40">
        <v>1514</v>
      </c>
      <c r="B1021" s="90" t="s">
        <v>3545</v>
      </c>
      <c r="C1021" s="90" t="s">
        <v>545</v>
      </c>
      <c r="D1021" s="44">
        <v>2026</v>
      </c>
      <c r="E1021" s="44"/>
      <c r="F1021" s="40" t="s">
        <v>2222</v>
      </c>
      <c r="G1021" s="40" t="s">
        <v>1259</v>
      </c>
      <c r="H1021" s="40" t="s">
        <v>467</v>
      </c>
      <c r="I1021" s="40" t="s">
        <v>1269</v>
      </c>
      <c r="J1021" s="40" t="s">
        <v>1395</v>
      </c>
      <c r="K1021" s="90" t="s">
        <v>612</v>
      </c>
      <c r="L1021" s="90"/>
      <c r="M1021" s="90"/>
      <c r="N1021" s="90"/>
      <c r="O1021" s="90"/>
      <c r="P1021" s="90"/>
      <c r="Q1021" s="90"/>
      <c r="R1021" s="90"/>
      <c r="S1021" s="90"/>
      <c r="T1021" s="90"/>
      <c r="U1021" s="90"/>
      <c r="V1021" s="90"/>
      <c r="W1021" s="90"/>
      <c r="X1021" s="90">
        <v>1</v>
      </c>
      <c r="Y1021" s="90">
        <v>1</v>
      </c>
      <c r="Z1021" s="90" t="s">
        <v>3546</v>
      </c>
      <c r="AA1021" s="91">
        <f>11*36</f>
        <v>396</v>
      </c>
      <c r="AB1021" s="46">
        <f>IF(H2ProjectDB689571011[[#This Row],[Dummy_1]]="Electrolysis",
AA1021/VLOOKUP(G1021,ElectrolysisConvF,3,FALSE),
AC1021*10^6/(H2dens*HoursInYear))</f>
        <v>88000</v>
      </c>
      <c r="AC1021" s="47">
        <f>AB1021*H2dens*HoursInYear/10^6</f>
        <v>68.608320000000006</v>
      </c>
      <c r="AD1021" s="92"/>
      <c r="AE1021" s="92">
        <f t="shared" si="83"/>
        <v>88000</v>
      </c>
      <c r="AF1021" s="93" t="s">
        <v>3528</v>
      </c>
      <c r="AG1021" s="43">
        <v>54.932283951883299</v>
      </c>
      <c r="AH1021" s="43">
        <v>9.8362304489461305</v>
      </c>
      <c r="AI1021" s="122" t="s">
        <v>7286</v>
      </c>
      <c r="AJ1021" s="41">
        <v>0.5</v>
      </c>
    </row>
    <row r="1022" spans="1:36" ht="35.1" hidden="1" customHeight="1" x14ac:dyDescent="0.25">
      <c r="A1022" s="40">
        <v>1515</v>
      </c>
      <c r="B1022" s="90" t="s">
        <v>3547</v>
      </c>
      <c r="C1022" s="90" t="s">
        <v>535</v>
      </c>
      <c r="D1022" s="90"/>
      <c r="E1022" s="90"/>
      <c r="F1022" s="40" t="s">
        <v>2222</v>
      </c>
      <c r="G1022" s="40" t="s">
        <v>1259</v>
      </c>
      <c r="H1022" s="40" t="s">
        <v>467</v>
      </c>
      <c r="I1022" s="40" t="s">
        <v>1269</v>
      </c>
      <c r="J1022" s="90" t="s">
        <v>581</v>
      </c>
      <c r="K1022" s="90" t="s">
        <v>1243</v>
      </c>
      <c r="L1022" s="90"/>
      <c r="M1022" s="90">
        <v>1</v>
      </c>
      <c r="N1022" s="90"/>
      <c r="O1022" s="90"/>
      <c r="P1022" s="90"/>
      <c r="Q1022" s="90"/>
      <c r="R1022" s="90"/>
      <c r="S1022" s="90"/>
      <c r="T1022" s="90"/>
      <c r="U1022" s="90"/>
      <c r="V1022" s="90"/>
      <c r="W1022" s="90"/>
      <c r="X1022" s="90"/>
      <c r="Y1022" s="90"/>
      <c r="Z1022" s="40" t="s">
        <v>5001</v>
      </c>
      <c r="AA1022" s="47">
        <f>IF(H2ProjectDB689571011[[#This Row],[Dummy_1]]="Electrolysis",
AB1022*VLOOKUP(G1022,ElectrolysisConvF,3,FALSE),
"")</f>
        <v>577.18947206402959</v>
      </c>
      <c r="AB1022" s="92">
        <f>AC1022/(H2dens*HoursInYear/10^6)</f>
        <v>128264.32712533991</v>
      </c>
      <c r="AC1022" s="92">
        <f>50/H2ProjectDB689571011[[#This Row],[LOWE_CF]]</f>
        <v>100</v>
      </c>
      <c r="AD1022" s="92"/>
      <c r="AE1022" s="92">
        <f t="shared" si="83"/>
        <v>128264.32712533991</v>
      </c>
      <c r="AF1022" s="93" t="s">
        <v>3549</v>
      </c>
      <c r="AG1022" s="43">
        <v>-27.434248542937901</v>
      </c>
      <c r="AH1022" s="43">
        <v>153.12404136138201</v>
      </c>
      <c r="AI1022" s="122" t="s">
        <v>7286</v>
      </c>
      <c r="AJ1022" s="41">
        <v>0.5</v>
      </c>
    </row>
    <row r="1023" spans="1:36" ht="35.1" hidden="1" customHeight="1" x14ac:dyDescent="0.25">
      <c r="A1023" s="40">
        <v>1516</v>
      </c>
      <c r="B1023" s="90" t="s">
        <v>3550</v>
      </c>
      <c r="C1023" s="90" t="s">
        <v>549</v>
      </c>
      <c r="D1023" s="44">
        <v>2027</v>
      </c>
      <c r="E1023" s="44"/>
      <c r="F1023" s="40" t="s">
        <v>1331</v>
      </c>
      <c r="G1023" s="40" t="s">
        <v>1259</v>
      </c>
      <c r="H1023" s="40" t="s">
        <v>467</v>
      </c>
      <c r="I1023" s="40" t="s">
        <v>1269</v>
      </c>
      <c r="J1023" s="90" t="s">
        <v>581</v>
      </c>
      <c r="K1023" s="90" t="s">
        <v>578</v>
      </c>
      <c r="L1023" s="90"/>
      <c r="M1023" s="90"/>
      <c r="N1023" s="90"/>
      <c r="O1023" s="90"/>
      <c r="P1023" s="90"/>
      <c r="Q1023" s="90"/>
      <c r="R1023" s="90"/>
      <c r="S1023" s="90"/>
      <c r="T1023" s="90"/>
      <c r="U1023" s="90"/>
      <c r="V1023" s="90"/>
      <c r="W1023" s="90">
        <v>1</v>
      </c>
      <c r="X1023" s="90"/>
      <c r="Y1023" s="90"/>
      <c r="Z1023" s="90" t="s">
        <v>2024</v>
      </c>
      <c r="AA1023" s="91">
        <v>300</v>
      </c>
      <c r="AB1023" s="46">
        <f>IF(H2ProjectDB689571011[[#This Row],[Dummy_1]]="Electrolysis",
AA1023/VLOOKUP(G1023,ElectrolysisConvF,3,FALSE),
AC1023*10^6/(H2dens*HoursInYear))</f>
        <v>66666.666666666672</v>
      </c>
      <c r="AC1023" s="47">
        <f>AB1023*H2dens*HoursInYear/10^6</f>
        <v>51.975999999999999</v>
      </c>
      <c r="AD1023" s="92"/>
      <c r="AE1023" s="92">
        <f t="shared" si="83"/>
        <v>66666.666666666672</v>
      </c>
      <c r="AF1023" s="93" t="s">
        <v>6166</v>
      </c>
      <c r="AG1023" s="43">
        <v>-35.839585923938102</v>
      </c>
      <c r="AH1023" s="43">
        <v>174.48779906839201</v>
      </c>
      <c r="AI1023" s="122" t="s">
        <v>7286</v>
      </c>
      <c r="AJ1023" s="41">
        <v>0.5</v>
      </c>
    </row>
    <row r="1024" spans="1:36" ht="35.1" hidden="1" customHeight="1" x14ac:dyDescent="0.25">
      <c r="A1024" s="40">
        <v>1517</v>
      </c>
      <c r="B1024" s="90" t="s">
        <v>3553</v>
      </c>
      <c r="C1024" s="90" t="s">
        <v>1764</v>
      </c>
      <c r="D1024" s="90"/>
      <c r="E1024" s="90"/>
      <c r="F1024" s="40" t="s">
        <v>2222</v>
      </c>
      <c r="G1024" s="40" t="s">
        <v>1259</v>
      </c>
      <c r="H1024" s="40" t="s">
        <v>467</v>
      </c>
      <c r="I1024" s="40" t="s">
        <v>1269</v>
      </c>
      <c r="J1024" s="40" t="s">
        <v>1395</v>
      </c>
      <c r="K1024" s="90" t="s">
        <v>578</v>
      </c>
      <c r="L1024" s="90"/>
      <c r="M1024" s="90"/>
      <c r="N1024" s="90"/>
      <c r="O1024" s="90"/>
      <c r="P1024" s="90"/>
      <c r="Q1024" s="90"/>
      <c r="R1024" s="90"/>
      <c r="S1024" s="90"/>
      <c r="T1024" s="90"/>
      <c r="U1024" s="90"/>
      <c r="V1024" s="90"/>
      <c r="W1024" s="90"/>
      <c r="X1024" s="90"/>
      <c r="Y1024" s="90"/>
      <c r="Z1024" s="90" t="s">
        <v>1510</v>
      </c>
      <c r="AA1024" s="91">
        <v>30</v>
      </c>
      <c r="AB1024" s="46">
        <f>IF(H2ProjectDB689571011[[#This Row],[Dummy_1]]="Electrolysis",
AA1024/VLOOKUP(G1024,ElectrolysisConvF,3,FALSE),
AC1024*10^6/(H2dens*HoursInYear))</f>
        <v>6666.666666666667</v>
      </c>
      <c r="AC1024" s="47">
        <f>AB1024*H2dens*HoursInYear/10^6</f>
        <v>5.1976000000000004</v>
      </c>
      <c r="AD1024" s="92"/>
      <c r="AE1024" s="92">
        <f t="shared" si="83"/>
        <v>6666.666666666667</v>
      </c>
      <c r="AF1024" s="93" t="s">
        <v>3554</v>
      </c>
      <c r="AG1024" s="43">
        <v>41.7584215245179</v>
      </c>
      <c r="AH1024" s="43">
        <v>-0.38541971485329801</v>
      </c>
      <c r="AI1024" s="122" t="s">
        <v>7286</v>
      </c>
      <c r="AJ1024" s="41">
        <v>0.5</v>
      </c>
    </row>
    <row r="1025" spans="1:36" ht="35.1" hidden="1" customHeight="1" x14ac:dyDescent="0.25">
      <c r="A1025" s="40">
        <v>1518</v>
      </c>
      <c r="B1025" s="90" t="s">
        <v>3556</v>
      </c>
      <c r="C1025" s="90" t="s">
        <v>535</v>
      </c>
      <c r="D1025" s="44">
        <v>2025</v>
      </c>
      <c r="E1025" s="44"/>
      <c r="F1025" s="40" t="s">
        <v>1331</v>
      </c>
      <c r="G1025" s="40" t="s">
        <v>1259</v>
      </c>
      <c r="H1025" s="40" t="s">
        <v>467</v>
      </c>
      <c r="I1025" s="40" t="s">
        <v>1269</v>
      </c>
      <c r="J1025" s="40" t="s">
        <v>1395</v>
      </c>
      <c r="K1025" s="90" t="s">
        <v>1243</v>
      </c>
      <c r="L1025" s="90"/>
      <c r="M1025" s="90">
        <v>1</v>
      </c>
      <c r="N1025" s="90"/>
      <c r="O1025" s="90"/>
      <c r="P1025" s="90"/>
      <c r="Q1025" s="90"/>
      <c r="R1025" s="90"/>
      <c r="S1025" s="90"/>
      <c r="T1025" s="90"/>
      <c r="U1025" s="90"/>
      <c r="V1025" s="90"/>
      <c r="W1025" s="90"/>
      <c r="X1025" s="90"/>
      <c r="Y1025" s="90"/>
      <c r="Z1025" s="40" t="s">
        <v>5002</v>
      </c>
      <c r="AA1025" s="47">
        <f>IF(H2ProjectDB689571011[[#This Row],[Dummy_1]]="Electrolysis",
AB1025*VLOOKUP(G1025,ElectrolysisConvF,3,FALSE),
"")</f>
        <v>1662.9706018162228</v>
      </c>
      <c r="AB1025" s="92">
        <f>AC1025/(H2dens*HoursInYear/10^6)</f>
        <v>369549.02262582735</v>
      </c>
      <c r="AC1025" s="92">
        <f>800*0.180072/H2ProjectDB689571011[[#This Row],[LOWE_CF]]</f>
        <v>288.11520000000002</v>
      </c>
      <c r="AD1025" s="92"/>
      <c r="AE1025" s="92">
        <f t="shared" si="83"/>
        <v>369549.02262582735</v>
      </c>
      <c r="AF1025" s="93" t="s">
        <v>3559</v>
      </c>
      <c r="AG1025" s="43">
        <v>-29.217427958689498</v>
      </c>
      <c r="AH1025" s="43">
        <v>114.95188377405999</v>
      </c>
      <c r="AI1025" s="122" t="s">
        <v>7286</v>
      </c>
      <c r="AJ1025" s="41">
        <v>0.5</v>
      </c>
    </row>
    <row r="1026" spans="1:36" ht="35.1" hidden="1" customHeight="1" x14ac:dyDescent="0.25">
      <c r="A1026" s="40">
        <v>1519</v>
      </c>
      <c r="B1026" s="90" t="s">
        <v>3557</v>
      </c>
      <c r="C1026" s="90" t="s">
        <v>535</v>
      </c>
      <c r="D1026" s="44"/>
      <c r="E1026" s="44"/>
      <c r="F1026" s="40" t="s">
        <v>1331</v>
      </c>
      <c r="G1026" s="40" t="s">
        <v>1259</v>
      </c>
      <c r="H1026" s="40" t="s">
        <v>467</v>
      </c>
      <c r="I1026" s="40" t="s">
        <v>1269</v>
      </c>
      <c r="J1026" s="40" t="s">
        <v>1395</v>
      </c>
      <c r="K1026" s="90" t="s">
        <v>578</v>
      </c>
      <c r="L1026" s="90"/>
      <c r="M1026" s="90"/>
      <c r="N1026" s="90"/>
      <c r="O1026" s="90"/>
      <c r="P1026" s="90"/>
      <c r="Q1026" s="90"/>
      <c r="R1026" s="90"/>
      <c r="S1026" s="90"/>
      <c r="T1026" s="90"/>
      <c r="U1026" s="90"/>
      <c r="V1026" s="90"/>
      <c r="W1026" s="90"/>
      <c r="X1026" s="90"/>
      <c r="Y1026" s="90"/>
      <c r="Z1026" s="90" t="s">
        <v>4967</v>
      </c>
      <c r="AA1026" s="47">
        <f>IF(H2ProjectDB689571011[[#This Row],[Dummy_1]]="Electrolysis",
AB1026*VLOOKUP(G1026,ElectrolysisConvF,3,FALSE),
"")</f>
        <v>3578.5747267969828</v>
      </c>
      <c r="AB1026" s="92">
        <f>AC1026/(H2dens*HoursInYear/10^6)</f>
        <v>795238.82817710738</v>
      </c>
      <c r="AC1026" s="92">
        <f>310/H2ProjectDB689571011[[#This Row],[LOWE_CF]]</f>
        <v>620</v>
      </c>
      <c r="AD1026" s="92"/>
      <c r="AE1026" s="92">
        <f t="shared" si="83"/>
        <v>795238.82817710738</v>
      </c>
      <c r="AF1026" s="93" t="s">
        <v>3559</v>
      </c>
      <c r="AG1026" s="43">
        <v>-29.217427958689498</v>
      </c>
      <c r="AH1026" s="43">
        <v>114.95188377405999</v>
      </c>
      <c r="AI1026" s="122" t="s">
        <v>7286</v>
      </c>
      <c r="AJ1026" s="41">
        <v>0.5</v>
      </c>
    </row>
    <row r="1027" spans="1:36" ht="35.1" hidden="1" customHeight="1" x14ac:dyDescent="0.25">
      <c r="A1027" s="40">
        <v>1520</v>
      </c>
      <c r="B1027" s="90" t="s">
        <v>3561</v>
      </c>
      <c r="C1027" s="90" t="s">
        <v>530</v>
      </c>
      <c r="D1027" s="44">
        <v>2026</v>
      </c>
      <c r="E1027" s="44"/>
      <c r="F1027" s="40" t="s">
        <v>2222</v>
      </c>
      <c r="G1027" s="40" t="s">
        <v>1259</v>
      </c>
      <c r="H1027" s="40" t="s">
        <v>467</v>
      </c>
      <c r="I1027" s="40" t="s">
        <v>1269</v>
      </c>
      <c r="J1027" s="40" t="s">
        <v>1395</v>
      </c>
      <c r="K1027" s="90" t="s">
        <v>1243</v>
      </c>
      <c r="L1027" s="90"/>
      <c r="M1027" s="90">
        <v>1</v>
      </c>
      <c r="N1027" s="90"/>
      <c r="O1027" s="90"/>
      <c r="P1027" s="90"/>
      <c r="Q1027" s="90"/>
      <c r="R1027" s="90"/>
      <c r="S1027" s="90"/>
      <c r="T1027" s="90"/>
      <c r="U1027" s="90"/>
      <c r="V1027" s="90"/>
      <c r="W1027" s="90"/>
      <c r="X1027" s="90"/>
      <c r="Y1027" s="90"/>
      <c r="Z1027" s="40" t="s">
        <v>1510</v>
      </c>
      <c r="AA1027" s="91">
        <v>30</v>
      </c>
      <c r="AB1027" s="46">
        <f>IF(H2ProjectDB689571011[[#This Row],[Dummy_1]]="Electrolysis",
AA1027/VLOOKUP(G1027,ElectrolysisConvF,3,FALSE),
AC1027*10^6/(H2dens*HoursInYear))</f>
        <v>6666.666666666667</v>
      </c>
      <c r="AC1027" s="47">
        <f>AB1027*H2dens*HoursInYear/10^6</f>
        <v>5.1976000000000004</v>
      </c>
      <c r="AD1027" s="92"/>
      <c r="AE1027" s="92">
        <f t="shared" si="83"/>
        <v>6666.666666666667</v>
      </c>
      <c r="AF1027" s="93" t="s">
        <v>3562</v>
      </c>
      <c r="AG1027" s="43">
        <v>47.786856426185402</v>
      </c>
      <c r="AH1027" s="43">
        <v>7.4943629034781596</v>
      </c>
      <c r="AI1027" s="122" t="s">
        <v>7286</v>
      </c>
      <c r="AJ1027" s="41">
        <v>0.5</v>
      </c>
    </row>
    <row r="1028" spans="1:36" ht="35.1" hidden="1" customHeight="1" x14ac:dyDescent="0.25">
      <c r="A1028" s="40">
        <v>1521</v>
      </c>
      <c r="B1028" s="40" t="s">
        <v>3564</v>
      </c>
      <c r="C1028" s="90" t="s">
        <v>536</v>
      </c>
      <c r="D1028" s="44">
        <v>2023</v>
      </c>
      <c r="E1028" s="90"/>
      <c r="F1028" s="40" t="s">
        <v>1339</v>
      </c>
      <c r="G1028" s="40" t="s">
        <v>1259</v>
      </c>
      <c r="H1028" s="40" t="s">
        <v>467</v>
      </c>
      <c r="I1028" s="40" t="s">
        <v>1269</v>
      </c>
      <c r="J1028" s="90" t="s">
        <v>581</v>
      </c>
      <c r="K1028" s="90" t="s">
        <v>578</v>
      </c>
      <c r="L1028" s="90"/>
      <c r="M1028" s="90"/>
      <c r="N1028" s="90"/>
      <c r="O1028" s="90"/>
      <c r="P1028" s="90"/>
      <c r="Q1028" s="90"/>
      <c r="R1028" s="90"/>
      <c r="S1028" s="90"/>
      <c r="T1028" s="90"/>
      <c r="U1028" s="90"/>
      <c r="V1028" s="90"/>
      <c r="W1028" s="90">
        <v>1</v>
      </c>
      <c r="X1028" s="90"/>
      <c r="Y1028" s="90"/>
      <c r="Z1028" s="90"/>
      <c r="AA1028" s="91"/>
      <c r="AB1028" s="92"/>
      <c r="AC1028" s="92"/>
      <c r="AD1028" s="92"/>
      <c r="AE1028" s="92">
        <f t="shared" si="83"/>
        <v>0</v>
      </c>
      <c r="AF1028" s="93" t="s">
        <v>3567</v>
      </c>
      <c r="AG1028" s="43">
        <v>47.503545018044498</v>
      </c>
      <c r="AH1028" s="43">
        <v>-111.28704277649901</v>
      </c>
      <c r="AI1028" s="122" t="s">
        <v>7286</v>
      </c>
      <c r="AJ1028" s="41">
        <v>0.5</v>
      </c>
    </row>
    <row r="1029" spans="1:36" ht="35.1" hidden="1" customHeight="1" x14ac:dyDescent="0.25">
      <c r="A1029" s="40">
        <v>1524</v>
      </c>
      <c r="B1029" s="90" t="s">
        <v>3572</v>
      </c>
      <c r="C1029" s="90" t="s">
        <v>533</v>
      </c>
      <c r="D1029" s="90"/>
      <c r="E1029" s="90"/>
      <c r="F1029" s="40" t="s">
        <v>2222</v>
      </c>
      <c r="G1029" s="40" t="s">
        <v>1259</v>
      </c>
      <c r="H1029" s="40" t="s">
        <v>467</v>
      </c>
      <c r="I1029" s="40" t="s">
        <v>1269</v>
      </c>
      <c r="J1029" s="90" t="s">
        <v>581</v>
      </c>
      <c r="K1029" s="90" t="s">
        <v>1243</v>
      </c>
      <c r="L1029" s="90"/>
      <c r="M1029" s="90">
        <v>1</v>
      </c>
      <c r="N1029" s="90"/>
      <c r="O1029" s="90"/>
      <c r="P1029" s="90"/>
      <c r="Q1029" s="90"/>
      <c r="R1029" s="90"/>
      <c r="S1029" s="90"/>
      <c r="T1029" s="90"/>
      <c r="U1029" s="90"/>
      <c r="V1029" s="90"/>
      <c r="W1029" s="90"/>
      <c r="X1029" s="90"/>
      <c r="Y1029" s="90"/>
      <c r="Z1029" s="90"/>
      <c r="AA1029" s="91"/>
      <c r="AB1029" s="92"/>
      <c r="AC1029" s="92"/>
      <c r="AD1029" s="92"/>
      <c r="AE1029" s="92">
        <f t="shared" si="83"/>
        <v>0</v>
      </c>
      <c r="AF1029" s="93" t="s">
        <v>3574</v>
      </c>
      <c r="AG1029" s="43">
        <v>45.868214939096703</v>
      </c>
      <c r="AH1029" s="43">
        <v>-85.900225109542902</v>
      </c>
      <c r="AI1029" s="122" t="s">
        <v>7286</v>
      </c>
      <c r="AJ1029" s="41">
        <v>0.5</v>
      </c>
    </row>
    <row r="1030" spans="1:36" ht="35.1" hidden="1" customHeight="1" x14ac:dyDescent="0.25">
      <c r="A1030" s="40">
        <v>1525</v>
      </c>
      <c r="B1030" s="90" t="s">
        <v>3577</v>
      </c>
      <c r="C1030" s="90" t="s">
        <v>536</v>
      </c>
      <c r="D1030" s="90"/>
      <c r="E1030" s="90"/>
      <c r="F1030" s="40" t="s">
        <v>2222</v>
      </c>
      <c r="G1030" s="40" t="s">
        <v>1259</v>
      </c>
      <c r="H1030" s="40" t="s">
        <v>467</v>
      </c>
      <c r="I1030" s="40" t="s">
        <v>1269</v>
      </c>
      <c r="J1030" s="90" t="s">
        <v>581</v>
      </c>
      <c r="K1030" s="90" t="s">
        <v>1243</v>
      </c>
      <c r="L1030" s="90"/>
      <c r="M1030" s="90">
        <v>1</v>
      </c>
      <c r="N1030" s="90"/>
      <c r="O1030" s="90"/>
      <c r="P1030" s="90"/>
      <c r="Q1030" s="90"/>
      <c r="R1030" s="90"/>
      <c r="S1030" s="90"/>
      <c r="T1030" s="90"/>
      <c r="U1030" s="90"/>
      <c r="V1030" s="90"/>
      <c r="W1030" s="90"/>
      <c r="X1030" s="90"/>
      <c r="Y1030" s="90"/>
      <c r="Z1030" s="90" t="s">
        <v>4968</v>
      </c>
      <c r="AA1030" s="47">
        <f>IF(H2ProjectDB689571011[[#This Row],[Dummy_1]]="Electrolysis",
AB1030*VLOOKUP(G1030,ElectrolysisConvF,3,FALSE),
"")</f>
        <v>3034.9213483146073</v>
      </c>
      <c r="AB1030" s="92">
        <f>AC1030/(H2dens*HoursInYear/10^6)</f>
        <v>674426.96629213495</v>
      </c>
      <c r="AC1030" s="92">
        <f>4*365*0.180072/H2ProjectDB689571011[[#This Row],[LOWE_CF]]</f>
        <v>525.81024000000002</v>
      </c>
      <c r="AD1030" s="92"/>
      <c r="AE1030" s="92">
        <f t="shared" si="83"/>
        <v>674426.96629213495</v>
      </c>
      <c r="AF1030" s="93" t="s">
        <v>3575</v>
      </c>
      <c r="AG1030" s="43">
        <v>30.088923339522601</v>
      </c>
      <c r="AH1030" s="43">
        <v>-90.498416694273303</v>
      </c>
      <c r="AI1030" s="122" t="s">
        <v>7286</v>
      </c>
      <c r="AJ1030" s="41">
        <v>0.5</v>
      </c>
    </row>
    <row r="1031" spans="1:36" ht="35.1" hidden="1" customHeight="1" x14ac:dyDescent="0.25">
      <c r="A1031" s="40">
        <v>1526</v>
      </c>
      <c r="B1031" s="90" t="s">
        <v>3578</v>
      </c>
      <c r="C1031" s="90" t="s">
        <v>1764</v>
      </c>
      <c r="D1031" s="44">
        <v>2026</v>
      </c>
      <c r="E1031" s="44"/>
      <c r="F1031" s="90" t="s">
        <v>1331</v>
      </c>
      <c r="G1031" s="90" t="s">
        <v>455</v>
      </c>
      <c r="H1031" s="90"/>
      <c r="I1031" s="40" t="s">
        <v>1269</v>
      </c>
      <c r="J1031" s="40" t="s">
        <v>1391</v>
      </c>
      <c r="K1031" s="40" t="s">
        <v>1243</v>
      </c>
      <c r="M1031" s="40">
        <v>1</v>
      </c>
      <c r="N1031" s="90"/>
      <c r="O1031" s="90"/>
      <c r="P1031" s="90"/>
      <c r="Q1031" s="90"/>
      <c r="R1031" s="90"/>
      <c r="S1031" s="90"/>
      <c r="T1031" s="90"/>
      <c r="U1031" s="90"/>
      <c r="V1031" s="90"/>
      <c r="W1031" s="90"/>
      <c r="X1031" s="90"/>
      <c r="Y1031" s="90"/>
      <c r="Z1031" s="40" t="s">
        <v>5025</v>
      </c>
      <c r="AA1031" s="47">
        <f>IF(H2ProjectDB689571011[[#This Row],[Dummy_1]]="Electrolysis",
AB1031*VLOOKUP(G1031,ElectrolysisConvF,3,FALSE),
"")</f>
        <v>50.023087578882567</v>
      </c>
      <c r="AB1031" s="46">
        <f>AC1031/(H2dens*HoursInYear/10^6)</f>
        <v>9619.8245344004936</v>
      </c>
      <c r="AC1031" s="47">
        <v>7.5</v>
      </c>
      <c r="AD1031" s="92"/>
      <c r="AE1031" s="92">
        <f t="shared" si="83"/>
        <v>9619.8245344004936</v>
      </c>
      <c r="AF1031" s="93" t="s">
        <v>3580</v>
      </c>
      <c r="AG1031" s="43">
        <v>38.728247451442101</v>
      </c>
      <c r="AH1031" s="43">
        <v>-2.8308708803810698</v>
      </c>
      <c r="AI1031" s="122" t="s">
        <v>7286</v>
      </c>
      <c r="AJ1031" s="41">
        <v>0.3</v>
      </c>
    </row>
    <row r="1032" spans="1:36" ht="35.1" customHeight="1" x14ac:dyDescent="0.25">
      <c r="A1032" s="40">
        <v>1527</v>
      </c>
      <c r="B1032" s="90" t="s">
        <v>3581</v>
      </c>
      <c r="C1032" s="90" t="s">
        <v>1052</v>
      </c>
      <c r="D1032" s="44">
        <v>2027</v>
      </c>
      <c r="E1032" s="44"/>
      <c r="F1032" s="40" t="s">
        <v>1331</v>
      </c>
      <c r="G1032" s="40" t="s">
        <v>1259</v>
      </c>
      <c r="H1032" s="40" t="s">
        <v>467</v>
      </c>
      <c r="I1032" s="40" t="s">
        <v>1269</v>
      </c>
      <c r="J1032" s="40" t="s">
        <v>1395</v>
      </c>
      <c r="K1032" s="40" t="s">
        <v>1243</v>
      </c>
      <c r="L1032" s="90"/>
      <c r="M1032" s="90"/>
      <c r="N1032" s="90"/>
      <c r="O1032" s="90"/>
      <c r="P1032" s="90"/>
      <c r="Q1032" s="90"/>
      <c r="R1032" s="90"/>
      <c r="S1032" s="90"/>
      <c r="T1032" s="90"/>
      <c r="U1032" s="90"/>
      <c r="V1032" s="90"/>
      <c r="W1032" s="90"/>
      <c r="X1032" s="90"/>
      <c r="Y1032" s="90"/>
      <c r="Z1032" s="40" t="s">
        <v>8271</v>
      </c>
      <c r="AA1032" s="91">
        <v>1120</v>
      </c>
      <c r="AB1032" s="46">
        <f>IF(H2ProjectDB689571011[[#This Row],[Dummy_1]]="Electrolysis",
AA1032/VLOOKUP(G1032,ElectrolysisConvF,3,FALSE),
AC1032*10^6/(H2dens*HoursInYear))</f>
        <v>248888.88888888891</v>
      </c>
      <c r="AC1032" s="47">
        <f>AB1032*H2dens*HoursInYear/10^6</f>
        <v>194.04373333333334</v>
      </c>
      <c r="AD1032" s="92"/>
      <c r="AE1032" s="92">
        <f t="shared" si="83"/>
        <v>248888.88888888891</v>
      </c>
      <c r="AF1032" s="43" t="s">
        <v>6695</v>
      </c>
      <c r="AG1032" s="43">
        <v>-3.53092803394662</v>
      </c>
      <c r="AH1032" s="43">
        <v>-38.792377458297302</v>
      </c>
      <c r="AI1032" s="122" t="s">
        <v>7286</v>
      </c>
      <c r="AJ1032" s="41">
        <v>0.5</v>
      </c>
    </row>
    <row r="1033" spans="1:36" ht="35.1" customHeight="1" x14ac:dyDescent="0.25">
      <c r="A1033" s="40">
        <v>1528</v>
      </c>
      <c r="B1033" s="90" t="s">
        <v>3583</v>
      </c>
      <c r="C1033" s="90" t="s">
        <v>1052</v>
      </c>
      <c r="D1033" s="90"/>
      <c r="E1033" s="90"/>
      <c r="F1033" s="40" t="s">
        <v>2222</v>
      </c>
      <c r="G1033" s="40" t="s">
        <v>1259</v>
      </c>
      <c r="H1033" s="40" t="s">
        <v>467</v>
      </c>
      <c r="I1033" s="40" t="s">
        <v>1269</v>
      </c>
      <c r="J1033" s="90" t="s">
        <v>581</v>
      </c>
      <c r="K1033" s="90" t="s">
        <v>578</v>
      </c>
      <c r="L1033" s="90"/>
      <c r="M1033" s="90"/>
      <c r="N1033" s="90"/>
      <c r="O1033" s="90"/>
      <c r="P1033" s="90"/>
      <c r="Q1033" s="90"/>
      <c r="R1033" s="90"/>
      <c r="S1033" s="90"/>
      <c r="T1033" s="90"/>
      <c r="U1033" s="90"/>
      <c r="V1033" s="90"/>
      <c r="W1033" s="90"/>
      <c r="X1033" s="90"/>
      <c r="Y1033" s="90"/>
      <c r="Z1033" s="90"/>
      <c r="AA1033" s="91"/>
      <c r="AB1033" s="92"/>
      <c r="AC1033" s="92"/>
      <c r="AD1033" s="92"/>
      <c r="AE1033" s="92">
        <f t="shared" si="83"/>
        <v>0</v>
      </c>
      <c r="AF1033" s="93" t="s">
        <v>3584</v>
      </c>
      <c r="AG1033" s="43">
        <v>-4.9447152022925298</v>
      </c>
      <c r="AH1033" s="43">
        <v>-38.820003977835597</v>
      </c>
      <c r="AI1033" s="122" t="s">
        <v>7286</v>
      </c>
      <c r="AJ1033" s="41">
        <v>0.5</v>
      </c>
    </row>
    <row r="1034" spans="1:36" ht="35.1" hidden="1" customHeight="1" x14ac:dyDescent="0.25">
      <c r="A1034" s="40">
        <v>1529</v>
      </c>
      <c r="B1034" s="90" t="s">
        <v>3586</v>
      </c>
      <c r="C1034" s="90" t="s">
        <v>530</v>
      </c>
      <c r="D1034" s="44">
        <v>2030</v>
      </c>
      <c r="E1034" s="44"/>
      <c r="F1034" s="40" t="s">
        <v>1331</v>
      </c>
      <c r="G1034" s="40" t="s">
        <v>1259</v>
      </c>
      <c r="H1034" s="40" t="s">
        <v>467</v>
      </c>
      <c r="I1034" s="40" t="s">
        <v>1266</v>
      </c>
      <c r="J1034" s="90"/>
      <c r="K1034" s="90" t="s">
        <v>1267</v>
      </c>
      <c r="L1034" s="90"/>
      <c r="M1034" s="90"/>
      <c r="N1034" s="90"/>
      <c r="O1034" s="90"/>
      <c r="P1034" s="90"/>
      <c r="Q1034" s="90"/>
      <c r="R1034" s="90"/>
      <c r="S1034" s="90"/>
      <c r="T1034" s="90"/>
      <c r="U1034" s="90"/>
      <c r="V1034" s="90"/>
      <c r="W1034" s="90">
        <v>1</v>
      </c>
      <c r="X1034" s="90"/>
      <c r="Y1034" s="90"/>
      <c r="Z1034" s="90" t="s">
        <v>2393</v>
      </c>
      <c r="AA1034" s="91">
        <v>400</v>
      </c>
      <c r="AB1034" s="46">
        <f>IF(H2ProjectDB689571011[[#This Row],[Dummy_1]]="Electrolysis",
AA1034/VLOOKUP(G1034,ElectrolysisConvF,3,FALSE),
AC1034*10^6/(H2dens*HoursInYear))</f>
        <v>88888.888888888891</v>
      </c>
      <c r="AC1034" s="47">
        <f>AB1034*H2dens*HoursInYear/10^6</f>
        <v>69.301333333333332</v>
      </c>
      <c r="AD1034" s="92"/>
      <c r="AE1034" s="92">
        <f t="shared" si="83"/>
        <v>88888.888888888891</v>
      </c>
      <c r="AF1034" s="93" t="s">
        <v>3587</v>
      </c>
      <c r="AG1034" s="43">
        <v>51.033737976384103</v>
      </c>
      <c r="AH1034" s="43">
        <v>2.2881886279031201</v>
      </c>
      <c r="AI1034" s="122" t="s">
        <v>7286</v>
      </c>
      <c r="AJ1034" s="41">
        <v>0.56999999999999995</v>
      </c>
    </row>
    <row r="1035" spans="1:36" ht="35.1" hidden="1" customHeight="1" x14ac:dyDescent="0.25">
      <c r="A1035" s="40">
        <v>1530</v>
      </c>
      <c r="B1035" s="40" t="s">
        <v>3589</v>
      </c>
      <c r="C1035" s="90" t="s">
        <v>542</v>
      </c>
      <c r="D1035" s="44">
        <v>2024</v>
      </c>
      <c r="E1035" s="44"/>
      <c r="F1035" s="40" t="s">
        <v>5701</v>
      </c>
      <c r="G1035" s="40" t="s">
        <v>1259</v>
      </c>
      <c r="H1035" s="40" t="s">
        <v>467</v>
      </c>
      <c r="I1035" s="40" t="s">
        <v>1269</v>
      </c>
      <c r="J1035" s="40" t="s">
        <v>1395</v>
      </c>
      <c r="K1035" s="90" t="s">
        <v>578</v>
      </c>
      <c r="L1035" s="90"/>
      <c r="M1035" s="90"/>
      <c r="N1035" s="90"/>
      <c r="O1035" s="90"/>
      <c r="P1035" s="90"/>
      <c r="Q1035" s="90"/>
      <c r="R1035" s="90"/>
      <c r="S1035" s="90"/>
      <c r="T1035" s="90"/>
      <c r="U1035" s="90"/>
      <c r="V1035" s="90"/>
      <c r="W1035" s="90"/>
      <c r="X1035" s="90"/>
      <c r="Y1035" s="90"/>
      <c r="Z1035" s="90" t="s">
        <v>1582</v>
      </c>
      <c r="AA1035" s="91">
        <v>15</v>
      </c>
      <c r="AB1035" s="46">
        <f>IF(H2ProjectDB689571011[[#This Row],[Dummy_1]]="Electrolysis",
AA1035/VLOOKUP(G1035,ElectrolysisConvF,3,FALSE),
AC1035*10^6/(H2dens*HoursInYear))</f>
        <v>3333.3333333333335</v>
      </c>
      <c r="AC1035" s="47">
        <f>AB1035*H2dens*HoursInYear/10^6</f>
        <v>2.5988000000000002</v>
      </c>
      <c r="AD1035" s="92"/>
      <c r="AE1035" s="92">
        <f t="shared" si="83"/>
        <v>3333.3333333333335</v>
      </c>
      <c r="AF1035" s="43" t="s">
        <v>4646</v>
      </c>
      <c r="AG1035" s="43">
        <v>57.091950124431499</v>
      </c>
      <c r="AH1035" s="43">
        <v>-4.2527972593540904</v>
      </c>
      <c r="AI1035" s="122" t="s">
        <v>7286</v>
      </c>
      <c r="AJ1035" s="41">
        <v>0.5</v>
      </c>
    </row>
    <row r="1036" spans="1:36" ht="35.1" hidden="1" customHeight="1" x14ac:dyDescent="0.25">
      <c r="A1036" s="40">
        <v>1531</v>
      </c>
      <c r="B1036" s="90" t="s">
        <v>3594</v>
      </c>
      <c r="C1036" s="90" t="s">
        <v>560</v>
      </c>
      <c r="D1036" s="44"/>
      <c r="E1036" s="44"/>
      <c r="F1036" s="40" t="s">
        <v>1331</v>
      </c>
      <c r="G1036" s="40" t="s">
        <v>1259</v>
      </c>
      <c r="H1036" s="40" t="s">
        <v>467</v>
      </c>
      <c r="I1036" s="40" t="s">
        <v>1269</v>
      </c>
      <c r="J1036" s="90" t="s">
        <v>1391</v>
      </c>
      <c r="K1036" s="90" t="s">
        <v>578</v>
      </c>
      <c r="L1036" s="90"/>
      <c r="M1036" s="90"/>
      <c r="N1036" s="90"/>
      <c r="O1036" s="90"/>
      <c r="P1036" s="90"/>
      <c r="Q1036" s="90">
        <v>1</v>
      </c>
      <c r="R1036" s="90"/>
      <c r="S1036" s="90"/>
      <c r="T1036" s="90"/>
      <c r="U1036" s="90"/>
      <c r="V1036" s="90"/>
      <c r="W1036" s="90"/>
      <c r="X1036" s="90"/>
      <c r="Y1036" s="90"/>
      <c r="Z1036" s="90" t="s">
        <v>1333</v>
      </c>
      <c r="AA1036" s="91">
        <v>10</v>
      </c>
      <c r="AB1036" s="46">
        <f>IF(H2ProjectDB689571011[[#This Row],[Dummy_1]]="Electrolysis",
AA1036/VLOOKUP(G1036,ElectrolysisConvF,3,FALSE),
AC1036*10^6/(H2dens*HoursInYear))</f>
        <v>2222.2222222222222</v>
      </c>
      <c r="AC1036" s="47">
        <f>AB1036*H2dens*HoursInYear/10^6</f>
        <v>1.7325333333333333</v>
      </c>
      <c r="AD1036" s="92"/>
      <c r="AE1036" s="92">
        <f t="shared" si="83"/>
        <v>2222.2222222222222</v>
      </c>
      <c r="AF1036" s="93" t="s">
        <v>3595</v>
      </c>
      <c r="AG1036" s="43">
        <v>-23.3990803648907</v>
      </c>
      <c r="AH1036" s="43">
        <v>-69.252182822015996</v>
      </c>
      <c r="AI1036" s="122" t="s">
        <v>7286</v>
      </c>
      <c r="AJ1036" s="41">
        <v>0.3</v>
      </c>
    </row>
    <row r="1037" spans="1:36" ht="35.1" hidden="1" customHeight="1" x14ac:dyDescent="0.25">
      <c r="A1037" s="40">
        <v>1532</v>
      </c>
      <c r="B1037" s="90" t="s">
        <v>3596</v>
      </c>
      <c r="C1037" s="90" t="s">
        <v>560</v>
      </c>
      <c r="D1037" s="44">
        <v>2027</v>
      </c>
      <c r="E1037" s="44"/>
      <c r="F1037" s="40" t="s">
        <v>2222</v>
      </c>
      <c r="G1037" s="40" t="s">
        <v>1259</v>
      </c>
      <c r="H1037" s="40" t="s">
        <v>467</v>
      </c>
      <c r="I1037" s="40" t="s">
        <v>1269</v>
      </c>
      <c r="J1037" s="90" t="s">
        <v>1391</v>
      </c>
      <c r="K1037" s="90" t="s">
        <v>578</v>
      </c>
      <c r="L1037" s="90"/>
      <c r="M1037" s="90"/>
      <c r="N1037" s="90"/>
      <c r="O1037" s="90"/>
      <c r="P1037" s="90"/>
      <c r="Q1037" s="90">
        <v>1</v>
      </c>
      <c r="R1037" s="90"/>
      <c r="S1037" s="90"/>
      <c r="T1037" s="90"/>
      <c r="U1037" s="90"/>
      <c r="V1037" s="90"/>
      <c r="W1037" s="90"/>
      <c r="X1037" s="90"/>
      <c r="Y1037" s="90"/>
      <c r="Z1037" s="40" t="s">
        <v>5826</v>
      </c>
      <c r="AA1037" s="45">
        <v>2000</v>
      </c>
      <c r="AB1037" s="46">
        <f>IF(H2ProjectDB689571011[[#This Row],[Dummy_1]]="Electrolysis",
AA1037/VLOOKUP(G1037,ElectrolysisConvF,3,FALSE),
AC1037*10^6/(H2dens*HoursInYear))</f>
        <v>444444.4444444445</v>
      </c>
      <c r="AC1037" s="47">
        <f>AB1037*H2dens*HoursInYear/10^6</f>
        <v>346.50666666666666</v>
      </c>
      <c r="AD1037" s="92"/>
      <c r="AE1037" s="92">
        <f t="shared" si="83"/>
        <v>444444.4444444445</v>
      </c>
      <c r="AF1037" s="93" t="s">
        <v>3595</v>
      </c>
      <c r="AG1037" s="43">
        <v>-23.3990803648907</v>
      </c>
      <c r="AH1037" s="43">
        <v>-69.252182822015996</v>
      </c>
      <c r="AI1037" s="122" t="s">
        <v>7286</v>
      </c>
      <c r="AJ1037" s="41">
        <v>0.3</v>
      </c>
    </row>
    <row r="1038" spans="1:36" ht="35.1" hidden="1" customHeight="1" x14ac:dyDescent="0.25">
      <c r="A1038" s="40">
        <v>1533</v>
      </c>
      <c r="B1038" s="40" t="s">
        <v>5822</v>
      </c>
      <c r="C1038" s="90" t="s">
        <v>560</v>
      </c>
      <c r="D1038" s="44">
        <v>2027</v>
      </c>
      <c r="E1038" s="44"/>
      <c r="F1038" s="40" t="s">
        <v>1331</v>
      </c>
      <c r="G1038" s="40" t="s">
        <v>1259</v>
      </c>
      <c r="H1038" s="40" t="s">
        <v>467</v>
      </c>
      <c r="I1038" s="40" t="s">
        <v>5700</v>
      </c>
      <c r="J1038" s="40" t="s">
        <v>1395</v>
      </c>
      <c r="K1038" s="40" t="s">
        <v>1243</v>
      </c>
      <c r="L1038" s="90"/>
      <c r="M1038" s="90">
        <v>1</v>
      </c>
      <c r="N1038" s="90"/>
      <c r="O1038" s="90"/>
      <c r="P1038" s="90"/>
      <c r="Q1038" s="90"/>
      <c r="R1038" s="90"/>
      <c r="S1038" s="90"/>
      <c r="T1038" s="90"/>
      <c r="U1038" s="90"/>
      <c r="V1038" s="90"/>
      <c r="W1038" s="90"/>
      <c r="X1038" s="90"/>
      <c r="Y1038" s="90"/>
      <c r="Z1038" s="40" t="s">
        <v>5827</v>
      </c>
      <c r="AA1038" s="45">
        <v>2000</v>
      </c>
      <c r="AB1038" s="46">
        <f>IF(H2ProjectDB689571011[[#This Row],[Dummy_1]]="Electrolysis",
AA1038/VLOOKUP(G1038,ElectrolysisConvF,3,FALSE),
AC1038*10^6/(H2dens*HoursInYear))</f>
        <v>444444.4444444445</v>
      </c>
      <c r="AC1038" s="47">
        <f>AB1038*H2dens*HoursInYear/10^6</f>
        <v>346.50666666666666</v>
      </c>
      <c r="AD1038" s="92"/>
      <c r="AE1038" s="92">
        <f t="shared" si="83"/>
        <v>444444.4444444445</v>
      </c>
      <c r="AF1038" s="93" t="s">
        <v>3595</v>
      </c>
      <c r="AG1038" s="43">
        <v>-23.3990803648907</v>
      </c>
      <c r="AH1038" s="43">
        <v>-69.252182822015996</v>
      </c>
      <c r="AI1038" s="122" t="s">
        <v>7286</v>
      </c>
      <c r="AJ1038" s="41">
        <v>0.7</v>
      </c>
    </row>
    <row r="1039" spans="1:36" ht="35.1" hidden="1" customHeight="1" x14ac:dyDescent="0.25">
      <c r="A1039" s="40">
        <v>1534</v>
      </c>
      <c r="B1039" s="40" t="s">
        <v>3599</v>
      </c>
      <c r="C1039" s="40" t="s">
        <v>560</v>
      </c>
      <c r="D1039" s="44">
        <v>2028</v>
      </c>
      <c r="E1039" s="44"/>
      <c r="F1039" s="40" t="s">
        <v>1331</v>
      </c>
      <c r="G1039" s="40" t="s">
        <v>1259</v>
      </c>
      <c r="H1039" s="40" t="s">
        <v>467</v>
      </c>
      <c r="I1039" s="40" t="s">
        <v>1269</v>
      </c>
      <c r="J1039" s="40" t="s">
        <v>1392</v>
      </c>
      <c r="K1039" s="40" t="s">
        <v>1243</v>
      </c>
      <c r="M1039" s="40">
        <v>1</v>
      </c>
      <c r="N1039" s="90"/>
      <c r="O1039" s="90"/>
      <c r="P1039" s="90"/>
      <c r="Q1039" s="90"/>
      <c r="R1039" s="90"/>
      <c r="S1039" s="90"/>
      <c r="T1039" s="90"/>
      <c r="U1039" s="90"/>
      <c r="V1039" s="90"/>
      <c r="W1039" s="90"/>
      <c r="X1039" s="90"/>
      <c r="Y1039" s="90"/>
      <c r="Z1039" s="40" t="s">
        <v>5026</v>
      </c>
      <c r="AA1039" s="47">
        <f>IF(H2ProjectDB689571011[[#This Row],[Dummy_1]]="Electrolysis",
AB1039*VLOOKUP(G1039,ElectrolysisConvF,3,FALSE),
"")</f>
        <v>981.22210250885018</v>
      </c>
      <c r="AB1039" s="46">
        <f>AC1039/(H2dens*HoursInYear/10^6)</f>
        <v>218049.35611307784</v>
      </c>
      <c r="AC1039" s="47">
        <v>170</v>
      </c>
      <c r="AD1039" s="92"/>
      <c r="AE1039" s="92">
        <f t="shared" si="83"/>
        <v>218049.35611307784</v>
      </c>
      <c r="AF1039" s="93" t="s">
        <v>3595</v>
      </c>
      <c r="AG1039" s="43">
        <v>-50.615096291667001</v>
      </c>
      <c r="AH1039" s="43">
        <v>-74.501358900263796</v>
      </c>
      <c r="AI1039" s="122" t="s">
        <v>7286</v>
      </c>
      <c r="AJ1039" s="41">
        <v>0.4</v>
      </c>
    </row>
    <row r="1040" spans="1:36" ht="35.1" hidden="1" customHeight="1" x14ac:dyDescent="0.25">
      <c r="A1040" s="40">
        <v>1536</v>
      </c>
      <c r="B1040" s="90" t="s">
        <v>3600</v>
      </c>
      <c r="C1040" s="90" t="s">
        <v>560</v>
      </c>
      <c r="D1040" s="44">
        <v>2026</v>
      </c>
      <c r="E1040" s="44"/>
      <c r="F1040" s="40" t="s">
        <v>2222</v>
      </c>
      <c r="G1040" s="40" t="s">
        <v>1259</v>
      </c>
      <c r="H1040" s="40" t="s">
        <v>467</v>
      </c>
      <c r="I1040" s="40" t="s">
        <v>1269</v>
      </c>
      <c r="J1040" s="40" t="s">
        <v>1392</v>
      </c>
      <c r="K1040" s="40" t="s">
        <v>1243</v>
      </c>
      <c r="M1040" s="40">
        <v>1</v>
      </c>
      <c r="N1040" s="90"/>
      <c r="O1040" s="90"/>
      <c r="P1040" s="90"/>
      <c r="Q1040" s="90"/>
      <c r="R1040" s="90"/>
      <c r="S1040" s="90"/>
      <c r="T1040" s="90"/>
      <c r="U1040" s="90"/>
      <c r="V1040" s="90"/>
      <c r="W1040" s="90"/>
      <c r="X1040" s="90"/>
      <c r="Y1040" s="90"/>
      <c r="Z1040" s="90" t="s">
        <v>3601</v>
      </c>
      <c r="AA1040" s="47">
        <f>IF(H2ProjectDB689571011[[#This Row],[Dummy_1]]="Electrolysis",
AB1040*VLOOKUP(G1040,ElectrolysisConvF,3,FALSE),
"")</f>
        <v>490.61105125442509</v>
      </c>
      <c r="AB1040" s="46">
        <f>AC1040/(H2dens*HoursInYear/10^6)</f>
        <v>109024.67805653892</v>
      </c>
      <c r="AC1040" s="47">
        <v>85</v>
      </c>
      <c r="AD1040" s="92"/>
      <c r="AE1040" s="92">
        <f t="shared" si="83"/>
        <v>109024.67805653892</v>
      </c>
      <c r="AF1040" s="93" t="s">
        <v>3595</v>
      </c>
      <c r="AG1040" s="43">
        <v>-50.615096291667001</v>
      </c>
      <c r="AH1040" s="43">
        <v>-74.501358900263796</v>
      </c>
      <c r="AI1040" s="122" t="s">
        <v>7286</v>
      </c>
      <c r="AJ1040" s="41">
        <v>0.4</v>
      </c>
    </row>
    <row r="1041" spans="1:36" ht="35.1" hidden="1" customHeight="1" x14ac:dyDescent="0.25">
      <c r="A1041" s="40">
        <v>1537</v>
      </c>
      <c r="B1041" s="90" t="s">
        <v>3603</v>
      </c>
      <c r="C1041" s="90" t="s">
        <v>531</v>
      </c>
      <c r="D1041" s="44"/>
      <c r="E1041" s="44"/>
      <c r="F1041" s="40" t="s">
        <v>1331</v>
      </c>
      <c r="G1041" s="40" t="s">
        <v>1259</v>
      </c>
      <c r="H1041" s="40" t="s">
        <v>467</v>
      </c>
      <c r="I1041" s="40" t="s">
        <v>1269</v>
      </c>
      <c r="J1041" s="40" t="s">
        <v>581</v>
      </c>
      <c r="K1041" s="40" t="s">
        <v>1243</v>
      </c>
      <c r="M1041" s="40">
        <v>1</v>
      </c>
      <c r="N1041" s="90"/>
      <c r="O1041" s="90"/>
      <c r="P1041" s="90"/>
      <c r="Q1041" s="90"/>
      <c r="R1041" s="90"/>
      <c r="S1041" s="90"/>
      <c r="T1041" s="90"/>
      <c r="U1041" s="90"/>
      <c r="V1041" s="90"/>
      <c r="W1041" s="90"/>
      <c r="X1041" s="90"/>
      <c r="Y1041" s="90"/>
      <c r="Z1041" s="90" t="s">
        <v>1485</v>
      </c>
      <c r="AA1041" s="45">
        <v>100</v>
      </c>
      <c r="AB1041" s="46">
        <f>IF(H2ProjectDB689571011[[#This Row],[Dummy_1]]="Electrolysis",
AA1041/VLOOKUP(G1041,ElectrolysisConvF,3,FALSE),
AC1041*10^6/(H2dens*HoursInYear))</f>
        <v>22222.222222222223</v>
      </c>
      <c r="AC1041" s="47">
        <f>AB1041*H2dens*HoursInYear/10^6</f>
        <v>17.325333333333333</v>
      </c>
      <c r="AD1041" s="92"/>
      <c r="AE1041" s="92">
        <f t="shared" si="83"/>
        <v>22222.222222222223</v>
      </c>
      <c r="AF1041" s="93" t="s">
        <v>4368</v>
      </c>
      <c r="AG1041" s="43">
        <v>70.6929849708511</v>
      </c>
      <c r="AH1041" s="43">
        <v>28.916404831755301</v>
      </c>
      <c r="AI1041" s="122" t="s">
        <v>7286</v>
      </c>
      <c r="AJ1041" s="41">
        <v>0.5</v>
      </c>
    </row>
    <row r="1042" spans="1:36" ht="35.1" hidden="1" customHeight="1" x14ac:dyDescent="0.25">
      <c r="A1042" s="40">
        <v>1538</v>
      </c>
      <c r="B1042" s="90" t="s">
        <v>3604</v>
      </c>
      <c r="C1042" s="90" t="s">
        <v>531</v>
      </c>
      <c r="D1042" s="44">
        <v>2025</v>
      </c>
      <c r="E1042" s="44"/>
      <c r="F1042" s="40" t="s">
        <v>1331</v>
      </c>
      <c r="G1042" s="40" t="s">
        <v>1259</v>
      </c>
      <c r="H1042" s="40" t="s">
        <v>467</v>
      </c>
      <c r="I1042" s="40" t="s">
        <v>1269</v>
      </c>
      <c r="J1042" s="40" t="s">
        <v>581</v>
      </c>
      <c r="K1042" s="40" t="s">
        <v>578</v>
      </c>
      <c r="N1042" s="90"/>
      <c r="O1042" s="90"/>
      <c r="P1042" s="90">
        <v>1</v>
      </c>
      <c r="Q1042" s="90"/>
      <c r="R1042" s="90"/>
      <c r="S1042" s="90"/>
      <c r="T1042" s="90"/>
      <c r="U1042" s="90"/>
      <c r="V1042" s="90"/>
      <c r="W1042" s="90"/>
      <c r="X1042" s="90"/>
      <c r="Y1042" s="90"/>
      <c r="Z1042" s="90" t="s">
        <v>1495</v>
      </c>
      <c r="AA1042" s="45">
        <v>20</v>
      </c>
      <c r="AB1042" s="46">
        <f>IF(H2ProjectDB689571011[[#This Row],[Dummy_1]]="Electrolysis",
AA1042/VLOOKUP(G1042,ElectrolysisConvF,3,FALSE),
AC1042*10^6/(H2dens*HoursInYear))</f>
        <v>4444.4444444444443</v>
      </c>
      <c r="AC1042" s="47">
        <f>AB1042*H2dens*HoursInYear/10^6</f>
        <v>3.4650666666666665</v>
      </c>
      <c r="AD1042" s="92"/>
      <c r="AE1042" s="92">
        <f t="shared" si="83"/>
        <v>4444.4444444444443</v>
      </c>
      <c r="AF1042" s="93" t="s">
        <v>4370</v>
      </c>
      <c r="AG1042" s="43">
        <v>59.8971104008913</v>
      </c>
      <c r="AH1042" s="43">
        <v>8.6081148816029494</v>
      </c>
      <c r="AI1042" s="122" t="s">
        <v>7286</v>
      </c>
      <c r="AJ1042" s="41">
        <v>0.5</v>
      </c>
    </row>
    <row r="1043" spans="1:36" ht="35.1" hidden="1" customHeight="1" x14ac:dyDescent="0.25">
      <c r="A1043" s="40">
        <v>1539</v>
      </c>
      <c r="B1043" s="90" t="s">
        <v>3605</v>
      </c>
      <c r="C1043" s="90" t="s">
        <v>531</v>
      </c>
      <c r="D1043" s="44">
        <v>2025</v>
      </c>
      <c r="E1043" s="44"/>
      <c r="F1043" s="40" t="s">
        <v>1331</v>
      </c>
      <c r="G1043" s="40" t="s">
        <v>1259</v>
      </c>
      <c r="H1043" s="40" t="s">
        <v>467</v>
      </c>
      <c r="I1043" s="40" t="s">
        <v>1269</v>
      </c>
      <c r="J1043" s="40" t="s">
        <v>581</v>
      </c>
      <c r="K1043" s="40" t="s">
        <v>578</v>
      </c>
      <c r="N1043" s="90"/>
      <c r="O1043" s="90"/>
      <c r="P1043" s="90">
        <v>1</v>
      </c>
      <c r="Q1043" s="90"/>
      <c r="R1043" s="90"/>
      <c r="S1043" s="90"/>
      <c r="T1043" s="90"/>
      <c r="U1043" s="90"/>
      <c r="V1043" s="90"/>
      <c r="W1043" s="90"/>
      <c r="X1043" s="90"/>
      <c r="Y1043" s="90"/>
      <c r="Z1043" s="90" t="s">
        <v>1495</v>
      </c>
      <c r="AA1043" s="45">
        <v>20</v>
      </c>
      <c r="AB1043" s="46">
        <f>IF(H2ProjectDB689571011[[#This Row],[Dummy_1]]="Electrolysis",
AA1043/VLOOKUP(G1043,ElectrolysisConvF,3,FALSE),
AC1043*10^6/(H2dens*HoursInYear))</f>
        <v>4444.4444444444443</v>
      </c>
      <c r="AC1043" s="47">
        <f>AB1043*H2dens*HoursInYear/10^6</f>
        <v>3.4650666666666665</v>
      </c>
      <c r="AD1043" s="92"/>
      <c r="AE1043" s="92">
        <f t="shared" si="83"/>
        <v>4444.4444444444443</v>
      </c>
      <c r="AF1043" s="93" t="s">
        <v>4370</v>
      </c>
      <c r="AG1043" s="43">
        <v>59.8971104008913</v>
      </c>
      <c r="AH1043" s="43">
        <v>8.6081148816029494</v>
      </c>
      <c r="AI1043" s="122" t="s">
        <v>7286</v>
      </c>
      <c r="AJ1043" s="41">
        <v>0.5</v>
      </c>
    </row>
    <row r="1044" spans="1:36" ht="35.1" hidden="1" customHeight="1" x14ac:dyDescent="0.25">
      <c r="A1044" s="40">
        <v>1540</v>
      </c>
      <c r="B1044" s="90" t="s">
        <v>6312</v>
      </c>
      <c r="C1044" s="90" t="s">
        <v>536</v>
      </c>
      <c r="D1044" s="90"/>
      <c r="E1044" s="90"/>
      <c r="F1044" s="90" t="s">
        <v>2222</v>
      </c>
      <c r="G1044" s="90" t="s">
        <v>456</v>
      </c>
      <c r="I1044" s="40" t="s">
        <v>1269</v>
      </c>
      <c r="J1044" s="40" t="s">
        <v>1391</v>
      </c>
      <c r="K1044" s="90" t="s">
        <v>578</v>
      </c>
      <c r="L1044" s="90"/>
      <c r="M1044" s="90"/>
      <c r="N1044" s="90"/>
      <c r="O1044" s="90"/>
      <c r="P1044" s="90">
        <v>1</v>
      </c>
      <c r="Q1044" s="90"/>
      <c r="R1044" s="90"/>
      <c r="S1044" s="90">
        <v>1</v>
      </c>
      <c r="T1044" s="90"/>
      <c r="U1044" s="90"/>
      <c r="V1044" s="90"/>
      <c r="W1044" s="90"/>
      <c r="X1044" s="90"/>
      <c r="Y1044" s="90"/>
      <c r="Z1044" s="40" t="s">
        <v>5327</v>
      </c>
      <c r="AA1044" s="47">
        <f>IF(H2ProjectDB689571011[[#This Row],[Dummy_1]]="Electrolysis",
AB1044*VLOOKUP(G1044,ElectrolysisConvF,3,FALSE),
"")</f>
        <v>324.93629538419441</v>
      </c>
      <c r="AB1044" s="92">
        <f>AC1044/(H2dens*HoursInYear/10^6)</f>
        <v>85509.551416893271</v>
      </c>
      <c r="AC1044" s="92">
        <f>20/H2ProjectDB689571011[[#This Row],[LOWE_CF]]</f>
        <v>66.666666666666671</v>
      </c>
      <c r="AD1044" s="92"/>
      <c r="AE1044" s="92">
        <f t="shared" si="83"/>
        <v>85509.551416893271</v>
      </c>
      <c r="AF1044" s="93" t="s">
        <v>3609</v>
      </c>
      <c r="AG1044" s="43">
        <v>33.829707076428498</v>
      </c>
      <c r="AH1044" s="43">
        <v>-114.10370916323301</v>
      </c>
      <c r="AI1044" s="122" t="s">
        <v>7286</v>
      </c>
      <c r="AJ1044" s="41">
        <v>0.3</v>
      </c>
    </row>
    <row r="1045" spans="1:36" ht="35.1" hidden="1" customHeight="1" x14ac:dyDescent="0.25">
      <c r="A1045" s="40">
        <v>1541</v>
      </c>
      <c r="B1045" s="40" t="s">
        <v>8146</v>
      </c>
      <c r="C1045" s="40" t="s">
        <v>1764</v>
      </c>
      <c r="D1045" s="44">
        <v>2030</v>
      </c>
      <c r="E1045" s="44"/>
      <c r="F1045" s="40" t="s">
        <v>1331</v>
      </c>
      <c r="G1045" s="40" t="s">
        <v>1259</v>
      </c>
      <c r="H1045" s="40" t="s">
        <v>467</v>
      </c>
      <c r="I1045" s="40" t="s">
        <v>1269</v>
      </c>
      <c r="J1045" s="40" t="s">
        <v>1391</v>
      </c>
      <c r="K1045" s="40" t="s">
        <v>578</v>
      </c>
      <c r="L1045" s="40">
        <v>1</v>
      </c>
      <c r="Z1045" s="40" t="s">
        <v>4036</v>
      </c>
      <c r="AA1045" s="45">
        <f>2000-25</f>
        <v>1975</v>
      </c>
      <c r="AB1045" s="46">
        <f>IF(H2ProjectDB689571011[[#This Row],[Dummy_1]]="Electrolysis",
AA1045/VLOOKUP(G1045,ElectrolysisConvF,3,FALSE),
AC1045*10^6/(H2dens*HoursInYear))</f>
        <v>438888.88888888893</v>
      </c>
      <c r="AC1045" s="47">
        <f t="shared" ref="AC1045:AC1050" si="84">AB1045*H2dens*HoursInYear/10^6</f>
        <v>342.17533333333336</v>
      </c>
      <c r="AE1045" s="46">
        <f t="shared" si="83"/>
        <v>438888.88888888893</v>
      </c>
      <c r="AF1045" s="43" t="s">
        <v>8149</v>
      </c>
      <c r="AG1045" s="43">
        <v>39.958004234867602</v>
      </c>
      <c r="AH1045" s="43">
        <v>-4.0723113672253798E-3</v>
      </c>
      <c r="AI1045" s="122" t="s">
        <v>7286</v>
      </c>
      <c r="AJ1045" s="41">
        <v>0.3</v>
      </c>
    </row>
    <row r="1046" spans="1:36" ht="35.1" hidden="1" customHeight="1" x14ac:dyDescent="0.25">
      <c r="A1046" s="40">
        <v>1542</v>
      </c>
      <c r="B1046" s="40" t="s">
        <v>3614</v>
      </c>
      <c r="C1046" s="40" t="s">
        <v>1305</v>
      </c>
      <c r="D1046" s="44"/>
      <c r="E1046" s="44"/>
      <c r="F1046" s="40" t="s">
        <v>2222</v>
      </c>
      <c r="G1046" s="40" t="s">
        <v>1259</v>
      </c>
      <c r="H1046" s="40" t="s">
        <v>467</v>
      </c>
      <c r="I1046" s="40" t="s">
        <v>1269</v>
      </c>
      <c r="J1046" s="40" t="s">
        <v>581</v>
      </c>
      <c r="K1046" s="40" t="s">
        <v>578</v>
      </c>
      <c r="O1046" s="40">
        <v>1</v>
      </c>
      <c r="P1046" s="40">
        <v>1</v>
      </c>
      <c r="Z1046" s="40" t="s">
        <v>1334</v>
      </c>
      <c r="AA1046" s="45">
        <v>590</v>
      </c>
      <c r="AB1046" s="46">
        <f>IF(H2ProjectDB689571011[[#This Row],[Dummy_1]]="Electrolysis",
AA1046/VLOOKUP(G1046,ElectrolysisConvF,3,FALSE),
AC1046*10^6/(H2dens*HoursInYear))</f>
        <v>131111.11111111112</v>
      </c>
      <c r="AC1046" s="47">
        <f t="shared" si="84"/>
        <v>102.21946666666668</v>
      </c>
      <c r="AE1046" s="46">
        <f t="shared" si="83"/>
        <v>131111.11111111112</v>
      </c>
      <c r="AF1046" s="43" t="s">
        <v>3616</v>
      </c>
      <c r="AG1046" s="43">
        <v>53.5295406441506</v>
      </c>
      <c r="AH1046" s="43">
        <v>8.1296932004386608</v>
      </c>
      <c r="AI1046" s="122" t="s">
        <v>7286</v>
      </c>
      <c r="AJ1046" s="41">
        <v>0.5</v>
      </c>
    </row>
    <row r="1047" spans="1:36" ht="35.1" hidden="1" customHeight="1" x14ac:dyDescent="0.25">
      <c r="A1047" s="40">
        <v>1543</v>
      </c>
      <c r="B1047" s="90" t="s">
        <v>4048</v>
      </c>
      <c r="C1047" s="90" t="s">
        <v>537</v>
      </c>
      <c r="D1047" s="44">
        <v>2026</v>
      </c>
      <c r="E1047" s="44"/>
      <c r="F1047" s="40" t="s">
        <v>5701</v>
      </c>
      <c r="G1047" s="40" t="s">
        <v>457</v>
      </c>
      <c r="I1047" s="40" t="s">
        <v>1269</v>
      </c>
      <c r="J1047" s="90" t="s">
        <v>1391</v>
      </c>
      <c r="K1047" s="90" t="s">
        <v>1242</v>
      </c>
      <c r="L1047" s="90"/>
      <c r="M1047" s="90"/>
      <c r="N1047" s="90">
        <v>1</v>
      </c>
      <c r="O1047" s="90"/>
      <c r="P1047" s="90"/>
      <c r="Q1047" s="90"/>
      <c r="R1047" s="90"/>
      <c r="S1047" s="90"/>
      <c r="T1047" s="90"/>
      <c r="U1047" s="90"/>
      <c r="V1047" s="90"/>
      <c r="W1047" s="90"/>
      <c r="X1047" s="90"/>
      <c r="Y1047" s="90"/>
      <c r="Z1047" s="40" t="s">
        <v>7016</v>
      </c>
      <c r="AA1047" s="47">
        <f>IF(H2ProjectDB689571011[[#This Row],[Dummy_1]]="Electrolysis",
AB1047*VLOOKUP(G1047,ElectrolysisConvF,3,FALSE),
"")</f>
        <v>212.52</v>
      </c>
      <c r="AB1047" s="92">
        <v>46200</v>
      </c>
      <c r="AC1047" s="92">
        <f t="shared" si="84"/>
        <v>36.019368</v>
      </c>
      <c r="AD1047" s="92"/>
      <c r="AE1047" s="92">
        <f t="shared" si="83"/>
        <v>46200</v>
      </c>
      <c r="AF1047" s="93" t="s">
        <v>3618</v>
      </c>
      <c r="AG1047" s="43">
        <v>39.6217064512335</v>
      </c>
      <c r="AH1047" s="43">
        <v>109.728046667016</v>
      </c>
      <c r="AI1047" s="122" t="s">
        <v>7286</v>
      </c>
      <c r="AJ1047" s="41">
        <v>0.3</v>
      </c>
    </row>
    <row r="1048" spans="1:36" ht="35.1" hidden="1" customHeight="1" x14ac:dyDescent="0.25">
      <c r="A1048" s="40">
        <v>1544</v>
      </c>
      <c r="B1048" s="90" t="s">
        <v>3619</v>
      </c>
      <c r="C1048" s="90" t="s">
        <v>1761</v>
      </c>
      <c r="D1048" s="44">
        <v>2025</v>
      </c>
      <c r="E1048" s="44"/>
      <c r="F1048" s="40" t="s">
        <v>5701</v>
      </c>
      <c r="G1048" s="40" t="s">
        <v>1259</v>
      </c>
      <c r="H1048" s="40" t="s">
        <v>467</v>
      </c>
      <c r="I1048" s="90" t="s">
        <v>1269</v>
      </c>
      <c r="J1048" s="90" t="s">
        <v>1391</v>
      </c>
      <c r="K1048" s="90" t="s">
        <v>578</v>
      </c>
      <c r="L1048" s="90"/>
      <c r="M1048" s="90"/>
      <c r="N1048" s="90"/>
      <c r="O1048" s="90"/>
      <c r="P1048" s="90">
        <v>1</v>
      </c>
      <c r="Q1048" s="90"/>
      <c r="R1048" s="90"/>
      <c r="S1048" s="90"/>
      <c r="T1048" s="90"/>
      <c r="U1048" s="90"/>
      <c r="V1048" s="90"/>
      <c r="W1048" s="90"/>
      <c r="X1048" s="90"/>
      <c r="Y1048" s="90"/>
      <c r="Z1048" s="90" t="s">
        <v>1672</v>
      </c>
      <c r="AA1048" s="91">
        <v>40</v>
      </c>
      <c r="AB1048" s="46">
        <f>IF(H2ProjectDB689571011[[#This Row],[Dummy_1]]="Electrolysis",
AA1048/VLOOKUP(G1048,ElectrolysisConvF,3,FALSE),
AC1048*10^6/(H2dens*HoursInYear))</f>
        <v>8888.8888888888887</v>
      </c>
      <c r="AC1048" s="47">
        <f t="shared" si="84"/>
        <v>6.930133333333333</v>
      </c>
      <c r="AD1048" s="92"/>
      <c r="AE1048" s="92">
        <f t="shared" si="83"/>
        <v>8888.8888888888887</v>
      </c>
      <c r="AF1048" s="93" t="s">
        <v>6723</v>
      </c>
      <c r="AG1048" s="43">
        <v>39.717129060305702</v>
      </c>
      <c r="AH1048" s="43">
        <v>-8.8983818603375706</v>
      </c>
      <c r="AI1048" s="122" t="s">
        <v>7286</v>
      </c>
      <c r="AJ1048" s="41">
        <v>0.3</v>
      </c>
    </row>
    <row r="1049" spans="1:36" ht="35.1" hidden="1" customHeight="1" x14ac:dyDescent="0.25">
      <c r="A1049" s="40">
        <v>1545</v>
      </c>
      <c r="B1049" s="90" t="s">
        <v>3622</v>
      </c>
      <c r="C1049" s="90" t="s">
        <v>1761</v>
      </c>
      <c r="D1049" s="44"/>
      <c r="E1049" s="44"/>
      <c r="F1049" s="40" t="s">
        <v>2222</v>
      </c>
      <c r="G1049" s="40" t="s">
        <v>1259</v>
      </c>
      <c r="H1049" s="40" t="s">
        <v>467</v>
      </c>
      <c r="I1049" s="90" t="s">
        <v>1269</v>
      </c>
      <c r="J1049" s="90" t="s">
        <v>1391</v>
      </c>
      <c r="K1049" s="90" t="s">
        <v>578</v>
      </c>
      <c r="L1049" s="90"/>
      <c r="M1049" s="90"/>
      <c r="N1049" s="90"/>
      <c r="O1049" s="90"/>
      <c r="P1049" s="90">
        <v>1</v>
      </c>
      <c r="Q1049" s="90"/>
      <c r="R1049" s="90"/>
      <c r="S1049" s="90"/>
      <c r="T1049" s="90"/>
      <c r="U1049" s="90"/>
      <c r="V1049" s="90"/>
      <c r="W1049" s="90"/>
      <c r="X1049" s="90"/>
      <c r="Y1049" s="90"/>
      <c r="Z1049" s="90" t="s">
        <v>2038</v>
      </c>
      <c r="AA1049" s="91">
        <v>540</v>
      </c>
      <c r="AB1049" s="46">
        <f>IF(H2ProjectDB689571011[[#This Row],[Dummy_1]]="Electrolysis",
AA1049/VLOOKUP(G1049,ElectrolysisConvF,3,FALSE),
AC1049*10^6/(H2dens*HoursInYear))</f>
        <v>120000.00000000001</v>
      </c>
      <c r="AC1049" s="47">
        <f t="shared" si="84"/>
        <v>93.556799999999996</v>
      </c>
      <c r="AD1049" s="92"/>
      <c r="AE1049" s="92">
        <f t="shared" si="83"/>
        <v>120000.00000000001</v>
      </c>
      <c r="AF1049" s="93" t="s">
        <v>3621</v>
      </c>
      <c r="AG1049" s="43">
        <v>39.717129060305702</v>
      </c>
      <c r="AH1049" s="43">
        <v>-8.8983818603375706</v>
      </c>
      <c r="AI1049" s="122" t="s">
        <v>7286</v>
      </c>
      <c r="AJ1049" s="41">
        <v>0.3</v>
      </c>
    </row>
    <row r="1050" spans="1:36" ht="35.1" hidden="1" customHeight="1" x14ac:dyDescent="0.25">
      <c r="A1050" s="40">
        <v>1546</v>
      </c>
      <c r="B1050" s="90" t="s">
        <v>3624</v>
      </c>
      <c r="C1050" s="90" t="s">
        <v>537</v>
      </c>
      <c r="D1050" s="44">
        <v>2022</v>
      </c>
      <c r="E1050" s="90"/>
      <c r="F1050" s="90" t="s">
        <v>1540</v>
      </c>
      <c r="G1050" s="90" t="s">
        <v>455</v>
      </c>
      <c r="H1050" s="90"/>
      <c r="I1050" s="40" t="s">
        <v>5700</v>
      </c>
      <c r="J1050" s="90"/>
      <c r="K1050" s="90" t="s">
        <v>578</v>
      </c>
      <c r="L1050" s="90"/>
      <c r="M1050" s="90"/>
      <c r="N1050" s="90"/>
      <c r="O1050" s="90"/>
      <c r="P1050" s="90"/>
      <c r="Q1050" s="90"/>
      <c r="R1050" s="90"/>
      <c r="S1050" s="90"/>
      <c r="T1050" s="90"/>
      <c r="U1050" s="90"/>
      <c r="V1050" s="90"/>
      <c r="W1050" s="90"/>
      <c r="X1050" s="90"/>
      <c r="Y1050" s="90"/>
      <c r="Z1050" s="40" t="s">
        <v>6996</v>
      </c>
      <c r="AA1050" s="91">
        <v>1.25</v>
      </c>
      <c r="AB1050" s="46">
        <f>IF(H2ProjectDB689571011[[#This Row],[Dummy_1]]="Electrolysis",
AA1050/VLOOKUP(G1050,ElectrolysisConvF,3,FALSE),
AC1050*10^6/(H2dens*HoursInYear))</f>
        <v>240.38461538461539</v>
      </c>
      <c r="AC1050" s="47">
        <f t="shared" si="84"/>
        <v>0.18741346153846153</v>
      </c>
      <c r="AD1050" s="92"/>
      <c r="AE1050" s="92">
        <f t="shared" si="83"/>
        <v>240.38461538461539</v>
      </c>
      <c r="AF1050" s="43" t="s">
        <v>4516</v>
      </c>
      <c r="AG1050" s="43">
        <v>39.731090135314403</v>
      </c>
      <c r="AH1050" s="43">
        <v>115.96909868080699</v>
      </c>
      <c r="AI1050" s="122" t="s">
        <v>7286</v>
      </c>
      <c r="AJ1050" s="41">
        <v>0.7</v>
      </c>
    </row>
    <row r="1051" spans="1:36" ht="35.1" hidden="1" customHeight="1" x14ac:dyDescent="0.25">
      <c r="A1051" s="40">
        <v>1547</v>
      </c>
      <c r="B1051" s="90" t="s">
        <v>3626</v>
      </c>
      <c r="C1051" s="90" t="s">
        <v>1764</v>
      </c>
      <c r="D1051" s="90"/>
      <c r="E1051" s="90"/>
      <c r="F1051" s="40" t="s">
        <v>1331</v>
      </c>
      <c r="G1051" s="40" t="s">
        <v>1259</v>
      </c>
      <c r="H1051" s="40" t="s">
        <v>467</v>
      </c>
      <c r="I1051" s="90" t="s">
        <v>1257</v>
      </c>
      <c r="J1051" s="90"/>
      <c r="K1051" s="90" t="s">
        <v>578</v>
      </c>
      <c r="L1051" s="90"/>
      <c r="M1051" s="90"/>
      <c r="N1051" s="90"/>
      <c r="O1051" s="90"/>
      <c r="P1051" s="90">
        <v>1</v>
      </c>
      <c r="Q1051" s="90">
        <v>1</v>
      </c>
      <c r="R1051" s="90"/>
      <c r="S1051" s="90"/>
      <c r="T1051" s="90"/>
      <c r="U1051" s="90"/>
      <c r="V1051" s="90"/>
      <c r="W1051" s="90"/>
      <c r="X1051" s="90"/>
      <c r="Y1051" s="90"/>
      <c r="Z1051" s="90" t="s">
        <v>3627</v>
      </c>
      <c r="AA1051" s="47">
        <f>IF(H2ProjectDB689571011[[#This Row],[Dummy_1]]="Electrolysis",
AB1051*VLOOKUP(G1051,ElectrolysisConvF,3,FALSE),
"")</f>
        <v>144.2973680160074</v>
      </c>
      <c r="AB1051" s="46">
        <f>AC1051/(H2dens*HoursInYear/10^6)</f>
        <v>32066.081781334979</v>
      </c>
      <c r="AC1051" s="92">
        <v>25</v>
      </c>
      <c r="AD1051" s="92"/>
      <c r="AE1051" s="92">
        <f t="shared" si="83"/>
        <v>32066.081781334979</v>
      </c>
      <c r="AF1051" s="93"/>
      <c r="AG1051" s="43">
        <v>37.991947892309298</v>
      </c>
      <c r="AH1051" s="43">
        <v>-1.1022089767711301</v>
      </c>
      <c r="AI1051" s="122" t="s">
        <v>7286</v>
      </c>
      <c r="AJ1051" s="41">
        <v>0.56999999999999995</v>
      </c>
    </row>
    <row r="1052" spans="1:36" ht="35.1" hidden="1" customHeight="1" x14ac:dyDescent="0.25">
      <c r="A1052" s="40">
        <v>1548</v>
      </c>
      <c r="B1052" s="90" t="s">
        <v>3628</v>
      </c>
      <c r="C1052" s="43" t="s">
        <v>1764</v>
      </c>
      <c r="D1052" s="44">
        <v>2030</v>
      </c>
      <c r="E1052" s="44"/>
      <c r="F1052" s="40" t="s">
        <v>2222</v>
      </c>
      <c r="G1052" s="40" t="s">
        <v>1259</v>
      </c>
      <c r="H1052" s="40" t="s">
        <v>467</v>
      </c>
      <c r="I1052" s="90" t="s">
        <v>1269</v>
      </c>
      <c r="J1052" s="90" t="s">
        <v>1391</v>
      </c>
      <c r="K1052" s="90" t="s">
        <v>578</v>
      </c>
      <c r="L1052" s="90"/>
      <c r="M1052" s="90"/>
      <c r="N1052" s="90"/>
      <c r="O1052" s="90"/>
      <c r="P1052" s="90"/>
      <c r="Q1052" s="90"/>
      <c r="R1052" s="90">
        <v>1</v>
      </c>
      <c r="S1052" s="90">
        <v>1</v>
      </c>
      <c r="T1052" s="90"/>
      <c r="U1052" s="90"/>
      <c r="V1052" s="90"/>
      <c r="W1052" s="90"/>
      <c r="X1052" s="90"/>
      <c r="Y1052" s="90"/>
      <c r="Z1052" s="40" t="s">
        <v>8433</v>
      </c>
      <c r="AA1052" s="47">
        <f>IF(H2ProjectDB689571011[[#This Row],[Dummy_1]]="Electrolysis",
AB1052*VLOOKUP(G1052,ElectrolysisConvF,3,FALSE),
"")</f>
        <v>19239.649068800987</v>
      </c>
      <c r="AB1052" s="46">
        <f>AC1052/(H2dens*HoursInYear/10^6)</f>
        <v>4275477.5708446642</v>
      </c>
      <c r="AC1052" s="92">
        <f>1000/H2ProjectDB689571011[[#This Row],[LOWE_CF]]</f>
        <v>3333.3333333333335</v>
      </c>
      <c r="AD1052" s="92"/>
      <c r="AE1052" s="92">
        <f t="shared" si="83"/>
        <v>4275477.5708446642</v>
      </c>
      <c r="AF1052" s="43" t="s">
        <v>8435</v>
      </c>
      <c r="AG1052" s="43">
        <v>40.179374570937597</v>
      </c>
      <c r="AH1052" s="43">
        <v>-2.0249291821986102</v>
      </c>
      <c r="AI1052" s="122" t="s">
        <v>7286</v>
      </c>
      <c r="AJ1052" s="41">
        <v>0.3</v>
      </c>
    </row>
    <row r="1053" spans="1:36" ht="35.1" hidden="1" customHeight="1" x14ac:dyDescent="0.25">
      <c r="A1053" s="40">
        <v>1549</v>
      </c>
      <c r="B1053" s="90" t="s">
        <v>3629</v>
      </c>
      <c r="C1053" s="90" t="s">
        <v>1764</v>
      </c>
      <c r="D1053" s="44">
        <v>2028</v>
      </c>
      <c r="E1053" s="44"/>
      <c r="F1053" s="40" t="s">
        <v>1331</v>
      </c>
      <c r="G1053" s="40" t="s">
        <v>1259</v>
      </c>
      <c r="H1053" s="40" t="s">
        <v>467</v>
      </c>
      <c r="I1053" s="90" t="s">
        <v>1269</v>
      </c>
      <c r="J1053" s="90" t="s">
        <v>1391</v>
      </c>
      <c r="K1053" s="90" t="s">
        <v>578</v>
      </c>
      <c r="L1053" s="90"/>
      <c r="M1053" s="90">
        <v>1</v>
      </c>
      <c r="N1053" s="90"/>
      <c r="O1053" s="90">
        <v>1</v>
      </c>
      <c r="P1053" s="90">
        <v>1</v>
      </c>
      <c r="Q1053" s="90"/>
      <c r="R1053" s="90"/>
      <c r="S1053" s="90"/>
      <c r="T1053" s="90"/>
      <c r="U1053" s="90"/>
      <c r="V1053" s="90"/>
      <c r="W1053" s="90"/>
      <c r="X1053" s="90"/>
      <c r="Y1053" s="90"/>
      <c r="Z1053" s="90" t="s">
        <v>6326</v>
      </c>
      <c r="AA1053" s="91">
        <v>3300</v>
      </c>
      <c r="AB1053" s="46">
        <f>IF(H2ProjectDB689571011[[#This Row],[Dummy_1]]="Electrolysis",
AA1053/VLOOKUP(G1053,ElectrolysisConvF,3,FALSE),
AC1053*10^6/(H2dens*HoursInYear))</f>
        <v>733333.33333333337</v>
      </c>
      <c r="AC1053" s="47">
        <f>AB1053*H2dens*HoursInYear/10^6</f>
        <v>571.73599999999999</v>
      </c>
      <c r="AD1053" s="92"/>
      <c r="AE1053" s="92">
        <f t="shared" si="83"/>
        <v>733333.33333333337</v>
      </c>
      <c r="AF1053" s="93" t="s">
        <v>6328</v>
      </c>
      <c r="AG1053" s="43">
        <v>39.073400803116698</v>
      </c>
      <c r="AH1053" s="43">
        <v>-5.12261733269946</v>
      </c>
      <c r="AI1053" s="122" t="s">
        <v>7286</v>
      </c>
      <c r="AJ1053" s="41">
        <v>0.3</v>
      </c>
    </row>
    <row r="1054" spans="1:36" ht="35.1" hidden="1" customHeight="1" x14ac:dyDescent="0.25">
      <c r="A1054" s="40">
        <v>1550</v>
      </c>
      <c r="B1054" s="90" t="s">
        <v>3630</v>
      </c>
      <c r="C1054" s="90" t="s">
        <v>1764</v>
      </c>
      <c r="D1054" s="44"/>
      <c r="E1054" s="44"/>
      <c r="F1054" s="40" t="s">
        <v>1331</v>
      </c>
      <c r="G1054" s="40" t="s">
        <v>1259</v>
      </c>
      <c r="H1054" s="40" t="s">
        <v>467</v>
      </c>
      <c r="I1054" s="90" t="s">
        <v>1269</v>
      </c>
      <c r="J1054" s="90" t="s">
        <v>1391</v>
      </c>
      <c r="K1054" s="90" t="s">
        <v>578</v>
      </c>
      <c r="L1054" s="90"/>
      <c r="M1054" s="90">
        <v>1</v>
      </c>
      <c r="N1054" s="90"/>
      <c r="O1054" s="90">
        <v>1</v>
      </c>
      <c r="P1054" s="90">
        <v>1</v>
      </c>
      <c r="Q1054" s="90"/>
      <c r="R1054" s="90"/>
      <c r="S1054" s="90"/>
      <c r="T1054" s="90"/>
      <c r="U1054" s="90"/>
      <c r="V1054" s="90"/>
      <c r="W1054" s="90"/>
      <c r="X1054" s="90"/>
      <c r="Y1054" s="90"/>
      <c r="Z1054" s="90" t="s">
        <v>3631</v>
      </c>
      <c r="AA1054" s="91">
        <f>7400-AA1053</f>
        <v>4100</v>
      </c>
      <c r="AB1054" s="46">
        <f>IF(H2ProjectDB689571011[[#This Row],[Dummy_1]]="Electrolysis",
AA1054/VLOOKUP(G1054,ElectrolysisConvF,3,FALSE),
AC1054*10^6/(H2dens*HoursInYear))</f>
        <v>911111.11111111112</v>
      </c>
      <c r="AC1054" s="47">
        <f>AB1054*H2dens*HoursInYear/10^6</f>
        <v>710.33866666666665</v>
      </c>
      <c r="AD1054" s="92"/>
      <c r="AE1054" s="92">
        <f t="shared" si="83"/>
        <v>911111.11111111112</v>
      </c>
      <c r="AF1054" s="93" t="s">
        <v>6327</v>
      </c>
      <c r="AG1054" s="43">
        <v>39.073400803116698</v>
      </c>
      <c r="AH1054" s="43">
        <v>-5.12261733269946</v>
      </c>
      <c r="AI1054" s="122" t="s">
        <v>7286</v>
      </c>
      <c r="AJ1054" s="41">
        <v>0.3</v>
      </c>
    </row>
    <row r="1055" spans="1:36" ht="35.1" hidden="1" customHeight="1" x14ac:dyDescent="0.25">
      <c r="A1055" s="40">
        <v>1551</v>
      </c>
      <c r="B1055" s="90" t="s">
        <v>3634</v>
      </c>
      <c r="C1055" s="90" t="s">
        <v>535</v>
      </c>
      <c r="D1055" s="44">
        <v>2026</v>
      </c>
      <c r="E1055" s="44"/>
      <c r="F1055" s="40" t="s">
        <v>5701</v>
      </c>
      <c r="G1055" s="40" t="s">
        <v>1259</v>
      </c>
      <c r="H1055" s="40" t="s">
        <v>467</v>
      </c>
      <c r="I1055" s="90" t="s">
        <v>1266</v>
      </c>
      <c r="J1055" s="90"/>
      <c r="K1055" s="40" t="s">
        <v>1243</v>
      </c>
      <c r="L1055" s="90"/>
      <c r="M1055" s="90">
        <v>1</v>
      </c>
      <c r="N1055" s="90"/>
      <c r="O1055" s="90"/>
      <c r="P1055" s="90"/>
      <c r="Q1055" s="90"/>
      <c r="R1055" s="90"/>
      <c r="S1055" s="90"/>
      <c r="T1055" s="90"/>
      <c r="U1055" s="90"/>
      <c r="V1055" s="90"/>
      <c r="W1055" s="90"/>
      <c r="X1055" s="90"/>
      <c r="Y1055" s="90"/>
      <c r="Z1055" s="90" t="s">
        <v>3636</v>
      </c>
      <c r="AA1055" s="91">
        <v>55</v>
      </c>
      <c r="AB1055" s="46">
        <f>IF(H2ProjectDB689571011[[#This Row],[Dummy_1]]="Electrolysis",
AA1055/VLOOKUP(G1055,ElectrolysisConvF,3,FALSE),
AC1055*10^6/(H2dens*HoursInYear))</f>
        <v>12222.222222222223</v>
      </c>
      <c r="AC1055" s="47">
        <f>AB1055*H2dens*HoursInYear/10^6</f>
        <v>9.5289333333333346</v>
      </c>
      <c r="AD1055" s="92"/>
      <c r="AE1055" s="92">
        <f t="shared" si="83"/>
        <v>12222.222222222223</v>
      </c>
      <c r="AF1055" s="43" t="s">
        <v>7806</v>
      </c>
      <c r="AG1055" s="43">
        <v>-32.651270601015099</v>
      </c>
      <c r="AH1055" s="43">
        <v>151.004815481891</v>
      </c>
      <c r="AI1055" s="122" t="s">
        <v>7286</v>
      </c>
      <c r="AJ1055" s="41">
        <v>0.56999999999999995</v>
      </c>
    </row>
    <row r="1056" spans="1:36" ht="35.1" hidden="1" customHeight="1" x14ac:dyDescent="0.25">
      <c r="A1056" s="40">
        <v>1552</v>
      </c>
      <c r="B1056" s="40" t="s">
        <v>3638</v>
      </c>
      <c r="C1056" s="90" t="s">
        <v>1945</v>
      </c>
      <c r="D1056" s="44">
        <v>2024</v>
      </c>
      <c r="E1056" s="44"/>
      <c r="F1056" s="40" t="s">
        <v>5701</v>
      </c>
      <c r="G1056" s="40" t="s">
        <v>1259</v>
      </c>
      <c r="H1056" s="40" t="s">
        <v>467</v>
      </c>
      <c r="I1056" s="90" t="s">
        <v>1269</v>
      </c>
      <c r="J1056" s="90" t="s">
        <v>1391</v>
      </c>
      <c r="K1056" s="90" t="s">
        <v>578</v>
      </c>
      <c r="L1056" s="90"/>
      <c r="M1056" s="90"/>
      <c r="N1056" s="90"/>
      <c r="O1056" s="90"/>
      <c r="P1056" s="90"/>
      <c r="Q1056" s="90">
        <v>1</v>
      </c>
      <c r="R1056" s="90"/>
      <c r="S1056" s="90"/>
      <c r="T1056" s="90"/>
      <c r="U1056" s="90"/>
      <c r="V1056" s="90"/>
      <c r="W1056" s="90"/>
      <c r="X1056" s="90"/>
      <c r="Y1056" s="90"/>
      <c r="Z1056" s="90" t="s">
        <v>1648</v>
      </c>
      <c r="AA1056" s="91">
        <v>4</v>
      </c>
      <c r="AB1056" s="46">
        <f>IF(H2ProjectDB689571011[[#This Row],[Dummy_1]]="Electrolysis",
AA1056/VLOOKUP(G1056,ElectrolysisConvF,3,FALSE),
AC1056*10^6/(H2dens*HoursInYear))</f>
        <v>888.88888888888891</v>
      </c>
      <c r="AC1056" s="47">
        <f>AB1056*H2dens*HoursInYear/10^6</f>
        <v>0.69301333333333337</v>
      </c>
      <c r="AD1056" s="92"/>
      <c r="AE1056" s="92">
        <f t="shared" si="83"/>
        <v>888.88888888888891</v>
      </c>
      <c r="AF1056" s="43" t="s">
        <v>6932</v>
      </c>
      <c r="AG1056" s="43">
        <v>-22.018212459452599</v>
      </c>
      <c r="AH1056" s="43">
        <v>14.925130000522399</v>
      </c>
      <c r="AI1056" s="122" t="s">
        <v>7286</v>
      </c>
      <c r="AJ1056" s="41">
        <v>0.3</v>
      </c>
    </row>
    <row r="1057" spans="1:36" ht="35.1" customHeight="1" x14ac:dyDescent="0.25">
      <c r="A1057" s="40">
        <v>1553</v>
      </c>
      <c r="B1057" s="90" t="s">
        <v>3640</v>
      </c>
      <c r="C1057" s="90" t="s">
        <v>1052</v>
      </c>
      <c r="D1057" s="90"/>
      <c r="E1057" s="90"/>
      <c r="F1057" s="40" t="s">
        <v>2222</v>
      </c>
      <c r="G1057" s="40" t="s">
        <v>1259</v>
      </c>
      <c r="H1057" s="40" t="s">
        <v>467</v>
      </c>
      <c r="I1057" s="90" t="s">
        <v>1269</v>
      </c>
      <c r="J1057" s="90" t="s">
        <v>1393</v>
      </c>
      <c r="K1057" s="90" t="s">
        <v>578</v>
      </c>
      <c r="L1057" s="90"/>
      <c r="M1057" s="90">
        <v>1</v>
      </c>
      <c r="N1057" s="90"/>
      <c r="O1057" s="90"/>
      <c r="P1057" s="90">
        <v>1</v>
      </c>
      <c r="Q1057" s="90"/>
      <c r="R1057" s="90"/>
      <c r="S1057" s="90"/>
      <c r="T1057" s="90"/>
      <c r="U1057" s="90"/>
      <c r="V1057" s="90"/>
      <c r="W1057" s="90"/>
      <c r="X1057" s="90"/>
      <c r="Y1057" s="90"/>
      <c r="Z1057" s="90"/>
      <c r="AA1057" s="91"/>
      <c r="AB1057" s="92"/>
      <c r="AC1057" s="92"/>
      <c r="AD1057" s="92"/>
      <c r="AE1057" s="92">
        <f t="shared" si="83"/>
        <v>0</v>
      </c>
      <c r="AF1057" s="93" t="s">
        <v>3642</v>
      </c>
      <c r="AG1057" s="43">
        <v>-32.036714276494202</v>
      </c>
      <c r="AH1057" s="43">
        <v>-52.075347135784</v>
      </c>
      <c r="AI1057" s="122" t="s">
        <v>7286</v>
      </c>
      <c r="AJ1057" s="41">
        <v>0.55000000000000004</v>
      </c>
    </row>
    <row r="1058" spans="1:36" ht="35.1" hidden="1" customHeight="1" x14ac:dyDescent="0.25">
      <c r="A1058" s="40">
        <v>1554</v>
      </c>
      <c r="B1058" s="90" t="s">
        <v>3643</v>
      </c>
      <c r="C1058" s="90" t="s">
        <v>533</v>
      </c>
      <c r="D1058" s="44">
        <v>2025</v>
      </c>
      <c r="E1058" s="44"/>
      <c r="F1058" s="90" t="s">
        <v>1331</v>
      </c>
      <c r="G1058" s="90" t="s">
        <v>1255</v>
      </c>
      <c r="H1058" s="90" t="s">
        <v>2727</v>
      </c>
      <c r="I1058" s="90"/>
      <c r="J1058" s="90"/>
      <c r="K1058" s="90" t="s">
        <v>578</v>
      </c>
      <c r="L1058" s="90"/>
      <c r="M1058" s="90"/>
      <c r="N1058" s="90"/>
      <c r="O1058" s="90"/>
      <c r="P1058" s="90"/>
      <c r="Q1058" s="90"/>
      <c r="R1058" s="90"/>
      <c r="S1058" s="90"/>
      <c r="T1058" s="90"/>
      <c r="U1058" s="90"/>
      <c r="V1058" s="90"/>
      <c r="W1058" s="90"/>
      <c r="X1058" s="90"/>
      <c r="Y1058" s="90"/>
      <c r="Z1058" s="90" t="s">
        <v>3644</v>
      </c>
      <c r="AA1058" s="91"/>
      <c r="AB1058" s="46">
        <f>AC1058/(H2dens*HoursInYear/10^6)</f>
        <v>3206.6081781334979</v>
      </c>
      <c r="AC1058" s="92">
        <v>2.5</v>
      </c>
      <c r="AD1058" s="92"/>
      <c r="AE1058" s="92">
        <f t="shared" si="83"/>
        <v>3206.6081781334979</v>
      </c>
      <c r="AF1058" s="93" t="s">
        <v>3646</v>
      </c>
      <c r="AG1058" s="43">
        <v>55.326832149459598</v>
      </c>
      <c r="AH1058" s="43">
        <v>-125.33253896464799</v>
      </c>
      <c r="AI1058" s="122" t="s">
        <v>1255</v>
      </c>
      <c r="AJ1058" s="41">
        <v>0.9</v>
      </c>
    </row>
    <row r="1059" spans="1:36" ht="35.1" hidden="1" customHeight="1" x14ac:dyDescent="0.25">
      <c r="A1059" s="40">
        <v>1555</v>
      </c>
      <c r="B1059" s="90" t="s">
        <v>3647</v>
      </c>
      <c r="C1059" s="90" t="s">
        <v>542</v>
      </c>
      <c r="D1059" s="44">
        <v>2035</v>
      </c>
      <c r="E1059" s="44"/>
      <c r="F1059" s="40" t="s">
        <v>1331</v>
      </c>
      <c r="G1059" s="40" t="s">
        <v>1259</v>
      </c>
      <c r="H1059" s="40" t="s">
        <v>467</v>
      </c>
      <c r="I1059" s="90" t="s">
        <v>1269</v>
      </c>
      <c r="J1059" s="90" t="s">
        <v>1393</v>
      </c>
      <c r="K1059" s="90" t="s">
        <v>578</v>
      </c>
      <c r="L1059" s="90"/>
      <c r="M1059" s="90"/>
      <c r="N1059" s="90"/>
      <c r="O1059" s="90"/>
      <c r="P1059" s="90"/>
      <c r="Q1059" s="90"/>
      <c r="R1059" s="90">
        <v>1</v>
      </c>
      <c r="S1059" s="90"/>
      <c r="T1059" s="90"/>
      <c r="U1059" s="90"/>
      <c r="V1059" s="90"/>
      <c r="W1059" s="90"/>
      <c r="X1059" s="90"/>
      <c r="Y1059" s="90"/>
      <c r="Z1059" s="90" t="s">
        <v>1495</v>
      </c>
      <c r="AA1059" s="91">
        <v>20</v>
      </c>
      <c r="AB1059" s="46">
        <f>IF(H2ProjectDB689571011[[#This Row],[Dummy_1]]="Electrolysis",
AA1059/VLOOKUP(G1059,ElectrolysisConvF,3,FALSE),
AC1059*10^6/(H2dens*HoursInYear))</f>
        <v>4444.4444444444443</v>
      </c>
      <c r="AC1059" s="47">
        <f>AB1059*H2dens*HoursInYear/10^6</f>
        <v>3.4650666666666665</v>
      </c>
      <c r="AD1059" s="92"/>
      <c r="AE1059" s="92">
        <f t="shared" si="83"/>
        <v>4444.4444444444443</v>
      </c>
      <c r="AF1059" s="93" t="s">
        <v>3650</v>
      </c>
      <c r="AG1059" s="43">
        <v>54.846547377939899</v>
      </c>
      <c r="AH1059" s="43">
        <v>-5.7810263507752397</v>
      </c>
      <c r="AI1059" s="122" t="s">
        <v>7286</v>
      </c>
      <c r="AJ1059" s="41">
        <v>0.55000000000000004</v>
      </c>
    </row>
    <row r="1060" spans="1:36" s="81" customFormat="1" ht="35.1" hidden="1" customHeight="1" x14ac:dyDescent="0.25">
      <c r="A1060" s="81">
        <v>1567</v>
      </c>
      <c r="B1060" s="81" t="s">
        <v>3655</v>
      </c>
      <c r="C1060" s="111" t="s">
        <v>542</v>
      </c>
      <c r="D1060" s="101">
        <v>2030</v>
      </c>
      <c r="E1060" s="101"/>
      <c r="F1060" s="81" t="s">
        <v>2222</v>
      </c>
      <c r="G1060" s="81" t="s">
        <v>1259</v>
      </c>
      <c r="H1060" s="81" t="s">
        <v>467</v>
      </c>
      <c r="I1060" s="111" t="s">
        <v>1257</v>
      </c>
      <c r="J1060" s="111"/>
      <c r="K1060" s="111" t="s">
        <v>578</v>
      </c>
      <c r="L1060" s="111"/>
      <c r="M1060" s="111"/>
      <c r="N1060" s="111"/>
      <c r="O1060" s="111"/>
      <c r="P1060" s="111">
        <v>1</v>
      </c>
      <c r="Q1060" s="111">
        <v>1</v>
      </c>
      <c r="R1060" s="111"/>
      <c r="S1060" s="111">
        <v>1</v>
      </c>
      <c r="T1060" s="111"/>
      <c r="U1060" s="111"/>
      <c r="V1060" s="111"/>
      <c r="W1060" s="111"/>
      <c r="X1060" s="111"/>
      <c r="Y1060" s="111"/>
      <c r="Z1060" s="111" t="s">
        <v>1334</v>
      </c>
      <c r="AA1060" s="113"/>
      <c r="AB1060" s="84"/>
      <c r="AC1060" s="85"/>
      <c r="AD1060" s="114"/>
      <c r="AE1060" s="114">
        <f t="shared" si="83"/>
        <v>0</v>
      </c>
      <c r="AF1060" s="112" t="s">
        <v>3657</v>
      </c>
      <c r="AG1060" s="82">
        <v>51.951418066896601</v>
      </c>
      <c r="AH1060" s="82">
        <v>1.33425464260219</v>
      </c>
      <c r="AI1060" s="122" t="s">
        <v>7286</v>
      </c>
      <c r="AJ1060" s="41">
        <v>0.56999999999999995</v>
      </c>
    </row>
    <row r="1061" spans="1:36" ht="35.1" hidden="1" customHeight="1" x14ac:dyDescent="0.25">
      <c r="A1061" s="40">
        <v>1577</v>
      </c>
      <c r="B1061" s="90" t="s">
        <v>3659</v>
      </c>
      <c r="C1061" s="90" t="s">
        <v>535</v>
      </c>
      <c r="D1061" s="90"/>
      <c r="E1061" s="90"/>
      <c r="F1061" s="40" t="s">
        <v>2222</v>
      </c>
      <c r="G1061" s="40" t="s">
        <v>1259</v>
      </c>
      <c r="H1061" s="40" t="s">
        <v>467</v>
      </c>
      <c r="I1061" s="90" t="s">
        <v>1266</v>
      </c>
      <c r="J1061" s="90"/>
      <c r="K1061" s="90" t="s">
        <v>578</v>
      </c>
      <c r="L1061" s="90"/>
      <c r="M1061" s="90"/>
      <c r="N1061" s="90"/>
      <c r="O1061" s="90">
        <v>1</v>
      </c>
      <c r="P1061" s="90"/>
      <c r="Q1061" s="90"/>
      <c r="R1061" s="90"/>
      <c r="S1061" s="90"/>
      <c r="T1061" s="90"/>
      <c r="U1061" s="90"/>
      <c r="V1061" s="90"/>
      <c r="W1061" s="90"/>
      <c r="X1061" s="90"/>
      <c r="Y1061" s="90"/>
      <c r="Z1061" s="90"/>
      <c r="AA1061" s="91"/>
      <c r="AB1061" s="92"/>
      <c r="AC1061" s="92"/>
      <c r="AD1061" s="92"/>
      <c r="AE1061" s="92">
        <f t="shared" si="83"/>
        <v>0</v>
      </c>
      <c r="AF1061" s="93" t="s">
        <v>3661</v>
      </c>
      <c r="AG1061" s="43">
        <v>-41.1283991202313</v>
      </c>
      <c r="AH1061" s="43">
        <v>146.86815171365299</v>
      </c>
      <c r="AI1061" s="122" t="s">
        <v>7286</v>
      </c>
      <c r="AJ1061" s="41">
        <v>0.56999999999999995</v>
      </c>
    </row>
    <row r="1062" spans="1:36" ht="35.1" hidden="1" customHeight="1" x14ac:dyDescent="0.25">
      <c r="A1062" s="40">
        <v>1578</v>
      </c>
      <c r="B1062" s="90" t="s">
        <v>3662</v>
      </c>
      <c r="C1062" s="90" t="s">
        <v>532</v>
      </c>
      <c r="D1062" s="90"/>
      <c r="E1062" s="90"/>
      <c r="F1062" s="40" t="s">
        <v>2222</v>
      </c>
      <c r="G1062" s="40" t="s">
        <v>1259</v>
      </c>
      <c r="H1062" s="40" t="s">
        <v>467</v>
      </c>
      <c r="I1062" s="90" t="s">
        <v>1257</v>
      </c>
      <c r="J1062" s="90"/>
      <c r="K1062" s="90" t="s">
        <v>578</v>
      </c>
      <c r="L1062" s="90"/>
      <c r="M1062" s="90"/>
      <c r="N1062" s="90"/>
      <c r="O1062" s="90"/>
      <c r="P1062" s="90">
        <v>1</v>
      </c>
      <c r="Q1062" s="90"/>
      <c r="R1062" s="90"/>
      <c r="S1062" s="90"/>
      <c r="T1062" s="90"/>
      <c r="U1062" s="90"/>
      <c r="V1062" s="90"/>
      <c r="W1062" s="90"/>
      <c r="X1062" s="90"/>
      <c r="Y1062" s="90"/>
      <c r="Z1062" s="90"/>
      <c r="AA1062" s="91"/>
      <c r="AB1062" s="92"/>
      <c r="AC1062" s="92"/>
      <c r="AD1062" s="92"/>
      <c r="AE1062" s="92">
        <f t="shared" si="83"/>
        <v>0</v>
      </c>
      <c r="AF1062" s="93" t="s">
        <v>3663</v>
      </c>
      <c r="AG1062" s="43">
        <v>64.685212251961303</v>
      </c>
      <c r="AH1062" s="43">
        <v>24.488883243478298</v>
      </c>
      <c r="AI1062" s="122" t="s">
        <v>7286</v>
      </c>
      <c r="AJ1062" s="41">
        <v>0.56999999999999995</v>
      </c>
    </row>
    <row r="1063" spans="1:36" ht="35.1" hidden="1" customHeight="1" x14ac:dyDescent="0.25">
      <c r="A1063" s="40">
        <v>1579</v>
      </c>
      <c r="B1063" s="90" t="s">
        <v>3664</v>
      </c>
      <c r="C1063" s="90" t="s">
        <v>536</v>
      </c>
      <c r="D1063" s="44">
        <v>2029</v>
      </c>
      <c r="E1063" s="44"/>
      <c r="F1063" s="90" t="s">
        <v>1331</v>
      </c>
      <c r="G1063" s="90" t="s">
        <v>1261</v>
      </c>
      <c r="H1063" s="40" t="s">
        <v>1665</v>
      </c>
      <c r="I1063" s="90"/>
      <c r="J1063" s="90"/>
      <c r="K1063" s="90" t="s">
        <v>578</v>
      </c>
      <c r="L1063" s="90">
        <v>1</v>
      </c>
      <c r="M1063" s="90"/>
      <c r="N1063" s="90"/>
      <c r="O1063" s="90"/>
      <c r="P1063" s="90">
        <v>1</v>
      </c>
      <c r="Q1063" s="90"/>
      <c r="R1063" s="90"/>
      <c r="S1063" s="90"/>
      <c r="T1063" s="90"/>
      <c r="U1063" s="90"/>
      <c r="V1063" s="90"/>
      <c r="W1063" s="90"/>
      <c r="X1063" s="90"/>
      <c r="Y1063" s="90"/>
      <c r="Z1063" s="90" t="s">
        <v>5088</v>
      </c>
      <c r="AA1063" s="91"/>
      <c r="AB1063" s="92">
        <f>10^9/24*0.0283</f>
        <v>1179166.6666666665</v>
      </c>
      <c r="AC1063" s="47">
        <f>AB1063*H2dens*HoursInYear/10^6</f>
        <v>919.32549999999992</v>
      </c>
      <c r="AD1063" s="92">
        <v>7000000</v>
      </c>
      <c r="AE1063" s="92">
        <f t="shared" si="83"/>
        <v>877635.09938590624</v>
      </c>
      <c r="AF1063" s="93" t="s">
        <v>3667</v>
      </c>
      <c r="AG1063" s="43">
        <v>29.7473312262183</v>
      </c>
      <c r="AH1063" s="43">
        <v>-95.001079428167401</v>
      </c>
      <c r="AI1063" s="122" t="s">
        <v>7287</v>
      </c>
      <c r="AJ1063" s="41">
        <v>0.9</v>
      </c>
    </row>
    <row r="1064" spans="1:36" ht="35.1" hidden="1" customHeight="1" x14ac:dyDescent="0.25">
      <c r="A1064" s="40">
        <v>1588</v>
      </c>
      <c r="B1064" s="40" t="s">
        <v>3669</v>
      </c>
      <c r="C1064" s="90" t="s">
        <v>536</v>
      </c>
      <c r="D1064" s="44">
        <v>2025</v>
      </c>
      <c r="E1064" s="44"/>
      <c r="F1064" s="40" t="s">
        <v>1331</v>
      </c>
      <c r="G1064" s="40" t="s">
        <v>455</v>
      </c>
      <c r="I1064" s="90" t="s">
        <v>1269</v>
      </c>
      <c r="J1064" s="90" t="s">
        <v>581</v>
      </c>
      <c r="K1064" s="90" t="s">
        <v>578</v>
      </c>
      <c r="L1064" s="90"/>
      <c r="M1064" s="90"/>
      <c r="N1064" s="90"/>
      <c r="O1064" s="90"/>
      <c r="P1064" s="90"/>
      <c r="Q1064" s="90"/>
      <c r="R1064" s="90"/>
      <c r="S1064" s="90"/>
      <c r="T1064" s="90"/>
      <c r="U1064" s="90"/>
      <c r="V1064" s="90"/>
      <c r="W1064" s="90"/>
      <c r="X1064" s="90"/>
      <c r="Y1064" s="90"/>
      <c r="Z1064" s="40" t="s">
        <v>1485</v>
      </c>
      <c r="AA1064" s="91">
        <v>100</v>
      </c>
      <c r="AB1064" s="46">
        <f>IF(H2ProjectDB689571011[[#This Row],[Dummy_1]]="Electrolysis",
AA1064/VLOOKUP(G1064,ElectrolysisConvF,3,FALSE),
AC1064*10^6/(H2dens*HoursInYear))</f>
        <v>19230.76923076923</v>
      </c>
      <c r="AC1064" s="92">
        <f>AB1064*H2dens*HoursInYear/10^6</f>
        <v>14.993076923076922</v>
      </c>
      <c r="AD1064" s="92"/>
      <c r="AE1064" s="92">
        <f t="shared" si="83"/>
        <v>19230.76923076923</v>
      </c>
      <c r="AF1064" s="43" t="s">
        <v>6362</v>
      </c>
      <c r="AG1064" s="43">
        <v>30.080620234450301</v>
      </c>
      <c r="AH1064" s="43">
        <v>-94.132570480366496</v>
      </c>
      <c r="AI1064" s="122" t="s">
        <v>7286</v>
      </c>
      <c r="AJ1064" s="41">
        <v>0.5</v>
      </c>
    </row>
    <row r="1065" spans="1:36" ht="35.1" hidden="1" customHeight="1" x14ac:dyDescent="0.25">
      <c r="A1065" s="40">
        <v>1589</v>
      </c>
      <c r="B1065" s="40" t="s">
        <v>6360</v>
      </c>
      <c r="C1065" s="90" t="s">
        <v>536</v>
      </c>
      <c r="D1065" s="44"/>
      <c r="E1065" s="44"/>
      <c r="F1065" s="40" t="s">
        <v>2222</v>
      </c>
      <c r="G1065" s="40" t="s">
        <v>455</v>
      </c>
      <c r="H1065" s="40" t="s">
        <v>467</v>
      </c>
      <c r="I1065" s="90" t="s">
        <v>1269</v>
      </c>
      <c r="J1065" s="90" t="s">
        <v>581</v>
      </c>
      <c r="K1065" s="90" t="s">
        <v>578</v>
      </c>
      <c r="L1065" s="90"/>
      <c r="M1065" s="90"/>
      <c r="N1065" s="90"/>
      <c r="O1065" s="90"/>
      <c r="P1065" s="90"/>
      <c r="Q1065" s="90"/>
      <c r="R1065" s="90"/>
      <c r="S1065" s="90"/>
      <c r="T1065" s="90"/>
      <c r="U1065" s="90"/>
      <c r="V1065" s="90"/>
      <c r="W1065" s="90"/>
      <c r="X1065" s="90"/>
      <c r="Y1065" s="90"/>
      <c r="Z1065" s="40" t="s">
        <v>1574</v>
      </c>
      <c r="AA1065" s="91">
        <v>100</v>
      </c>
      <c r="AB1065" s="46">
        <f>IF(H2ProjectDB689571011[[#This Row],[Dummy_1]]="Electrolysis",
AA1065/VLOOKUP(G1065,ElectrolysisConvF,3,FALSE),
AC1065*10^6/(H2dens*HoursInYear))</f>
        <v>19230.76923076923</v>
      </c>
      <c r="AC1065" s="92">
        <f>AB1065*H2dens*HoursInYear/10^6</f>
        <v>14.993076923076922</v>
      </c>
      <c r="AD1065" s="92"/>
      <c r="AE1065" s="92">
        <f t="shared" si="83"/>
        <v>19230.76923076923</v>
      </c>
      <c r="AF1065" s="43" t="s">
        <v>6362</v>
      </c>
      <c r="AG1065" s="43">
        <v>30.080620234450301</v>
      </c>
      <c r="AH1065" s="43">
        <v>-94.132570480366496</v>
      </c>
      <c r="AI1065" s="122" t="s">
        <v>7286</v>
      </c>
      <c r="AJ1065" s="41">
        <v>0.5</v>
      </c>
    </row>
    <row r="1066" spans="1:36" ht="35.1" hidden="1" customHeight="1" x14ac:dyDescent="0.25">
      <c r="A1066" s="40">
        <v>1598</v>
      </c>
      <c r="B1066" s="40" t="s">
        <v>3672</v>
      </c>
      <c r="C1066" s="40" t="s">
        <v>531</v>
      </c>
      <c r="D1066" s="44">
        <v>2029</v>
      </c>
      <c r="E1066" s="44"/>
      <c r="F1066" s="40" t="s">
        <v>2222</v>
      </c>
      <c r="G1066" s="40" t="s">
        <v>456</v>
      </c>
      <c r="I1066" s="40" t="s">
        <v>1269</v>
      </c>
      <c r="J1066" s="40" t="s">
        <v>1395</v>
      </c>
      <c r="K1066" s="40" t="s">
        <v>1267</v>
      </c>
      <c r="W1066" s="40">
        <v>1</v>
      </c>
      <c r="Z1066" s="48" t="s">
        <v>5003</v>
      </c>
      <c r="AA1066" s="47">
        <f>IF(H2ProjectDB689571011[[#This Row],[Dummy_1]]="Electrolysis",
AB1066*VLOOKUP(G1066,ElectrolysisConvF,3,FALSE),
"")</f>
        <v>301.58149915345552</v>
      </c>
      <c r="AB1066" s="46">
        <f>AC1066/(H2dens*HoursInYear/10^6)</f>
        <v>79363.552408804084</v>
      </c>
      <c r="AC1066" s="47">
        <f>75*0.803*0.045/0.73/0.12/H2ProjectDB689571011[[#This Row],[LOWE_CF]]</f>
        <v>61.875000000000007</v>
      </c>
      <c r="AE1066" s="46">
        <f>AB1066</f>
        <v>79363.552408804084</v>
      </c>
      <c r="AF1066" s="43" t="s">
        <v>3671</v>
      </c>
      <c r="AG1066" s="43">
        <v>65.8405002614236</v>
      </c>
      <c r="AH1066" s="43">
        <v>13.1952674023743</v>
      </c>
      <c r="AI1066" s="122" t="s">
        <v>7286</v>
      </c>
      <c r="AJ1066" s="41">
        <v>0.5</v>
      </c>
    </row>
    <row r="1067" spans="1:36" ht="35.1" hidden="1" customHeight="1" x14ac:dyDescent="0.25">
      <c r="A1067" s="40">
        <v>1602</v>
      </c>
      <c r="B1067" s="90" t="s">
        <v>3675</v>
      </c>
      <c r="C1067" s="90" t="s">
        <v>530</v>
      </c>
      <c r="D1067" s="44">
        <v>2027</v>
      </c>
      <c r="E1067" s="44"/>
      <c r="F1067" s="40" t="s">
        <v>1331</v>
      </c>
      <c r="G1067" s="40" t="s">
        <v>1259</v>
      </c>
      <c r="H1067" s="40" t="s">
        <v>467</v>
      </c>
      <c r="I1067" s="40" t="s">
        <v>1269</v>
      </c>
      <c r="J1067" s="40" t="s">
        <v>581</v>
      </c>
      <c r="K1067" s="90" t="s">
        <v>578</v>
      </c>
      <c r="L1067" s="90"/>
      <c r="M1067" s="90"/>
      <c r="N1067" s="90"/>
      <c r="O1067" s="90">
        <v>1</v>
      </c>
      <c r="P1067" s="90"/>
      <c r="Q1067" s="90"/>
      <c r="R1067" s="90"/>
      <c r="S1067" s="90"/>
      <c r="T1067" s="90"/>
      <c r="U1067" s="90"/>
      <c r="V1067" s="90"/>
      <c r="W1067" s="90"/>
      <c r="X1067" s="90"/>
      <c r="Y1067" s="90"/>
      <c r="Z1067" s="90" t="s">
        <v>2393</v>
      </c>
      <c r="AA1067" s="91">
        <v>400</v>
      </c>
      <c r="AB1067" s="46">
        <f>IF(H2ProjectDB689571011[[#This Row],[Dummy_1]]="Electrolysis",
AA1067/VLOOKUP(G1067,ElectrolysisConvF,3,FALSE),
AC1067*10^6/(H2dens*HoursInYear))</f>
        <v>88888.888888888891</v>
      </c>
      <c r="AC1067" s="47">
        <f>AB1067*H2dens*HoursInYear/10^6</f>
        <v>69.301333333333332</v>
      </c>
      <c r="AD1067" s="92"/>
      <c r="AE1067" s="92">
        <f t="shared" ref="AE1067:AE1130" si="85">IF(AND(G1067&lt;&gt;"NG w CCUS",G1067&lt;&gt;"Oil w CCUS",G1067&lt;&gt;"Coal w CCUS"),AB1067,AD1067*10^3/(HoursInYear*IF(G1067="NG w CCUS",0.9105,1.9075)))</f>
        <v>88888.888888888891</v>
      </c>
      <c r="AF1067" s="93" t="s">
        <v>3676</v>
      </c>
      <c r="AG1067" s="43">
        <v>51.033737976384103</v>
      </c>
      <c r="AH1067" s="43">
        <v>2.2881886279031201</v>
      </c>
      <c r="AI1067" s="122" t="s">
        <v>7286</v>
      </c>
      <c r="AJ1067" s="41">
        <v>0.5</v>
      </c>
    </row>
    <row r="1068" spans="1:36" ht="35.1" hidden="1" customHeight="1" x14ac:dyDescent="0.25">
      <c r="A1068" s="40">
        <v>1603</v>
      </c>
      <c r="B1068" s="90" t="s">
        <v>3677</v>
      </c>
      <c r="C1068" s="90" t="s">
        <v>1945</v>
      </c>
      <c r="D1068" s="44">
        <v>2027</v>
      </c>
      <c r="E1068" s="44"/>
      <c r="F1068" s="40" t="s">
        <v>1331</v>
      </c>
      <c r="G1068" s="40" t="s">
        <v>1259</v>
      </c>
      <c r="H1068" s="40" t="s">
        <v>467</v>
      </c>
      <c r="I1068" s="40" t="s">
        <v>1269</v>
      </c>
      <c r="J1068" s="90" t="s">
        <v>1391</v>
      </c>
      <c r="K1068" s="90" t="s">
        <v>578</v>
      </c>
      <c r="L1068" s="90"/>
      <c r="M1068" s="90"/>
      <c r="N1068" s="90"/>
      <c r="O1068" s="90"/>
      <c r="P1068" s="90"/>
      <c r="Q1068" s="90"/>
      <c r="R1068" s="90">
        <v>1</v>
      </c>
      <c r="S1068" s="90"/>
      <c r="T1068" s="90"/>
      <c r="U1068" s="90"/>
      <c r="V1068" s="90"/>
      <c r="W1068" s="90"/>
      <c r="X1068" s="90"/>
      <c r="Y1068" s="90"/>
      <c r="Z1068" s="90" t="s">
        <v>2110</v>
      </c>
      <c r="AA1068" s="91">
        <v>24</v>
      </c>
      <c r="AB1068" s="46">
        <f>IF(H2ProjectDB689571011[[#This Row],[Dummy_1]]="Electrolysis",
AA1068/VLOOKUP(G1068,ElectrolysisConvF,3,FALSE),
AC1068*10^6/(H2dens*HoursInYear))</f>
        <v>5333.3333333333339</v>
      </c>
      <c r="AC1068" s="47">
        <f>AB1068*H2dens*HoursInYear/10^6</f>
        <v>4.15808</v>
      </c>
      <c r="AD1068" s="92"/>
      <c r="AE1068" s="92">
        <f t="shared" si="85"/>
        <v>5333.3333333333339</v>
      </c>
      <c r="AF1068" s="93" t="s">
        <v>3678</v>
      </c>
      <c r="AG1068" s="43">
        <v>-22.6472389681159</v>
      </c>
      <c r="AH1068" s="43">
        <v>14.5975758761669</v>
      </c>
      <c r="AI1068" s="122" t="s">
        <v>7286</v>
      </c>
      <c r="AJ1068" s="41">
        <v>0.3</v>
      </c>
    </row>
    <row r="1069" spans="1:36" ht="35.1" hidden="1" customHeight="1" x14ac:dyDescent="0.25">
      <c r="A1069" s="40">
        <v>1604</v>
      </c>
      <c r="B1069" s="90" t="s">
        <v>3682</v>
      </c>
      <c r="C1069" s="90" t="s">
        <v>1917</v>
      </c>
      <c r="D1069" s="44">
        <v>2025</v>
      </c>
      <c r="E1069" s="44"/>
      <c r="F1069" s="40" t="s">
        <v>1331</v>
      </c>
      <c r="G1069" s="40" t="s">
        <v>1259</v>
      </c>
      <c r="H1069" s="40" t="s">
        <v>467</v>
      </c>
      <c r="I1069" s="40" t="s">
        <v>1269</v>
      </c>
      <c r="J1069" s="90" t="s">
        <v>1394</v>
      </c>
      <c r="K1069" s="90" t="s">
        <v>1243</v>
      </c>
      <c r="L1069" s="90"/>
      <c r="M1069" s="90">
        <v>1</v>
      </c>
      <c r="N1069" s="90"/>
      <c r="O1069" s="90"/>
      <c r="P1069" s="90"/>
      <c r="Q1069" s="90"/>
      <c r="R1069" s="90"/>
      <c r="S1069" s="90"/>
      <c r="T1069" s="90"/>
      <c r="U1069" s="90"/>
      <c r="V1069" s="90"/>
      <c r="W1069" s="90"/>
      <c r="X1069" s="90"/>
      <c r="Y1069" s="90"/>
      <c r="Z1069" s="40" t="s">
        <v>7463</v>
      </c>
      <c r="AA1069" s="45">
        <v>400</v>
      </c>
      <c r="AB1069" s="46">
        <f>IF(H2ProjectDB689571011[[#This Row],[Dummy_1]]="Electrolysis",
AA1069/VLOOKUP(G1069,ElectrolysisConvF,3,FALSE),
AC1069*10^6/(H2dens*HoursInYear))</f>
        <v>88888.888888888891</v>
      </c>
      <c r="AC1069" s="47">
        <f>AB1069*H2dens*HoursInYear/10^6</f>
        <v>69.301333333333332</v>
      </c>
      <c r="AD1069" s="92"/>
      <c r="AE1069" s="92">
        <f t="shared" si="85"/>
        <v>88888.888888888891</v>
      </c>
      <c r="AF1069" s="43" t="s">
        <v>7465</v>
      </c>
      <c r="AG1069" s="43">
        <v>-8.4727779999999999</v>
      </c>
      <c r="AH1069" s="43">
        <v>13.373056</v>
      </c>
      <c r="AI1069" s="122" t="s">
        <v>7286</v>
      </c>
      <c r="AJ1069" s="41">
        <v>0.8</v>
      </c>
    </row>
    <row r="1070" spans="1:36" ht="35.1" hidden="1" customHeight="1" x14ac:dyDescent="0.25">
      <c r="A1070" s="40">
        <v>1605</v>
      </c>
      <c r="B1070" s="90" t="s">
        <v>3684</v>
      </c>
      <c r="C1070" s="90" t="s">
        <v>534</v>
      </c>
      <c r="D1070" s="44">
        <v>2027</v>
      </c>
      <c r="E1070" s="44"/>
      <c r="F1070" s="40" t="s">
        <v>2222</v>
      </c>
      <c r="G1070" s="40" t="s">
        <v>1259</v>
      </c>
      <c r="H1070" s="40" t="s">
        <v>467</v>
      </c>
      <c r="I1070" s="40" t="s">
        <v>1269</v>
      </c>
      <c r="J1070" s="90" t="s">
        <v>581</v>
      </c>
      <c r="K1070" s="90" t="s">
        <v>596</v>
      </c>
      <c r="L1070" s="90"/>
      <c r="M1070" s="90"/>
      <c r="N1070" s="90"/>
      <c r="O1070" s="90"/>
      <c r="P1070" s="90"/>
      <c r="Q1070" s="90"/>
      <c r="R1070" s="90"/>
      <c r="S1070" s="90"/>
      <c r="T1070" s="90"/>
      <c r="U1070" s="90"/>
      <c r="V1070" s="90"/>
      <c r="W1070" s="90"/>
      <c r="X1070" s="90"/>
      <c r="Y1070" s="90"/>
      <c r="Z1070" s="40" t="s">
        <v>5027</v>
      </c>
      <c r="AA1070" s="47">
        <f>IF(H2ProjectDB689571011[[#This Row],[Dummy_1]]="Electrolysis",
AB1070*VLOOKUP(G1070,ElectrolysisConvF,3,FALSE),
"")</f>
        <v>288.59473603201479</v>
      </c>
      <c r="AB1070" s="46">
        <f>AC1070/(H2dens*HoursInYear/10^6)</f>
        <v>64132.163562669957</v>
      </c>
      <c r="AC1070" s="92">
        <v>50</v>
      </c>
      <c r="AD1070" s="92"/>
      <c r="AE1070" s="92">
        <f t="shared" si="85"/>
        <v>64132.163562669957</v>
      </c>
      <c r="AF1070" s="93" t="s">
        <v>3685</v>
      </c>
      <c r="AG1070" s="43">
        <v>4.5704135016629097</v>
      </c>
      <c r="AH1070" s="43">
        <v>103.458201603972</v>
      </c>
      <c r="AI1070" s="122" t="s">
        <v>7286</v>
      </c>
      <c r="AJ1070" s="41">
        <v>0.5</v>
      </c>
    </row>
    <row r="1071" spans="1:36" ht="35.1" hidden="1" customHeight="1" x14ac:dyDescent="0.25">
      <c r="A1071" s="40">
        <v>1606</v>
      </c>
      <c r="B1071" s="40" t="s">
        <v>4588</v>
      </c>
      <c r="C1071" s="90" t="s">
        <v>674</v>
      </c>
      <c r="D1071" s="44">
        <v>2027</v>
      </c>
      <c r="E1071" s="44"/>
      <c r="F1071" s="40" t="s">
        <v>5701</v>
      </c>
      <c r="G1071" s="40" t="s">
        <v>1259</v>
      </c>
      <c r="H1071" s="40" t="s">
        <v>467</v>
      </c>
      <c r="I1071" s="40" t="s">
        <v>1269</v>
      </c>
      <c r="J1071" s="90" t="s">
        <v>1391</v>
      </c>
      <c r="K1071" s="40" t="s">
        <v>1243</v>
      </c>
      <c r="L1071" s="90"/>
      <c r="M1071" s="90">
        <v>1</v>
      </c>
      <c r="N1071" s="90"/>
      <c r="O1071" s="90"/>
      <c r="P1071" s="90"/>
      <c r="Q1071" s="90"/>
      <c r="R1071" s="90"/>
      <c r="S1071" s="90"/>
      <c r="T1071" s="90"/>
      <c r="U1071" s="90"/>
      <c r="V1071" s="90"/>
      <c r="W1071" s="90"/>
      <c r="X1071" s="90"/>
      <c r="Y1071" s="90"/>
      <c r="Z1071" s="40" t="s">
        <v>8097</v>
      </c>
      <c r="AA1071" s="91">
        <v>320</v>
      </c>
      <c r="AB1071" s="46">
        <f>IF(H2ProjectDB689571011[[#This Row],[Dummy_1]]="Electrolysis",
AA1071/VLOOKUP(G1071,ElectrolysisConvF,3,FALSE),
AC1071*10^6/(H2dens*HoursInYear))</f>
        <v>71111.111111111109</v>
      </c>
      <c r="AC1071" s="47">
        <f t="shared" ref="AC1071:AC1081" si="86">AB1071*H2dens*HoursInYear/10^6</f>
        <v>55.441066666666664</v>
      </c>
      <c r="AD1071" s="92"/>
      <c r="AE1071" s="92">
        <f t="shared" si="85"/>
        <v>71111.111111111109</v>
      </c>
      <c r="AF1071" s="43" t="s">
        <v>8100</v>
      </c>
      <c r="AG1071" s="43">
        <v>19.670000000000002</v>
      </c>
      <c r="AH1071" s="43">
        <v>57.73</v>
      </c>
      <c r="AI1071" s="122" t="s">
        <v>7286</v>
      </c>
      <c r="AJ1071" s="41">
        <v>0.3</v>
      </c>
    </row>
    <row r="1072" spans="1:36" ht="35.1" hidden="1" customHeight="1" x14ac:dyDescent="0.25">
      <c r="A1072" s="40">
        <v>1607</v>
      </c>
      <c r="B1072" s="90" t="s">
        <v>4589</v>
      </c>
      <c r="C1072" s="90" t="s">
        <v>674</v>
      </c>
      <c r="D1072" s="90"/>
      <c r="E1072" s="90"/>
      <c r="F1072" s="40" t="s">
        <v>2222</v>
      </c>
      <c r="G1072" s="40" t="s">
        <v>1259</v>
      </c>
      <c r="H1072" s="40" t="s">
        <v>467</v>
      </c>
      <c r="I1072" s="40" t="s">
        <v>1269</v>
      </c>
      <c r="J1072" s="90" t="s">
        <v>1391</v>
      </c>
      <c r="K1072" s="40" t="s">
        <v>1243</v>
      </c>
      <c r="L1072" s="90"/>
      <c r="M1072" s="90">
        <v>1</v>
      </c>
      <c r="N1072" s="90"/>
      <c r="O1072" s="90"/>
      <c r="P1072" s="90"/>
      <c r="Q1072" s="90"/>
      <c r="R1072" s="90"/>
      <c r="S1072" s="90"/>
      <c r="T1072" s="90"/>
      <c r="U1072" s="90"/>
      <c r="V1072" s="90"/>
      <c r="W1072" s="90"/>
      <c r="X1072" s="90"/>
      <c r="Y1072" s="90"/>
      <c r="Z1072" s="40" t="s">
        <v>8101</v>
      </c>
      <c r="AA1072" s="47">
        <f>3500-320</f>
        <v>3180</v>
      </c>
      <c r="AB1072" s="46">
        <f>IF(H2ProjectDB689571011[[#This Row],[Dummy_1]]="Electrolysis",
AA1072/VLOOKUP(G1072,ElectrolysisConvF,3,FALSE),
AC1072*10^6/(H2dens*HoursInYear))</f>
        <v>706666.66666666674</v>
      </c>
      <c r="AC1072" s="47">
        <f t="shared" si="86"/>
        <v>550.94560000000001</v>
      </c>
      <c r="AD1072" s="92"/>
      <c r="AE1072" s="92">
        <f t="shared" si="85"/>
        <v>706666.66666666674</v>
      </c>
      <c r="AF1072" s="43" t="s">
        <v>8099</v>
      </c>
      <c r="AG1072" s="43">
        <v>19.670000000000002</v>
      </c>
      <c r="AH1072" s="43">
        <v>57.73</v>
      </c>
      <c r="AI1072" s="122" t="s">
        <v>7286</v>
      </c>
      <c r="AJ1072" s="41">
        <v>0.3</v>
      </c>
    </row>
    <row r="1073" spans="1:36" ht="35.1" hidden="1" customHeight="1" x14ac:dyDescent="0.25">
      <c r="A1073" s="40">
        <v>1608</v>
      </c>
      <c r="B1073" s="40" t="s">
        <v>3690</v>
      </c>
      <c r="C1073" s="90" t="s">
        <v>1305</v>
      </c>
      <c r="D1073" s="44">
        <v>2030</v>
      </c>
      <c r="E1073" s="44"/>
      <c r="F1073" s="90" t="s">
        <v>2222</v>
      </c>
      <c r="G1073" s="90" t="s">
        <v>1259</v>
      </c>
      <c r="H1073" s="40" t="s">
        <v>467</v>
      </c>
      <c r="I1073" s="90" t="s">
        <v>1269</v>
      </c>
      <c r="J1073" s="90" t="s">
        <v>581</v>
      </c>
      <c r="K1073" s="90" t="s">
        <v>578</v>
      </c>
      <c r="L1073" s="90">
        <v>1</v>
      </c>
      <c r="M1073" s="90"/>
      <c r="N1073" s="90"/>
      <c r="O1073" s="90">
        <v>1</v>
      </c>
      <c r="P1073" s="90">
        <v>1</v>
      </c>
      <c r="Q1073" s="90"/>
      <c r="R1073" s="90"/>
      <c r="S1073" s="90"/>
      <c r="T1073" s="90"/>
      <c r="U1073" s="90"/>
      <c r="V1073" s="90"/>
      <c r="W1073" s="90"/>
      <c r="X1073" s="90"/>
      <c r="Y1073" s="90"/>
      <c r="Z1073" s="40" t="s">
        <v>1334</v>
      </c>
      <c r="AA1073" s="91">
        <v>1000</v>
      </c>
      <c r="AB1073" s="46">
        <f>IF(H2ProjectDB689571011[[#This Row],[Dummy_1]]="Electrolysis",
AA1073/VLOOKUP(G1073,ElectrolysisConvF,3,FALSE),
AC1073*10^6/(H2dens*HoursInYear))</f>
        <v>222222.22222222225</v>
      </c>
      <c r="AC1073" s="47">
        <f t="shared" si="86"/>
        <v>173.25333333333333</v>
      </c>
      <c r="AD1073" s="92"/>
      <c r="AE1073" s="92">
        <f t="shared" si="85"/>
        <v>222222.22222222225</v>
      </c>
      <c r="AF1073" s="43" t="s">
        <v>3703</v>
      </c>
      <c r="AG1073" s="43">
        <v>52.224865851268603</v>
      </c>
      <c r="AH1073" s="43">
        <v>7.8860193954045599</v>
      </c>
      <c r="AI1073" s="122" t="s">
        <v>7286</v>
      </c>
      <c r="AJ1073" s="41">
        <v>0.5</v>
      </c>
    </row>
    <row r="1074" spans="1:36" ht="35.1" hidden="1" customHeight="1" x14ac:dyDescent="0.25">
      <c r="A1074" s="40">
        <v>1609</v>
      </c>
      <c r="B1074" s="90" t="s">
        <v>3692</v>
      </c>
      <c r="C1074" s="90" t="s">
        <v>1083</v>
      </c>
      <c r="D1074" s="90">
        <v>2022</v>
      </c>
      <c r="E1074" s="90"/>
      <c r="F1074" s="90" t="s">
        <v>1339</v>
      </c>
      <c r="G1074" s="90" t="s">
        <v>455</v>
      </c>
      <c r="H1074" s="90"/>
      <c r="I1074" s="40" t="s">
        <v>1269</v>
      </c>
      <c r="J1074" s="40" t="s">
        <v>1391</v>
      </c>
      <c r="K1074" s="40" t="s">
        <v>578</v>
      </c>
      <c r="L1074" s="90"/>
      <c r="M1074" s="90"/>
      <c r="N1074" s="90"/>
      <c r="O1074" s="90"/>
      <c r="P1074" s="90"/>
      <c r="Q1074" s="90"/>
      <c r="R1074" s="90"/>
      <c r="S1074" s="90">
        <v>1</v>
      </c>
      <c r="T1074" s="90"/>
      <c r="U1074" s="90"/>
      <c r="V1074" s="90"/>
      <c r="W1074" s="90"/>
      <c r="X1074" s="90"/>
      <c r="Y1074" s="90"/>
      <c r="Z1074" s="90" t="s">
        <v>3693</v>
      </c>
      <c r="AA1074" s="91">
        <v>2.1999999999999999E-2</v>
      </c>
      <c r="AB1074" s="46">
        <f>IF(H2ProjectDB689571011[[#This Row],[Dummy_1]]="Electrolysis",
AA1074/VLOOKUP(G1074,ElectrolysisConvF,3,FALSE),
AC1074*10^6/(H2dens*HoursInYear))</f>
        <v>4.2307692307692308</v>
      </c>
      <c r="AC1074" s="47">
        <f t="shared" si="86"/>
        <v>3.2984769230769229E-3</v>
      </c>
      <c r="AD1074" s="92"/>
      <c r="AE1074" s="92">
        <f t="shared" si="85"/>
        <v>4.2307692307692308</v>
      </c>
      <c r="AF1074" s="93" t="s">
        <v>3695</v>
      </c>
      <c r="AG1074" s="43">
        <v>10.3688565729078</v>
      </c>
      <c r="AH1074" s="43">
        <v>-75.496113061122301</v>
      </c>
      <c r="AI1074" s="122" t="s">
        <v>7286</v>
      </c>
      <c r="AJ1074" s="41">
        <v>0.3</v>
      </c>
    </row>
    <row r="1075" spans="1:36" ht="35.1" hidden="1" customHeight="1" x14ac:dyDescent="0.25">
      <c r="A1075" s="40">
        <v>1610</v>
      </c>
      <c r="B1075" s="40" t="s">
        <v>4641</v>
      </c>
      <c r="C1075" s="90" t="s">
        <v>536</v>
      </c>
      <c r="D1075" s="44">
        <v>2024</v>
      </c>
      <c r="E1075" s="44"/>
      <c r="F1075" s="90" t="s">
        <v>5701</v>
      </c>
      <c r="G1075" s="90" t="s">
        <v>457</v>
      </c>
      <c r="H1075" s="90"/>
      <c r="I1075" s="90" t="s">
        <v>1257</v>
      </c>
      <c r="J1075" s="90"/>
      <c r="K1075" s="90" t="s">
        <v>578</v>
      </c>
      <c r="L1075" s="90"/>
      <c r="M1075" s="90"/>
      <c r="N1075" s="90"/>
      <c r="O1075" s="90"/>
      <c r="P1075" s="90"/>
      <c r="Q1075" s="90">
        <v>1</v>
      </c>
      <c r="R1075" s="90"/>
      <c r="S1075" s="90"/>
      <c r="T1075" s="90"/>
      <c r="U1075" s="90"/>
      <c r="V1075" s="90"/>
      <c r="W1075" s="90"/>
      <c r="X1075" s="90"/>
      <c r="Y1075" s="90"/>
      <c r="Z1075" s="40" t="s">
        <v>1672</v>
      </c>
      <c r="AA1075" s="91">
        <v>40</v>
      </c>
      <c r="AB1075" s="46">
        <f>IF(H2ProjectDB689571011[[#This Row],[Dummy_1]]="Electrolysis",
AA1075/VLOOKUP(G1075,ElectrolysisConvF,3,FALSE),
AC1075*10^6/(H2dens*HoursInYear))</f>
        <v>8695.652173913044</v>
      </c>
      <c r="AC1075" s="47">
        <f t="shared" si="86"/>
        <v>6.7794782608695652</v>
      </c>
      <c r="AD1075" s="92"/>
      <c r="AE1075" s="92">
        <f t="shared" si="85"/>
        <v>8695.652173913044</v>
      </c>
      <c r="AF1075" s="93" t="s">
        <v>3701</v>
      </c>
      <c r="AG1075" s="43">
        <v>32.9103168142667</v>
      </c>
      <c r="AH1075" s="43">
        <v>-111.763167890204</v>
      </c>
      <c r="AI1075" s="122" t="s">
        <v>7286</v>
      </c>
      <c r="AJ1075" s="41">
        <v>0.56999999999999995</v>
      </c>
    </row>
    <row r="1076" spans="1:36" ht="35.1" hidden="1" customHeight="1" x14ac:dyDescent="0.25">
      <c r="A1076" s="40">
        <v>1611</v>
      </c>
      <c r="B1076" s="40" t="s">
        <v>3705</v>
      </c>
      <c r="C1076" s="90" t="s">
        <v>1764</v>
      </c>
      <c r="D1076" s="44">
        <v>2025</v>
      </c>
      <c r="E1076" s="44"/>
      <c r="F1076" s="90" t="s">
        <v>1331</v>
      </c>
      <c r="G1076" s="90" t="s">
        <v>1259</v>
      </c>
      <c r="H1076" s="40" t="s">
        <v>467</v>
      </c>
      <c r="I1076" s="90" t="s">
        <v>1257</v>
      </c>
      <c r="J1076" s="90"/>
      <c r="K1076" s="90" t="s">
        <v>578</v>
      </c>
      <c r="L1076" s="90"/>
      <c r="M1076" s="90"/>
      <c r="N1076" s="90"/>
      <c r="O1076" s="90"/>
      <c r="P1076" s="90"/>
      <c r="Q1076" s="90">
        <v>1</v>
      </c>
      <c r="R1076" s="90"/>
      <c r="S1076" s="90">
        <v>1</v>
      </c>
      <c r="T1076" s="90"/>
      <c r="U1076" s="90"/>
      <c r="V1076" s="90"/>
      <c r="W1076" s="90"/>
      <c r="X1076" s="90"/>
      <c r="Y1076" s="90"/>
      <c r="Z1076" s="40" t="s">
        <v>1345</v>
      </c>
      <c r="AA1076" s="91">
        <v>2.5</v>
      </c>
      <c r="AB1076" s="46">
        <f>IF(H2ProjectDB689571011[[#This Row],[Dummy_1]]="Electrolysis",
AA1076/VLOOKUP(G1076,ElectrolysisConvF,3,FALSE),
AC1076*10^6/(H2dens*HoursInYear))</f>
        <v>555.55555555555554</v>
      </c>
      <c r="AC1076" s="47">
        <f t="shared" si="86"/>
        <v>0.43313333333333331</v>
      </c>
      <c r="AD1076" s="92"/>
      <c r="AE1076" s="92">
        <f t="shared" si="85"/>
        <v>555.55555555555554</v>
      </c>
      <c r="AF1076" s="43" t="s">
        <v>4661</v>
      </c>
      <c r="AG1076" s="43">
        <v>43.135942</v>
      </c>
      <c r="AH1076" s="43">
        <v>-5.8003840000000002</v>
      </c>
      <c r="AI1076" s="122" t="s">
        <v>7286</v>
      </c>
      <c r="AJ1076" s="41">
        <v>0.56999999999999995</v>
      </c>
    </row>
    <row r="1077" spans="1:36" ht="35.1" hidden="1" customHeight="1" x14ac:dyDescent="0.25">
      <c r="A1077" s="40">
        <v>1612</v>
      </c>
      <c r="B1077" s="90" t="s">
        <v>3710</v>
      </c>
      <c r="C1077" s="90" t="s">
        <v>1764</v>
      </c>
      <c r="D1077" s="44">
        <v>2025</v>
      </c>
      <c r="E1077" s="44"/>
      <c r="F1077" s="90" t="s">
        <v>1331</v>
      </c>
      <c r="G1077" s="90" t="s">
        <v>1259</v>
      </c>
      <c r="H1077" s="40" t="s">
        <v>467</v>
      </c>
      <c r="I1077" s="90" t="s">
        <v>1269</v>
      </c>
      <c r="J1077" s="90" t="s">
        <v>581</v>
      </c>
      <c r="K1077" s="90" t="s">
        <v>578</v>
      </c>
      <c r="L1077" s="90"/>
      <c r="M1077" s="90"/>
      <c r="N1077" s="90"/>
      <c r="O1077" s="90"/>
      <c r="P1077" s="90"/>
      <c r="Q1077" s="90"/>
      <c r="R1077" s="90"/>
      <c r="S1077" s="90"/>
      <c r="T1077" s="90"/>
      <c r="U1077" s="90"/>
      <c r="V1077" s="90"/>
      <c r="W1077" s="90"/>
      <c r="X1077" s="90"/>
      <c r="Y1077" s="90"/>
      <c r="Z1077" s="90" t="s">
        <v>2323</v>
      </c>
      <c r="AA1077" s="91">
        <v>200</v>
      </c>
      <c r="AB1077" s="46">
        <f>IF(H2ProjectDB689571011[[#This Row],[Dummy_1]]="Electrolysis",
AA1077/VLOOKUP(G1077,ElectrolysisConvF,3,FALSE),
AC1077*10^6/(H2dens*HoursInYear))</f>
        <v>44444.444444444445</v>
      </c>
      <c r="AC1077" s="47">
        <f t="shared" si="86"/>
        <v>34.650666666666666</v>
      </c>
      <c r="AD1077" s="92"/>
      <c r="AE1077" s="92">
        <f t="shared" si="85"/>
        <v>44444.444444444445</v>
      </c>
      <c r="AF1077" s="93" t="s">
        <v>3709</v>
      </c>
      <c r="AG1077" s="43">
        <v>41.547600000000003</v>
      </c>
      <c r="AH1077" s="43">
        <v>-5.6208</v>
      </c>
      <c r="AI1077" s="122" t="s">
        <v>7286</v>
      </c>
      <c r="AJ1077" s="41">
        <v>0.5</v>
      </c>
    </row>
    <row r="1078" spans="1:36" ht="35.1" hidden="1" customHeight="1" x14ac:dyDescent="0.25">
      <c r="A1078" s="40">
        <v>1613</v>
      </c>
      <c r="B1078" s="40" t="s">
        <v>3711</v>
      </c>
      <c r="C1078" s="90" t="s">
        <v>1764</v>
      </c>
      <c r="D1078" s="44">
        <v>2025</v>
      </c>
      <c r="E1078" s="44"/>
      <c r="F1078" s="90" t="s">
        <v>2222</v>
      </c>
      <c r="G1078" s="90" t="s">
        <v>1259</v>
      </c>
      <c r="H1078" s="40" t="s">
        <v>467</v>
      </c>
      <c r="I1078" s="90" t="s">
        <v>1257</v>
      </c>
      <c r="J1078" s="90"/>
      <c r="K1078" s="90" t="s">
        <v>578</v>
      </c>
      <c r="L1078" s="90"/>
      <c r="M1078" s="90"/>
      <c r="N1078" s="90"/>
      <c r="O1078" s="90"/>
      <c r="P1078" s="90"/>
      <c r="Q1078" s="90">
        <v>1</v>
      </c>
      <c r="R1078" s="90"/>
      <c r="S1078" s="90">
        <v>1</v>
      </c>
      <c r="T1078" s="90"/>
      <c r="U1078" s="90"/>
      <c r="V1078" s="90"/>
      <c r="W1078" s="90"/>
      <c r="X1078" s="90"/>
      <c r="Y1078" s="90"/>
      <c r="Z1078" s="90" t="s">
        <v>1348</v>
      </c>
      <c r="AA1078" s="91">
        <f>10-2.5</f>
        <v>7.5</v>
      </c>
      <c r="AB1078" s="46">
        <f>IF(H2ProjectDB689571011[[#This Row],[Dummy_1]]="Electrolysis",
AA1078/VLOOKUP(G1078,ElectrolysisConvF,3,FALSE),
AC1078*10^6/(H2dens*HoursInYear))</f>
        <v>1666.6666666666667</v>
      </c>
      <c r="AC1078" s="47">
        <f t="shared" si="86"/>
        <v>1.2994000000000001</v>
      </c>
      <c r="AD1078" s="92"/>
      <c r="AE1078" s="92">
        <f t="shared" si="85"/>
        <v>1666.6666666666667</v>
      </c>
      <c r="AF1078" s="93" t="s">
        <v>3707</v>
      </c>
      <c r="AG1078" s="43">
        <v>43.135942</v>
      </c>
      <c r="AH1078" s="43">
        <v>-5.8003840000000002</v>
      </c>
      <c r="AI1078" s="122" t="s">
        <v>7286</v>
      </c>
      <c r="AJ1078" s="41">
        <v>0.56999999999999995</v>
      </c>
    </row>
    <row r="1079" spans="1:36" ht="35.1" hidden="1" customHeight="1" x14ac:dyDescent="0.25">
      <c r="A1079" s="40">
        <v>1614</v>
      </c>
      <c r="B1079" s="90" t="s">
        <v>3712</v>
      </c>
      <c r="C1079" s="90" t="s">
        <v>1764</v>
      </c>
      <c r="D1079" s="44">
        <v>2025</v>
      </c>
      <c r="E1079" s="44"/>
      <c r="F1079" s="90" t="s">
        <v>2222</v>
      </c>
      <c r="G1079" s="90" t="s">
        <v>1259</v>
      </c>
      <c r="H1079" s="40" t="s">
        <v>467</v>
      </c>
      <c r="I1079" s="90" t="s">
        <v>1257</v>
      </c>
      <c r="J1079" s="90"/>
      <c r="K1079" s="90" t="s">
        <v>578</v>
      </c>
      <c r="L1079" s="90"/>
      <c r="M1079" s="90"/>
      <c r="N1079" s="90"/>
      <c r="O1079" s="90"/>
      <c r="P1079" s="90"/>
      <c r="Q1079" s="90"/>
      <c r="R1079" s="90"/>
      <c r="S1079" s="90"/>
      <c r="T1079" s="90"/>
      <c r="U1079" s="90"/>
      <c r="V1079" s="90"/>
      <c r="W1079" s="90"/>
      <c r="X1079" s="90"/>
      <c r="Y1079" s="90"/>
      <c r="Z1079" s="90" t="s">
        <v>5623</v>
      </c>
      <c r="AA1079" s="91">
        <v>150</v>
      </c>
      <c r="AB1079" s="46">
        <f>IF(H2ProjectDB689571011[[#This Row],[Dummy_1]]="Electrolysis",
AA1079/VLOOKUP(G1079,ElectrolysisConvF,3,FALSE),
AC1079*10^6/(H2dens*HoursInYear))</f>
        <v>33333.333333333336</v>
      </c>
      <c r="AC1079" s="47">
        <f t="shared" si="86"/>
        <v>25.988</v>
      </c>
      <c r="AD1079" s="92"/>
      <c r="AE1079" s="92">
        <f t="shared" si="85"/>
        <v>33333.333333333336</v>
      </c>
      <c r="AF1079" s="93" t="s">
        <v>3715</v>
      </c>
      <c r="AG1079" s="43">
        <v>43.564799999999998</v>
      </c>
      <c r="AH1079" s="43">
        <v>-5.7183000000000002</v>
      </c>
      <c r="AI1079" s="122" t="s">
        <v>7286</v>
      </c>
      <c r="AJ1079" s="41">
        <v>0.56999999999999995</v>
      </c>
    </row>
    <row r="1080" spans="1:36" ht="35.1" hidden="1" customHeight="1" x14ac:dyDescent="0.25">
      <c r="A1080" s="40">
        <v>1615</v>
      </c>
      <c r="B1080" s="90" t="s">
        <v>3718</v>
      </c>
      <c r="C1080" s="90" t="s">
        <v>1764</v>
      </c>
      <c r="D1080" s="44">
        <v>2025</v>
      </c>
      <c r="E1080" s="44"/>
      <c r="F1080" s="90" t="s">
        <v>5701</v>
      </c>
      <c r="G1080" s="90" t="s">
        <v>1259</v>
      </c>
      <c r="H1080" s="40" t="s">
        <v>467</v>
      </c>
      <c r="I1080" s="90" t="s">
        <v>1269</v>
      </c>
      <c r="J1080" s="90" t="s">
        <v>1391</v>
      </c>
      <c r="K1080" s="90" t="s">
        <v>578</v>
      </c>
      <c r="L1080" s="90"/>
      <c r="M1080" s="90"/>
      <c r="N1080" s="90"/>
      <c r="O1080" s="90"/>
      <c r="P1080" s="90"/>
      <c r="Q1080" s="90">
        <v>1</v>
      </c>
      <c r="R1080" s="90"/>
      <c r="S1080" s="90"/>
      <c r="T1080" s="90"/>
      <c r="U1080" s="90"/>
      <c r="V1080" s="90"/>
      <c r="W1080" s="90"/>
      <c r="X1080" s="90"/>
      <c r="Y1080" s="90"/>
      <c r="Z1080" s="90" t="s">
        <v>1348</v>
      </c>
      <c r="AA1080" s="91">
        <v>10</v>
      </c>
      <c r="AB1080" s="46">
        <f>IF(H2ProjectDB689571011[[#This Row],[Dummy_1]]="Electrolysis",
AA1080/VLOOKUP(G1080,ElectrolysisConvF,3,FALSE),
AC1080*10^6/(H2dens*HoursInYear))</f>
        <v>2222.2222222222222</v>
      </c>
      <c r="AC1080" s="47">
        <f t="shared" si="86"/>
        <v>1.7325333333333333</v>
      </c>
      <c r="AD1080" s="92"/>
      <c r="AE1080" s="92">
        <f t="shared" si="85"/>
        <v>2222.2222222222222</v>
      </c>
      <c r="AF1080" s="93" t="s">
        <v>3717</v>
      </c>
      <c r="AG1080" s="43">
        <v>40.265847999999998</v>
      </c>
      <c r="AH1080" s="43">
        <v>-3.6693639999999998</v>
      </c>
      <c r="AI1080" s="122" t="s">
        <v>7286</v>
      </c>
      <c r="AJ1080" s="41">
        <v>0.3</v>
      </c>
    </row>
    <row r="1081" spans="1:36" ht="35.1" hidden="1" customHeight="1" x14ac:dyDescent="0.25">
      <c r="A1081" s="40">
        <v>1616</v>
      </c>
      <c r="B1081" s="90" t="s">
        <v>3720</v>
      </c>
      <c r="C1081" s="90" t="s">
        <v>1764</v>
      </c>
      <c r="D1081" s="44">
        <v>2026</v>
      </c>
      <c r="E1081" s="44"/>
      <c r="F1081" s="90" t="s">
        <v>1331</v>
      </c>
      <c r="G1081" s="90" t="s">
        <v>1259</v>
      </c>
      <c r="H1081" s="40" t="s">
        <v>467</v>
      </c>
      <c r="I1081" s="90" t="s">
        <v>1269</v>
      </c>
      <c r="J1081" s="90" t="s">
        <v>1391</v>
      </c>
      <c r="K1081" s="90" t="s">
        <v>578</v>
      </c>
      <c r="L1081" s="90"/>
      <c r="M1081" s="90"/>
      <c r="N1081" s="90"/>
      <c r="O1081" s="90"/>
      <c r="P1081" s="90"/>
      <c r="Q1081" s="90"/>
      <c r="R1081" s="90"/>
      <c r="S1081" s="90"/>
      <c r="T1081" s="90"/>
      <c r="U1081" s="90"/>
      <c r="V1081" s="90"/>
      <c r="W1081" s="90"/>
      <c r="X1081" s="90"/>
      <c r="Y1081" s="90"/>
      <c r="Z1081" s="90" t="s">
        <v>3721</v>
      </c>
      <c r="AA1081" s="91">
        <v>55</v>
      </c>
      <c r="AB1081" s="46">
        <f>IF(H2ProjectDB689571011[[#This Row],[Dummy_1]]="Electrolysis",
AA1081/VLOOKUP(G1081,ElectrolysisConvF,3,FALSE),
AC1081*10^6/(H2dens*HoursInYear))</f>
        <v>12222.222222222223</v>
      </c>
      <c r="AC1081" s="47">
        <f t="shared" si="86"/>
        <v>9.5289333333333346</v>
      </c>
      <c r="AD1081" s="92"/>
      <c r="AE1081" s="92">
        <f t="shared" si="85"/>
        <v>12222.222222222223</v>
      </c>
      <c r="AF1081" s="93" t="s">
        <v>3722</v>
      </c>
      <c r="AG1081" s="43">
        <v>37.844468999999997</v>
      </c>
      <c r="AH1081" s="43">
        <v>-4.7290049999999999</v>
      </c>
      <c r="AI1081" s="122" t="s">
        <v>7286</v>
      </c>
      <c r="AJ1081" s="41">
        <v>0.3</v>
      </c>
    </row>
    <row r="1082" spans="1:36" ht="35.1" hidden="1" customHeight="1" x14ac:dyDescent="0.25">
      <c r="A1082" s="40">
        <v>1617</v>
      </c>
      <c r="B1082" s="90" t="s">
        <v>3725</v>
      </c>
      <c r="C1082" s="90" t="s">
        <v>1764</v>
      </c>
      <c r="D1082" s="44">
        <v>2025</v>
      </c>
      <c r="E1082" s="44"/>
      <c r="F1082" s="90"/>
      <c r="G1082" s="90" t="s">
        <v>1264</v>
      </c>
      <c r="H1082" s="90" t="s">
        <v>3461</v>
      </c>
      <c r="I1082" s="90"/>
      <c r="J1082" s="90"/>
      <c r="K1082" s="90" t="s">
        <v>578</v>
      </c>
      <c r="L1082" s="90"/>
      <c r="M1082" s="90"/>
      <c r="N1082" s="90"/>
      <c r="O1082" s="90"/>
      <c r="P1082" s="90"/>
      <c r="Q1082" s="90"/>
      <c r="R1082" s="90"/>
      <c r="S1082" s="90"/>
      <c r="T1082" s="90"/>
      <c r="U1082" s="90"/>
      <c r="V1082" s="90"/>
      <c r="W1082" s="90"/>
      <c r="X1082" s="90"/>
      <c r="Y1082" s="90"/>
      <c r="Z1082" s="90" t="s">
        <v>3728</v>
      </c>
      <c r="AA1082" s="91"/>
      <c r="AB1082" s="46">
        <f>AC1082/(H2dens*HoursInYear/10^6)</f>
        <v>19239.649068800987</v>
      </c>
      <c r="AC1082" s="92">
        <v>15</v>
      </c>
      <c r="AD1082" s="92"/>
      <c r="AE1082" s="92">
        <f t="shared" si="85"/>
        <v>19239.649068800987</v>
      </c>
      <c r="AF1082" s="93" t="s">
        <v>3727</v>
      </c>
      <c r="AG1082" s="43">
        <v>43.310751000000003</v>
      </c>
      <c r="AH1082" s="43">
        <v>-6.0327630000000001</v>
      </c>
      <c r="AI1082" s="122" t="s">
        <v>1255</v>
      </c>
      <c r="AJ1082" s="41">
        <v>0.9</v>
      </c>
    </row>
    <row r="1083" spans="1:36" ht="35.1" hidden="1" customHeight="1" x14ac:dyDescent="0.25">
      <c r="A1083" s="40">
        <v>1618</v>
      </c>
      <c r="B1083" s="40" t="s">
        <v>3729</v>
      </c>
      <c r="C1083" s="90" t="s">
        <v>1048</v>
      </c>
      <c r="D1083" s="44"/>
      <c r="E1083" s="44"/>
      <c r="F1083" s="90" t="s">
        <v>2222</v>
      </c>
      <c r="G1083" s="90" t="s">
        <v>457</v>
      </c>
      <c r="H1083" s="90"/>
      <c r="I1083" s="90" t="s">
        <v>1269</v>
      </c>
      <c r="J1083" s="90" t="s">
        <v>1395</v>
      </c>
      <c r="K1083" s="90" t="s">
        <v>1243</v>
      </c>
      <c r="L1083" s="90"/>
      <c r="M1083" s="90">
        <v>1</v>
      </c>
      <c r="N1083" s="90"/>
      <c r="O1083" s="90"/>
      <c r="P1083" s="90"/>
      <c r="Q1083" s="90"/>
      <c r="R1083" s="90"/>
      <c r="S1083" s="90"/>
      <c r="T1083" s="90"/>
      <c r="U1083" s="90"/>
      <c r="V1083" s="90"/>
      <c r="W1083" s="90"/>
      <c r="X1083" s="90"/>
      <c r="Y1083" s="90"/>
      <c r="Z1083" s="90" t="s">
        <v>3730</v>
      </c>
      <c r="AA1083" s="91">
        <v>46</v>
      </c>
      <c r="AB1083" s="46">
        <f>IF(H2ProjectDB689571011[[#This Row],[Dummy_1]]="Electrolysis",
AA1083/VLOOKUP(G1083,ElectrolysisConvF,3,FALSE),
AC1083*10^6/(H2dens*HoursInYear))</f>
        <v>10000</v>
      </c>
      <c r="AC1083" s="47">
        <f>AB1083*H2dens*HoursInYear/10^6</f>
        <v>7.7964000000000002</v>
      </c>
      <c r="AD1083" s="92"/>
      <c r="AE1083" s="92">
        <f t="shared" si="85"/>
        <v>10000</v>
      </c>
      <c r="AF1083" s="93" t="s">
        <v>3732</v>
      </c>
      <c r="AG1083" s="43">
        <v>46.635416999999997</v>
      </c>
      <c r="AH1083" s="43">
        <v>32.616866999999999</v>
      </c>
      <c r="AI1083" s="122" t="s">
        <v>7286</v>
      </c>
      <c r="AJ1083" s="41">
        <v>0.5</v>
      </c>
    </row>
    <row r="1084" spans="1:36" ht="35.1" hidden="1" customHeight="1" x14ac:dyDescent="0.25">
      <c r="A1084" s="40">
        <v>1619</v>
      </c>
      <c r="B1084" s="90" t="s">
        <v>3733</v>
      </c>
      <c r="C1084" s="90" t="s">
        <v>1048</v>
      </c>
      <c r="D1084" s="44"/>
      <c r="E1084" s="44"/>
      <c r="F1084" s="90" t="s">
        <v>2222</v>
      </c>
      <c r="G1084" s="90" t="s">
        <v>456</v>
      </c>
      <c r="H1084" s="90"/>
      <c r="I1084" s="90" t="s">
        <v>1269</v>
      </c>
      <c r="J1084" s="90" t="s">
        <v>1395</v>
      </c>
      <c r="K1084" s="90" t="s">
        <v>1243</v>
      </c>
      <c r="L1084" s="90"/>
      <c r="M1084" s="90">
        <v>1</v>
      </c>
      <c r="N1084" s="90"/>
      <c r="O1084" s="90"/>
      <c r="P1084" s="90"/>
      <c r="Q1084" s="90"/>
      <c r="R1084" s="90"/>
      <c r="S1084" s="90"/>
      <c r="T1084" s="90"/>
      <c r="U1084" s="90"/>
      <c r="V1084" s="90"/>
      <c r="W1084" s="90"/>
      <c r="X1084" s="90"/>
      <c r="Y1084" s="90"/>
      <c r="Z1084" s="90" t="s">
        <v>3734</v>
      </c>
      <c r="AA1084" s="91">
        <f>92-46</f>
        <v>46</v>
      </c>
      <c r="AB1084" s="46">
        <f>IF(H2ProjectDB689571011[[#This Row],[Dummy_1]]="Electrolysis",
AA1084/VLOOKUP(G1084,ElectrolysisConvF,3,FALSE),
AC1084*10^6/(H2dens*HoursInYear))</f>
        <v>12105.263157894737</v>
      </c>
      <c r="AC1084" s="47">
        <f>AB1084*H2dens*HoursInYear/10^6</f>
        <v>9.4377473684210518</v>
      </c>
      <c r="AD1084" s="92"/>
      <c r="AE1084" s="92">
        <f t="shared" si="85"/>
        <v>12105.263157894737</v>
      </c>
      <c r="AF1084" s="93" t="s">
        <v>3732</v>
      </c>
      <c r="AG1084" s="43">
        <v>46.635416999999997</v>
      </c>
      <c r="AH1084" s="43">
        <v>32.616866999999999</v>
      </c>
      <c r="AI1084" s="122" t="s">
        <v>7286</v>
      </c>
      <c r="AJ1084" s="41">
        <v>0.5</v>
      </c>
    </row>
    <row r="1085" spans="1:36" ht="35.1" hidden="1" customHeight="1" x14ac:dyDescent="0.25">
      <c r="A1085" s="40">
        <v>1620</v>
      </c>
      <c r="B1085" s="90" t="s">
        <v>3735</v>
      </c>
      <c r="C1085" s="90" t="s">
        <v>1048</v>
      </c>
      <c r="D1085" s="44"/>
      <c r="E1085" s="44"/>
      <c r="F1085" s="90" t="s">
        <v>2222</v>
      </c>
      <c r="G1085" s="90" t="s">
        <v>456</v>
      </c>
      <c r="H1085" s="90"/>
      <c r="I1085" s="90" t="s">
        <v>1269</v>
      </c>
      <c r="J1085" s="90" t="s">
        <v>1395</v>
      </c>
      <c r="K1085" s="90" t="s">
        <v>1243</v>
      </c>
      <c r="L1085" s="90"/>
      <c r="M1085" s="90">
        <v>1</v>
      </c>
      <c r="N1085" s="90"/>
      <c r="O1085" s="90"/>
      <c r="P1085" s="90"/>
      <c r="Q1085" s="90"/>
      <c r="R1085" s="90"/>
      <c r="S1085" s="90"/>
      <c r="T1085" s="90"/>
      <c r="U1085" s="90"/>
      <c r="V1085" s="90"/>
      <c r="W1085" s="90"/>
      <c r="X1085" s="90"/>
      <c r="Y1085" s="90"/>
      <c r="Z1085" s="90" t="s">
        <v>3736</v>
      </c>
      <c r="AA1085" s="91">
        <f>184-92</f>
        <v>92</v>
      </c>
      <c r="AB1085" s="46">
        <f>IF(H2ProjectDB689571011[[#This Row],[Dummy_1]]="Electrolysis",
AA1085/VLOOKUP(G1085,ElectrolysisConvF,3,FALSE),
AC1085*10^6/(H2dens*HoursInYear))</f>
        <v>24210.526315789473</v>
      </c>
      <c r="AC1085" s="47">
        <f>AB1085*H2dens*HoursInYear/10^6</f>
        <v>18.875494736842104</v>
      </c>
      <c r="AD1085" s="92"/>
      <c r="AE1085" s="92">
        <f t="shared" si="85"/>
        <v>24210.526315789473</v>
      </c>
      <c r="AF1085" s="93" t="s">
        <v>3732</v>
      </c>
      <c r="AG1085" s="43">
        <v>46.635416999999997</v>
      </c>
      <c r="AH1085" s="43">
        <v>32.616866999999999</v>
      </c>
      <c r="AI1085" s="122" t="s">
        <v>7286</v>
      </c>
      <c r="AJ1085" s="41">
        <v>0.5</v>
      </c>
    </row>
    <row r="1086" spans="1:36" ht="35.1" hidden="1" customHeight="1" x14ac:dyDescent="0.25">
      <c r="A1086" s="40">
        <v>1621</v>
      </c>
      <c r="B1086" s="40" t="s">
        <v>3737</v>
      </c>
      <c r="C1086" s="90" t="s">
        <v>531</v>
      </c>
      <c r="D1086" s="44">
        <v>2026</v>
      </c>
      <c r="E1086" s="44"/>
      <c r="F1086" s="90" t="s">
        <v>2222</v>
      </c>
      <c r="G1086" s="90" t="s">
        <v>1264</v>
      </c>
      <c r="H1086" s="90" t="s">
        <v>3461</v>
      </c>
      <c r="I1086" s="90"/>
      <c r="J1086" s="90"/>
      <c r="K1086" s="90" t="s">
        <v>578</v>
      </c>
      <c r="L1086" s="90"/>
      <c r="M1086" s="90"/>
      <c r="N1086" s="90"/>
      <c r="O1086" s="90"/>
      <c r="P1086" s="90"/>
      <c r="Q1086" s="90"/>
      <c r="R1086" s="90"/>
      <c r="S1086" s="90"/>
      <c r="T1086" s="90"/>
      <c r="U1086" s="90"/>
      <c r="V1086" s="90"/>
      <c r="W1086" s="90"/>
      <c r="X1086" s="90"/>
      <c r="Y1086" s="90"/>
      <c r="Z1086" s="90" t="s">
        <v>3654</v>
      </c>
      <c r="AA1086" s="91"/>
      <c r="AB1086" s="46">
        <f>AC1086/(H2dens*HoursInYear/10^6)</f>
        <v>4489.2514493868966</v>
      </c>
      <c r="AC1086" s="95">
        <v>3.5</v>
      </c>
      <c r="AD1086" s="92"/>
      <c r="AE1086" s="92">
        <f t="shared" si="85"/>
        <v>4489.2514493868966</v>
      </c>
      <c r="AF1086" s="93" t="s">
        <v>3727</v>
      </c>
      <c r="AG1086" s="43">
        <v>59.981397000000001</v>
      </c>
      <c r="AH1086" s="43">
        <v>10.694129999999999</v>
      </c>
      <c r="AI1086" s="122" t="s">
        <v>1255</v>
      </c>
      <c r="AJ1086" s="41">
        <v>0.9</v>
      </c>
    </row>
    <row r="1087" spans="1:36" ht="35.1" hidden="1" customHeight="1" x14ac:dyDescent="0.25">
      <c r="A1087" s="40">
        <v>1622</v>
      </c>
      <c r="B1087" s="93" t="s">
        <v>3738</v>
      </c>
      <c r="C1087" s="90" t="s">
        <v>1065</v>
      </c>
      <c r="D1087" s="90"/>
      <c r="E1087" s="90"/>
      <c r="F1087" s="90" t="s">
        <v>1331</v>
      </c>
      <c r="G1087" s="90" t="s">
        <v>1259</v>
      </c>
      <c r="H1087" s="40" t="s">
        <v>467</v>
      </c>
      <c r="I1087" s="90" t="s">
        <v>1269</v>
      </c>
      <c r="J1087" s="90" t="s">
        <v>1391</v>
      </c>
      <c r="K1087" s="90" t="s">
        <v>578</v>
      </c>
      <c r="L1087" s="90"/>
      <c r="M1087" s="90"/>
      <c r="N1087" s="90"/>
      <c r="O1087" s="90"/>
      <c r="P1087" s="90"/>
      <c r="Q1087" s="90">
        <v>1</v>
      </c>
      <c r="R1087" s="90"/>
      <c r="S1087" s="90"/>
      <c r="T1087" s="90"/>
      <c r="U1087" s="90"/>
      <c r="V1087" s="90"/>
      <c r="W1087" s="90"/>
      <c r="X1087" s="90"/>
      <c r="Y1087" s="90"/>
      <c r="Z1087" s="90"/>
      <c r="AA1087" s="91"/>
      <c r="AB1087" s="92"/>
      <c r="AC1087" s="92"/>
      <c r="AD1087" s="92"/>
      <c r="AE1087" s="92">
        <f t="shared" si="85"/>
        <v>0</v>
      </c>
      <c r="AF1087" s="93" t="s">
        <v>3742</v>
      </c>
      <c r="AG1087" s="43">
        <v>43.823056000000001</v>
      </c>
      <c r="AH1087" s="43">
        <v>25.953889</v>
      </c>
      <c r="AI1087" s="122" t="s">
        <v>7286</v>
      </c>
      <c r="AJ1087" s="41">
        <v>0.3</v>
      </c>
    </row>
    <row r="1088" spans="1:36" ht="35.1" hidden="1" customHeight="1" x14ac:dyDescent="0.25">
      <c r="A1088" s="40">
        <v>1623</v>
      </c>
      <c r="B1088" s="40" t="s">
        <v>8564</v>
      </c>
      <c r="C1088" s="40" t="s">
        <v>530</v>
      </c>
      <c r="D1088" s="44">
        <v>2027</v>
      </c>
      <c r="E1088" s="44"/>
      <c r="F1088" s="40" t="s">
        <v>1331</v>
      </c>
      <c r="G1088" s="40" t="s">
        <v>1259</v>
      </c>
      <c r="H1088" s="40" t="s">
        <v>467</v>
      </c>
      <c r="I1088" s="40" t="s">
        <v>1266</v>
      </c>
      <c r="K1088" s="40" t="s">
        <v>578</v>
      </c>
      <c r="P1088" s="40">
        <v>1</v>
      </c>
      <c r="Q1088" s="40">
        <v>1</v>
      </c>
      <c r="Z1088" s="40" t="s">
        <v>8566</v>
      </c>
      <c r="AA1088" s="91">
        <v>200</v>
      </c>
      <c r="AB1088" s="46">
        <f>IF(H2ProjectDB689571011[[#This Row],[Dummy_1]]="Electrolysis",
AA1088/VLOOKUP(G1088,ElectrolysisConvF,3,FALSE),
AC1088*10^6/(H2dens*HoursInYear))</f>
        <v>44444.444444444445</v>
      </c>
      <c r="AC1088" s="47">
        <f t="shared" ref="AC1088:AC1095" si="87">AB1088*H2dens*HoursInYear/10^6</f>
        <v>34.650666666666666</v>
      </c>
      <c r="AE1088" s="46">
        <f t="shared" si="85"/>
        <v>44444.444444444445</v>
      </c>
      <c r="AF1088" s="43" t="s">
        <v>8569</v>
      </c>
      <c r="AG1088" s="43">
        <v>49.154152000000003</v>
      </c>
      <c r="AH1088" s="43">
        <v>6.7053710000000004</v>
      </c>
      <c r="AI1088" s="122" t="s">
        <v>7286</v>
      </c>
      <c r="AJ1088" s="41">
        <v>0.56999999999999995</v>
      </c>
    </row>
    <row r="1089" spans="1:36" ht="35.1" hidden="1" customHeight="1" x14ac:dyDescent="0.25">
      <c r="A1089" s="40">
        <v>1624</v>
      </c>
      <c r="B1089" s="40" t="s">
        <v>8565</v>
      </c>
      <c r="C1089" s="40" t="s">
        <v>530</v>
      </c>
      <c r="D1089" s="44">
        <v>2030</v>
      </c>
      <c r="E1089" s="44"/>
      <c r="F1089" s="40" t="s">
        <v>2222</v>
      </c>
      <c r="G1089" s="40" t="s">
        <v>1259</v>
      </c>
      <c r="H1089" s="40" t="s">
        <v>467</v>
      </c>
      <c r="I1089" s="40" t="s">
        <v>1266</v>
      </c>
      <c r="K1089" s="40" t="s">
        <v>578</v>
      </c>
      <c r="P1089" s="40">
        <v>1</v>
      </c>
      <c r="Q1089" s="40">
        <v>1</v>
      </c>
      <c r="Z1089" s="40" t="s">
        <v>8567</v>
      </c>
      <c r="AA1089" s="45">
        <f>400-AA1088</f>
        <v>200</v>
      </c>
      <c r="AB1089" s="46">
        <f>IF(H2ProjectDB689571011[[#This Row],[Dummy_1]]="Electrolysis",
AA1089/VLOOKUP(G1089,ElectrolysisConvF,3,FALSE),
AC1089*10^6/(H2dens*HoursInYear))</f>
        <v>44444.444444444445</v>
      </c>
      <c r="AC1089" s="47">
        <f t="shared" si="87"/>
        <v>34.650666666666666</v>
      </c>
      <c r="AE1089" s="46">
        <f t="shared" si="85"/>
        <v>44444.444444444445</v>
      </c>
      <c r="AF1089" s="43" t="s">
        <v>8569</v>
      </c>
      <c r="AG1089" s="43">
        <v>49.154152000000003</v>
      </c>
      <c r="AH1089" s="43">
        <v>6.7053710000000004</v>
      </c>
      <c r="AI1089" s="122" t="s">
        <v>7286</v>
      </c>
      <c r="AJ1089" s="41">
        <v>0.56999999999999995</v>
      </c>
    </row>
    <row r="1090" spans="1:36" ht="35.1" hidden="1" customHeight="1" x14ac:dyDescent="0.25">
      <c r="A1090" s="40">
        <v>1627</v>
      </c>
      <c r="B1090" s="90" t="s">
        <v>5964</v>
      </c>
      <c r="C1090" s="90" t="s">
        <v>530</v>
      </c>
      <c r="D1090" s="44">
        <v>2025</v>
      </c>
      <c r="E1090" s="44"/>
      <c r="F1090" s="90" t="s">
        <v>2222</v>
      </c>
      <c r="G1090" s="90" t="s">
        <v>1259</v>
      </c>
      <c r="H1090" s="40" t="s">
        <v>467</v>
      </c>
      <c r="I1090" s="90" t="s">
        <v>1266</v>
      </c>
      <c r="J1090" s="90"/>
      <c r="K1090" s="90" t="s">
        <v>578</v>
      </c>
      <c r="L1090" s="90"/>
      <c r="M1090" s="90"/>
      <c r="N1090" s="90"/>
      <c r="O1090" s="90"/>
      <c r="P1090" s="90"/>
      <c r="Q1090" s="90"/>
      <c r="R1090" s="90"/>
      <c r="S1090" s="90"/>
      <c r="T1090" s="90"/>
      <c r="U1090" s="90"/>
      <c r="V1090" s="90"/>
      <c r="W1090" s="90"/>
      <c r="X1090" s="90"/>
      <c r="Y1090" s="90"/>
      <c r="Z1090" s="90" t="s">
        <v>1344</v>
      </c>
      <c r="AA1090" s="91">
        <v>20</v>
      </c>
      <c r="AB1090" s="46">
        <f>IF(H2ProjectDB689571011[[#This Row],[Dummy_1]]="Electrolysis",
AA1090/VLOOKUP(G1090,ElectrolysisConvF,3,FALSE),
AC1090*10^6/(H2dens*HoursInYear))</f>
        <v>4444.4444444444443</v>
      </c>
      <c r="AC1090" s="47">
        <f t="shared" si="87"/>
        <v>3.4650666666666665</v>
      </c>
      <c r="AD1090" s="92"/>
      <c r="AE1090" s="92">
        <f t="shared" si="85"/>
        <v>4444.4444444444443</v>
      </c>
      <c r="AF1090" s="93" t="s">
        <v>3752</v>
      </c>
      <c r="AG1090" s="43">
        <v>45.702181000000003</v>
      </c>
      <c r="AH1090" s="43">
        <v>4.8441479999999997</v>
      </c>
      <c r="AI1090" s="122" t="s">
        <v>7286</v>
      </c>
      <c r="AJ1090" s="41">
        <v>0.56999999999999995</v>
      </c>
    </row>
    <row r="1091" spans="1:36" ht="35.1" hidden="1" customHeight="1" x14ac:dyDescent="0.25">
      <c r="A1091" s="40">
        <v>1628</v>
      </c>
      <c r="B1091" s="90" t="s">
        <v>5963</v>
      </c>
      <c r="C1091" s="90" t="s">
        <v>530</v>
      </c>
      <c r="D1091" s="44">
        <v>2024</v>
      </c>
      <c r="E1091" s="44"/>
      <c r="F1091" s="90" t="s">
        <v>5701</v>
      </c>
      <c r="G1091" s="90" t="s">
        <v>457</v>
      </c>
      <c r="I1091" s="90" t="s">
        <v>1257</v>
      </c>
      <c r="J1091" s="90"/>
      <c r="K1091" s="90" t="s">
        <v>578</v>
      </c>
      <c r="L1091" s="90"/>
      <c r="M1091" s="90"/>
      <c r="N1091" s="90"/>
      <c r="O1091" s="90"/>
      <c r="P1091" s="90"/>
      <c r="Q1091" s="90">
        <v>1</v>
      </c>
      <c r="R1091" s="90"/>
      <c r="S1091" s="90"/>
      <c r="T1091" s="90"/>
      <c r="U1091" s="90"/>
      <c r="V1091" s="90"/>
      <c r="W1091" s="90"/>
      <c r="X1091" s="90"/>
      <c r="Y1091" s="90"/>
      <c r="Z1091" s="40" t="s">
        <v>1344</v>
      </c>
      <c r="AA1091" s="91">
        <v>20</v>
      </c>
      <c r="AB1091" s="46">
        <f>IF(H2ProjectDB689571011[[#This Row],[Dummy_1]]="Electrolysis",
AA1091/VLOOKUP(G1091,ElectrolysisConvF,3,FALSE),
AC1091*10^6/(H2dens*HoursInYear))</f>
        <v>4347.826086956522</v>
      </c>
      <c r="AC1091" s="47">
        <f t="shared" si="87"/>
        <v>3.3897391304347826</v>
      </c>
      <c r="AD1091" s="92"/>
      <c r="AE1091" s="92">
        <f t="shared" si="85"/>
        <v>4347.826086956522</v>
      </c>
      <c r="AF1091" s="93" t="s">
        <v>3753</v>
      </c>
      <c r="AG1091" s="43">
        <v>43.022616999999997</v>
      </c>
      <c r="AH1091" s="43">
        <v>3.0482360000000002</v>
      </c>
      <c r="AI1091" s="122" t="s">
        <v>7286</v>
      </c>
      <c r="AJ1091" s="41">
        <v>0.56999999999999995</v>
      </c>
    </row>
    <row r="1092" spans="1:36" ht="35.1" hidden="1" customHeight="1" x14ac:dyDescent="0.25">
      <c r="A1092" s="40">
        <v>1629</v>
      </c>
      <c r="B1092" s="40" t="s">
        <v>3754</v>
      </c>
      <c r="C1092" s="90" t="s">
        <v>530</v>
      </c>
      <c r="D1092" s="44">
        <v>2023</v>
      </c>
      <c r="E1092" s="90"/>
      <c r="F1092" s="90" t="s">
        <v>1339</v>
      </c>
      <c r="G1092" s="90" t="s">
        <v>455</v>
      </c>
      <c r="I1092" s="90" t="s">
        <v>1266</v>
      </c>
      <c r="J1092" s="90"/>
      <c r="K1092" s="90" t="s">
        <v>578</v>
      </c>
      <c r="L1092" s="90"/>
      <c r="M1092" s="90"/>
      <c r="N1092" s="90"/>
      <c r="O1092" s="90"/>
      <c r="P1092" s="90"/>
      <c r="Q1092" s="90">
        <v>1</v>
      </c>
      <c r="R1092" s="90"/>
      <c r="S1092" s="90"/>
      <c r="T1092" s="90"/>
      <c r="U1092" s="90"/>
      <c r="V1092" s="90"/>
      <c r="W1092" s="90"/>
      <c r="X1092" s="90"/>
      <c r="Y1092" s="90"/>
      <c r="Z1092" s="90" t="s">
        <v>1436</v>
      </c>
      <c r="AA1092" s="91">
        <v>5</v>
      </c>
      <c r="AB1092" s="46">
        <f>IF(H2ProjectDB689571011[[#This Row],[Dummy_1]]="Electrolysis",
AA1092/VLOOKUP(G1092,ElectrolysisConvF,3,FALSE),
AC1092*10^6/(H2dens*HoursInYear))</f>
        <v>961.53846153846155</v>
      </c>
      <c r="AC1092" s="47">
        <f t="shared" si="87"/>
        <v>0.74965384615384612</v>
      </c>
      <c r="AD1092" s="92"/>
      <c r="AE1092" s="92">
        <f t="shared" si="85"/>
        <v>961.53846153846155</v>
      </c>
      <c r="AF1092" s="93" t="s">
        <v>6811</v>
      </c>
      <c r="AG1092" s="43">
        <v>43.793467</v>
      </c>
      <c r="AH1092" s="43">
        <v>1.61243</v>
      </c>
      <c r="AI1092" s="122" t="s">
        <v>7286</v>
      </c>
      <c r="AJ1092" s="41">
        <v>0.56999999999999995</v>
      </c>
    </row>
    <row r="1093" spans="1:36" ht="35.1" hidden="1" customHeight="1" x14ac:dyDescent="0.25">
      <c r="A1093" s="40">
        <v>1631</v>
      </c>
      <c r="B1093" s="40" t="s">
        <v>5800</v>
      </c>
      <c r="C1093" s="90" t="s">
        <v>1305</v>
      </c>
      <c r="D1093" s="44">
        <v>2024</v>
      </c>
      <c r="F1093" s="90" t="s">
        <v>1339</v>
      </c>
      <c r="G1093" s="90" t="s">
        <v>455</v>
      </c>
      <c r="I1093" s="90" t="s">
        <v>1269</v>
      </c>
      <c r="J1093" s="90" t="s">
        <v>1393</v>
      </c>
      <c r="K1093" s="90" t="s">
        <v>578</v>
      </c>
      <c r="L1093" s="90">
        <v>1</v>
      </c>
      <c r="M1093" s="90"/>
      <c r="N1093" s="90"/>
      <c r="O1093" s="90">
        <v>1</v>
      </c>
      <c r="P1093" s="90"/>
      <c r="Q1093" s="90">
        <v>1</v>
      </c>
      <c r="R1093" s="90">
        <v>1</v>
      </c>
      <c r="S1093" s="90"/>
      <c r="T1093" s="90"/>
      <c r="U1093" s="90"/>
      <c r="V1093" s="90"/>
      <c r="W1093" s="90"/>
      <c r="X1093" s="90"/>
      <c r="Y1093" s="90"/>
      <c r="Z1093" s="90" t="s">
        <v>1377</v>
      </c>
      <c r="AA1093" s="91">
        <v>4</v>
      </c>
      <c r="AB1093" s="46">
        <f>IF(H2ProjectDB689571011[[#This Row],[Dummy_1]]="Electrolysis",
AA1093/VLOOKUP(G1093,ElectrolysisConvF,3,FALSE),
AC1093*10^6/(H2dens*HoursInYear))</f>
        <v>769.23076923076928</v>
      </c>
      <c r="AC1093" s="47">
        <f t="shared" si="87"/>
        <v>0.59972307692307703</v>
      </c>
      <c r="AD1093" s="92"/>
      <c r="AE1093" s="92">
        <f t="shared" si="85"/>
        <v>769.23076923076928</v>
      </c>
      <c r="AF1093" s="43" t="s">
        <v>8252</v>
      </c>
      <c r="AG1093" s="43">
        <v>52.482556513702299</v>
      </c>
      <c r="AH1093" s="43">
        <v>7.2996678118249898</v>
      </c>
      <c r="AI1093" s="122" t="s">
        <v>7286</v>
      </c>
      <c r="AJ1093" s="41">
        <v>0.55000000000000004</v>
      </c>
    </row>
    <row r="1094" spans="1:36" ht="35.1" hidden="1" customHeight="1" x14ac:dyDescent="0.25">
      <c r="A1094" s="40">
        <v>1632</v>
      </c>
      <c r="B1094" s="90" t="s">
        <v>8840</v>
      </c>
      <c r="C1094" s="90" t="s">
        <v>1305</v>
      </c>
      <c r="D1094" s="44">
        <v>2025</v>
      </c>
      <c r="E1094" s="44"/>
      <c r="F1094" s="90" t="s">
        <v>5701</v>
      </c>
      <c r="G1094" s="90" t="s">
        <v>455</v>
      </c>
      <c r="I1094" s="90" t="s">
        <v>1269</v>
      </c>
      <c r="J1094" s="90" t="s">
        <v>1393</v>
      </c>
      <c r="K1094" s="90" t="s">
        <v>578</v>
      </c>
      <c r="L1094" s="90">
        <v>1</v>
      </c>
      <c r="M1094" s="90"/>
      <c r="N1094" s="90"/>
      <c r="O1094" s="90">
        <v>1</v>
      </c>
      <c r="P1094" s="90">
        <v>1</v>
      </c>
      <c r="Q1094" s="90">
        <v>1</v>
      </c>
      <c r="R1094" s="90">
        <v>1</v>
      </c>
      <c r="S1094" s="90">
        <v>1</v>
      </c>
      <c r="T1094" s="90"/>
      <c r="U1094" s="90"/>
      <c r="V1094" s="90"/>
      <c r="W1094" s="90"/>
      <c r="X1094" s="90"/>
      <c r="Y1094" s="90"/>
      <c r="Z1094" s="90" t="s">
        <v>1487</v>
      </c>
      <c r="AA1094" s="91">
        <v>100</v>
      </c>
      <c r="AB1094" s="46">
        <f>IF(H2ProjectDB689571011[[#This Row],[Dummy_1]]="Electrolysis",
AA1094/VLOOKUP(G1094,ElectrolysisConvF,3,FALSE),
AC1094*10^6/(H2dens*HoursInYear))</f>
        <v>19230.76923076923</v>
      </c>
      <c r="AC1094" s="47">
        <f t="shared" si="87"/>
        <v>14.993076923076922</v>
      </c>
      <c r="AD1094" s="92"/>
      <c r="AE1094" s="92">
        <f t="shared" si="85"/>
        <v>19230.76923076923</v>
      </c>
      <c r="AF1094" s="43" t="s">
        <v>4480</v>
      </c>
      <c r="AG1094" s="43">
        <v>52.482556513702299</v>
      </c>
      <c r="AH1094" s="43">
        <v>7.2996678118249898</v>
      </c>
      <c r="AI1094" s="122" t="s">
        <v>7286</v>
      </c>
      <c r="AJ1094" s="41">
        <v>0.55000000000000004</v>
      </c>
    </row>
    <row r="1095" spans="1:36" ht="35.1" hidden="1" customHeight="1" x14ac:dyDescent="0.25">
      <c r="A1095" s="40">
        <v>1633</v>
      </c>
      <c r="B1095" s="90" t="s">
        <v>3777</v>
      </c>
      <c r="C1095" s="90" t="s">
        <v>535</v>
      </c>
      <c r="D1095" s="44">
        <v>2024</v>
      </c>
      <c r="E1095" s="44"/>
      <c r="F1095" s="90" t="s">
        <v>1331</v>
      </c>
      <c r="G1095" s="90" t="s">
        <v>1259</v>
      </c>
      <c r="H1095" s="40" t="s">
        <v>467</v>
      </c>
      <c r="I1095" s="90" t="s">
        <v>1269</v>
      </c>
      <c r="J1095" s="90" t="s">
        <v>1391</v>
      </c>
      <c r="K1095" s="90" t="s">
        <v>578</v>
      </c>
      <c r="L1095" s="90"/>
      <c r="M1095" s="90"/>
      <c r="N1095" s="90"/>
      <c r="O1095" s="90"/>
      <c r="P1095" s="90"/>
      <c r="Q1095" s="90">
        <v>1</v>
      </c>
      <c r="R1095" s="90"/>
      <c r="S1095" s="90"/>
      <c r="T1095" s="90"/>
      <c r="U1095" s="90"/>
      <c r="V1095" s="90"/>
      <c r="W1095" s="90"/>
      <c r="X1095" s="90"/>
      <c r="Y1095" s="90"/>
      <c r="Z1095" s="90" t="s">
        <v>1366</v>
      </c>
      <c r="AA1095" s="91">
        <v>1.25</v>
      </c>
      <c r="AB1095" s="46">
        <f>IF(H2ProjectDB689571011[[#This Row],[Dummy_1]]="Electrolysis",
AA1095/VLOOKUP(G1095,ElectrolysisConvF,3,FALSE),
AC1095*10^6/(H2dens*HoursInYear))</f>
        <v>277.77777777777777</v>
      </c>
      <c r="AC1095" s="47">
        <f t="shared" si="87"/>
        <v>0.21656666666666666</v>
      </c>
      <c r="AD1095" s="92"/>
      <c r="AE1095" s="92">
        <f t="shared" si="85"/>
        <v>277.77777777777777</v>
      </c>
      <c r="AF1095" s="93" t="s">
        <v>3781</v>
      </c>
      <c r="AG1095" s="43">
        <v>-32.164524999999998</v>
      </c>
      <c r="AH1095" s="43">
        <v>115.793464</v>
      </c>
      <c r="AI1095" s="122" t="s">
        <v>7286</v>
      </c>
      <c r="AJ1095" s="41">
        <v>0.3</v>
      </c>
    </row>
    <row r="1096" spans="1:36" ht="35.1" hidden="1" customHeight="1" x14ac:dyDescent="0.25">
      <c r="A1096" s="40">
        <v>1634</v>
      </c>
      <c r="B1096" s="90" t="s">
        <v>3778</v>
      </c>
      <c r="C1096" s="90" t="s">
        <v>535</v>
      </c>
      <c r="D1096" s="90"/>
      <c r="E1096" s="90"/>
      <c r="F1096" s="90" t="s">
        <v>2222</v>
      </c>
      <c r="G1096" s="90" t="s">
        <v>1259</v>
      </c>
      <c r="H1096" s="40" t="s">
        <v>467</v>
      </c>
      <c r="I1096" s="90" t="s">
        <v>1269</v>
      </c>
      <c r="J1096" s="90" t="s">
        <v>1391</v>
      </c>
      <c r="K1096" s="90" t="s">
        <v>578</v>
      </c>
      <c r="L1096" s="90"/>
      <c r="M1096" s="90"/>
      <c r="N1096" s="90"/>
      <c r="O1096" s="90"/>
      <c r="P1096" s="90"/>
      <c r="Q1096" s="90">
        <v>1</v>
      </c>
      <c r="R1096" s="90"/>
      <c r="S1096" s="90"/>
      <c r="T1096" s="90"/>
      <c r="U1096" s="90"/>
      <c r="V1096" s="90"/>
      <c r="W1096" s="90"/>
      <c r="X1096" s="90"/>
      <c r="Y1096" s="90"/>
      <c r="Z1096" s="90"/>
      <c r="AA1096" s="91">
        <f>IF(OR(G1096="ALK",G1096="PEM",G1096="SOEC",G1096="Other Electrolysis"),
AB1096*VLOOKUP(G1096,ElectrolysisConvF,3,FALSE),
"")</f>
        <v>0</v>
      </c>
      <c r="AB1096" s="92"/>
      <c r="AC1096" s="92"/>
      <c r="AD1096" s="92"/>
      <c r="AE1096" s="92">
        <f t="shared" si="85"/>
        <v>0</v>
      </c>
      <c r="AF1096" s="93" t="s">
        <v>3781</v>
      </c>
      <c r="AG1096" s="43">
        <v>-32.164524999999998</v>
      </c>
      <c r="AH1096" s="43">
        <v>115.793464</v>
      </c>
      <c r="AI1096" s="122" t="s">
        <v>7286</v>
      </c>
      <c r="AJ1096" s="41">
        <v>0.3</v>
      </c>
    </row>
    <row r="1097" spans="1:36" ht="35.1" hidden="1" customHeight="1" x14ac:dyDescent="0.25">
      <c r="A1097" s="40">
        <v>1635</v>
      </c>
      <c r="B1097" s="90" t="s">
        <v>3779</v>
      </c>
      <c r="C1097" s="90" t="s">
        <v>535</v>
      </c>
      <c r="D1097" s="90"/>
      <c r="E1097" s="90"/>
      <c r="F1097" s="90" t="s">
        <v>2222</v>
      </c>
      <c r="G1097" s="90" t="s">
        <v>1259</v>
      </c>
      <c r="H1097" s="40" t="s">
        <v>467</v>
      </c>
      <c r="I1097" s="90" t="s">
        <v>1269</v>
      </c>
      <c r="J1097" s="90" t="s">
        <v>1391</v>
      </c>
      <c r="K1097" s="90" t="s">
        <v>578</v>
      </c>
      <c r="L1097" s="90"/>
      <c r="M1097" s="90"/>
      <c r="N1097" s="90"/>
      <c r="O1097" s="90"/>
      <c r="P1097" s="90"/>
      <c r="Q1097" s="90"/>
      <c r="R1097" s="90"/>
      <c r="S1097" s="90"/>
      <c r="T1097" s="90">
        <v>1</v>
      </c>
      <c r="U1097" s="90"/>
      <c r="V1097" s="90"/>
      <c r="W1097" s="90"/>
      <c r="X1097" s="90"/>
      <c r="Y1097" s="90"/>
      <c r="Z1097" s="90"/>
      <c r="AA1097" s="91">
        <f>IF(OR(G1097="ALK",G1097="PEM",G1097="SOEC",G1097="Other Electrolysis"),
AB1097*VLOOKUP(G1097,ElectrolysisConvF,3,FALSE),
"")</f>
        <v>0</v>
      </c>
      <c r="AB1097" s="92"/>
      <c r="AC1097" s="92"/>
      <c r="AD1097" s="92"/>
      <c r="AE1097" s="92">
        <f t="shared" si="85"/>
        <v>0</v>
      </c>
      <c r="AF1097" s="93" t="s">
        <v>3781</v>
      </c>
      <c r="AG1097" s="43">
        <v>-32.164524999999998</v>
      </c>
      <c r="AH1097" s="43">
        <v>115.793464</v>
      </c>
      <c r="AI1097" s="122" t="s">
        <v>7286</v>
      </c>
      <c r="AJ1097" s="41">
        <v>0.3</v>
      </c>
    </row>
    <row r="1098" spans="1:36" ht="35.1" hidden="1" customHeight="1" x14ac:dyDescent="0.25">
      <c r="A1098" s="40">
        <v>1636</v>
      </c>
      <c r="B1098" s="90" t="s">
        <v>3782</v>
      </c>
      <c r="C1098" s="90" t="s">
        <v>535</v>
      </c>
      <c r="D1098" s="90"/>
      <c r="E1098" s="90"/>
      <c r="F1098" s="90" t="s">
        <v>2222</v>
      </c>
      <c r="G1098" s="90" t="s">
        <v>1259</v>
      </c>
      <c r="H1098" s="40" t="s">
        <v>467</v>
      </c>
      <c r="I1098" s="90" t="s">
        <v>1257</v>
      </c>
      <c r="J1098" s="90"/>
      <c r="K1098" s="90" t="s">
        <v>578</v>
      </c>
      <c r="L1098" s="90"/>
      <c r="M1098" s="90"/>
      <c r="N1098" s="90"/>
      <c r="O1098" s="90"/>
      <c r="P1098" s="90"/>
      <c r="Q1098" s="90">
        <v>1</v>
      </c>
      <c r="R1098" s="90"/>
      <c r="S1098" s="90"/>
      <c r="T1098" s="90"/>
      <c r="U1098" s="90"/>
      <c r="V1098" s="90"/>
      <c r="W1098" s="90"/>
      <c r="X1098" s="90"/>
      <c r="Y1098" s="90"/>
      <c r="Z1098" s="90" t="s">
        <v>1348</v>
      </c>
      <c r="AA1098" s="91">
        <v>10</v>
      </c>
      <c r="AB1098" s="46">
        <f>IF(H2ProjectDB689571011[[#This Row],[Dummy_1]]="Electrolysis",
AA1098/VLOOKUP(G1098,ElectrolysisConvF,3,FALSE),
AC1098*10^6/(H2dens*HoursInYear))</f>
        <v>2222.2222222222222</v>
      </c>
      <c r="AC1098" s="47">
        <f>AB1098*H2dens*HoursInYear/10^6</f>
        <v>1.7325333333333333</v>
      </c>
      <c r="AD1098" s="92"/>
      <c r="AE1098" s="92">
        <f t="shared" si="85"/>
        <v>2222.2222222222222</v>
      </c>
      <c r="AF1098" s="93" t="s">
        <v>3784</v>
      </c>
      <c r="AG1098" s="43">
        <v>-32.653539000000002</v>
      </c>
      <c r="AH1098" s="43">
        <v>118.591182</v>
      </c>
      <c r="AI1098" s="122" t="s">
        <v>7286</v>
      </c>
      <c r="AJ1098" s="41">
        <v>0.56999999999999995</v>
      </c>
    </row>
    <row r="1099" spans="1:36" ht="35.1" hidden="1" customHeight="1" x14ac:dyDescent="0.25">
      <c r="A1099" s="40">
        <v>1637</v>
      </c>
      <c r="B1099" s="90" t="s">
        <v>3785</v>
      </c>
      <c r="C1099" s="90" t="s">
        <v>535</v>
      </c>
      <c r="D1099" s="44">
        <v>2027</v>
      </c>
      <c r="E1099" s="44"/>
      <c r="F1099" s="90" t="s">
        <v>1331</v>
      </c>
      <c r="G1099" s="90" t="s">
        <v>1259</v>
      </c>
      <c r="H1099" s="40" t="s">
        <v>467</v>
      </c>
      <c r="I1099" s="90" t="s">
        <v>1266</v>
      </c>
      <c r="J1099" s="90"/>
      <c r="K1099" s="90" t="s">
        <v>578</v>
      </c>
      <c r="L1099" s="90"/>
      <c r="M1099" s="90"/>
      <c r="N1099" s="90"/>
      <c r="O1099" s="90"/>
      <c r="P1099" s="90">
        <v>1</v>
      </c>
      <c r="Q1099" s="90">
        <v>1</v>
      </c>
      <c r="R1099" s="90"/>
      <c r="S1099" s="90"/>
      <c r="T1099" s="90"/>
      <c r="U1099" s="90"/>
      <c r="V1099" s="90">
        <v>1</v>
      </c>
      <c r="W1099" s="90">
        <v>1</v>
      </c>
      <c r="X1099" s="90"/>
      <c r="Y1099" s="90"/>
      <c r="Z1099" s="40" t="s">
        <v>7692</v>
      </c>
      <c r="AA1099" s="91">
        <v>105</v>
      </c>
      <c r="AB1099" s="46">
        <f>IF(H2ProjectDB689571011[[#This Row],[Dummy_1]]="Electrolysis",
AA1099/VLOOKUP(G1099,ElectrolysisConvF,3,FALSE),
AC1099*10^6/(H2dens*HoursInYear))</f>
        <v>23333.333333333336</v>
      </c>
      <c r="AC1099" s="47">
        <f>AB1099*H2dens*HoursInYear/10^6</f>
        <v>18.191600000000005</v>
      </c>
      <c r="AD1099" s="92"/>
      <c r="AE1099" s="92">
        <f t="shared" si="85"/>
        <v>23333.333333333336</v>
      </c>
      <c r="AF1099" s="43" t="s">
        <v>7694</v>
      </c>
      <c r="AG1099" s="43">
        <v>-32.206525999999997</v>
      </c>
      <c r="AH1099" s="43">
        <v>115.821978</v>
      </c>
      <c r="AI1099" s="122" t="s">
        <v>7286</v>
      </c>
      <c r="AJ1099" s="41">
        <v>0.56999999999999995</v>
      </c>
    </row>
    <row r="1100" spans="1:36" ht="35.1" hidden="1" customHeight="1" x14ac:dyDescent="0.25">
      <c r="A1100" s="40">
        <v>1638</v>
      </c>
      <c r="B1100" s="90" t="s">
        <v>3787</v>
      </c>
      <c r="C1100" s="90" t="s">
        <v>535</v>
      </c>
      <c r="D1100" s="44">
        <v>2024</v>
      </c>
      <c r="E1100" s="44"/>
      <c r="F1100" s="90" t="s">
        <v>1331</v>
      </c>
      <c r="G1100" s="90" t="s">
        <v>1259</v>
      </c>
      <c r="H1100" s="40" t="s">
        <v>467</v>
      </c>
      <c r="I1100" s="90" t="s">
        <v>1269</v>
      </c>
      <c r="J1100" s="90" t="s">
        <v>581</v>
      </c>
      <c r="K1100" s="90" t="s">
        <v>578</v>
      </c>
      <c r="L1100" s="90"/>
      <c r="M1100" s="90"/>
      <c r="N1100" s="90"/>
      <c r="O1100" s="90"/>
      <c r="P1100" s="90"/>
      <c r="Q1100" s="90"/>
      <c r="R1100" s="90"/>
      <c r="S1100" s="90"/>
      <c r="T1100" s="90"/>
      <c r="U1100" s="90"/>
      <c r="V1100" s="90"/>
      <c r="W1100" s="90"/>
      <c r="X1100" s="90"/>
      <c r="Y1100" s="90"/>
      <c r="Z1100" s="90" t="s">
        <v>1368</v>
      </c>
      <c r="AA1100" s="91">
        <v>2</v>
      </c>
      <c r="AB1100" s="46">
        <f>IF(H2ProjectDB689571011[[#This Row],[Dummy_1]]="Electrolysis",
AA1100/VLOOKUP(G1100,ElectrolysisConvF,3,FALSE),
AC1100*10^6/(H2dens*HoursInYear))</f>
        <v>444.44444444444446</v>
      </c>
      <c r="AC1100" s="47">
        <f>AB1100*H2dens*HoursInYear/10^6</f>
        <v>0.34650666666666669</v>
      </c>
      <c r="AD1100" s="92"/>
      <c r="AE1100" s="92">
        <f t="shared" si="85"/>
        <v>444.44444444444446</v>
      </c>
      <c r="AF1100" s="93" t="s">
        <v>3789</v>
      </c>
      <c r="AG1100" s="43">
        <v>-32.243999000000002</v>
      </c>
      <c r="AH1100" s="43">
        <v>115.814003</v>
      </c>
      <c r="AI1100" s="122" t="s">
        <v>7286</v>
      </c>
      <c r="AJ1100" s="41">
        <v>0.5</v>
      </c>
    </row>
    <row r="1101" spans="1:36" ht="35.1" hidden="1" customHeight="1" x14ac:dyDescent="0.25">
      <c r="A1101" s="40">
        <v>1639</v>
      </c>
      <c r="B1101" s="90" t="s">
        <v>3791</v>
      </c>
      <c r="C1101" s="90" t="s">
        <v>535</v>
      </c>
      <c r="D1101" s="44">
        <v>2027</v>
      </c>
      <c r="E1101" s="44"/>
      <c r="F1101" s="90" t="s">
        <v>1331</v>
      </c>
      <c r="G1101" s="90" t="s">
        <v>455</v>
      </c>
      <c r="I1101" s="90" t="s">
        <v>1269</v>
      </c>
      <c r="J1101" s="90" t="s">
        <v>1391</v>
      </c>
      <c r="K1101" s="90" t="s">
        <v>578</v>
      </c>
      <c r="L1101" s="90"/>
      <c r="M1101" s="90"/>
      <c r="N1101" s="90"/>
      <c r="O1101" s="90"/>
      <c r="P1101" s="90">
        <v>1</v>
      </c>
      <c r="Q1101" s="90"/>
      <c r="R1101" s="90"/>
      <c r="S1101" s="90"/>
      <c r="T1101" s="90"/>
      <c r="U1101" s="90"/>
      <c r="V1101" s="90"/>
      <c r="W1101" s="90"/>
      <c r="X1101" s="90"/>
      <c r="Y1101" s="90"/>
      <c r="Z1101" s="90" t="s">
        <v>5423</v>
      </c>
      <c r="AA1101" s="91">
        <v>17.5</v>
      </c>
      <c r="AB1101" s="46">
        <f>IF(H2ProjectDB689571011[[#This Row],[Dummy_1]]="Electrolysis",
AA1101/VLOOKUP(G1101,ElectrolysisConvF,3,FALSE),
AC1101*10^6/(H2dens*HoursInYear))</f>
        <v>3365.3846153846157</v>
      </c>
      <c r="AC1101" s="47">
        <f>AB1101*H2dens*HoursInYear/10^6</f>
        <v>2.6237884615384615</v>
      </c>
      <c r="AD1101" s="92"/>
      <c r="AE1101" s="92">
        <f t="shared" si="85"/>
        <v>3365.3846153846157</v>
      </c>
      <c r="AF1101" s="93" t="s">
        <v>5427</v>
      </c>
      <c r="AG1101" s="43">
        <v>-19.258965</v>
      </c>
      <c r="AH1101" s="43">
        <v>146.816956</v>
      </c>
      <c r="AI1101" s="122" t="s">
        <v>7286</v>
      </c>
      <c r="AJ1101" s="41">
        <v>0.3</v>
      </c>
    </row>
    <row r="1102" spans="1:36" ht="35.1" hidden="1" customHeight="1" x14ac:dyDescent="0.25">
      <c r="A1102" s="40">
        <v>1640</v>
      </c>
      <c r="B1102" s="90" t="s">
        <v>5073</v>
      </c>
      <c r="C1102" s="90" t="s">
        <v>542</v>
      </c>
      <c r="D1102" s="44">
        <v>2028</v>
      </c>
      <c r="E1102" s="44"/>
      <c r="F1102" s="90" t="s">
        <v>1331</v>
      </c>
      <c r="G1102" s="90" t="s">
        <v>1261</v>
      </c>
      <c r="H1102" s="90" t="s">
        <v>1665</v>
      </c>
      <c r="I1102" s="90"/>
      <c r="J1102" s="90"/>
      <c r="K1102" s="90" t="s">
        <v>578</v>
      </c>
      <c r="L1102" s="90"/>
      <c r="M1102" s="90"/>
      <c r="N1102" s="90"/>
      <c r="O1102" s="90"/>
      <c r="P1102" s="90"/>
      <c r="Q1102" s="90"/>
      <c r="R1102" s="90"/>
      <c r="S1102" s="90"/>
      <c r="T1102" s="90"/>
      <c r="U1102" s="90"/>
      <c r="V1102" s="90"/>
      <c r="W1102" s="90"/>
      <c r="X1102" s="90"/>
      <c r="Y1102" s="90"/>
      <c r="Z1102" s="90" t="s">
        <v>7572</v>
      </c>
      <c r="AA1102" s="91" t="str">
        <f>IF(OR(G1102="ALK",G1102="PEM",G1102="SOEC",G1102="Other Electrolysis"),
AB1102*VLOOKUP(G1102,ElectrolysisConvF,3,FALSE),
"")</f>
        <v/>
      </c>
      <c r="AB1102" s="46">
        <f>IF(H2ProjectDB689571011[[#This Row],[Dummy_1]]="Electrolysis",
AA1102/VLOOKUP(G1102,ElectrolysisConvF,3,FALSE),
AC1102*10^6/(H2dens*HoursInYear))</f>
        <v>113679.77528089887</v>
      </c>
      <c r="AC1102" s="47">
        <f>355*HoursInYear*0.95*3.6/120/1000</f>
        <v>88.629300000000001</v>
      </c>
      <c r="AD1102" s="92">
        <v>900000</v>
      </c>
      <c r="AE1102" s="92">
        <f t="shared" si="85"/>
        <v>112838.79849247365</v>
      </c>
      <c r="AF1102" s="43" t="s">
        <v>6826</v>
      </c>
      <c r="AG1102" s="43">
        <v>54.5423093211419</v>
      </c>
      <c r="AH1102" s="43">
        <v>-1.245801640486</v>
      </c>
      <c r="AI1102" s="122" t="s">
        <v>7287</v>
      </c>
      <c r="AJ1102" s="41">
        <v>0.9</v>
      </c>
    </row>
    <row r="1103" spans="1:36" ht="35.1" hidden="1" customHeight="1" x14ac:dyDescent="0.25">
      <c r="A1103" s="40">
        <v>1641</v>
      </c>
      <c r="B1103" s="90" t="s">
        <v>5074</v>
      </c>
      <c r="C1103" s="90" t="s">
        <v>542</v>
      </c>
      <c r="D1103" s="44">
        <v>2030</v>
      </c>
      <c r="E1103" s="44"/>
      <c r="F1103" s="90" t="s">
        <v>1331</v>
      </c>
      <c r="G1103" s="90" t="s">
        <v>1261</v>
      </c>
      <c r="H1103" s="90" t="s">
        <v>1665</v>
      </c>
      <c r="I1103" s="90"/>
      <c r="J1103" s="90"/>
      <c r="K1103" s="90" t="s">
        <v>578</v>
      </c>
      <c r="L1103" s="90"/>
      <c r="M1103" s="90"/>
      <c r="N1103" s="90"/>
      <c r="O1103" s="90"/>
      <c r="P1103" s="90"/>
      <c r="Q1103" s="90"/>
      <c r="R1103" s="90"/>
      <c r="S1103" s="90"/>
      <c r="T1103" s="90"/>
      <c r="U1103" s="90"/>
      <c r="V1103" s="90"/>
      <c r="W1103" s="90"/>
      <c r="X1103" s="90"/>
      <c r="Y1103" s="90"/>
      <c r="Z1103" s="90" t="s">
        <v>7589</v>
      </c>
      <c r="AA1103" s="91" t="str">
        <f>IF(OR(G1103="ALK",G1103="PEM",G1103="SOEC",G1103="Other Electrolysis"),
AB1103*VLOOKUP(G1103,ElectrolysisConvF,3,FALSE),
"")</f>
        <v/>
      </c>
      <c r="AB1103" s="46">
        <f>IF(H2ProjectDB689571011[[#This Row],[Dummy_1]]="Electrolysis",
AA1103/VLOOKUP(G1103,ElectrolysisConvF,3,FALSE),
AC1103*10^6/(H2dens*HoursInYear))</f>
        <v>206544.94382022475</v>
      </c>
      <c r="AC1103" s="47">
        <f>645*HoursInYear*0.95*3.6/120/1000</f>
        <v>161.03070000000002</v>
      </c>
      <c r="AD1103" s="92">
        <v>1600000</v>
      </c>
      <c r="AE1103" s="92">
        <f t="shared" si="85"/>
        <v>200602.30843106427</v>
      </c>
      <c r="AF1103" s="43" t="s">
        <v>6826</v>
      </c>
      <c r="AG1103" s="43">
        <v>54.5423093211419</v>
      </c>
      <c r="AH1103" s="43">
        <v>-1.245801640486</v>
      </c>
      <c r="AI1103" s="122" t="s">
        <v>7287</v>
      </c>
      <c r="AJ1103" s="41">
        <v>0.9</v>
      </c>
    </row>
    <row r="1104" spans="1:36" ht="35.1" hidden="1" customHeight="1" x14ac:dyDescent="0.25">
      <c r="A1104" s="40">
        <v>1642</v>
      </c>
      <c r="B1104" s="90" t="s">
        <v>3796</v>
      </c>
      <c r="C1104" s="90" t="s">
        <v>542</v>
      </c>
      <c r="D1104" s="44">
        <v>2027</v>
      </c>
      <c r="E1104" s="44"/>
      <c r="F1104" s="90" t="s">
        <v>1331</v>
      </c>
      <c r="G1104" s="90" t="s">
        <v>1261</v>
      </c>
      <c r="H1104" s="90" t="s">
        <v>5709</v>
      </c>
      <c r="I1104" s="90"/>
      <c r="J1104" s="90"/>
      <c r="K1104" s="90" t="s">
        <v>578</v>
      </c>
      <c r="L1104" s="90"/>
      <c r="M1104" s="90"/>
      <c r="N1104" s="90"/>
      <c r="O1104" s="90"/>
      <c r="P1104" s="90"/>
      <c r="Q1104" s="90"/>
      <c r="R1104" s="90"/>
      <c r="S1104" s="90"/>
      <c r="T1104" s="90"/>
      <c r="U1104" s="90"/>
      <c r="V1104" s="90"/>
      <c r="W1104" s="90"/>
      <c r="X1104" s="90"/>
      <c r="Y1104" s="90"/>
      <c r="Z1104" s="90" t="s">
        <v>5075</v>
      </c>
      <c r="AA1104" s="91" t="str">
        <f>IF(OR(G1104="ALK",G1104="PEM",G1104="SOEC",G1104="Other Electrolysis"),
AB1104*VLOOKUP(G1104,ElectrolysisConvF,3,FALSE),
"")</f>
        <v/>
      </c>
      <c r="AB1104" s="46">
        <f>IF(H2ProjectDB689571011[[#This Row],[Dummy_1]]="Electrolysis",
AA1104/VLOOKUP(G1104,ElectrolysisConvF,3,FALSE),
AC1104*10^6/(H2dens*HoursInYear))</f>
        <v>230561.79775280898</v>
      </c>
      <c r="AC1104" s="47">
        <f>720*HoursInYear*0.95*3.6/120/1000</f>
        <v>179.7552</v>
      </c>
      <c r="AD1104" s="92">
        <v>1600000</v>
      </c>
      <c r="AE1104" s="92">
        <f t="shared" si="85"/>
        <v>200602.30843106427</v>
      </c>
      <c r="AF1104" s="93" t="s">
        <v>3797</v>
      </c>
      <c r="AG1104" s="43">
        <v>53.653724662597703</v>
      </c>
      <c r="AH1104" s="43">
        <v>-0.33181127691942403</v>
      </c>
      <c r="AI1104" s="122" t="s">
        <v>7287</v>
      </c>
      <c r="AJ1104" s="41">
        <v>0.9</v>
      </c>
    </row>
    <row r="1105" spans="1:36" ht="35.1" hidden="1" customHeight="1" x14ac:dyDescent="0.25">
      <c r="A1105" s="40">
        <v>1643</v>
      </c>
      <c r="B1105" s="90" t="s">
        <v>3801</v>
      </c>
      <c r="C1105" s="90" t="s">
        <v>1305</v>
      </c>
      <c r="D1105" s="44">
        <v>2027</v>
      </c>
      <c r="E1105" s="44"/>
      <c r="F1105" s="90" t="s">
        <v>2222</v>
      </c>
      <c r="G1105" s="90" t="s">
        <v>1261</v>
      </c>
      <c r="H1105" s="90" t="s">
        <v>1665</v>
      </c>
      <c r="I1105" s="90"/>
      <c r="J1105" s="90"/>
      <c r="K1105" s="90" t="s">
        <v>578</v>
      </c>
      <c r="L1105" s="90"/>
      <c r="M1105" s="90"/>
      <c r="N1105" s="90"/>
      <c r="O1105" s="90"/>
      <c r="P1105" s="90"/>
      <c r="Q1105" s="90"/>
      <c r="R1105" s="90"/>
      <c r="S1105" s="90"/>
      <c r="T1105" s="90"/>
      <c r="U1105" s="90"/>
      <c r="V1105" s="90"/>
      <c r="W1105" s="90"/>
      <c r="X1105" s="90"/>
      <c r="Y1105" s="90"/>
      <c r="Z1105" s="90" t="s">
        <v>7614</v>
      </c>
      <c r="AB1105" s="92">
        <v>200000</v>
      </c>
      <c r="AC1105" s="47">
        <f>AB1105*H2dens*HoursInYear/10^6</f>
        <v>155.928</v>
      </c>
      <c r="AD1105" s="92">
        <v>1300000</v>
      </c>
      <c r="AE1105" s="92">
        <f t="shared" si="85"/>
        <v>162989.37560023973</v>
      </c>
      <c r="AF1105" s="43" t="s">
        <v>3800</v>
      </c>
      <c r="AG1105" s="43">
        <v>53.529980000000002</v>
      </c>
      <c r="AH1105" s="43">
        <v>8.1125299999999996</v>
      </c>
      <c r="AI1105" s="122" t="s">
        <v>7287</v>
      </c>
      <c r="AJ1105" s="41">
        <v>0.9</v>
      </c>
    </row>
    <row r="1106" spans="1:36" ht="35.1" hidden="1" customHeight="1" x14ac:dyDescent="0.25">
      <c r="A1106" s="40">
        <v>1646</v>
      </c>
      <c r="B1106" s="40" t="s">
        <v>5841</v>
      </c>
      <c r="C1106" s="40" t="s">
        <v>1305</v>
      </c>
      <c r="D1106" s="44"/>
      <c r="E1106" s="44"/>
      <c r="F1106" s="90" t="s">
        <v>2222</v>
      </c>
      <c r="G1106" s="90" t="s">
        <v>456</v>
      </c>
      <c r="H1106" s="90" t="s">
        <v>467</v>
      </c>
      <c r="I1106" s="90" t="s">
        <v>1269</v>
      </c>
      <c r="J1106" s="90" t="s">
        <v>1393</v>
      </c>
      <c r="K1106" s="90" t="s">
        <v>1243</v>
      </c>
      <c r="L1106" s="90"/>
      <c r="M1106" s="90">
        <v>1</v>
      </c>
      <c r="N1106" s="90"/>
      <c r="O1106" s="90"/>
      <c r="P1106" s="90"/>
      <c r="Q1106" s="90">
        <v>1</v>
      </c>
      <c r="R1106" s="90"/>
      <c r="S1106" s="90"/>
      <c r="T1106" s="90"/>
      <c r="U1106" s="90"/>
      <c r="V1106" s="90"/>
      <c r="W1106" s="90"/>
      <c r="X1106" s="90"/>
      <c r="Y1106" s="90"/>
      <c r="Z1106" s="40" t="s">
        <v>1487</v>
      </c>
      <c r="AA1106" s="91">
        <v>100</v>
      </c>
      <c r="AB1106" s="46">
        <f>IF(H2ProjectDB689571011[[#This Row],[Dummy_1]]="Electrolysis",
AA1106/VLOOKUP(G1106,ElectrolysisConvF,3,FALSE),
AC1106*10^6/(H2dens*HoursInYear))</f>
        <v>26315.78947368421</v>
      </c>
      <c r="AC1106" s="47">
        <f>AB1106*H2dens*HoursInYear/10^6</f>
        <v>20.516842105263155</v>
      </c>
      <c r="AD1106" s="92"/>
      <c r="AE1106" s="92">
        <f t="shared" si="85"/>
        <v>26315.78947368421</v>
      </c>
      <c r="AF1106" s="43" t="s">
        <v>3806</v>
      </c>
      <c r="AG1106" s="43">
        <v>53.191153527974102</v>
      </c>
      <c r="AH1106" s="43">
        <v>8.3358278491070692</v>
      </c>
      <c r="AI1106" s="122" t="s">
        <v>7286</v>
      </c>
      <c r="AJ1106" s="41">
        <v>0.55000000000000004</v>
      </c>
    </row>
    <row r="1107" spans="1:36" ht="35.1" hidden="1" customHeight="1" x14ac:dyDescent="0.25">
      <c r="A1107" s="40">
        <v>1647</v>
      </c>
      <c r="B1107" s="90" t="s">
        <v>3811</v>
      </c>
      <c r="C1107" s="40" t="s">
        <v>1305</v>
      </c>
      <c r="D1107" s="44">
        <v>2024</v>
      </c>
      <c r="E1107" s="44"/>
      <c r="F1107" s="90" t="s">
        <v>5701</v>
      </c>
      <c r="G1107" s="90" t="s">
        <v>1259</v>
      </c>
      <c r="H1107" s="90" t="s">
        <v>467</v>
      </c>
      <c r="I1107" s="90" t="s">
        <v>1257</v>
      </c>
      <c r="J1107" s="90"/>
      <c r="K1107" s="90" t="s">
        <v>1267</v>
      </c>
      <c r="L1107" s="90"/>
      <c r="M1107" s="90"/>
      <c r="N1107" s="90"/>
      <c r="O1107" s="90"/>
      <c r="P1107" s="90"/>
      <c r="Q1107" s="90"/>
      <c r="R1107" s="90"/>
      <c r="S1107" s="90"/>
      <c r="T1107" s="90"/>
      <c r="U1107" s="90"/>
      <c r="V1107" s="90"/>
      <c r="W1107" s="90">
        <v>1</v>
      </c>
      <c r="X1107" s="90"/>
      <c r="Y1107" s="90"/>
      <c r="Z1107" s="90"/>
      <c r="AA1107" s="91"/>
      <c r="AB1107" s="92"/>
      <c r="AC1107" s="92"/>
      <c r="AD1107" s="92"/>
      <c r="AE1107" s="92">
        <f t="shared" si="85"/>
        <v>0</v>
      </c>
      <c r="AF1107" s="43" t="s">
        <v>3813</v>
      </c>
      <c r="AG1107" s="43">
        <v>50.095117029339796</v>
      </c>
      <c r="AH1107" s="43">
        <v>8.5337827064063401</v>
      </c>
      <c r="AI1107" s="122" t="s">
        <v>7286</v>
      </c>
      <c r="AJ1107" s="41">
        <v>0.56999999999999995</v>
      </c>
    </row>
    <row r="1108" spans="1:36" ht="35.1" hidden="1" customHeight="1" x14ac:dyDescent="0.25">
      <c r="A1108" s="40">
        <v>1648</v>
      </c>
      <c r="B1108" s="40" t="s">
        <v>3815</v>
      </c>
      <c r="C1108" s="40" t="s">
        <v>1305</v>
      </c>
      <c r="D1108" s="90"/>
      <c r="E1108" s="90"/>
      <c r="F1108" s="90" t="s">
        <v>2222</v>
      </c>
      <c r="G1108" s="90" t="s">
        <v>1259</v>
      </c>
      <c r="H1108" s="90" t="s">
        <v>467</v>
      </c>
      <c r="I1108" s="90" t="s">
        <v>1257</v>
      </c>
      <c r="J1108" s="90"/>
      <c r="K1108" s="90" t="s">
        <v>578</v>
      </c>
      <c r="L1108" s="90"/>
      <c r="M1108" s="90"/>
      <c r="N1108" s="90"/>
      <c r="O1108" s="90"/>
      <c r="P1108" s="90"/>
      <c r="Q1108" s="90"/>
      <c r="R1108" s="90"/>
      <c r="S1108" s="90"/>
      <c r="T1108" s="90"/>
      <c r="U1108" s="90"/>
      <c r="V1108" s="90"/>
      <c r="W1108" s="90"/>
      <c r="X1108" s="90"/>
      <c r="Y1108" s="90"/>
      <c r="Z1108" s="90"/>
      <c r="AA1108" s="91"/>
      <c r="AB1108" s="92"/>
      <c r="AC1108" s="92"/>
      <c r="AD1108" s="92"/>
      <c r="AE1108" s="92">
        <f t="shared" si="85"/>
        <v>0</v>
      </c>
      <c r="AF1108" s="43" t="s">
        <v>3817</v>
      </c>
      <c r="AG1108" s="43">
        <v>53.489713999999999</v>
      </c>
      <c r="AH1108" s="43">
        <v>9.9011239999999994</v>
      </c>
      <c r="AI1108" s="122" t="s">
        <v>7286</v>
      </c>
      <c r="AJ1108" s="41">
        <v>0.56999999999999995</v>
      </c>
    </row>
    <row r="1109" spans="1:36" ht="35.1" hidden="1" customHeight="1" x14ac:dyDescent="0.25">
      <c r="A1109" s="40">
        <v>1649</v>
      </c>
      <c r="B1109" s="40" t="s">
        <v>3818</v>
      </c>
      <c r="C1109" s="40" t="s">
        <v>1305</v>
      </c>
      <c r="D1109" s="90"/>
      <c r="E1109" s="90"/>
      <c r="F1109" s="90" t="s">
        <v>2222</v>
      </c>
      <c r="G1109" s="90" t="s">
        <v>1259</v>
      </c>
      <c r="H1109" s="90" t="s">
        <v>467</v>
      </c>
      <c r="I1109" s="90" t="s">
        <v>1257</v>
      </c>
      <c r="J1109" s="90"/>
      <c r="K1109" s="90" t="s">
        <v>578</v>
      </c>
      <c r="L1109" s="90"/>
      <c r="M1109" s="90"/>
      <c r="N1109" s="90"/>
      <c r="O1109" s="90"/>
      <c r="P1109" s="90"/>
      <c r="Q1109" s="90"/>
      <c r="R1109" s="90"/>
      <c r="S1109" s="90"/>
      <c r="T1109" s="90"/>
      <c r="U1109" s="90"/>
      <c r="V1109" s="90"/>
      <c r="W1109" s="90"/>
      <c r="X1109" s="90"/>
      <c r="Y1109" s="90"/>
      <c r="Z1109" s="40" t="s">
        <v>3819</v>
      </c>
      <c r="AA1109" s="91">
        <v>30</v>
      </c>
      <c r="AB1109" s="46">
        <f>IF(H2ProjectDB689571011[[#This Row],[Dummy_1]]="Electrolysis",
AA1109/VLOOKUP(G1109,ElectrolysisConvF,3,FALSE),
AC1109*10^6/(H2dens*HoursInYear))</f>
        <v>6666.666666666667</v>
      </c>
      <c r="AC1109" s="47">
        <f>AB1109*H2dens*HoursInYear/10^6</f>
        <v>5.1976000000000004</v>
      </c>
      <c r="AD1109" s="92"/>
      <c r="AE1109" s="92">
        <f t="shared" si="85"/>
        <v>6666.666666666667</v>
      </c>
      <c r="AF1109" s="93"/>
      <c r="AG1109" s="43">
        <v>51.927990999999999</v>
      </c>
      <c r="AH1109" s="43">
        <v>11.632033</v>
      </c>
      <c r="AI1109" s="122" t="s">
        <v>7286</v>
      </c>
      <c r="AJ1109" s="41">
        <v>0.56999999999999995</v>
      </c>
    </row>
    <row r="1110" spans="1:36" ht="35.1" hidden="1" customHeight="1" x14ac:dyDescent="0.25">
      <c r="A1110" s="40">
        <v>1650</v>
      </c>
      <c r="B1110" s="40" t="s">
        <v>3820</v>
      </c>
      <c r="C1110" s="40" t="s">
        <v>1305</v>
      </c>
      <c r="D1110" s="90"/>
      <c r="E1110" s="90"/>
      <c r="F1110" s="90" t="s">
        <v>2222</v>
      </c>
      <c r="G1110" s="90" t="s">
        <v>1259</v>
      </c>
      <c r="H1110" s="90" t="s">
        <v>467</v>
      </c>
      <c r="I1110" s="90" t="s">
        <v>1257</v>
      </c>
      <c r="J1110" s="90"/>
      <c r="K1110" s="90" t="s">
        <v>578</v>
      </c>
      <c r="L1110" s="90"/>
      <c r="M1110" s="90"/>
      <c r="N1110" s="90"/>
      <c r="O1110" s="90"/>
      <c r="P1110" s="90"/>
      <c r="Q1110" s="90"/>
      <c r="R1110" s="90"/>
      <c r="S1110" s="90"/>
      <c r="T1110" s="90"/>
      <c r="U1110" s="90"/>
      <c r="V1110" s="90"/>
      <c r="W1110" s="90"/>
      <c r="X1110" s="90"/>
      <c r="Y1110" s="90"/>
      <c r="Z1110" s="40" t="s">
        <v>3821</v>
      </c>
      <c r="AA1110" s="91">
        <v>24</v>
      </c>
      <c r="AB1110" s="46">
        <f>IF(H2ProjectDB689571011[[#This Row],[Dummy_1]]="Electrolysis",
AA1110/VLOOKUP(G1110,ElectrolysisConvF,3,FALSE),
AC1110*10^6/(H2dens*HoursInYear))</f>
        <v>5333.3333333333339</v>
      </c>
      <c r="AC1110" s="47">
        <f>AB1110*H2dens*HoursInYear/10^6</f>
        <v>4.15808</v>
      </c>
      <c r="AD1110" s="92"/>
      <c r="AE1110" s="92">
        <f t="shared" si="85"/>
        <v>5333.3333333333339</v>
      </c>
      <c r="AF1110" s="93"/>
      <c r="AG1110" s="43">
        <v>51.927990999999999</v>
      </c>
      <c r="AH1110" s="43">
        <v>11.632033</v>
      </c>
      <c r="AI1110" s="122" t="s">
        <v>7286</v>
      </c>
      <c r="AJ1110" s="41">
        <v>0.56999999999999995</v>
      </c>
    </row>
    <row r="1111" spans="1:36" ht="35.1" hidden="1" customHeight="1" x14ac:dyDescent="0.25">
      <c r="A1111" s="40">
        <v>1651</v>
      </c>
      <c r="B1111" s="40" t="s">
        <v>3822</v>
      </c>
      <c r="C1111" s="40" t="s">
        <v>1305</v>
      </c>
      <c r="D1111" s="44">
        <v>2029</v>
      </c>
      <c r="E1111" s="44"/>
      <c r="F1111" s="90" t="s">
        <v>2222</v>
      </c>
      <c r="G1111" s="90" t="s">
        <v>1259</v>
      </c>
      <c r="H1111" s="90" t="s">
        <v>467</v>
      </c>
      <c r="I1111" s="90" t="s">
        <v>1266</v>
      </c>
      <c r="J1111" s="90"/>
      <c r="K1111" s="90" t="s">
        <v>578</v>
      </c>
      <c r="L1111" s="90"/>
      <c r="M1111" s="90"/>
      <c r="N1111" s="90"/>
      <c r="O1111" s="90">
        <v>1</v>
      </c>
      <c r="P1111" s="90"/>
      <c r="Q1111" s="90">
        <v>1</v>
      </c>
      <c r="R1111" s="90"/>
      <c r="S1111" s="90"/>
      <c r="T1111" s="90"/>
      <c r="U1111" s="90"/>
      <c r="V1111" s="90"/>
      <c r="W1111" s="90"/>
      <c r="X1111" s="90"/>
      <c r="Y1111" s="90"/>
      <c r="Z1111" s="40" t="s">
        <v>3527</v>
      </c>
      <c r="AA1111" s="91">
        <v>120</v>
      </c>
      <c r="AB1111" s="46">
        <f>IF(H2ProjectDB689571011[[#This Row],[Dummy_1]]="Electrolysis",
AA1111/VLOOKUP(G1111,ElectrolysisConvF,3,FALSE),
AC1111*10^6/(H2dens*HoursInYear))</f>
        <v>26666.666666666668</v>
      </c>
      <c r="AC1111" s="47">
        <f>AB1111*H2dens*HoursInYear/10^6</f>
        <v>20.790400000000002</v>
      </c>
      <c r="AD1111" s="92"/>
      <c r="AE1111" s="92">
        <f t="shared" si="85"/>
        <v>26666.666666666668</v>
      </c>
      <c r="AF1111" s="43" t="s">
        <v>4533</v>
      </c>
      <c r="AG1111" s="43">
        <v>51.432470000000002</v>
      </c>
      <c r="AH1111" s="43">
        <v>6.7651599999999998</v>
      </c>
      <c r="AI1111" s="122" t="s">
        <v>7286</v>
      </c>
      <c r="AJ1111" s="41">
        <v>0.56999999999999995</v>
      </c>
    </row>
    <row r="1112" spans="1:36" ht="35.1" hidden="1" customHeight="1" x14ac:dyDescent="0.25">
      <c r="A1112" s="40">
        <v>1652</v>
      </c>
      <c r="B1112" s="40" t="s">
        <v>3824</v>
      </c>
      <c r="C1112" s="40" t="s">
        <v>1305</v>
      </c>
      <c r="D1112" s="44">
        <v>2026</v>
      </c>
      <c r="E1112" s="44"/>
      <c r="F1112" s="90" t="s">
        <v>2222</v>
      </c>
      <c r="G1112" s="90" t="s">
        <v>1259</v>
      </c>
      <c r="H1112" s="90" t="s">
        <v>467</v>
      </c>
      <c r="I1112" s="90" t="s">
        <v>1269</v>
      </c>
      <c r="J1112" s="90" t="s">
        <v>1392</v>
      </c>
      <c r="K1112" s="90" t="s">
        <v>578</v>
      </c>
      <c r="L1112" s="90"/>
      <c r="M1112" s="90"/>
      <c r="N1112" s="90"/>
      <c r="O1112" s="90"/>
      <c r="P1112" s="90">
        <v>1</v>
      </c>
      <c r="Q1112" s="90">
        <v>1</v>
      </c>
      <c r="R1112" s="90"/>
      <c r="S1112" s="90">
        <v>1</v>
      </c>
      <c r="T1112" s="90"/>
      <c r="U1112" s="90"/>
      <c r="V1112" s="90"/>
      <c r="W1112" s="90"/>
      <c r="X1112" s="90"/>
      <c r="Y1112" s="90"/>
      <c r="Z1112" s="40" t="s">
        <v>3819</v>
      </c>
      <c r="AA1112" s="91">
        <v>30</v>
      </c>
      <c r="AB1112" s="46">
        <f>IF(H2ProjectDB689571011[[#This Row],[Dummy_1]]="Electrolysis",
AA1112/VLOOKUP(G1112,ElectrolysisConvF,3,FALSE),
AC1112*10^6/(H2dens*HoursInYear))</f>
        <v>6666.666666666667</v>
      </c>
      <c r="AC1112" s="47">
        <f>AB1112*H2dens*HoursInYear/10^6</f>
        <v>5.1976000000000004</v>
      </c>
      <c r="AD1112" s="92"/>
      <c r="AE1112" s="92">
        <f t="shared" si="85"/>
        <v>6666.666666666667</v>
      </c>
      <c r="AF1112" s="43" t="s">
        <v>3826</v>
      </c>
      <c r="AG1112" s="43">
        <v>53.189700000000002</v>
      </c>
      <c r="AH1112" s="43">
        <v>8.4086999999999996</v>
      </c>
      <c r="AI1112" s="122" t="s">
        <v>7286</v>
      </c>
      <c r="AJ1112" s="41">
        <v>0.4</v>
      </c>
    </row>
    <row r="1113" spans="1:36" ht="35.1" hidden="1" customHeight="1" x14ac:dyDescent="0.25">
      <c r="A1113" s="40">
        <v>1653</v>
      </c>
      <c r="B1113" s="40" t="s">
        <v>3827</v>
      </c>
      <c r="C1113" s="40" t="s">
        <v>1305</v>
      </c>
      <c r="D1113" s="44"/>
      <c r="E1113" s="44"/>
      <c r="F1113" s="90" t="s">
        <v>2222</v>
      </c>
      <c r="G1113" s="90" t="s">
        <v>1259</v>
      </c>
      <c r="H1113" s="90" t="s">
        <v>467</v>
      </c>
      <c r="I1113" s="90" t="s">
        <v>1257</v>
      </c>
      <c r="J1113" s="90"/>
      <c r="K1113" s="90" t="s">
        <v>578</v>
      </c>
      <c r="L1113" s="90"/>
      <c r="M1113" s="90"/>
      <c r="N1113" s="90"/>
      <c r="O1113" s="90"/>
      <c r="P1113" s="90"/>
      <c r="Q1113" s="90"/>
      <c r="R1113" s="90"/>
      <c r="S1113" s="90"/>
      <c r="T1113" s="90"/>
      <c r="U1113" s="90"/>
      <c r="V1113" s="90"/>
      <c r="W1113" s="90"/>
      <c r="X1113" s="90"/>
      <c r="Y1113" s="90"/>
      <c r="Z1113" s="40" t="s">
        <v>3828</v>
      </c>
      <c r="AA1113" s="91">
        <v>54</v>
      </c>
      <c r="AB1113" s="46">
        <f>IF(H2ProjectDB689571011[[#This Row],[Dummy_1]]="Electrolysis",
AA1113/VLOOKUP(G1113,ElectrolysisConvF,3,FALSE),
AC1113*10^6/(H2dens*HoursInYear))</f>
        <v>12000</v>
      </c>
      <c r="AC1113" s="47">
        <f>AB1113*H2dens*HoursInYear/10^6</f>
        <v>9.3556799999999996</v>
      </c>
      <c r="AD1113" s="92"/>
      <c r="AE1113" s="92">
        <f t="shared" si="85"/>
        <v>12000</v>
      </c>
      <c r="AF1113" s="93"/>
      <c r="AG1113" s="43">
        <v>51.217941000000003</v>
      </c>
      <c r="AH1113" s="43">
        <v>6.7616800000000001</v>
      </c>
      <c r="AI1113" s="122" t="s">
        <v>7286</v>
      </c>
      <c r="AJ1113" s="41">
        <v>0.56999999999999995</v>
      </c>
    </row>
    <row r="1114" spans="1:36" ht="35.1" hidden="1" customHeight="1" x14ac:dyDescent="0.25">
      <c r="A1114" s="40">
        <v>1654</v>
      </c>
      <c r="B1114" s="40" t="s">
        <v>3832</v>
      </c>
      <c r="C1114" s="40" t="s">
        <v>1305</v>
      </c>
      <c r="D1114" s="44">
        <v>2028</v>
      </c>
      <c r="E1114" s="44"/>
      <c r="F1114" s="90" t="s">
        <v>2222</v>
      </c>
      <c r="G1114" s="90" t="s">
        <v>1259</v>
      </c>
      <c r="H1114" s="90" t="s">
        <v>467</v>
      </c>
      <c r="I1114" s="90" t="s">
        <v>1269</v>
      </c>
      <c r="J1114" s="90" t="s">
        <v>581</v>
      </c>
      <c r="K1114" s="90" t="s">
        <v>1267</v>
      </c>
      <c r="L1114" s="90"/>
      <c r="M1114" s="90"/>
      <c r="N1114" s="90"/>
      <c r="O1114" s="90"/>
      <c r="P1114" s="90"/>
      <c r="Q1114" s="90"/>
      <c r="R1114" s="90"/>
      <c r="S1114" s="90"/>
      <c r="T1114" s="90"/>
      <c r="U1114" s="90"/>
      <c r="V1114" s="90"/>
      <c r="W1114" s="90">
        <v>1</v>
      </c>
      <c r="X1114" s="90"/>
      <c r="Y1114" s="90"/>
      <c r="Z1114" s="40" t="s">
        <v>4990</v>
      </c>
      <c r="AA1114" s="47">
        <f>IF(H2ProjectDB689571011[[#This Row],[Dummy_1]]="Electrolysis",
AB1114*VLOOKUP(G1114,ElectrolysisConvF,3,FALSE),
"")</f>
        <v>296.50144112878229</v>
      </c>
      <c r="AB1114" s="46">
        <f>AC1114/(H2dens*HoursInYear/10^6)</f>
        <v>65889.209139729399</v>
      </c>
      <c r="AC1114" s="47">
        <f>50*0.045/0.73/0.12/H2ProjectDB689571011[[#This Row],[LOWE_CF]]</f>
        <v>51.369863013698627</v>
      </c>
      <c r="AD1114" s="92"/>
      <c r="AE1114" s="92">
        <f t="shared" si="85"/>
        <v>65889.209139729399</v>
      </c>
      <c r="AF1114" s="43" t="s">
        <v>7028</v>
      </c>
      <c r="AG1114" s="43">
        <v>51.2679011002081</v>
      </c>
      <c r="AH1114" s="43">
        <v>12.401181862245799</v>
      </c>
      <c r="AI1114" s="122" t="s">
        <v>7286</v>
      </c>
      <c r="AJ1114" s="41">
        <v>0.5</v>
      </c>
    </row>
    <row r="1115" spans="1:36" ht="35.1" hidden="1" customHeight="1" x14ac:dyDescent="0.25">
      <c r="A1115" s="40">
        <v>1656</v>
      </c>
      <c r="B1115" s="40" t="s">
        <v>3834</v>
      </c>
      <c r="C1115" s="40" t="s">
        <v>1305</v>
      </c>
      <c r="D1115" s="90"/>
      <c r="E1115" s="90"/>
      <c r="F1115" s="90" t="s">
        <v>2222</v>
      </c>
      <c r="G1115" s="90" t="s">
        <v>1259</v>
      </c>
      <c r="H1115" s="90" t="s">
        <v>467</v>
      </c>
      <c r="I1115" s="90" t="s">
        <v>1269</v>
      </c>
      <c r="J1115" s="90" t="s">
        <v>1392</v>
      </c>
      <c r="K1115" s="90" t="s">
        <v>578</v>
      </c>
      <c r="L1115" s="90"/>
      <c r="M1115" s="90"/>
      <c r="N1115" s="90"/>
      <c r="O1115" s="90"/>
      <c r="P1115" s="90"/>
      <c r="Q1115" s="90">
        <v>1</v>
      </c>
      <c r="R1115" s="90"/>
      <c r="S1115" s="90"/>
      <c r="T1115" s="90"/>
      <c r="U1115" s="90"/>
      <c r="V1115" s="90"/>
      <c r="W1115" s="90"/>
      <c r="X1115" s="90"/>
      <c r="Y1115" s="90"/>
      <c r="Z1115" s="40" t="s">
        <v>1368</v>
      </c>
      <c r="AA1115" s="91">
        <v>2</v>
      </c>
      <c r="AB1115" s="46">
        <f>IF(H2ProjectDB689571011[[#This Row],[Dummy_1]]="Electrolysis",
AA1115/VLOOKUP(G1115,ElectrolysisConvF,3,FALSE),
AC1115*10^6/(H2dens*HoursInYear))</f>
        <v>444.44444444444446</v>
      </c>
      <c r="AC1115" s="47">
        <f>AB1115*H2dens*HoursInYear/10^6</f>
        <v>0.34650666666666669</v>
      </c>
      <c r="AD1115" s="92"/>
      <c r="AE1115" s="92">
        <f t="shared" si="85"/>
        <v>444.44444444444446</v>
      </c>
      <c r="AF1115" s="43" t="s">
        <v>3836</v>
      </c>
      <c r="AG1115" s="43">
        <v>52.784330195999999</v>
      </c>
      <c r="AH1115" s="43">
        <v>7.3006654639999997</v>
      </c>
      <c r="AI1115" s="122" t="s">
        <v>7286</v>
      </c>
      <c r="AJ1115" s="41">
        <v>0.4</v>
      </c>
    </row>
    <row r="1116" spans="1:36" ht="35.1" hidden="1" customHeight="1" x14ac:dyDescent="0.25">
      <c r="A1116" s="40">
        <v>1657</v>
      </c>
      <c r="B1116" s="40" t="s">
        <v>3837</v>
      </c>
      <c r="C1116" s="40" t="s">
        <v>1305</v>
      </c>
      <c r="D1116" s="44">
        <v>2024</v>
      </c>
      <c r="E1116" s="44"/>
      <c r="F1116" s="90" t="s">
        <v>1540</v>
      </c>
      <c r="G1116" s="90" t="s">
        <v>1259</v>
      </c>
      <c r="H1116" s="90" t="s">
        <v>467</v>
      </c>
      <c r="I1116" s="90" t="s">
        <v>1257</v>
      </c>
      <c r="J1116" s="90"/>
      <c r="K1116" s="90" t="s">
        <v>1267</v>
      </c>
      <c r="L1116" s="90"/>
      <c r="M1116" s="90"/>
      <c r="N1116" s="90"/>
      <c r="O1116" s="90"/>
      <c r="P1116" s="90"/>
      <c r="Q1116" s="90"/>
      <c r="R1116" s="90"/>
      <c r="S1116" s="90"/>
      <c r="T1116" s="90"/>
      <c r="U1116" s="90"/>
      <c r="V1116" s="90"/>
      <c r="W1116" s="90">
        <v>1</v>
      </c>
      <c r="X1116" s="90"/>
      <c r="Y1116" s="90"/>
      <c r="Z1116" s="90"/>
      <c r="AA1116" s="91"/>
      <c r="AB1116" s="92"/>
      <c r="AC1116" s="92"/>
      <c r="AD1116" s="92"/>
      <c r="AE1116" s="92">
        <f t="shared" si="85"/>
        <v>0</v>
      </c>
      <c r="AF1116" s="43" t="s">
        <v>3839</v>
      </c>
      <c r="AG1116" s="43">
        <v>54.083336000000003</v>
      </c>
      <c r="AH1116" s="43">
        <v>12.108810999999999</v>
      </c>
      <c r="AI1116" s="122" t="s">
        <v>7286</v>
      </c>
      <c r="AJ1116" s="41">
        <v>0.56999999999999995</v>
      </c>
    </row>
    <row r="1117" spans="1:36" ht="35.1" hidden="1" customHeight="1" x14ac:dyDescent="0.25">
      <c r="A1117" s="40">
        <v>1658</v>
      </c>
      <c r="B1117" s="40" t="s">
        <v>3840</v>
      </c>
      <c r="C1117" s="40" t="s">
        <v>1305</v>
      </c>
      <c r="D1117" s="44"/>
      <c r="E1117" s="44"/>
      <c r="F1117" s="90"/>
      <c r="G1117" s="90" t="s">
        <v>1264</v>
      </c>
      <c r="H1117" s="90" t="s">
        <v>3461</v>
      </c>
      <c r="I1117" s="90"/>
      <c r="J1117" s="90"/>
      <c r="K1117" s="90" t="s">
        <v>578</v>
      </c>
      <c r="L1117" s="90"/>
      <c r="M1117" s="90"/>
      <c r="N1117" s="90"/>
      <c r="O1117" s="90"/>
      <c r="P1117" s="90"/>
      <c r="Q1117" s="90"/>
      <c r="R1117" s="90"/>
      <c r="S1117" s="90"/>
      <c r="T1117" s="90"/>
      <c r="U1117" s="90"/>
      <c r="V1117" s="90"/>
      <c r="W1117" s="90"/>
      <c r="X1117" s="90"/>
      <c r="Y1117" s="90"/>
      <c r="Z1117" s="40" t="s">
        <v>3841</v>
      </c>
      <c r="AA1117" s="91"/>
      <c r="AB1117" s="46">
        <f>AC1117/(H2dens*HoursInYear/10^6)</f>
        <v>1026.1146170027193</v>
      </c>
      <c r="AC1117" s="95">
        <v>0.8</v>
      </c>
      <c r="AD1117" s="92"/>
      <c r="AE1117" s="92">
        <f t="shared" si="85"/>
        <v>1026.1146170027193</v>
      </c>
      <c r="AF1117" s="93" t="s">
        <v>3727</v>
      </c>
      <c r="AG1117" s="43">
        <v>52.256832967686599</v>
      </c>
      <c r="AH1117" s="43">
        <v>10.480848312107</v>
      </c>
      <c r="AI1117" s="122" t="s">
        <v>1255</v>
      </c>
      <c r="AJ1117" s="41">
        <v>0.9</v>
      </c>
    </row>
    <row r="1118" spans="1:36" ht="35.1" hidden="1" customHeight="1" x14ac:dyDescent="0.25">
      <c r="A1118" s="40">
        <v>1659</v>
      </c>
      <c r="B1118" s="40" t="s">
        <v>3842</v>
      </c>
      <c r="C1118" s="40" t="s">
        <v>1305</v>
      </c>
      <c r="D1118" s="44">
        <v>2027</v>
      </c>
      <c r="E1118" s="44"/>
      <c r="F1118" s="90"/>
      <c r="G1118" s="90" t="s">
        <v>1264</v>
      </c>
      <c r="H1118" s="90" t="s">
        <v>3461</v>
      </c>
      <c r="I1118" s="90"/>
      <c r="J1118" s="90"/>
      <c r="K1118" s="90" t="s">
        <v>578</v>
      </c>
      <c r="L1118" s="90"/>
      <c r="M1118" s="90"/>
      <c r="N1118" s="90"/>
      <c r="O1118" s="90"/>
      <c r="P1118" s="90"/>
      <c r="Q1118" s="90"/>
      <c r="R1118" s="90"/>
      <c r="S1118" s="90"/>
      <c r="T1118" s="90"/>
      <c r="U1118" s="90"/>
      <c r="V1118" s="90"/>
      <c r="W1118" s="90"/>
      <c r="X1118" s="90"/>
      <c r="Y1118" s="90"/>
      <c r="Z1118" s="40" t="s">
        <v>3653</v>
      </c>
      <c r="AA1118" s="91"/>
      <c r="AB1118" s="46">
        <f>AC1118/(H2dens*HoursInYear/10^6)</f>
        <v>12826.432712533991</v>
      </c>
      <c r="AC1118" s="92">
        <v>10</v>
      </c>
      <c r="AD1118" s="92"/>
      <c r="AE1118" s="92">
        <f t="shared" si="85"/>
        <v>12826.432712533991</v>
      </c>
      <c r="AF1118" s="93" t="s">
        <v>3727</v>
      </c>
      <c r="AG1118" s="43">
        <v>52.256832967686599</v>
      </c>
      <c r="AH1118" s="43">
        <v>10.480848312107</v>
      </c>
      <c r="AI1118" s="122" t="s">
        <v>1255</v>
      </c>
      <c r="AJ1118" s="41">
        <v>0.9</v>
      </c>
    </row>
    <row r="1119" spans="1:36" ht="35.1" hidden="1" customHeight="1" x14ac:dyDescent="0.25">
      <c r="A1119" s="40">
        <v>1660</v>
      </c>
      <c r="B1119" s="40" t="s">
        <v>3843</v>
      </c>
      <c r="C1119" s="40" t="s">
        <v>559</v>
      </c>
      <c r="D1119" s="44">
        <v>2024</v>
      </c>
      <c r="E1119" s="44"/>
      <c r="F1119" s="90" t="s">
        <v>1540</v>
      </c>
      <c r="G1119" s="90" t="s">
        <v>1259</v>
      </c>
      <c r="H1119" s="90" t="s">
        <v>467</v>
      </c>
      <c r="I1119" s="90" t="s">
        <v>1269</v>
      </c>
      <c r="J1119" s="90" t="s">
        <v>1393</v>
      </c>
      <c r="K1119" s="90" t="s">
        <v>578</v>
      </c>
      <c r="L1119" s="90"/>
      <c r="M1119" s="90"/>
      <c r="N1119" s="90"/>
      <c r="O1119" s="90"/>
      <c r="P1119" s="90"/>
      <c r="Q1119" s="90">
        <v>1</v>
      </c>
      <c r="R1119" s="90"/>
      <c r="S1119" s="90"/>
      <c r="T1119" s="90"/>
      <c r="U1119" s="90"/>
      <c r="V1119" s="90"/>
      <c r="W1119" s="90"/>
      <c r="X1119" s="90"/>
      <c r="Y1119" s="90"/>
      <c r="Z1119" s="90"/>
      <c r="AA1119" s="91"/>
      <c r="AB1119" s="92"/>
      <c r="AC1119" s="92"/>
      <c r="AD1119" s="92"/>
      <c r="AE1119" s="92">
        <f t="shared" si="85"/>
        <v>0</v>
      </c>
      <c r="AF1119" s="43" t="s">
        <v>3845</v>
      </c>
      <c r="AG1119" s="43">
        <v>65.099999600000004</v>
      </c>
      <c r="AH1119" s="43">
        <v>17.0999996</v>
      </c>
      <c r="AI1119" s="122" t="s">
        <v>7286</v>
      </c>
      <c r="AJ1119" s="41">
        <v>0.55000000000000004</v>
      </c>
    </row>
    <row r="1120" spans="1:36" ht="35.1" hidden="1" customHeight="1" x14ac:dyDescent="0.25">
      <c r="A1120" s="40">
        <v>1661</v>
      </c>
      <c r="B1120" s="40" t="s">
        <v>3846</v>
      </c>
      <c r="C1120" s="40" t="s">
        <v>559</v>
      </c>
      <c r="D1120" s="44">
        <v>2025</v>
      </c>
      <c r="E1120" s="44"/>
      <c r="F1120" s="90" t="s">
        <v>5701</v>
      </c>
      <c r="G1120" s="90" t="s">
        <v>1259</v>
      </c>
      <c r="H1120" s="90" t="s">
        <v>467</v>
      </c>
      <c r="I1120" s="90" t="s">
        <v>1269</v>
      </c>
      <c r="J1120" s="90" t="s">
        <v>581</v>
      </c>
      <c r="K1120" s="90" t="s">
        <v>578</v>
      </c>
      <c r="L1120" s="90"/>
      <c r="M1120" s="90"/>
      <c r="N1120" s="90"/>
      <c r="O1120" s="90"/>
      <c r="P1120" s="90"/>
      <c r="Q1120" s="90">
        <v>1</v>
      </c>
      <c r="R1120" s="90"/>
      <c r="S1120" s="90"/>
      <c r="T1120" s="90"/>
      <c r="U1120" s="90"/>
      <c r="V1120" s="90"/>
      <c r="W1120" s="90"/>
      <c r="X1120" s="90"/>
      <c r="Y1120" s="90"/>
      <c r="Z1120" s="40" t="s">
        <v>1368</v>
      </c>
      <c r="AA1120" s="91">
        <v>2</v>
      </c>
      <c r="AB1120" s="46">
        <f>IF(H2ProjectDB689571011[[#This Row],[Dummy_1]]="Electrolysis",
AA1120/VLOOKUP(G1120,ElectrolysisConvF,3,FALSE),
AC1120*10^6/(H2dens*HoursInYear))</f>
        <v>444.44444444444446</v>
      </c>
      <c r="AC1120" s="47">
        <f>AB1120*H2dens*HoursInYear/10^6</f>
        <v>0.34650666666666669</v>
      </c>
      <c r="AD1120" s="92"/>
      <c r="AE1120" s="92">
        <f t="shared" si="85"/>
        <v>444.44444444444446</v>
      </c>
      <c r="AF1120" s="43" t="s">
        <v>7487</v>
      </c>
      <c r="AG1120" s="43">
        <v>56.832896599999998</v>
      </c>
      <c r="AH1120" s="43">
        <v>13.9373471</v>
      </c>
      <c r="AI1120" s="122" t="s">
        <v>7286</v>
      </c>
      <c r="AJ1120" s="41">
        <v>0.5</v>
      </c>
    </row>
    <row r="1121" spans="1:36" ht="35.1" hidden="1" customHeight="1" x14ac:dyDescent="0.25">
      <c r="A1121" s="40">
        <v>1662</v>
      </c>
      <c r="B1121" s="40" t="s">
        <v>3848</v>
      </c>
      <c r="C1121" s="40" t="s">
        <v>559</v>
      </c>
      <c r="D1121" s="44">
        <v>2027</v>
      </c>
      <c r="E1121" s="44"/>
      <c r="F1121" s="90" t="s">
        <v>2222</v>
      </c>
      <c r="G1121" s="90" t="s">
        <v>1259</v>
      </c>
      <c r="H1121" s="90" t="s">
        <v>467</v>
      </c>
      <c r="I1121" s="90" t="s">
        <v>1269</v>
      </c>
      <c r="J1121" s="90" t="s">
        <v>581</v>
      </c>
      <c r="K1121" s="90" t="s">
        <v>578</v>
      </c>
      <c r="L1121" s="90"/>
      <c r="M1121" s="90"/>
      <c r="N1121" s="90"/>
      <c r="O1121" s="90"/>
      <c r="P1121" s="90"/>
      <c r="Q1121" s="90"/>
      <c r="R1121" s="90"/>
      <c r="S1121" s="90"/>
      <c r="T1121" s="90"/>
      <c r="U1121" s="90"/>
      <c r="V1121" s="90"/>
      <c r="W1121" s="90"/>
      <c r="X1121" s="90"/>
      <c r="Y1121" s="90"/>
      <c r="Z1121" s="40" t="s">
        <v>1487</v>
      </c>
      <c r="AA1121" s="91">
        <v>100</v>
      </c>
      <c r="AB1121" s="46">
        <f>IF(H2ProjectDB689571011[[#This Row],[Dummy_1]]="Electrolysis",
AA1121/VLOOKUP(G1121,ElectrolysisConvF,3,FALSE),
AC1121*10^6/(H2dens*HoursInYear))</f>
        <v>22222.222222222223</v>
      </c>
      <c r="AC1121" s="47">
        <f>AB1121*H2dens*HoursInYear/10^6</f>
        <v>17.325333333333333</v>
      </c>
      <c r="AD1121" s="92"/>
      <c r="AE1121" s="92">
        <f t="shared" si="85"/>
        <v>22222.222222222223</v>
      </c>
      <c r="AF1121" s="93"/>
      <c r="AG1121" s="43">
        <v>62.198336599999998</v>
      </c>
      <c r="AH1121" s="43">
        <v>17.567198099999999</v>
      </c>
      <c r="AI1121" s="122" t="s">
        <v>7286</v>
      </c>
      <c r="AJ1121" s="41">
        <v>0.5</v>
      </c>
    </row>
    <row r="1122" spans="1:36" ht="35.1" hidden="1" customHeight="1" x14ac:dyDescent="0.25">
      <c r="A1122" s="40">
        <v>1663</v>
      </c>
      <c r="B1122" s="40" t="s">
        <v>3849</v>
      </c>
      <c r="C1122" s="40" t="s">
        <v>559</v>
      </c>
      <c r="D1122" s="44">
        <v>2027</v>
      </c>
      <c r="E1122" s="44"/>
      <c r="F1122" s="90" t="s">
        <v>2222</v>
      </c>
      <c r="G1122" s="90" t="s">
        <v>1259</v>
      </c>
      <c r="H1122" s="90" t="s">
        <v>467</v>
      </c>
      <c r="I1122" s="90" t="s">
        <v>1269</v>
      </c>
      <c r="J1122" s="90" t="s">
        <v>1392</v>
      </c>
      <c r="K1122" s="40" t="s">
        <v>1242</v>
      </c>
      <c r="L1122" s="90"/>
      <c r="M1122" s="90"/>
      <c r="N1122" s="90"/>
      <c r="O1122" s="90"/>
      <c r="P1122" s="90">
        <v>1</v>
      </c>
      <c r="Q1122" s="90">
        <v>1</v>
      </c>
      <c r="R1122" s="90"/>
      <c r="S1122" s="90"/>
      <c r="T1122" s="90"/>
      <c r="U1122" s="90"/>
      <c r="V1122" s="90"/>
      <c r="W1122" s="90">
        <v>1</v>
      </c>
      <c r="X1122" s="90"/>
      <c r="Y1122" s="90"/>
      <c r="Z1122" s="40" t="s">
        <v>1487</v>
      </c>
      <c r="AA1122" s="91">
        <v>100</v>
      </c>
      <c r="AB1122" s="46">
        <f>IF(H2ProjectDB689571011[[#This Row],[Dummy_1]]="Electrolysis",
AA1122/VLOOKUP(G1122,ElectrolysisConvF,3,FALSE),
AC1122*10^6/(H2dens*HoursInYear))</f>
        <v>22222.222222222223</v>
      </c>
      <c r="AC1122" s="47">
        <f>AB1122*H2dens*HoursInYear/10^6</f>
        <v>17.325333333333333</v>
      </c>
      <c r="AD1122" s="92"/>
      <c r="AE1122" s="92">
        <f t="shared" si="85"/>
        <v>22222.222222222223</v>
      </c>
      <c r="AF1122" s="43" t="s">
        <v>3851</v>
      </c>
      <c r="AG1122" s="43">
        <v>65.584816000000004</v>
      </c>
      <c r="AH1122" s="43">
        <v>22.156704000000001</v>
      </c>
      <c r="AI1122" s="122" t="s">
        <v>7286</v>
      </c>
      <c r="AJ1122" s="41">
        <v>0.4</v>
      </c>
    </row>
    <row r="1123" spans="1:36" ht="35.1" hidden="1" customHeight="1" x14ac:dyDescent="0.25">
      <c r="A1123" s="40">
        <v>1664</v>
      </c>
      <c r="B1123" s="40" t="s">
        <v>3852</v>
      </c>
      <c r="C1123" s="40" t="s">
        <v>559</v>
      </c>
      <c r="D1123" s="44">
        <v>2025</v>
      </c>
      <c r="E1123" s="44"/>
      <c r="F1123" s="90" t="s">
        <v>2222</v>
      </c>
      <c r="G1123" s="90" t="s">
        <v>1259</v>
      </c>
      <c r="H1123" s="90" t="s">
        <v>467</v>
      </c>
      <c r="I1123" s="90" t="s">
        <v>1269</v>
      </c>
      <c r="J1123" s="90" t="s">
        <v>1395</v>
      </c>
      <c r="K1123" s="90" t="s">
        <v>578</v>
      </c>
      <c r="L1123" s="90"/>
      <c r="M1123" s="90"/>
      <c r="N1123" s="90"/>
      <c r="O1123" s="90"/>
      <c r="P1123" s="90">
        <v>1</v>
      </c>
      <c r="Q1123" s="90">
        <v>1</v>
      </c>
      <c r="R1123" s="90"/>
      <c r="S1123" s="90"/>
      <c r="T1123" s="90"/>
      <c r="U1123" s="90">
        <v>1</v>
      </c>
      <c r="V1123" s="90"/>
      <c r="W1123" s="90"/>
      <c r="X1123" s="90"/>
      <c r="Y1123" s="90"/>
      <c r="Z1123" s="40" t="s">
        <v>3853</v>
      </c>
      <c r="AA1123" s="91">
        <v>50</v>
      </c>
      <c r="AB1123" s="46">
        <f>IF(H2ProjectDB689571011[[#This Row],[Dummy_1]]="Electrolysis",
AA1123/VLOOKUP(G1123,ElectrolysisConvF,3,FALSE),
AC1123*10^6/(H2dens*HoursInYear))</f>
        <v>11111.111111111111</v>
      </c>
      <c r="AC1123" s="47">
        <f>AB1123*H2dens*HoursInYear/10^6</f>
        <v>8.6626666666666665</v>
      </c>
      <c r="AD1123" s="92"/>
      <c r="AE1123" s="92">
        <f t="shared" si="85"/>
        <v>11111.111111111111</v>
      </c>
      <c r="AF1123" s="43" t="s">
        <v>3855</v>
      </c>
      <c r="AG1123" s="43">
        <v>58.217025</v>
      </c>
      <c r="AH1123" s="43">
        <v>11.733397999999999</v>
      </c>
      <c r="AI1123" s="122" t="s">
        <v>7286</v>
      </c>
      <c r="AJ1123" s="41">
        <v>0.5</v>
      </c>
    </row>
    <row r="1124" spans="1:36" ht="35.1" hidden="1" customHeight="1" x14ac:dyDescent="0.25">
      <c r="A1124" s="40">
        <v>1665</v>
      </c>
      <c r="B1124" s="40" t="s">
        <v>3857</v>
      </c>
      <c r="C1124" s="40" t="s">
        <v>559</v>
      </c>
      <c r="D1124" s="44">
        <v>2025</v>
      </c>
      <c r="E1124" s="44"/>
      <c r="F1124" s="90"/>
      <c r="G1124" s="90" t="s">
        <v>1264</v>
      </c>
      <c r="H1124" s="90" t="s">
        <v>3461</v>
      </c>
      <c r="I1124" s="90"/>
      <c r="J1124" s="90"/>
      <c r="K1124" s="90" t="s">
        <v>578</v>
      </c>
      <c r="L1124" s="90"/>
      <c r="M1124" s="90"/>
      <c r="N1124" s="90"/>
      <c r="O1124" s="90"/>
      <c r="P1124" s="90"/>
      <c r="Q1124" s="90"/>
      <c r="R1124" s="90"/>
      <c r="S1124" s="90"/>
      <c r="T1124" s="90"/>
      <c r="U1124" s="90"/>
      <c r="V1124" s="90"/>
      <c r="W1124" s="90"/>
      <c r="X1124" s="90"/>
      <c r="Y1124" s="90"/>
      <c r="Z1124" s="40" t="s">
        <v>3858</v>
      </c>
      <c r="AA1124" s="91"/>
      <c r="AB1124" s="46">
        <f>AC1124/(H2dens*HoursInYear/10^6)</f>
        <v>5771.8947206402954</v>
      </c>
      <c r="AC1124" s="95">
        <v>4.5</v>
      </c>
      <c r="AD1124" s="92"/>
      <c r="AE1124" s="92">
        <f t="shared" si="85"/>
        <v>5771.8947206402954</v>
      </c>
      <c r="AF1124" s="93" t="s">
        <v>3727</v>
      </c>
      <c r="AG1124" s="43">
        <v>59.323264358341603</v>
      </c>
      <c r="AH1124" s="43">
        <v>18.048651983330299</v>
      </c>
      <c r="AI1124" s="122" t="s">
        <v>1255</v>
      </c>
      <c r="AJ1124" s="41">
        <v>0.9</v>
      </c>
    </row>
    <row r="1125" spans="1:36" ht="35.1" hidden="1" customHeight="1" x14ac:dyDescent="0.25">
      <c r="A1125" s="40">
        <v>1666</v>
      </c>
      <c r="B1125" s="40" t="s">
        <v>3859</v>
      </c>
      <c r="C1125" s="40" t="s">
        <v>532</v>
      </c>
      <c r="D1125" s="44">
        <v>2024</v>
      </c>
      <c r="E1125" s="44"/>
      <c r="F1125" s="90" t="s">
        <v>1540</v>
      </c>
      <c r="G1125" s="90" t="s">
        <v>1259</v>
      </c>
      <c r="H1125" s="90" t="s">
        <v>467</v>
      </c>
      <c r="I1125" s="90" t="s">
        <v>1269</v>
      </c>
      <c r="J1125" s="90" t="s">
        <v>1392</v>
      </c>
      <c r="K1125" s="90" t="s">
        <v>578</v>
      </c>
      <c r="L1125" s="90"/>
      <c r="M1125" s="90"/>
      <c r="N1125" s="90"/>
      <c r="O1125" s="90"/>
      <c r="P1125" s="90">
        <v>1</v>
      </c>
      <c r="Q1125" s="90">
        <v>1</v>
      </c>
      <c r="R1125" s="90">
        <v>1</v>
      </c>
      <c r="S1125" s="90"/>
      <c r="T1125" s="90"/>
      <c r="U1125" s="90">
        <v>1</v>
      </c>
      <c r="V1125" s="90"/>
      <c r="W1125" s="90"/>
      <c r="X1125" s="90"/>
      <c r="Y1125" s="90"/>
      <c r="Z1125" s="40" t="s">
        <v>3860</v>
      </c>
      <c r="AA1125" s="47">
        <f>IF(H2ProjectDB689571011[[#This Row],[Dummy_1]]="Electrolysis",
AB1125*VLOOKUP(G1125,ElectrolysisConvF,3,FALSE),
"")</f>
        <v>1.2986763121440665</v>
      </c>
      <c r="AB1125" s="46">
        <f>AC1125/(H2dens*HoursInYear/10^6)</f>
        <v>288.59473603201479</v>
      </c>
      <c r="AC1125" s="97">
        <v>0.22500000000000001</v>
      </c>
      <c r="AD1125" s="92"/>
      <c r="AE1125" s="92">
        <f t="shared" si="85"/>
        <v>288.59473603201479</v>
      </c>
      <c r="AF1125" s="43" t="s">
        <v>3862</v>
      </c>
      <c r="AG1125" s="43">
        <v>60.199548700000001</v>
      </c>
      <c r="AH1125" s="43">
        <v>20.371171499999999</v>
      </c>
      <c r="AI1125" s="122" t="s">
        <v>7286</v>
      </c>
      <c r="AJ1125" s="41">
        <v>0.4</v>
      </c>
    </row>
    <row r="1126" spans="1:36" ht="35.1" hidden="1" customHeight="1" x14ac:dyDescent="0.25">
      <c r="A1126" s="40">
        <v>1667</v>
      </c>
      <c r="B1126" s="40" t="s">
        <v>3863</v>
      </c>
      <c r="C1126" s="40" t="s">
        <v>532</v>
      </c>
      <c r="D1126" s="44">
        <v>2026</v>
      </c>
      <c r="E1126" s="44"/>
      <c r="F1126" s="90" t="s">
        <v>1331</v>
      </c>
      <c r="G1126" s="90" t="s">
        <v>1259</v>
      </c>
      <c r="H1126" s="90" t="s">
        <v>467</v>
      </c>
      <c r="I1126" s="90" t="s">
        <v>1257</v>
      </c>
      <c r="J1126" s="90"/>
      <c r="K1126" s="90" t="s">
        <v>578</v>
      </c>
      <c r="L1126" s="90">
        <v>1</v>
      </c>
      <c r="M1126" s="90"/>
      <c r="N1126" s="90"/>
      <c r="O1126" s="90"/>
      <c r="P1126" s="90"/>
      <c r="Q1126" s="90"/>
      <c r="R1126" s="90"/>
      <c r="S1126" s="90"/>
      <c r="T1126" s="90"/>
      <c r="U1126" s="90"/>
      <c r="V1126" s="90"/>
      <c r="W1126" s="90"/>
      <c r="X1126" s="90"/>
      <c r="Y1126" s="90"/>
      <c r="Z1126" s="40" t="s">
        <v>3853</v>
      </c>
      <c r="AA1126" s="91">
        <v>50</v>
      </c>
      <c r="AB1126" s="46">
        <f>IF(H2ProjectDB689571011[[#This Row],[Dummy_1]]="Electrolysis",
AA1126/VLOOKUP(G1126,ElectrolysisConvF,3,FALSE),
AC1126*10^6/(H2dens*HoursInYear))</f>
        <v>11111.111111111111</v>
      </c>
      <c r="AC1126" s="47">
        <f t="shared" ref="AC1126:AC1131" si="88">AB1126*H2dens*HoursInYear/10^6</f>
        <v>8.6626666666666665</v>
      </c>
      <c r="AD1126" s="92"/>
      <c r="AE1126" s="92">
        <f t="shared" si="85"/>
        <v>11111.111111111111</v>
      </c>
      <c r="AF1126" s="43" t="s">
        <v>3868</v>
      </c>
      <c r="AG1126" s="43">
        <v>60.392299999999999</v>
      </c>
      <c r="AH1126" s="43">
        <v>25.665099999999999</v>
      </c>
      <c r="AI1126" s="122" t="s">
        <v>7286</v>
      </c>
      <c r="AJ1126" s="41">
        <v>0.56999999999999995</v>
      </c>
    </row>
    <row r="1127" spans="1:36" ht="35.1" hidden="1" customHeight="1" x14ac:dyDescent="0.25">
      <c r="A1127" s="40">
        <v>1668</v>
      </c>
      <c r="B1127" s="40" t="s">
        <v>3864</v>
      </c>
      <c r="C1127" s="40" t="s">
        <v>532</v>
      </c>
      <c r="D1127" s="44">
        <v>2026</v>
      </c>
      <c r="E1127" s="44"/>
      <c r="F1127" s="90" t="s">
        <v>1331</v>
      </c>
      <c r="G1127" s="90" t="s">
        <v>457</v>
      </c>
      <c r="H1127" s="90"/>
      <c r="I1127" s="90" t="s">
        <v>1257</v>
      </c>
      <c r="J1127" s="90"/>
      <c r="K1127" s="90" t="s">
        <v>578</v>
      </c>
      <c r="L1127" s="90">
        <v>1</v>
      </c>
      <c r="M1127" s="90"/>
      <c r="N1127" s="90"/>
      <c r="O1127" s="90"/>
      <c r="P1127" s="90"/>
      <c r="Q1127" s="90"/>
      <c r="R1127" s="90"/>
      <c r="S1127" s="90"/>
      <c r="T1127" s="90"/>
      <c r="U1127" s="90"/>
      <c r="V1127" s="90"/>
      <c r="W1127" s="90"/>
      <c r="X1127" s="90"/>
      <c r="Y1127" s="90"/>
      <c r="Z1127" s="40" t="s">
        <v>3527</v>
      </c>
      <c r="AA1127" s="91">
        <v>70</v>
      </c>
      <c r="AB1127" s="46">
        <f>IF(H2ProjectDB689571011[[#This Row],[Dummy_1]]="Electrolysis",
AA1127/VLOOKUP(G1127,ElectrolysisConvF,3,FALSE),
AC1127*10^6/(H2dens*HoursInYear))</f>
        <v>15217.391304347826</v>
      </c>
      <c r="AC1127" s="47">
        <f t="shared" si="88"/>
        <v>11.864086956521739</v>
      </c>
      <c r="AD1127" s="92"/>
      <c r="AE1127" s="92">
        <f t="shared" si="85"/>
        <v>15217.391304347826</v>
      </c>
      <c r="AF1127" s="43" t="s">
        <v>6607</v>
      </c>
      <c r="AG1127" s="43">
        <v>60.392299999999999</v>
      </c>
      <c r="AH1127" s="43">
        <v>25.665099999999999</v>
      </c>
      <c r="AI1127" s="122" t="s">
        <v>7286</v>
      </c>
      <c r="AJ1127" s="41">
        <v>0.56999999999999995</v>
      </c>
    </row>
    <row r="1128" spans="1:36" ht="35.1" hidden="1" customHeight="1" x14ac:dyDescent="0.25">
      <c r="A1128" s="40">
        <v>1669</v>
      </c>
      <c r="B1128" s="40" t="s">
        <v>3865</v>
      </c>
      <c r="C1128" s="40" t="s">
        <v>532</v>
      </c>
      <c r="D1128" s="44">
        <v>2029</v>
      </c>
      <c r="E1128" s="44"/>
      <c r="F1128" s="90" t="s">
        <v>1331</v>
      </c>
      <c r="G1128" s="90" t="s">
        <v>1259</v>
      </c>
      <c r="H1128" s="90" t="s">
        <v>467</v>
      </c>
      <c r="I1128" s="90" t="s">
        <v>1257</v>
      </c>
      <c r="J1128" s="90"/>
      <c r="K1128" s="90" t="s">
        <v>578</v>
      </c>
      <c r="L1128" s="90">
        <v>1</v>
      </c>
      <c r="M1128" s="90"/>
      <c r="N1128" s="90"/>
      <c r="O1128" s="90"/>
      <c r="P1128" s="90"/>
      <c r="Q1128" s="90"/>
      <c r="R1128" s="90"/>
      <c r="S1128" s="90"/>
      <c r="T1128" s="90"/>
      <c r="U1128" s="90"/>
      <c r="V1128" s="90"/>
      <c r="W1128" s="90"/>
      <c r="X1128" s="90"/>
      <c r="Y1128" s="90"/>
      <c r="Z1128" s="40" t="s">
        <v>3866</v>
      </c>
      <c r="AA1128" s="91">
        <v>150</v>
      </c>
      <c r="AB1128" s="46">
        <f>IF(H2ProjectDB689571011[[#This Row],[Dummy_1]]="Electrolysis",
AA1128/VLOOKUP(G1128,ElectrolysisConvF,3,FALSE),
AC1128*10^6/(H2dens*HoursInYear))</f>
        <v>33333.333333333336</v>
      </c>
      <c r="AC1128" s="47">
        <f t="shared" si="88"/>
        <v>25.988</v>
      </c>
      <c r="AD1128" s="92"/>
      <c r="AE1128" s="92">
        <f t="shared" si="85"/>
        <v>33333.333333333336</v>
      </c>
      <c r="AF1128" s="43" t="s">
        <v>3868</v>
      </c>
      <c r="AG1128" s="43">
        <v>60.392299999999999</v>
      </c>
      <c r="AH1128" s="43">
        <v>25.665099999999999</v>
      </c>
      <c r="AI1128" s="122" t="s">
        <v>7286</v>
      </c>
      <c r="AJ1128" s="41">
        <v>0.56999999999999995</v>
      </c>
    </row>
    <row r="1129" spans="1:36" ht="35.1" hidden="1" customHeight="1" x14ac:dyDescent="0.25">
      <c r="A1129" s="40">
        <v>1670</v>
      </c>
      <c r="B1129" s="40" t="s">
        <v>3869</v>
      </c>
      <c r="C1129" s="40" t="s">
        <v>1764</v>
      </c>
      <c r="D1129" s="44">
        <v>2026</v>
      </c>
      <c r="E1129" s="44"/>
      <c r="F1129" s="90" t="s">
        <v>2222</v>
      </c>
      <c r="G1129" s="90" t="s">
        <v>1259</v>
      </c>
      <c r="H1129" s="40" t="s">
        <v>467</v>
      </c>
      <c r="I1129" s="90" t="s">
        <v>1257</v>
      </c>
      <c r="J1129" s="90"/>
      <c r="K1129" s="90" t="s">
        <v>578</v>
      </c>
      <c r="L1129" s="90"/>
      <c r="M1129" s="90"/>
      <c r="N1129" s="90"/>
      <c r="O1129" s="90"/>
      <c r="P1129" s="90"/>
      <c r="Q1129" s="90">
        <v>1</v>
      </c>
      <c r="R1129" s="90"/>
      <c r="S1129" s="90">
        <v>1</v>
      </c>
      <c r="T1129" s="90"/>
      <c r="U1129" s="90"/>
      <c r="V1129" s="90"/>
      <c r="W1129" s="90"/>
      <c r="X1129" s="90"/>
      <c r="Y1129" s="90"/>
      <c r="Z1129" s="40" t="s">
        <v>3870</v>
      </c>
      <c r="AA1129" s="91">
        <f>25-AA1078-AA1076</f>
        <v>15</v>
      </c>
      <c r="AB1129" s="46">
        <f>IF(H2ProjectDB689571011[[#This Row],[Dummy_1]]="Electrolysis",
AA1129/VLOOKUP(G1129,ElectrolysisConvF,3,FALSE),
AC1129*10^6/(H2dens*HoursInYear))</f>
        <v>3333.3333333333335</v>
      </c>
      <c r="AC1129" s="47">
        <f t="shared" si="88"/>
        <v>2.5988000000000002</v>
      </c>
      <c r="AD1129" s="92"/>
      <c r="AE1129" s="92">
        <f t="shared" si="85"/>
        <v>3333.3333333333335</v>
      </c>
      <c r="AF1129" s="93" t="s">
        <v>3707</v>
      </c>
      <c r="AG1129" s="43">
        <v>43.135942</v>
      </c>
      <c r="AH1129" s="43">
        <v>-5.8003840000000002</v>
      </c>
      <c r="AI1129" s="122" t="s">
        <v>7286</v>
      </c>
      <c r="AJ1129" s="41">
        <v>0.56999999999999995</v>
      </c>
    </row>
    <row r="1130" spans="1:36" ht="35.1" hidden="1" customHeight="1" x14ac:dyDescent="0.25">
      <c r="A1130" s="40">
        <v>1671</v>
      </c>
      <c r="B1130" s="40" t="s">
        <v>6186</v>
      </c>
      <c r="C1130" s="40" t="s">
        <v>540</v>
      </c>
      <c r="D1130" s="40">
        <v>2022</v>
      </c>
      <c r="E1130" s="90"/>
      <c r="F1130" s="90" t="s">
        <v>1339</v>
      </c>
      <c r="G1130" s="90" t="s">
        <v>455</v>
      </c>
      <c r="I1130" s="90" t="s">
        <v>1269</v>
      </c>
      <c r="J1130" s="90" t="s">
        <v>1391</v>
      </c>
      <c r="K1130" s="90" t="s">
        <v>578</v>
      </c>
      <c r="L1130" s="90"/>
      <c r="M1130" s="90"/>
      <c r="N1130" s="90"/>
      <c r="O1130" s="90"/>
      <c r="P1130" s="90">
        <v>1</v>
      </c>
      <c r="Q1130" s="90">
        <v>1</v>
      </c>
      <c r="R1130" s="90"/>
      <c r="S1130" s="90"/>
      <c r="T1130" s="90"/>
      <c r="U1130" s="90"/>
      <c r="V1130" s="90"/>
      <c r="W1130" s="90"/>
      <c r="X1130" s="90"/>
      <c r="Y1130" s="90"/>
      <c r="Z1130" s="40" t="s">
        <v>5900</v>
      </c>
      <c r="AA1130" s="45">
        <v>0.7</v>
      </c>
      <c r="AB1130" s="46">
        <f>IF(H2ProjectDB689571011[[#This Row],[Dummy_1]]="Electrolysis",
AA1130/VLOOKUP(G1130,ElectrolysisConvF,3,FALSE),
AC1130*10^6/(H2dens*HoursInYear))</f>
        <v>134.61538461538461</v>
      </c>
      <c r="AC1130" s="47">
        <f t="shared" si="88"/>
        <v>0.10495153846153846</v>
      </c>
      <c r="AD1130" s="92"/>
      <c r="AE1130" s="92">
        <f t="shared" si="85"/>
        <v>134.61538461538461</v>
      </c>
      <c r="AF1130" s="43" t="s">
        <v>6962</v>
      </c>
      <c r="AG1130" s="43">
        <v>48.262398157192003</v>
      </c>
      <c r="AH1130" s="43">
        <v>15.688601876021499</v>
      </c>
      <c r="AI1130" s="122" t="s">
        <v>7286</v>
      </c>
      <c r="AJ1130" s="41">
        <v>0.3</v>
      </c>
    </row>
    <row r="1131" spans="1:36" ht="35.1" hidden="1" customHeight="1" x14ac:dyDescent="0.25">
      <c r="A1131" s="40">
        <v>1672</v>
      </c>
      <c r="B1131" s="90" t="s">
        <v>3827</v>
      </c>
      <c r="C1131" s="40" t="s">
        <v>561</v>
      </c>
      <c r="D1131" s="44"/>
      <c r="E1131" s="44"/>
      <c r="F1131" s="90" t="s">
        <v>2222</v>
      </c>
      <c r="G1131" s="90" t="s">
        <v>1259</v>
      </c>
      <c r="H1131" s="90" t="s">
        <v>467</v>
      </c>
      <c r="I1131" s="90" t="s">
        <v>1257</v>
      </c>
      <c r="J1131" s="90"/>
      <c r="K1131" s="90" t="s">
        <v>578</v>
      </c>
      <c r="L1131" s="90"/>
      <c r="M1131" s="90"/>
      <c r="N1131" s="90"/>
      <c r="O1131" s="90"/>
      <c r="P1131" s="90"/>
      <c r="Q1131" s="90"/>
      <c r="R1131" s="90"/>
      <c r="S1131" s="90"/>
      <c r="T1131" s="90"/>
      <c r="U1131" s="90"/>
      <c r="V1131" s="90"/>
      <c r="W1131" s="90"/>
      <c r="X1131" s="90"/>
      <c r="Y1131" s="90"/>
      <c r="Z1131" s="40" t="s">
        <v>3871</v>
      </c>
      <c r="AA1131" s="91">
        <v>32</v>
      </c>
      <c r="AB1131" s="46">
        <f>IF(H2ProjectDB689571011[[#This Row],[Dummy_1]]="Electrolysis",
AA1131/VLOOKUP(G1131,ElectrolysisConvF,3,FALSE),
AC1131*10^6/(H2dens*HoursInYear))</f>
        <v>7111.1111111111113</v>
      </c>
      <c r="AC1131" s="47">
        <f t="shared" si="88"/>
        <v>5.544106666666667</v>
      </c>
      <c r="AD1131" s="92"/>
      <c r="AE1131" s="92">
        <f t="shared" ref="AE1131:AE1163" si="89">IF(AND(G1131&lt;&gt;"NG w CCUS",G1131&lt;&gt;"Oil w CCUS",G1131&lt;&gt;"Coal w CCUS"),AB1131,AD1131*10^3/(HoursInYear*IF(G1131="NG w CCUS",0.9105,1.9075)))</f>
        <v>7111.1111111111113</v>
      </c>
      <c r="AF1131" s="93"/>
      <c r="AG1131" s="43">
        <v>50.568742200000003</v>
      </c>
      <c r="AH1131" s="43">
        <v>19.234399499999999</v>
      </c>
      <c r="AI1131" s="122" t="s">
        <v>7286</v>
      </c>
      <c r="AJ1131" s="41">
        <v>0.56999999999999995</v>
      </c>
    </row>
    <row r="1132" spans="1:36" ht="35.1" hidden="1" customHeight="1" x14ac:dyDescent="0.25">
      <c r="A1132" s="40">
        <v>1673</v>
      </c>
      <c r="B1132" s="40" t="s">
        <v>3872</v>
      </c>
      <c r="C1132" s="40" t="s">
        <v>561</v>
      </c>
      <c r="D1132" s="44">
        <v>2026</v>
      </c>
      <c r="E1132" s="44"/>
      <c r="F1132" s="90"/>
      <c r="G1132" s="90" t="s">
        <v>1264</v>
      </c>
      <c r="H1132" s="90" t="s">
        <v>3461</v>
      </c>
      <c r="I1132" s="90"/>
      <c r="J1132" s="90"/>
      <c r="K1132" s="90" t="s">
        <v>578</v>
      </c>
      <c r="L1132" s="90"/>
      <c r="M1132" s="90"/>
      <c r="N1132" s="90"/>
      <c r="O1132" s="90"/>
      <c r="P1132" s="90"/>
      <c r="Q1132" s="90"/>
      <c r="R1132" s="90"/>
      <c r="S1132" s="90"/>
      <c r="T1132" s="90"/>
      <c r="U1132" s="90"/>
      <c r="V1132" s="90"/>
      <c r="W1132" s="90"/>
      <c r="X1132" s="90"/>
      <c r="Y1132" s="90"/>
      <c r="Z1132" s="40" t="s">
        <v>3858</v>
      </c>
      <c r="AA1132" s="91"/>
      <c r="AB1132" s="46">
        <f>AC1132/(H2dens*HoursInYear/10^6)</f>
        <v>5771.8947206402954</v>
      </c>
      <c r="AC1132" s="95">
        <v>4.5</v>
      </c>
      <c r="AD1132" s="92"/>
      <c r="AE1132" s="92">
        <f t="shared" si="89"/>
        <v>5771.8947206402954</v>
      </c>
      <c r="AF1132" s="43" t="s">
        <v>3874</v>
      </c>
      <c r="AG1132" s="43">
        <v>52.723960778431803</v>
      </c>
      <c r="AH1132" s="43">
        <v>20.8034437574075</v>
      </c>
      <c r="AI1132" s="122" t="s">
        <v>1255</v>
      </c>
      <c r="AJ1132" s="41">
        <v>0.9</v>
      </c>
    </row>
    <row r="1133" spans="1:36" ht="35.1" hidden="1" customHeight="1" x14ac:dyDescent="0.25">
      <c r="A1133" s="40">
        <v>1674</v>
      </c>
      <c r="B1133" s="40" t="s">
        <v>3875</v>
      </c>
      <c r="C1133" s="40" t="s">
        <v>561</v>
      </c>
      <c r="D1133" s="44">
        <v>2027</v>
      </c>
      <c r="E1133" s="44"/>
      <c r="F1133" s="90"/>
      <c r="G1133" s="90" t="s">
        <v>1264</v>
      </c>
      <c r="H1133" s="90" t="s">
        <v>3461</v>
      </c>
      <c r="I1133" s="90"/>
      <c r="J1133" s="90"/>
      <c r="K1133" s="90" t="s">
        <v>578</v>
      </c>
      <c r="L1133" s="90"/>
      <c r="M1133" s="90"/>
      <c r="N1133" s="90"/>
      <c r="O1133" s="90"/>
      <c r="P1133" s="90"/>
      <c r="Q1133" s="90"/>
      <c r="R1133" s="90"/>
      <c r="S1133" s="90"/>
      <c r="T1133" s="90"/>
      <c r="U1133" s="90"/>
      <c r="V1133" s="90"/>
      <c r="W1133" s="90"/>
      <c r="X1133" s="90"/>
      <c r="Y1133" s="90"/>
      <c r="Z1133" s="40" t="s">
        <v>3858</v>
      </c>
      <c r="AA1133" s="91"/>
      <c r="AB1133" s="46">
        <f>AC1133/(H2dens*HoursInYear/10^6)</f>
        <v>5771.8947206402954</v>
      </c>
      <c r="AC1133" s="95">
        <v>4.5</v>
      </c>
      <c r="AD1133" s="92"/>
      <c r="AE1133" s="92">
        <f t="shared" si="89"/>
        <v>5771.8947206402954</v>
      </c>
      <c r="AF1133" s="43" t="s">
        <v>3874</v>
      </c>
      <c r="AG1133" s="43">
        <v>52.723960778431803</v>
      </c>
      <c r="AH1133" s="43">
        <v>20.8034437574075</v>
      </c>
      <c r="AI1133" s="122" t="s">
        <v>1255</v>
      </c>
      <c r="AJ1133" s="41">
        <v>0.9</v>
      </c>
    </row>
    <row r="1134" spans="1:36" ht="35.1" hidden="1" customHeight="1" x14ac:dyDescent="0.25">
      <c r="A1134" s="40">
        <v>1675</v>
      </c>
      <c r="B1134" s="40" t="s">
        <v>3961</v>
      </c>
      <c r="C1134" s="40" t="s">
        <v>561</v>
      </c>
      <c r="D1134" s="44"/>
      <c r="E1134" s="44"/>
      <c r="F1134" s="90" t="s">
        <v>2222</v>
      </c>
      <c r="G1134" s="90" t="s">
        <v>1259</v>
      </c>
      <c r="H1134" s="90" t="s">
        <v>467</v>
      </c>
      <c r="I1134" s="90" t="s">
        <v>1269</v>
      </c>
      <c r="J1134" s="90" t="s">
        <v>1393</v>
      </c>
      <c r="K1134" s="90" t="s">
        <v>578</v>
      </c>
      <c r="L1134" s="90"/>
      <c r="M1134" s="90"/>
      <c r="N1134" s="90"/>
      <c r="O1134" s="90"/>
      <c r="P1134" s="90"/>
      <c r="Q1134" s="90"/>
      <c r="R1134" s="90"/>
      <c r="S1134" s="90"/>
      <c r="T1134" s="90"/>
      <c r="U1134" s="90"/>
      <c r="V1134" s="90"/>
      <c r="W1134" s="90"/>
      <c r="X1134" s="90"/>
      <c r="Y1134" s="90"/>
      <c r="Z1134" s="40" t="s">
        <v>1372</v>
      </c>
      <c r="AA1134" s="91">
        <v>1</v>
      </c>
      <c r="AB1134" s="46">
        <f>IF(H2ProjectDB689571011[[#This Row],[Dummy_1]]="Electrolysis",
AA1134/VLOOKUP(G1134,ElectrolysisConvF,3,FALSE),
AC1134*10^6/(H2dens*HoursInYear))</f>
        <v>222.22222222222223</v>
      </c>
      <c r="AC1134" s="47">
        <f>AB1134*H2dens*HoursInYear/10^6</f>
        <v>0.17325333333333334</v>
      </c>
      <c r="AD1134" s="92"/>
      <c r="AE1134" s="92">
        <f t="shared" si="89"/>
        <v>222.22222222222223</v>
      </c>
      <c r="AF1134" s="43" t="s">
        <v>3877</v>
      </c>
      <c r="AG1134" s="43">
        <v>0</v>
      </c>
      <c r="AH1134" s="43">
        <v>0</v>
      </c>
      <c r="AI1134" s="122" t="s">
        <v>7286</v>
      </c>
      <c r="AJ1134" s="41">
        <v>0.55000000000000004</v>
      </c>
    </row>
    <row r="1135" spans="1:36" ht="35.1" hidden="1" customHeight="1" x14ac:dyDescent="0.25">
      <c r="A1135" s="40">
        <v>1676</v>
      </c>
      <c r="B1135" s="40" t="s">
        <v>3962</v>
      </c>
      <c r="C1135" s="40" t="s">
        <v>561</v>
      </c>
      <c r="D1135" s="44">
        <v>2030</v>
      </c>
      <c r="E1135" s="44"/>
      <c r="F1135" s="90" t="s">
        <v>2222</v>
      </c>
      <c r="G1135" s="90" t="s">
        <v>1259</v>
      </c>
      <c r="H1135" s="90" t="s">
        <v>467</v>
      </c>
      <c r="I1135" s="90" t="s">
        <v>1269</v>
      </c>
      <c r="J1135" s="90" t="s">
        <v>1393</v>
      </c>
      <c r="K1135" s="90" t="s">
        <v>578</v>
      </c>
      <c r="L1135" s="90"/>
      <c r="M1135" s="90"/>
      <c r="N1135" s="90"/>
      <c r="O1135" s="90"/>
      <c r="P1135" s="90"/>
      <c r="Q1135" s="90"/>
      <c r="R1135" s="90"/>
      <c r="S1135" s="90"/>
      <c r="T1135" s="90"/>
      <c r="U1135" s="90"/>
      <c r="V1135" s="90"/>
      <c r="W1135" s="90"/>
      <c r="X1135" s="90"/>
      <c r="Y1135" s="90"/>
      <c r="Z1135" s="40" t="s">
        <v>3209</v>
      </c>
      <c r="AA1135" s="91">
        <f>1000-1</f>
        <v>999</v>
      </c>
      <c r="AB1135" s="46">
        <f>IF(H2ProjectDB689571011[[#This Row],[Dummy_1]]="Electrolysis",
AA1135/VLOOKUP(G1135,ElectrolysisConvF,3,FALSE),
AC1135*10^6/(H2dens*HoursInYear))</f>
        <v>222000.00000000003</v>
      </c>
      <c r="AC1135" s="47">
        <f>AB1135*H2dens*HoursInYear/10^6</f>
        <v>173.08008000000001</v>
      </c>
      <c r="AD1135" s="92"/>
      <c r="AE1135" s="92">
        <f t="shared" si="89"/>
        <v>222000.00000000003</v>
      </c>
      <c r="AF1135" s="43" t="s">
        <v>3877</v>
      </c>
      <c r="AG1135" s="43">
        <v>0</v>
      </c>
      <c r="AH1135" s="43">
        <v>0</v>
      </c>
      <c r="AI1135" s="122" t="s">
        <v>7286</v>
      </c>
      <c r="AJ1135" s="41">
        <v>0.55000000000000004</v>
      </c>
    </row>
    <row r="1136" spans="1:36" ht="35.1" hidden="1" customHeight="1" x14ac:dyDescent="0.25">
      <c r="A1136" s="40">
        <v>1677</v>
      </c>
      <c r="B1136" s="90" t="s">
        <v>3878</v>
      </c>
      <c r="C1136" s="90" t="s">
        <v>535</v>
      </c>
      <c r="D1136" s="90"/>
      <c r="E1136" s="90"/>
      <c r="F1136" s="90" t="s">
        <v>1331</v>
      </c>
      <c r="G1136" s="90" t="s">
        <v>1259</v>
      </c>
      <c r="H1136" s="90" t="s">
        <v>467</v>
      </c>
      <c r="I1136" s="90" t="s">
        <v>1257</v>
      </c>
      <c r="J1136" s="90"/>
      <c r="K1136" s="90" t="s">
        <v>578</v>
      </c>
      <c r="L1136" s="90"/>
      <c r="M1136" s="90"/>
      <c r="N1136" s="90"/>
      <c r="O1136" s="90"/>
      <c r="P1136" s="90"/>
      <c r="Q1136" s="90"/>
      <c r="R1136" s="90"/>
      <c r="S1136" s="90"/>
      <c r="T1136" s="90"/>
      <c r="U1136" s="90"/>
      <c r="V1136" s="90"/>
      <c r="W1136" s="90"/>
      <c r="X1136" s="90"/>
      <c r="Y1136" s="90"/>
      <c r="Z1136" s="90"/>
      <c r="AA1136" s="91"/>
      <c r="AB1136" s="92"/>
      <c r="AC1136" s="92"/>
      <c r="AD1136" s="92"/>
      <c r="AE1136" s="92">
        <f t="shared" si="89"/>
        <v>0</v>
      </c>
      <c r="AF1136" s="93" t="s">
        <v>3880</v>
      </c>
      <c r="AG1136" s="43">
        <v>-41.066699999999997</v>
      </c>
      <c r="AH1136" s="43">
        <v>146.767</v>
      </c>
      <c r="AI1136" s="122" t="s">
        <v>7286</v>
      </c>
      <c r="AJ1136" s="41">
        <v>0.56999999999999995</v>
      </c>
    </row>
    <row r="1137" spans="1:36" ht="35.1" hidden="1" customHeight="1" x14ac:dyDescent="0.25">
      <c r="A1137" s="40">
        <v>1678</v>
      </c>
      <c r="B1137" s="90" t="s">
        <v>5034</v>
      </c>
      <c r="C1137" s="90" t="s">
        <v>535</v>
      </c>
      <c r="D1137" s="90"/>
      <c r="E1137" s="90"/>
      <c r="F1137" s="90" t="s">
        <v>1331</v>
      </c>
      <c r="G1137" s="90" t="s">
        <v>1261</v>
      </c>
      <c r="H1137" s="90" t="s">
        <v>1665</v>
      </c>
      <c r="I1137" s="90"/>
      <c r="J1137" s="90"/>
      <c r="K1137" s="90" t="s">
        <v>578</v>
      </c>
      <c r="L1137" s="90"/>
      <c r="M1137" s="90"/>
      <c r="N1137" s="90"/>
      <c r="O1137" s="90">
        <v>1</v>
      </c>
      <c r="P1137" s="90"/>
      <c r="Q1137" s="90"/>
      <c r="R1137" s="90"/>
      <c r="S1137" s="90"/>
      <c r="T1137" s="90"/>
      <c r="U1137" s="90"/>
      <c r="V1137" s="90"/>
      <c r="W1137" s="90"/>
      <c r="X1137" s="90"/>
      <c r="Y1137" s="90"/>
      <c r="Z1137" s="90" t="s">
        <v>5035</v>
      </c>
      <c r="AA1137" s="91"/>
      <c r="AB1137" s="46">
        <f>AC1137/(H2dens*HoursInYear/10^6)</f>
        <v>21377.387854223318</v>
      </c>
      <c r="AC1137" s="92">
        <f>2/120*1000</f>
        <v>16.666666666666668</v>
      </c>
      <c r="AD1137" s="92">
        <v>150000</v>
      </c>
      <c r="AE1137" s="92">
        <f t="shared" si="89"/>
        <v>18806.466415412277</v>
      </c>
      <c r="AF1137" s="93" t="s">
        <v>5036</v>
      </c>
      <c r="AG1137" s="43">
        <v>-33.976002000000001</v>
      </c>
      <c r="AH1137" s="43">
        <v>151.21800200000001</v>
      </c>
      <c r="AI1137" s="122" t="s">
        <v>7287</v>
      </c>
      <c r="AJ1137" s="41">
        <v>0.9</v>
      </c>
    </row>
    <row r="1138" spans="1:36" ht="35.1" hidden="1" customHeight="1" x14ac:dyDescent="0.25">
      <c r="A1138" s="40">
        <v>1679</v>
      </c>
      <c r="B1138" s="90" t="s">
        <v>3885</v>
      </c>
      <c r="C1138" s="90" t="s">
        <v>535</v>
      </c>
      <c r="D1138" s="90"/>
      <c r="E1138" s="90"/>
      <c r="F1138" s="90" t="s">
        <v>2222</v>
      </c>
      <c r="G1138" s="90" t="s">
        <v>1259</v>
      </c>
      <c r="H1138" s="90" t="s">
        <v>467</v>
      </c>
      <c r="I1138" s="90" t="s">
        <v>1257</v>
      </c>
      <c r="J1138" s="90"/>
      <c r="K1138" s="90" t="s">
        <v>578</v>
      </c>
      <c r="L1138" s="90"/>
      <c r="M1138" s="90"/>
      <c r="N1138" s="90"/>
      <c r="O1138" s="90"/>
      <c r="P1138" s="90"/>
      <c r="Q1138" s="90"/>
      <c r="R1138" s="90"/>
      <c r="S1138" s="90"/>
      <c r="T1138" s="90"/>
      <c r="U1138" s="90"/>
      <c r="V1138" s="90"/>
      <c r="W1138" s="90"/>
      <c r="X1138" s="90"/>
      <c r="Y1138" s="90"/>
      <c r="Z1138" s="90"/>
      <c r="AA1138" s="91"/>
      <c r="AB1138" s="92"/>
      <c r="AC1138" s="92"/>
      <c r="AD1138" s="92"/>
      <c r="AE1138" s="92">
        <f t="shared" si="89"/>
        <v>0</v>
      </c>
      <c r="AF1138" s="93" t="s">
        <v>3882</v>
      </c>
      <c r="AG1138" s="43">
        <v>0</v>
      </c>
      <c r="AH1138" s="43">
        <v>0</v>
      </c>
      <c r="AI1138" s="122" t="s">
        <v>7286</v>
      </c>
      <c r="AJ1138" s="41">
        <v>0.56999999999999995</v>
      </c>
    </row>
    <row r="1139" spans="1:36" ht="35.1" hidden="1" customHeight="1" x14ac:dyDescent="0.25">
      <c r="A1139" s="40">
        <v>1680</v>
      </c>
      <c r="B1139" s="40" t="s">
        <v>3886</v>
      </c>
      <c r="C1139" s="90" t="s">
        <v>546</v>
      </c>
      <c r="D1139" s="44">
        <v>2026</v>
      </c>
      <c r="E1139" s="44"/>
      <c r="F1139" s="90" t="s">
        <v>1540</v>
      </c>
      <c r="G1139" s="90" t="s">
        <v>455</v>
      </c>
      <c r="H1139" s="90" t="s">
        <v>467</v>
      </c>
      <c r="I1139" s="90" t="s">
        <v>1269</v>
      </c>
      <c r="J1139" s="90" t="s">
        <v>1393</v>
      </c>
      <c r="K1139" s="90" t="s">
        <v>578</v>
      </c>
      <c r="L1139" s="90"/>
      <c r="M1139" s="90"/>
      <c r="N1139" s="90"/>
      <c r="O1139" s="90"/>
      <c r="P1139" s="90"/>
      <c r="Q1139" s="90"/>
      <c r="R1139" s="90"/>
      <c r="S1139" s="90"/>
      <c r="T1139" s="90"/>
      <c r="U1139" s="90"/>
      <c r="V1139" s="90"/>
      <c r="W1139" s="90"/>
      <c r="X1139" s="90"/>
      <c r="Y1139" s="90"/>
      <c r="Z1139" s="90" t="s">
        <v>1333</v>
      </c>
      <c r="AA1139" s="45">
        <v>10</v>
      </c>
      <c r="AB1139" s="46">
        <f>IF(H2ProjectDB689571011[[#This Row],[Dummy_1]]="Electrolysis",
AA1139/VLOOKUP(G1139,ElectrolysisConvF,3,FALSE),
AC1139*10^6/(H2dens*HoursInYear))</f>
        <v>1923.0769230769231</v>
      </c>
      <c r="AC1139" s="47">
        <f>AB1139*H2dens*HoursInYear/10^6</f>
        <v>1.4993076923076922</v>
      </c>
      <c r="AD1139" s="92"/>
      <c r="AE1139" s="92">
        <f t="shared" si="89"/>
        <v>1923.0769230769231</v>
      </c>
      <c r="AF1139" s="93" t="s">
        <v>3884</v>
      </c>
      <c r="AG1139" s="43">
        <v>51.964717408094501</v>
      </c>
      <c r="AH1139" s="43">
        <v>3.9630599958910202</v>
      </c>
      <c r="AI1139" s="122" t="s">
        <v>7286</v>
      </c>
      <c r="AJ1139" s="41">
        <v>0.55000000000000004</v>
      </c>
    </row>
    <row r="1140" spans="1:36" ht="35.1" hidden="1" customHeight="1" x14ac:dyDescent="0.25">
      <c r="A1140" s="40">
        <v>1682</v>
      </c>
      <c r="B1140" s="40" t="s">
        <v>5089</v>
      </c>
      <c r="C1140" s="90" t="s">
        <v>536</v>
      </c>
      <c r="D1140" s="44"/>
      <c r="E1140" s="44"/>
      <c r="F1140" s="90" t="s">
        <v>2222</v>
      </c>
      <c r="G1140" s="90" t="s">
        <v>1261</v>
      </c>
      <c r="H1140" s="90" t="s">
        <v>1665</v>
      </c>
      <c r="I1140" s="90"/>
      <c r="J1140" s="90"/>
      <c r="K1140" s="90" t="s">
        <v>578</v>
      </c>
      <c r="L1140" s="90"/>
      <c r="M1140" s="90"/>
      <c r="N1140" s="90"/>
      <c r="O1140" s="90"/>
      <c r="P1140" s="90"/>
      <c r="Q1140" s="90"/>
      <c r="R1140" s="90"/>
      <c r="S1140" s="90"/>
      <c r="T1140" s="90"/>
      <c r="U1140" s="90"/>
      <c r="V1140" s="90"/>
      <c r="W1140" s="90"/>
      <c r="X1140" s="90"/>
      <c r="Y1140" s="90"/>
      <c r="Z1140" s="90" t="s">
        <v>3086</v>
      </c>
      <c r="AA1140" s="91" t="str">
        <f>IF(OR(G1140="ALK",G1140="PEM",G1140="SOEC",G1140="Other Electrolysis"),
AB1140*VLOOKUP(G1140,ElectrolysisConvF,3,FALSE),
"")</f>
        <v/>
      </c>
      <c r="AB1140" s="92"/>
      <c r="AC1140" s="92"/>
      <c r="AD1140" s="92">
        <v>1100000</v>
      </c>
      <c r="AE1140" s="92">
        <f t="shared" si="89"/>
        <v>137914.0870463567</v>
      </c>
      <c r="AF1140" s="93" t="s">
        <v>3889</v>
      </c>
      <c r="AG1140" s="43">
        <v>29.749907</v>
      </c>
      <c r="AH1140" s="43">
        <v>-95.358421000000007</v>
      </c>
      <c r="AI1140" s="122" t="s">
        <v>7287</v>
      </c>
      <c r="AJ1140" s="41">
        <v>0.9</v>
      </c>
    </row>
    <row r="1141" spans="1:36" ht="35.1" hidden="1" customHeight="1" x14ac:dyDescent="0.25">
      <c r="A1141" s="40">
        <v>1683</v>
      </c>
      <c r="B1141" s="40" t="s">
        <v>3890</v>
      </c>
      <c r="C1141" s="90" t="s">
        <v>1045</v>
      </c>
      <c r="D1141" s="44">
        <v>2026</v>
      </c>
      <c r="E1141" s="44"/>
      <c r="F1141" s="90" t="s">
        <v>1331</v>
      </c>
      <c r="G1141" s="90" t="s">
        <v>1259</v>
      </c>
      <c r="H1141" s="90" t="s">
        <v>467</v>
      </c>
      <c r="I1141" s="90" t="s">
        <v>1269</v>
      </c>
      <c r="J1141" s="90" t="s">
        <v>1395</v>
      </c>
      <c r="K1141" s="90" t="s">
        <v>1243</v>
      </c>
      <c r="L1141" s="90"/>
      <c r="M1141" s="90">
        <v>1</v>
      </c>
      <c r="N1141" s="90"/>
      <c r="O1141" s="90"/>
      <c r="P1141" s="90"/>
      <c r="Q1141" s="90">
        <v>1</v>
      </c>
      <c r="R1141" s="90"/>
      <c r="S1141" s="90"/>
      <c r="T1141" s="90"/>
      <c r="U1141" s="90"/>
      <c r="V1141" s="90"/>
      <c r="W1141" s="90"/>
      <c r="X1141" s="90"/>
      <c r="Y1141" s="90"/>
      <c r="Z1141" s="40" t="s">
        <v>5005</v>
      </c>
      <c r="AA1141" s="47">
        <f>IF(H2ProjectDB689571011[[#This Row],[Dummy_1]]="Electrolysis",
AB1141*VLOOKUP(G1141,ElectrolysisConvF,3,FALSE),
"")</f>
        <v>288.59473603201479</v>
      </c>
      <c r="AB1141" s="46">
        <f>AC1141/(H2dens*HoursInYear/10^6)</f>
        <v>64132.163562669957</v>
      </c>
      <c r="AC1141" s="92">
        <f>25/H2ProjectDB689571011[[#This Row],[LOWE_CF]]</f>
        <v>50</v>
      </c>
      <c r="AD1141" s="92"/>
      <c r="AE1141" s="92">
        <f t="shared" si="89"/>
        <v>64132.163562669957</v>
      </c>
      <c r="AF1141" s="93" t="s">
        <v>3893</v>
      </c>
      <c r="AG1141" s="43">
        <v>29.659369000000002</v>
      </c>
      <c r="AH1141" s="43">
        <v>32.344810000000003</v>
      </c>
      <c r="AI1141" s="122" t="s">
        <v>7286</v>
      </c>
      <c r="AJ1141" s="41">
        <v>0.5</v>
      </c>
    </row>
    <row r="1142" spans="1:36" ht="35.1" hidden="1" customHeight="1" x14ac:dyDescent="0.25">
      <c r="A1142" s="40">
        <v>1684</v>
      </c>
      <c r="B1142" s="90" t="s">
        <v>3891</v>
      </c>
      <c r="C1142" s="90" t="s">
        <v>1045</v>
      </c>
      <c r="D1142" s="90"/>
      <c r="E1142" s="90"/>
      <c r="F1142" s="90" t="s">
        <v>2222</v>
      </c>
      <c r="G1142" s="90" t="s">
        <v>1259</v>
      </c>
      <c r="H1142" s="40" t="s">
        <v>467</v>
      </c>
      <c r="I1142" s="90" t="s">
        <v>1269</v>
      </c>
      <c r="J1142" s="90" t="s">
        <v>1395</v>
      </c>
      <c r="K1142" s="90" t="s">
        <v>1243</v>
      </c>
      <c r="L1142" s="90"/>
      <c r="M1142" s="90">
        <v>1</v>
      </c>
      <c r="N1142" s="90"/>
      <c r="O1142" s="90"/>
      <c r="P1142" s="90"/>
      <c r="Q1142" s="90">
        <v>1</v>
      </c>
      <c r="R1142" s="90"/>
      <c r="S1142" s="90"/>
      <c r="T1142" s="90"/>
      <c r="U1142" s="90"/>
      <c r="V1142" s="90"/>
      <c r="W1142" s="90"/>
      <c r="X1142" s="90"/>
      <c r="Y1142" s="90"/>
      <c r="Z1142" s="40" t="s">
        <v>5006</v>
      </c>
      <c r="AA1142" s="47">
        <f>IF(H2ProjectDB689571011[[#This Row],[Dummy_1]]="Electrolysis",
AB1142*VLOOKUP(G1142,ElectrolysisConvF,3,FALSE),
"")</f>
        <v>432.89210404802213</v>
      </c>
      <c r="AB1142" s="46">
        <f>AC1142/(H2dens*HoursInYear/10^6)</f>
        <v>96198.245344004928</v>
      </c>
      <c r="AC1142" s="92">
        <f>(25/140*350 -25)/H2ProjectDB689571011[[#This Row],[LOWE_CF]]</f>
        <v>75</v>
      </c>
      <c r="AD1142" s="92"/>
      <c r="AE1142" s="92">
        <f t="shared" si="89"/>
        <v>96198.245344004928</v>
      </c>
      <c r="AF1142" s="93" t="s">
        <v>3893</v>
      </c>
      <c r="AG1142" s="43">
        <v>29.659369000000002</v>
      </c>
      <c r="AH1142" s="43">
        <v>32.344810000000003</v>
      </c>
      <c r="AI1142" s="122" t="s">
        <v>7286</v>
      </c>
      <c r="AJ1142" s="41">
        <v>0.5</v>
      </c>
    </row>
    <row r="1143" spans="1:36" ht="35.1" hidden="1" customHeight="1" x14ac:dyDescent="0.25">
      <c r="A1143" s="40">
        <v>1685</v>
      </c>
      <c r="B1143" s="40" t="s">
        <v>3894</v>
      </c>
      <c r="C1143" s="40" t="s">
        <v>554</v>
      </c>
      <c r="D1143" s="44">
        <v>2025</v>
      </c>
      <c r="E1143" s="44"/>
      <c r="F1143" s="90" t="s">
        <v>1331</v>
      </c>
      <c r="G1143" s="90" t="s">
        <v>1259</v>
      </c>
      <c r="H1143" s="90" t="s">
        <v>467</v>
      </c>
      <c r="I1143" s="90" t="s">
        <v>1269</v>
      </c>
      <c r="J1143" s="90" t="s">
        <v>1391</v>
      </c>
      <c r="K1143" s="90" t="s">
        <v>578</v>
      </c>
      <c r="L1143" s="90">
        <v>1</v>
      </c>
      <c r="M1143" s="90"/>
      <c r="N1143" s="90"/>
      <c r="O1143" s="90"/>
      <c r="P1143" s="90"/>
      <c r="Q1143" s="90"/>
      <c r="R1143" s="90"/>
      <c r="S1143" s="90"/>
      <c r="T1143" s="90"/>
      <c r="U1143" s="90"/>
      <c r="V1143" s="90"/>
      <c r="W1143" s="90"/>
      <c r="X1143" s="90"/>
      <c r="Y1143" s="90"/>
      <c r="Z1143" s="40" t="s">
        <v>1333</v>
      </c>
      <c r="AA1143" s="91">
        <v>10</v>
      </c>
      <c r="AB1143" s="46">
        <f>IF(H2ProjectDB689571011[[#This Row],[Dummy_1]]="Electrolysis",
AA1143/VLOOKUP(G1143,ElectrolysisConvF,3,FALSE),
AC1143*10^6/(H2dens*HoursInYear))</f>
        <v>2222.2222222222222</v>
      </c>
      <c r="AC1143" s="47">
        <f>AB1143*H2dens*HoursInYear/10^6</f>
        <v>1.7325333333333333</v>
      </c>
      <c r="AD1143" s="92"/>
      <c r="AE1143" s="92">
        <f t="shared" si="89"/>
        <v>2222.2222222222222</v>
      </c>
      <c r="AF1143" s="43" t="s">
        <v>3896</v>
      </c>
      <c r="AG1143" s="43">
        <v>38.041274999999999</v>
      </c>
      <c r="AH1143" s="43">
        <v>23.541812</v>
      </c>
      <c r="AI1143" s="122" t="s">
        <v>7286</v>
      </c>
      <c r="AJ1143" s="41">
        <v>0.3</v>
      </c>
    </row>
    <row r="1144" spans="1:36" ht="35.1" hidden="1" customHeight="1" x14ac:dyDescent="0.25">
      <c r="A1144" s="40">
        <v>1686</v>
      </c>
      <c r="B1144" s="40" t="s">
        <v>3894</v>
      </c>
      <c r="C1144" s="40" t="s">
        <v>554</v>
      </c>
      <c r="D1144" s="44">
        <v>2030</v>
      </c>
      <c r="E1144" s="44"/>
      <c r="F1144" s="90" t="s">
        <v>2222</v>
      </c>
      <c r="G1144" s="90" t="s">
        <v>1261</v>
      </c>
      <c r="H1144" s="90" t="s">
        <v>1665</v>
      </c>
      <c r="I1144" s="90"/>
      <c r="J1144" s="90"/>
      <c r="K1144" s="90" t="s">
        <v>578</v>
      </c>
      <c r="L1144" s="90">
        <v>1</v>
      </c>
      <c r="M1144" s="90"/>
      <c r="N1144" s="90"/>
      <c r="O1144" s="90"/>
      <c r="P1144" s="90"/>
      <c r="Q1144" s="90"/>
      <c r="R1144" s="90"/>
      <c r="S1144" s="90"/>
      <c r="T1144" s="90"/>
      <c r="U1144" s="90"/>
      <c r="V1144" s="90"/>
      <c r="W1144" s="90"/>
      <c r="X1144" s="90"/>
      <c r="Y1144" s="90"/>
      <c r="Z1144" s="40" t="s">
        <v>4959</v>
      </c>
      <c r="AA1144" s="91" t="str">
        <f>IF(OR(G1144="ALK",G1144="PEM",G1144="SOEC",G1144="Other Electrolysis"),
AB1144*VLOOKUP(G1144,ElectrolysisConvF,3,FALSE),
"")</f>
        <v/>
      </c>
      <c r="AB1144" s="92"/>
      <c r="AC1144" s="92"/>
      <c r="AD1144" s="92">
        <v>600000</v>
      </c>
      <c r="AE1144" s="92">
        <f t="shared" si="89"/>
        <v>75225.865661649106</v>
      </c>
      <c r="AF1144" s="43" t="s">
        <v>3896</v>
      </c>
      <c r="AG1144" s="43">
        <v>38.041274999999999</v>
      </c>
      <c r="AH1144" s="43">
        <v>23.541812</v>
      </c>
      <c r="AI1144" s="122" t="s">
        <v>7287</v>
      </c>
      <c r="AJ1144" s="41">
        <v>0.9</v>
      </c>
    </row>
    <row r="1145" spans="1:36" ht="35.1" hidden="1" customHeight="1" x14ac:dyDescent="0.25">
      <c r="A1145" s="40">
        <v>1687</v>
      </c>
      <c r="B1145" s="40" t="s">
        <v>7661</v>
      </c>
      <c r="C1145" s="40" t="s">
        <v>554</v>
      </c>
      <c r="D1145" s="44">
        <v>2028</v>
      </c>
      <c r="E1145" s="44"/>
      <c r="F1145" s="90" t="s">
        <v>2222</v>
      </c>
      <c r="G1145" s="90" t="s">
        <v>1259</v>
      </c>
      <c r="H1145" s="40" t="s">
        <v>467</v>
      </c>
      <c r="I1145" s="90" t="s">
        <v>1269</v>
      </c>
      <c r="J1145" s="90" t="s">
        <v>581</v>
      </c>
      <c r="K1145" s="90" t="s">
        <v>578</v>
      </c>
      <c r="L1145" s="90"/>
      <c r="M1145" s="90"/>
      <c r="N1145" s="90"/>
      <c r="O1145" s="90"/>
      <c r="P1145" s="90">
        <v>1</v>
      </c>
      <c r="Q1145" s="90">
        <v>1</v>
      </c>
      <c r="R1145" s="90"/>
      <c r="S1145" s="90">
        <v>1</v>
      </c>
      <c r="T1145" s="90"/>
      <c r="U1145" s="90"/>
      <c r="V1145" s="90"/>
      <c r="W1145" s="90"/>
      <c r="X1145" s="90"/>
      <c r="Y1145" s="90"/>
      <c r="Z1145" s="40" t="s">
        <v>3819</v>
      </c>
      <c r="AA1145" s="91">
        <v>30</v>
      </c>
      <c r="AB1145" s="46">
        <f>IF(H2ProjectDB689571011[[#This Row],[Dummy_1]]="Electrolysis",
AA1145/VLOOKUP(G1145,ElectrolysisConvF,3,FALSE),
AC1145*10^6/(H2dens*HoursInYear))</f>
        <v>6666.666666666667</v>
      </c>
      <c r="AC1145" s="47">
        <f>AB1145*H2dens*HoursInYear/10^6</f>
        <v>5.1976000000000004</v>
      </c>
      <c r="AD1145" s="92"/>
      <c r="AE1145" s="92">
        <f t="shared" si="89"/>
        <v>6666.666666666667</v>
      </c>
      <c r="AF1145" s="43" t="s">
        <v>7467</v>
      </c>
      <c r="AG1145" s="43">
        <v>37.938637</v>
      </c>
      <c r="AH1145" s="43">
        <v>22.932238000000002</v>
      </c>
      <c r="AI1145" s="122" t="s">
        <v>7286</v>
      </c>
      <c r="AJ1145" s="41">
        <v>0.5</v>
      </c>
    </row>
    <row r="1146" spans="1:36" ht="35.1" hidden="1" customHeight="1" x14ac:dyDescent="0.25">
      <c r="A1146" s="40">
        <v>1688</v>
      </c>
      <c r="B1146" s="40" t="s">
        <v>3899</v>
      </c>
      <c r="C1146" s="40" t="s">
        <v>1385</v>
      </c>
      <c r="D1146" s="44">
        <v>2026</v>
      </c>
      <c r="E1146" s="44"/>
      <c r="F1146" s="90" t="s">
        <v>5701</v>
      </c>
      <c r="G1146" s="90" t="s">
        <v>1259</v>
      </c>
      <c r="H1146" s="90" t="s">
        <v>467</v>
      </c>
      <c r="I1146" s="90" t="s">
        <v>1269</v>
      </c>
      <c r="J1146" s="90" t="s">
        <v>581</v>
      </c>
      <c r="K1146" s="90" t="s">
        <v>578</v>
      </c>
      <c r="L1146" s="90"/>
      <c r="M1146" s="90"/>
      <c r="N1146" s="90"/>
      <c r="O1146" s="90"/>
      <c r="P1146" s="90"/>
      <c r="Q1146" s="90">
        <v>1</v>
      </c>
      <c r="R1146" s="90"/>
      <c r="S1146" s="90"/>
      <c r="T1146" s="90"/>
      <c r="U1146" s="90"/>
      <c r="V1146" s="90"/>
      <c r="W1146" s="90"/>
      <c r="X1146" s="90"/>
      <c r="Y1146" s="90"/>
      <c r="Z1146" s="40" t="s">
        <v>3900</v>
      </c>
      <c r="AA1146" s="91">
        <v>34</v>
      </c>
      <c r="AB1146" s="46">
        <f>IF(H2ProjectDB689571011[[#This Row],[Dummy_1]]="Electrolysis",
AA1146/VLOOKUP(G1146,ElectrolysisConvF,3,FALSE),
AC1146*10^6/(H2dens*HoursInYear))</f>
        <v>7555.5555555555566</v>
      </c>
      <c r="AC1146" s="47">
        <f>AB1146*H2dens*HoursInYear/10^6</f>
        <v>5.8906133333333326</v>
      </c>
      <c r="AD1146" s="92"/>
      <c r="AE1146" s="92">
        <f t="shared" si="89"/>
        <v>7555.5555555555566</v>
      </c>
      <c r="AF1146" s="43" t="s">
        <v>7469</v>
      </c>
      <c r="AG1146" s="43">
        <v>46.266946728017103</v>
      </c>
      <c r="AH1146" s="43">
        <v>15.4958561473294</v>
      </c>
      <c r="AI1146" s="122" t="s">
        <v>7286</v>
      </c>
      <c r="AJ1146" s="41">
        <v>0.5</v>
      </c>
    </row>
    <row r="1147" spans="1:36" ht="35.1" hidden="1" customHeight="1" x14ac:dyDescent="0.25">
      <c r="A1147" s="40">
        <v>1689</v>
      </c>
      <c r="B1147" s="40" t="s">
        <v>3904</v>
      </c>
      <c r="C1147" s="40" t="s">
        <v>556</v>
      </c>
      <c r="D1147" s="44"/>
      <c r="E1147" s="44"/>
      <c r="F1147" s="90" t="s">
        <v>2222</v>
      </c>
      <c r="G1147" s="90" t="s">
        <v>1259</v>
      </c>
      <c r="H1147" s="40" t="s">
        <v>467</v>
      </c>
      <c r="I1147" s="90" t="s">
        <v>1269</v>
      </c>
      <c r="J1147" s="90" t="s">
        <v>581</v>
      </c>
      <c r="K1147" s="90" t="s">
        <v>578</v>
      </c>
      <c r="L1147" s="90"/>
      <c r="M1147" s="90"/>
      <c r="N1147" s="90"/>
      <c r="O1147" s="90"/>
      <c r="P1147" s="90"/>
      <c r="Q1147" s="90">
        <v>1</v>
      </c>
      <c r="R1147" s="90"/>
      <c r="S1147" s="90"/>
      <c r="T1147" s="90"/>
      <c r="U1147" s="90"/>
      <c r="V1147" s="90"/>
      <c r="W1147" s="90"/>
      <c r="X1147" s="90"/>
      <c r="Y1147" s="90"/>
      <c r="Z1147" s="40" t="s">
        <v>1436</v>
      </c>
      <c r="AA1147" s="91">
        <v>5</v>
      </c>
      <c r="AB1147" s="46">
        <f>IF(H2ProjectDB689571011[[#This Row],[Dummy_1]]="Electrolysis",
AA1147/VLOOKUP(G1147,ElectrolysisConvF,3,FALSE),
AC1147*10^6/(H2dens*HoursInYear))</f>
        <v>1111.1111111111111</v>
      </c>
      <c r="AC1147" s="47">
        <f>AB1147*H2dens*HoursInYear/10^6</f>
        <v>0.86626666666666663</v>
      </c>
      <c r="AD1147" s="92"/>
      <c r="AE1147" s="92">
        <f t="shared" si="89"/>
        <v>1111.1111111111111</v>
      </c>
      <c r="AF1147" s="43" t="s">
        <v>3902</v>
      </c>
      <c r="AG1147" s="43">
        <v>59.436962000000001</v>
      </c>
      <c r="AH1147" s="43">
        <v>24.753574</v>
      </c>
      <c r="AI1147" s="122" t="s">
        <v>7286</v>
      </c>
      <c r="AJ1147" s="41">
        <v>0.5</v>
      </c>
    </row>
    <row r="1148" spans="1:36" ht="35.1" hidden="1" customHeight="1" x14ac:dyDescent="0.25">
      <c r="A1148" s="40">
        <v>1690</v>
      </c>
      <c r="B1148" s="40" t="s">
        <v>3903</v>
      </c>
      <c r="C1148" s="40" t="s">
        <v>556</v>
      </c>
      <c r="D1148" s="44">
        <v>2025</v>
      </c>
      <c r="E1148" s="44"/>
      <c r="F1148" s="90" t="s">
        <v>2222</v>
      </c>
      <c r="G1148" s="90" t="s">
        <v>1259</v>
      </c>
      <c r="H1148" s="40" t="s">
        <v>467</v>
      </c>
      <c r="I1148" s="90" t="s">
        <v>1269</v>
      </c>
      <c r="J1148" s="90" t="s">
        <v>581</v>
      </c>
      <c r="K1148" s="90" t="s">
        <v>578</v>
      </c>
      <c r="L1148" s="90"/>
      <c r="M1148" s="90"/>
      <c r="N1148" s="90"/>
      <c r="O1148" s="90"/>
      <c r="P1148" s="90"/>
      <c r="Q1148" s="90">
        <v>1</v>
      </c>
      <c r="R1148" s="90"/>
      <c r="S1148" s="90"/>
      <c r="T1148" s="90"/>
      <c r="U1148" s="90"/>
      <c r="V1148" s="90"/>
      <c r="W1148" s="90"/>
      <c r="X1148" s="90"/>
      <c r="Y1148" s="90"/>
      <c r="Z1148" s="90"/>
      <c r="AA1148" s="91"/>
      <c r="AB1148" s="92"/>
      <c r="AC1148" s="92"/>
      <c r="AD1148" s="92"/>
      <c r="AE1148" s="92">
        <f t="shared" si="89"/>
        <v>0</v>
      </c>
      <c r="AF1148" s="43" t="s">
        <v>3902</v>
      </c>
      <c r="AG1148" s="43">
        <v>59.436962000000001</v>
      </c>
      <c r="AH1148" s="43">
        <v>24.753574</v>
      </c>
      <c r="AI1148" s="122" t="s">
        <v>7286</v>
      </c>
      <c r="AJ1148" s="41">
        <v>0.5</v>
      </c>
    </row>
    <row r="1149" spans="1:36" ht="35.1" hidden="1" customHeight="1" x14ac:dyDescent="0.25">
      <c r="A1149" s="40">
        <v>1692</v>
      </c>
      <c r="B1149" s="40" t="s">
        <v>3906</v>
      </c>
      <c r="C1149" s="40" t="s">
        <v>1758</v>
      </c>
      <c r="D1149" s="44">
        <v>2026</v>
      </c>
      <c r="E1149" s="44"/>
      <c r="F1149" s="90"/>
      <c r="G1149" s="90" t="s">
        <v>1264</v>
      </c>
      <c r="H1149" s="90" t="s">
        <v>3461</v>
      </c>
      <c r="I1149" s="90"/>
      <c r="J1149" s="90"/>
      <c r="K1149" s="90" t="s">
        <v>578</v>
      </c>
      <c r="L1149" s="90"/>
      <c r="M1149" s="90"/>
      <c r="N1149" s="90"/>
      <c r="O1149" s="90"/>
      <c r="P1149" s="90"/>
      <c r="Q1149" s="90"/>
      <c r="R1149" s="90"/>
      <c r="S1149" s="90"/>
      <c r="T1149" s="90"/>
      <c r="U1149" s="90"/>
      <c r="V1149" s="90"/>
      <c r="W1149" s="90"/>
      <c r="X1149" s="90"/>
      <c r="Y1149" s="90"/>
      <c r="Z1149" s="40" t="s">
        <v>3653</v>
      </c>
      <c r="AA1149" s="91"/>
      <c r="AB1149" s="46">
        <f>AC1149/(H2dens*HoursInYear/10^6)</f>
        <v>12826.432712533991</v>
      </c>
      <c r="AC1149" s="92">
        <v>10</v>
      </c>
      <c r="AD1149" s="92"/>
      <c r="AE1149" s="92">
        <f t="shared" si="89"/>
        <v>12826.432712533991</v>
      </c>
      <c r="AF1149" s="43" t="s">
        <v>3908</v>
      </c>
      <c r="AG1149" s="43">
        <v>49.783937454719897</v>
      </c>
      <c r="AH1149" s="43">
        <v>6.0234318934123401</v>
      </c>
      <c r="AI1149" s="122" t="s">
        <v>1255</v>
      </c>
      <c r="AJ1149" s="41">
        <v>0.9</v>
      </c>
    </row>
    <row r="1150" spans="1:36" ht="35.1" hidden="1" customHeight="1" x14ac:dyDescent="0.25">
      <c r="A1150" s="40">
        <v>1693</v>
      </c>
      <c r="B1150" s="40" t="s">
        <v>3909</v>
      </c>
      <c r="C1150" s="40" t="s">
        <v>548</v>
      </c>
      <c r="D1150" s="44">
        <v>2025</v>
      </c>
      <c r="E1150" s="44"/>
      <c r="F1150" s="90" t="s">
        <v>1331</v>
      </c>
      <c r="G1150" s="90" t="s">
        <v>1259</v>
      </c>
      <c r="H1150" s="40" t="s">
        <v>467</v>
      </c>
      <c r="I1150" s="90" t="s">
        <v>1269</v>
      </c>
      <c r="J1150" s="90" t="s">
        <v>581</v>
      </c>
      <c r="K1150" s="90" t="s">
        <v>578</v>
      </c>
      <c r="L1150" s="90"/>
      <c r="M1150" s="90"/>
      <c r="N1150" s="90"/>
      <c r="O1150" s="90">
        <v>1</v>
      </c>
      <c r="P1150" s="90"/>
      <c r="Q1150" s="90"/>
      <c r="R1150" s="90"/>
      <c r="S1150" s="90"/>
      <c r="T1150" s="90"/>
      <c r="U1150" s="90"/>
      <c r="V1150" s="90"/>
      <c r="W1150" s="90"/>
      <c r="X1150" s="90"/>
      <c r="Y1150" s="90"/>
      <c r="Z1150" s="40" t="s">
        <v>3910</v>
      </c>
      <c r="AA1150" s="47">
        <f>IF(H2ProjectDB689571011[[#This Row],[Dummy_1]]="Electrolysis",
AB1150*VLOOKUP(G1150,ElectrolysisConvF,3,FALSE),
"")</f>
        <v>519.47052485762663</v>
      </c>
      <c r="AB1150" s="46">
        <f>AC1150/(H2dens*HoursInYear/10^6)</f>
        <v>115437.89441280592</v>
      </c>
      <c r="AC1150" s="92">
        <f>90</f>
        <v>90</v>
      </c>
      <c r="AD1150" s="92"/>
      <c r="AE1150" s="92">
        <f t="shared" si="89"/>
        <v>115437.89441280592</v>
      </c>
      <c r="AF1150" s="43" t="s">
        <v>3911</v>
      </c>
      <c r="AG1150" s="43">
        <v>51.0578126329887</v>
      </c>
      <c r="AH1150" s="43">
        <v>3.73927501773233</v>
      </c>
      <c r="AI1150" s="122" t="s">
        <v>7286</v>
      </c>
      <c r="AJ1150" s="41">
        <v>0.5</v>
      </c>
    </row>
    <row r="1151" spans="1:36" ht="35.1" hidden="1" customHeight="1" x14ac:dyDescent="0.25">
      <c r="A1151" s="40">
        <v>1694</v>
      </c>
      <c r="B1151" s="40" t="s">
        <v>3913</v>
      </c>
      <c r="C1151" s="40" t="s">
        <v>1769</v>
      </c>
      <c r="D1151" s="44"/>
      <c r="E1151" s="44"/>
      <c r="F1151" s="90"/>
      <c r="G1151" s="90" t="s">
        <v>1264</v>
      </c>
      <c r="H1151" s="90" t="s">
        <v>3461</v>
      </c>
      <c r="I1151" s="90"/>
      <c r="J1151" s="90"/>
      <c r="K1151" s="90" t="s">
        <v>578</v>
      </c>
      <c r="L1151" s="90"/>
      <c r="M1151" s="90"/>
      <c r="N1151" s="90"/>
      <c r="O1151" s="90"/>
      <c r="P1151" s="90"/>
      <c r="Q1151" s="90"/>
      <c r="R1151" s="90"/>
      <c r="S1151" s="90"/>
      <c r="T1151" s="90"/>
      <c r="U1151" s="90"/>
      <c r="V1151" s="90"/>
      <c r="W1151" s="90"/>
      <c r="X1151" s="90"/>
      <c r="Y1151" s="90"/>
      <c r="Z1151" s="40" t="s">
        <v>3914</v>
      </c>
      <c r="AA1151" s="91"/>
      <c r="AB1151" s="46">
        <f>AC1151/(H2dens*HoursInYear/10^6)</f>
        <v>820.89169360217545</v>
      </c>
      <c r="AC1151" s="98">
        <v>0.64</v>
      </c>
      <c r="AD1151" s="92"/>
      <c r="AE1151" s="92">
        <f t="shared" si="89"/>
        <v>820.89169360217545</v>
      </c>
      <c r="AF1151" s="93" t="s">
        <v>3727</v>
      </c>
      <c r="AG1151" s="43">
        <v>56.923153766975098</v>
      </c>
      <c r="AH1151" s="43">
        <v>25.213888321229302</v>
      </c>
      <c r="AI1151" s="122" t="s">
        <v>1255</v>
      </c>
      <c r="AJ1151" s="41">
        <v>0.9</v>
      </c>
    </row>
    <row r="1152" spans="1:36" ht="35.1" hidden="1" customHeight="1" x14ac:dyDescent="0.25">
      <c r="A1152" s="40">
        <v>1695</v>
      </c>
      <c r="B1152" s="90" t="s">
        <v>3915</v>
      </c>
      <c r="C1152" s="90" t="s">
        <v>1769</v>
      </c>
      <c r="D1152" s="44">
        <v>2025</v>
      </c>
      <c r="E1152" s="44"/>
      <c r="F1152" s="90" t="s">
        <v>2222</v>
      </c>
      <c r="G1152" s="90" t="s">
        <v>1259</v>
      </c>
      <c r="H1152" s="40" t="s">
        <v>467</v>
      </c>
      <c r="I1152" s="90" t="s">
        <v>1257</v>
      </c>
      <c r="J1152" s="90"/>
      <c r="K1152" s="90" t="s">
        <v>578</v>
      </c>
      <c r="L1152" s="90"/>
      <c r="M1152" s="90"/>
      <c r="N1152" s="90"/>
      <c r="O1152" s="90"/>
      <c r="P1152" s="90">
        <v>1</v>
      </c>
      <c r="Q1152" s="90"/>
      <c r="R1152" s="90"/>
      <c r="S1152" s="90"/>
      <c r="T1152" s="90"/>
      <c r="U1152" s="90"/>
      <c r="V1152" s="90"/>
      <c r="W1152" s="90"/>
      <c r="X1152" s="90"/>
      <c r="Y1152" s="90"/>
      <c r="Z1152" s="40" t="s">
        <v>3819</v>
      </c>
      <c r="AA1152" s="91">
        <v>30</v>
      </c>
      <c r="AB1152" s="46">
        <f>IF(H2ProjectDB689571011[[#This Row],[Dummy_1]]="Electrolysis",
AA1152/VLOOKUP(G1152,ElectrolysisConvF,3,FALSE),
AC1152*10^6/(H2dens*HoursInYear))</f>
        <v>6666.666666666667</v>
      </c>
      <c r="AC1152" s="47">
        <f>AB1152*H2dens*HoursInYear/10^6</f>
        <v>5.1976000000000004</v>
      </c>
      <c r="AD1152" s="92"/>
      <c r="AE1152" s="92">
        <f t="shared" si="89"/>
        <v>6666.666666666667</v>
      </c>
      <c r="AF1152" s="93"/>
      <c r="AG1152" s="43">
        <v>57.367748109611703</v>
      </c>
      <c r="AH1152" s="43">
        <v>24.8184049055508</v>
      </c>
      <c r="AI1152" s="122" t="s">
        <v>7286</v>
      </c>
      <c r="AJ1152" s="41">
        <v>0.56999999999999995</v>
      </c>
    </row>
    <row r="1153" spans="1:36" ht="35.1" hidden="1" customHeight="1" x14ac:dyDescent="0.25">
      <c r="A1153" s="40">
        <v>1696</v>
      </c>
      <c r="B1153" s="40" t="s">
        <v>8571</v>
      </c>
      <c r="C1153" s="40" t="s">
        <v>1761</v>
      </c>
      <c r="D1153" s="44">
        <v>2025</v>
      </c>
      <c r="E1153" s="44"/>
      <c r="F1153" s="40" t="s">
        <v>1331</v>
      </c>
      <c r="G1153" s="40" t="s">
        <v>1259</v>
      </c>
      <c r="H1153" s="40" t="s">
        <v>467</v>
      </c>
      <c r="I1153" s="40" t="s">
        <v>1269</v>
      </c>
      <c r="J1153" s="40" t="s">
        <v>1391</v>
      </c>
      <c r="K1153" s="40" t="s">
        <v>578</v>
      </c>
      <c r="P1153" s="40">
        <v>1</v>
      </c>
      <c r="S1153" s="40">
        <v>1</v>
      </c>
      <c r="Z1153" s="40" t="s">
        <v>3853</v>
      </c>
      <c r="AA1153" s="91">
        <v>50</v>
      </c>
      <c r="AB1153" s="46">
        <f>IF(H2ProjectDB689571011[[#This Row],[Dummy_1]]="Electrolysis",
AA1153/VLOOKUP(G1153,ElectrolysisConvF,3,FALSE),
AC1153*10^6/(H2dens*HoursInYear))</f>
        <v>11111.111111111111</v>
      </c>
      <c r="AC1153" s="47">
        <f>AB1153*H2dens*HoursInYear/10^6</f>
        <v>8.6626666666666665</v>
      </c>
      <c r="AE1153" s="46">
        <f t="shared" si="89"/>
        <v>11111.111111111111</v>
      </c>
      <c r="AF1153" s="43" t="s">
        <v>3917</v>
      </c>
      <c r="AG1153" s="43">
        <v>38.708759000000001</v>
      </c>
      <c r="AH1153" s="43">
        <v>-7.4007820000000004</v>
      </c>
      <c r="AI1153" s="122" t="s">
        <v>7286</v>
      </c>
      <c r="AJ1153" s="41">
        <v>0.3</v>
      </c>
    </row>
    <row r="1154" spans="1:36" ht="35.1" hidden="1" customHeight="1" x14ac:dyDescent="0.25">
      <c r="A1154" s="40">
        <v>1697</v>
      </c>
      <c r="B1154" s="40" t="s">
        <v>6188</v>
      </c>
      <c r="C1154" s="40" t="s">
        <v>1761</v>
      </c>
      <c r="D1154" s="44">
        <v>2030</v>
      </c>
      <c r="E1154" s="44"/>
      <c r="F1154" s="90" t="s">
        <v>1331</v>
      </c>
      <c r="G1154" s="90" t="s">
        <v>455</v>
      </c>
      <c r="H1154" s="90"/>
      <c r="I1154" s="90" t="s">
        <v>1269</v>
      </c>
      <c r="J1154" s="90" t="s">
        <v>1391</v>
      </c>
      <c r="K1154" s="90" t="s">
        <v>578</v>
      </c>
      <c r="L1154" s="90"/>
      <c r="M1154" s="90"/>
      <c r="N1154" s="90"/>
      <c r="O1154" s="90"/>
      <c r="P1154" s="90">
        <v>1</v>
      </c>
      <c r="Q1154" s="90"/>
      <c r="R1154" s="90"/>
      <c r="S1154" s="90">
        <v>1</v>
      </c>
      <c r="T1154" s="90"/>
      <c r="U1154" s="90"/>
      <c r="V1154" s="90"/>
      <c r="W1154" s="90"/>
      <c r="X1154" s="90"/>
      <c r="Y1154" s="90"/>
      <c r="Z1154" s="40" t="s">
        <v>3921</v>
      </c>
      <c r="AA1154" s="91">
        <v>7.5</v>
      </c>
      <c r="AB1154" s="46">
        <f>IF(H2ProjectDB689571011[[#This Row],[Dummy_1]]="Electrolysis",
AA1154/VLOOKUP(G1154,ElectrolysisConvF,3,FALSE),
AC1154*10^6/(H2dens*HoursInYear))</f>
        <v>1442.3076923076924</v>
      </c>
      <c r="AC1154" s="47">
        <f>AB1154*H2dens*HoursInYear/10^6</f>
        <v>1.1244807692307692</v>
      </c>
      <c r="AD1154" s="92"/>
      <c r="AE1154" s="92">
        <f t="shared" si="89"/>
        <v>1442.3076923076924</v>
      </c>
      <c r="AF1154" s="43" t="s">
        <v>3918</v>
      </c>
      <c r="AG1154" s="43">
        <v>38.5244</v>
      </c>
      <c r="AH1154" s="43">
        <v>-8.8881999999999994</v>
      </c>
      <c r="AI1154" s="122" t="s">
        <v>7286</v>
      </c>
      <c r="AJ1154" s="41">
        <v>0.3</v>
      </c>
    </row>
    <row r="1155" spans="1:36" ht="35.1" hidden="1" customHeight="1" x14ac:dyDescent="0.25">
      <c r="A1155" s="40">
        <v>1711</v>
      </c>
      <c r="B1155" s="90" t="s">
        <v>3924</v>
      </c>
      <c r="C1155" s="90" t="s">
        <v>535</v>
      </c>
      <c r="D1155" s="44">
        <v>2028</v>
      </c>
      <c r="E1155" s="44"/>
      <c r="F1155" s="90" t="s">
        <v>2222</v>
      </c>
      <c r="G1155" s="90" t="s">
        <v>1259</v>
      </c>
      <c r="H1155" s="90" t="s">
        <v>467</v>
      </c>
      <c r="I1155" s="90" t="s">
        <v>1269</v>
      </c>
      <c r="J1155" s="90" t="s">
        <v>1395</v>
      </c>
      <c r="K1155" s="90" t="s">
        <v>578</v>
      </c>
      <c r="L1155" s="90"/>
      <c r="M1155" s="90"/>
      <c r="N1155" s="90"/>
      <c r="O1155" s="90"/>
      <c r="P1155" s="90">
        <v>1</v>
      </c>
      <c r="Q1155" s="90">
        <v>1</v>
      </c>
      <c r="R1155" s="90">
        <v>1</v>
      </c>
      <c r="S1155" s="90"/>
      <c r="T1155" s="90"/>
      <c r="U1155" s="90"/>
      <c r="V1155" s="90"/>
      <c r="W1155" s="90"/>
      <c r="X1155" s="90"/>
      <c r="Y1155" s="90"/>
      <c r="Z1155" s="90" t="s">
        <v>3925</v>
      </c>
      <c r="AA1155" s="91">
        <v>300</v>
      </c>
      <c r="AB1155" s="46">
        <f>IF(H2ProjectDB689571011[[#This Row],[Dummy_1]]="Electrolysis",
AA1155/VLOOKUP(G1155,ElectrolysisConvF,3,FALSE),
AC1155*10^6/(H2dens*HoursInYear))</f>
        <v>66666.666666666672</v>
      </c>
      <c r="AC1155" s="47">
        <f>AB1155*H2dens*HoursInYear/10^6</f>
        <v>51.975999999999999</v>
      </c>
      <c r="AD1155" s="92"/>
      <c r="AE1155" s="92">
        <f t="shared" si="89"/>
        <v>66666.666666666672</v>
      </c>
      <c r="AF1155" s="93" t="s">
        <v>3927</v>
      </c>
      <c r="AG1155" s="43">
        <v>-23.841535520383299</v>
      </c>
      <c r="AH1155" s="43">
        <v>151.250589188345</v>
      </c>
      <c r="AI1155" s="122" t="s">
        <v>7286</v>
      </c>
      <c r="AJ1155" s="41">
        <v>0.5</v>
      </c>
    </row>
    <row r="1156" spans="1:36" ht="35.1" hidden="1" customHeight="1" x14ac:dyDescent="0.25">
      <c r="A1156" s="40">
        <v>1712</v>
      </c>
      <c r="B1156" s="40" t="s">
        <v>6449</v>
      </c>
      <c r="C1156" s="90" t="s">
        <v>536</v>
      </c>
      <c r="D1156" s="44">
        <v>2025</v>
      </c>
      <c r="E1156" s="44"/>
      <c r="F1156" s="90" t="s">
        <v>5701</v>
      </c>
      <c r="G1156" s="90" t="s">
        <v>457</v>
      </c>
      <c r="H1156" s="90"/>
      <c r="I1156" s="90" t="s">
        <v>1257</v>
      </c>
      <c r="J1156" s="90"/>
      <c r="K1156" s="90" t="s">
        <v>578</v>
      </c>
      <c r="L1156" s="90"/>
      <c r="M1156" s="90"/>
      <c r="N1156" s="90"/>
      <c r="O1156" s="90"/>
      <c r="P1156" s="90"/>
      <c r="Q1156" s="90"/>
      <c r="R1156" s="90">
        <v>1</v>
      </c>
      <c r="S1156" s="90"/>
      <c r="T1156" s="90"/>
      <c r="U1156" s="90"/>
      <c r="V1156" s="90"/>
      <c r="W1156" s="90"/>
      <c r="X1156" s="90"/>
      <c r="Y1156" s="90"/>
      <c r="Z1156" s="90" t="s">
        <v>3928</v>
      </c>
      <c r="AA1156" s="91">
        <v>220</v>
      </c>
      <c r="AB1156" s="46">
        <f>IF(H2ProjectDB689571011[[#This Row],[Dummy_1]]="Electrolysis",
AA1156/VLOOKUP(G1156,ElectrolysisConvF,3,FALSE),
AC1156*10^6/(H2dens*HoursInYear))</f>
        <v>47826.086956521744</v>
      </c>
      <c r="AC1156" s="47">
        <f>AB1156*H2dens*HoursInYear/10^6</f>
        <v>37.287130434782611</v>
      </c>
      <c r="AD1156" s="92"/>
      <c r="AE1156" s="92">
        <f t="shared" si="89"/>
        <v>47826.086956521744</v>
      </c>
      <c r="AF1156" s="43" t="s">
        <v>8781</v>
      </c>
      <c r="AG1156" s="43">
        <v>39.352178000000002</v>
      </c>
      <c r="AH1156" s="43">
        <v>-112.57717</v>
      </c>
      <c r="AI1156" s="122" t="s">
        <v>7286</v>
      </c>
      <c r="AJ1156" s="41">
        <v>0.56999999999999995</v>
      </c>
    </row>
    <row r="1157" spans="1:36" ht="35.1" hidden="1" customHeight="1" x14ac:dyDescent="0.25">
      <c r="A1157" s="40">
        <v>1713</v>
      </c>
      <c r="B1157" s="40" t="s">
        <v>4591</v>
      </c>
      <c r="C1157" s="90" t="s">
        <v>536</v>
      </c>
      <c r="D1157" s="44">
        <v>2024</v>
      </c>
      <c r="E1157" s="44"/>
      <c r="F1157" s="90" t="s">
        <v>5701</v>
      </c>
      <c r="G1157" s="90" t="s">
        <v>455</v>
      </c>
      <c r="H1157" s="90"/>
      <c r="I1157" s="90" t="s">
        <v>1257</v>
      </c>
      <c r="J1157" s="90"/>
      <c r="K1157" s="90" t="s">
        <v>578</v>
      </c>
      <c r="L1157" s="90"/>
      <c r="M1157" s="90"/>
      <c r="N1157" s="90"/>
      <c r="O1157" s="90"/>
      <c r="P1157" s="90"/>
      <c r="Q1157" s="90"/>
      <c r="R1157" s="90"/>
      <c r="S1157" s="90"/>
      <c r="T1157" s="90"/>
      <c r="U1157" s="90"/>
      <c r="V1157" s="90"/>
      <c r="W1157" s="90"/>
      <c r="X1157" s="90"/>
      <c r="Y1157" s="90"/>
      <c r="Z1157" s="40" t="s">
        <v>5030</v>
      </c>
      <c r="AA1157" s="47">
        <f>IF(H2ProjectDB689571011[[#This Row],[Dummy_1]]="Electrolysis",
AB1157*VLOOKUP(G1157,ElectrolysisConvF,3,FALSE),
"")</f>
        <v>36.516853932584269</v>
      </c>
      <c r="AB1157" s="46">
        <f>AC1157/(H2dens*HoursInYear/10^6)</f>
        <v>7022.4719101123592</v>
      </c>
      <c r="AC1157" s="92">
        <f>15*365/1000</f>
        <v>5.4749999999999996</v>
      </c>
      <c r="AD1157" s="92"/>
      <c r="AE1157" s="92">
        <f t="shared" si="89"/>
        <v>7022.4719101123592</v>
      </c>
      <c r="AF1157" s="43" t="s">
        <v>6795</v>
      </c>
      <c r="AG1157" s="43">
        <v>30.257694999999998</v>
      </c>
      <c r="AH1157" s="43">
        <v>-91.099271000000002</v>
      </c>
      <c r="AI1157" s="122" t="s">
        <v>7286</v>
      </c>
      <c r="AJ1157" s="41">
        <v>0.56999999999999995</v>
      </c>
    </row>
    <row r="1158" spans="1:36" ht="35.1" hidden="1" customHeight="1" x14ac:dyDescent="0.25">
      <c r="A1158" s="40">
        <v>1714</v>
      </c>
      <c r="B1158" s="40" t="s">
        <v>3931</v>
      </c>
      <c r="C1158" s="90" t="s">
        <v>1754</v>
      </c>
      <c r="D1158" s="44">
        <v>2024</v>
      </c>
      <c r="E1158" s="44"/>
      <c r="F1158" s="90" t="s">
        <v>1339</v>
      </c>
      <c r="G1158" s="90" t="s">
        <v>455</v>
      </c>
      <c r="H1158" s="90"/>
      <c r="I1158" s="90" t="s">
        <v>1257</v>
      </c>
      <c r="J1158" s="90"/>
      <c r="K1158" s="90" t="s">
        <v>578</v>
      </c>
      <c r="L1158" s="90">
        <v>1</v>
      </c>
      <c r="M1158" s="90"/>
      <c r="N1158" s="90"/>
      <c r="O1158" s="90"/>
      <c r="P1158" s="90"/>
      <c r="Q1158" s="90"/>
      <c r="R1158" s="90"/>
      <c r="S1158" s="90"/>
      <c r="T1158" s="90"/>
      <c r="U1158" s="90"/>
      <c r="V1158" s="90"/>
      <c r="W1158" s="90"/>
      <c r="X1158" s="90"/>
      <c r="Y1158" s="90"/>
      <c r="Z1158" s="90" t="s">
        <v>1348</v>
      </c>
      <c r="AA1158" s="91">
        <v>10</v>
      </c>
      <c r="AB1158" s="46">
        <f>IF(H2ProjectDB689571011[[#This Row],[Dummy_1]]="Electrolysis",
AA1158/VLOOKUP(G1158,ElectrolysisConvF,3,FALSE),
AC1158*10^6/(H2dens*HoursInYear))</f>
        <v>1923.0769230769231</v>
      </c>
      <c r="AC1158" s="47">
        <f>AB1158*H2dens*HoursInYear/10^6</f>
        <v>1.4993076923076922</v>
      </c>
      <c r="AD1158" s="92"/>
      <c r="AE1158" s="92">
        <f t="shared" si="89"/>
        <v>1923.0769230769231</v>
      </c>
      <c r="AF1158" s="93" t="s">
        <v>3932</v>
      </c>
      <c r="AG1158" s="43">
        <v>47.308332</v>
      </c>
      <c r="AH1158" s="43">
        <v>18.909670999999999</v>
      </c>
      <c r="AI1158" s="122" t="s">
        <v>7286</v>
      </c>
      <c r="AJ1158" s="41">
        <v>0.56999999999999995</v>
      </c>
    </row>
    <row r="1159" spans="1:36" ht="35.1" hidden="1" customHeight="1" x14ac:dyDescent="0.25">
      <c r="A1159" s="40">
        <v>1715</v>
      </c>
      <c r="B1159" s="40" t="s">
        <v>8365</v>
      </c>
      <c r="C1159" s="90" t="s">
        <v>1045</v>
      </c>
      <c r="D1159" s="44">
        <v>2027</v>
      </c>
      <c r="E1159" s="44"/>
      <c r="F1159" s="90" t="s">
        <v>1331</v>
      </c>
      <c r="G1159" s="90" t="s">
        <v>1259</v>
      </c>
      <c r="H1159" s="90" t="s">
        <v>467</v>
      </c>
      <c r="I1159" s="90" t="s">
        <v>1257</v>
      </c>
      <c r="J1159" s="90"/>
      <c r="K1159" s="90" t="s">
        <v>1243</v>
      </c>
      <c r="L1159" s="90"/>
      <c r="M1159" s="90">
        <v>1</v>
      </c>
      <c r="N1159" s="90"/>
      <c r="O1159" s="90"/>
      <c r="P1159" s="90"/>
      <c r="Q1159" s="90"/>
      <c r="R1159" s="90"/>
      <c r="S1159" s="90"/>
      <c r="T1159" s="90"/>
      <c r="U1159" s="90"/>
      <c r="V1159" s="90"/>
      <c r="W1159" s="90"/>
      <c r="X1159" s="90"/>
      <c r="Y1159" s="90"/>
      <c r="Z1159" s="153" t="s">
        <v>8339</v>
      </c>
      <c r="AA1159" s="91">
        <v>500</v>
      </c>
      <c r="AB1159" s="46">
        <f>IF(H2ProjectDB689571011[[#This Row],[Dummy_1]]="Electrolysis",
AA1159/VLOOKUP(G1159,ElectrolysisConvF,3,FALSE),
AC1159*10^6/(H2dens*HoursInYear))</f>
        <v>111111.11111111112</v>
      </c>
      <c r="AC1159" s="47">
        <f>AB1159*H2dens*HoursInYear/10^6</f>
        <v>86.626666666666665</v>
      </c>
      <c r="AD1159" s="92"/>
      <c r="AE1159" s="92">
        <f t="shared" si="89"/>
        <v>111111.11111111112</v>
      </c>
      <c r="AF1159" s="43" t="s">
        <v>8368</v>
      </c>
      <c r="AG1159" s="43">
        <v>29.659369000000002</v>
      </c>
      <c r="AH1159" s="43">
        <v>32.344810000000003</v>
      </c>
      <c r="AI1159" s="122" t="s">
        <v>7286</v>
      </c>
      <c r="AJ1159" s="41">
        <v>0.56999999999999995</v>
      </c>
    </row>
    <row r="1160" spans="1:36" ht="35.1" hidden="1" customHeight="1" x14ac:dyDescent="0.25">
      <c r="A1160" s="40">
        <v>1716</v>
      </c>
      <c r="B1160" s="90" t="s">
        <v>3934</v>
      </c>
      <c r="C1160" s="90" t="s">
        <v>1045</v>
      </c>
      <c r="D1160" s="44">
        <v>2026</v>
      </c>
      <c r="E1160" s="44"/>
      <c r="F1160" s="90" t="s">
        <v>1331</v>
      </c>
      <c r="G1160" s="90" t="s">
        <v>1259</v>
      </c>
      <c r="H1160" s="90" t="s">
        <v>467</v>
      </c>
      <c r="I1160" s="90" t="s">
        <v>1257</v>
      </c>
      <c r="J1160" s="90"/>
      <c r="K1160" s="90" t="s">
        <v>1242</v>
      </c>
      <c r="L1160" s="90"/>
      <c r="M1160" s="90"/>
      <c r="N1160" s="90">
        <v>1</v>
      </c>
      <c r="O1160" s="90"/>
      <c r="P1160" s="90"/>
      <c r="Q1160" s="90">
        <v>1</v>
      </c>
      <c r="R1160" s="90"/>
      <c r="S1160" s="90"/>
      <c r="T1160" s="90"/>
      <c r="U1160" s="90"/>
      <c r="V1160" s="90"/>
      <c r="W1160" s="90"/>
      <c r="X1160" s="90"/>
      <c r="Y1160" s="90"/>
      <c r="Z1160" s="40" t="s">
        <v>5000</v>
      </c>
      <c r="AA1160" s="47">
        <f>IF(H2ProjectDB689571011[[#This Row],[Dummy_1]]="Electrolysis",
AB1160*VLOOKUP(G1160,ElectrolysisConvF,3,FALSE),
"")</f>
        <v>193.74022828349928</v>
      </c>
      <c r="AB1160" s="92">
        <f>AC1160/(H2dens*HoursInYear/10^6)</f>
        <v>43053.384062999845</v>
      </c>
      <c r="AC1160" s="92">
        <f>0.191327*100/H2ProjectDB689571011[[#This Row],[LOWE_CF]]</f>
        <v>33.566140350877198</v>
      </c>
      <c r="AD1160" s="92"/>
      <c r="AE1160" s="92">
        <f t="shared" si="89"/>
        <v>43053.384062999845</v>
      </c>
      <c r="AF1160" s="93" t="s">
        <v>3936</v>
      </c>
      <c r="AG1160" s="43">
        <v>29.659369000000002</v>
      </c>
      <c r="AH1160" s="43">
        <v>32.344810000000003</v>
      </c>
      <c r="AI1160" s="122" t="s">
        <v>7286</v>
      </c>
      <c r="AJ1160" s="41">
        <v>0.56999999999999995</v>
      </c>
    </row>
    <row r="1161" spans="1:36" ht="35.1" hidden="1" customHeight="1" x14ac:dyDescent="0.25">
      <c r="A1161" s="40">
        <v>1717</v>
      </c>
      <c r="B1161" s="90" t="s">
        <v>3935</v>
      </c>
      <c r="C1161" s="90" t="s">
        <v>1045</v>
      </c>
      <c r="D1161" s="44">
        <v>2030</v>
      </c>
      <c r="E1161" s="44"/>
      <c r="F1161" s="90" t="s">
        <v>2222</v>
      </c>
      <c r="G1161" s="90" t="s">
        <v>1259</v>
      </c>
      <c r="H1161" s="90" t="s">
        <v>467</v>
      </c>
      <c r="I1161" s="90" t="s">
        <v>1257</v>
      </c>
      <c r="J1161" s="90"/>
      <c r="K1161" s="90" t="s">
        <v>1243</v>
      </c>
      <c r="L1161" s="90"/>
      <c r="M1161" s="90">
        <v>1</v>
      </c>
      <c r="N1161" s="90"/>
      <c r="O1161" s="90"/>
      <c r="P1161" s="90">
        <v>1</v>
      </c>
      <c r="Q1161" s="90"/>
      <c r="R1161" s="90"/>
      <c r="S1161" s="90"/>
      <c r="T1161" s="90"/>
      <c r="U1161" s="90"/>
      <c r="V1161" s="90"/>
      <c r="W1161" s="90"/>
      <c r="X1161" s="90"/>
      <c r="Y1161" s="90"/>
      <c r="Z1161" s="40" t="s">
        <v>8102</v>
      </c>
      <c r="AA1161" s="95">
        <f>4000-AA1160</f>
        <v>3806.2597717165008</v>
      </c>
      <c r="AB1161" s="46">
        <f>IF(H2ProjectDB689571011[[#This Row],[Dummy_1]]="Electrolysis",
AA1161/VLOOKUP(G1161,ElectrolysisConvF,3,FALSE),
AC1161*10^6/(H2dens*HoursInYear))</f>
        <v>845835.50482588913</v>
      </c>
      <c r="AC1161" s="47">
        <f>AB1161*H2dens*HoursInYear/10^6</f>
        <v>659.44719298245616</v>
      </c>
      <c r="AD1161" s="92"/>
      <c r="AE1161" s="92">
        <f t="shared" si="89"/>
        <v>845835.50482588913</v>
      </c>
      <c r="AF1161" s="93" t="s">
        <v>3936</v>
      </c>
      <c r="AG1161" s="43">
        <v>29.659369000000002</v>
      </c>
      <c r="AH1161" s="43">
        <v>32.344810000000003</v>
      </c>
      <c r="AI1161" s="122" t="s">
        <v>7286</v>
      </c>
      <c r="AJ1161" s="41">
        <v>0.56999999999999995</v>
      </c>
    </row>
    <row r="1162" spans="1:36" ht="35.1" hidden="1" customHeight="1" x14ac:dyDescent="0.25">
      <c r="A1162" s="40">
        <v>1718</v>
      </c>
      <c r="B1162" s="90" t="s">
        <v>3945</v>
      </c>
      <c r="C1162" s="90" t="s">
        <v>536</v>
      </c>
      <c r="D1162" s="90"/>
      <c r="E1162" s="90"/>
      <c r="F1162" s="90" t="s">
        <v>1331</v>
      </c>
      <c r="G1162" s="90" t="s">
        <v>456</v>
      </c>
      <c r="H1162" s="90"/>
      <c r="I1162" s="90" t="s">
        <v>1257</v>
      </c>
      <c r="J1162" s="90"/>
      <c r="K1162" s="90" t="s">
        <v>1243</v>
      </c>
      <c r="L1162" s="90"/>
      <c r="M1162" s="90">
        <v>1</v>
      </c>
      <c r="N1162" s="90"/>
      <c r="O1162" s="90"/>
      <c r="P1162" s="90"/>
      <c r="Q1162" s="90"/>
      <c r="R1162" s="90"/>
      <c r="S1162" s="90"/>
      <c r="T1162" s="90"/>
      <c r="U1162" s="90"/>
      <c r="V1162" s="90"/>
      <c r="W1162" s="90"/>
      <c r="X1162" s="90"/>
      <c r="Y1162" s="90"/>
      <c r="Z1162" s="90" t="s">
        <v>1348</v>
      </c>
      <c r="AA1162" s="91">
        <v>10</v>
      </c>
      <c r="AB1162" s="46">
        <f>IF(H2ProjectDB689571011[[#This Row],[Dummy_1]]="Electrolysis",
AA1162/VLOOKUP(G1162,ElectrolysisConvF,3,FALSE),
AC1162*10^6/(H2dens*HoursInYear))</f>
        <v>2631.5789473684213</v>
      </c>
      <c r="AC1162" s="47">
        <f>AB1162*H2dens*HoursInYear/10^6</f>
        <v>2.0516842105263158</v>
      </c>
      <c r="AD1162" s="92"/>
      <c r="AE1162" s="92">
        <f t="shared" si="89"/>
        <v>2631.5789473684213</v>
      </c>
      <c r="AF1162" s="93" t="s">
        <v>3944</v>
      </c>
      <c r="AG1162" s="43">
        <v>36.242839588123203</v>
      </c>
      <c r="AH1162" s="43">
        <v>-95.276146317051399</v>
      </c>
      <c r="AI1162" s="122" t="s">
        <v>7286</v>
      </c>
      <c r="AJ1162" s="41">
        <v>0.56999999999999995</v>
      </c>
    </row>
    <row r="1163" spans="1:36" ht="35.1" hidden="1" customHeight="1" x14ac:dyDescent="0.25">
      <c r="A1163" s="40">
        <v>1719</v>
      </c>
      <c r="B1163" s="90" t="s">
        <v>3945</v>
      </c>
      <c r="C1163" s="90" t="s">
        <v>536</v>
      </c>
      <c r="D1163" s="90"/>
      <c r="E1163" s="90"/>
      <c r="F1163" s="90" t="s">
        <v>1331</v>
      </c>
      <c r="G1163" s="90" t="s">
        <v>457</v>
      </c>
      <c r="H1163" s="90"/>
      <c r="I1163" s="90" t="s">
        <v>1257</v>
      </c>
      <c r="J1163" s="90"/>
      <c r="K1163" s="90" t="s">
        <v>1243</v>
      </c>
      <c r="L1163" s="90"/>
      <c r="M1163" s="90">
        <v>1</v>
      </c>
      <c r="N1163" s="90"/>
      <c r="O1163" s="90"/>
      <c r="P1163" s="90"/>
      <c r="Q1163" s="90"/>
      <c r="R1163" s="90"/>
      <c r="S1163" s="90"/>
      <c r="T1163" s="90"/>
      <c r="U1163" s="90"/>
      <c r="V1163" s="90"/>
      <c r="W1163" s="90"/>
      <c r="X1163" s="90"/>
      <c r="Y1163" s="90"/>
      <c r="Z1163" s="90" t="s">
        <v>1344</v>
      </c>
      <c r="AA1163" s="91">
        <v>20</v>
      </c>
      <c r="AB1163" s="46">
        <f>IF(H2ProjectDB689571011[[#This Row],[Dummy_1]]="Electrolysis",
AA1163/VLOOKUP(G1163,ElectrolysisConvF,3,FALSE),
AC1163*10^6/(H2dens*HoursInYear))</f>
        <v>4347.826086956522</v>
      </c>
      <c r="AC1163" s="47">
        <f>AB1163*H2dens*HoursInYear/10^6</f>
        <v>3.3897391304347826</v>
      </c>
      <c r="AD1163" s="92"/>
      <c r="AE1163" s="92">
        <f t="shared" si="89"/>
        <v>4347.826086956522</v>
      </c>
      <c r="AF1163" s="93" t="s">
        <v>3944</v>
      </c>
      <c r="AG1163" s="43">
        <v>36.242839588123203</v>
      </c>
      <c r="AH1163" s="43">
        <v>-95.276146317051399</v>
      </c>
      <c r="AI1163" s="122" t="s">
        <v>7286</v>
      </c>
      <c r="AJ1163" s="41">
        <v>0.56999999999999995</v>
      </c>
    </row>
    <row r="1164" spans="1:36" ht="35.1" hidden="1" customHeight="1" x14ac:dyDescent="0.25">
      <c r="A1164" s="40">
        <v>1720</v>
      </c>
      <c r="B1164" s="90" t="s">
        <v>5788</v>
      </c>
      <c r="C1164" s="90" t="s">
        <v>1764</v>
      </c>
      <c r="D1164" s="44">
        <v>2025</v>
      </c>
      <c r="E1164" s="44"/>
      <c r="F1164" s="40" t="s">
        <v>5701</v>
      </c>
      <c r="G1164" s="40" t="s">
        <v>457</v>
      </c>
      <c r="I1164" s="40" t="s">
        <v>5700</v>
      </c>
      <c r="J1164" s="40" t="s">
        <v>1395</v>
      </c>
      <c r="K1164" s="40" t="s">
        <v>1267</v>
      </c>
      <c r="L1164" s="40">
        <v>1</v>
      </c>
      <c r="W1164" s="40">
        <v>1</v>
      </c>
      <c r="Z1164" s="40" t="s">
        <v>1333</v>
      </c>
      <c r="AA1164" s="46">
        <v>10</v>
      </c>
      <c r="AB1164" s="46">
        <f>IF(H2ProjectDB689571011[[#This Row],[Dummy_1]]="Electrolysis",
AA1164/VLOOKUP(G1164,ElectrolysisConvF,3,FALSE),
AC1164*10^6/(H2dens*HoursInYear))</f>
        <v>2173.913043478261</v>
      </c>
      <c r="AC1164" s="47">
        <f>AB1164*H2dens*HoursInYear/10^6</f>
        <v>1.6948695652173913</v>
      </c>
      <c r="AE1164" s="46">
        <f>AB1164</f>
        <v>2173.913043478261</v>
      </c>
      <c r="AF1164" s="43" t="s">
        <v>3947</v>
      </c>
      <c r="AG1164" s="43">
        <v>43.325599528719202</v>
      </c>
      <c r="AH1164" s="43">
        <v>-3.1139530189764302</v>
      </c>
      <c r="AI1164" s="122" t="s">
        <v>7286</v>
      </c>
      <c r="AJ1164" s="41">
        <v>0.7</v>
      </c>
    </row>
    <row r="1165" spans="1:36" ht="35.1" hidden="1" customHeight="1" x14ac:dyDescent="0.25">
      <c r="A1165" s="40">
        <v>1724</v>
      </c>
      <c r="B1165" s="90" t="s">
        <v>7827</v>
      </c>
      <c r="C1165" s="90" t="s">
        <v>1061</v>
      </c>
      <c r="D1165" s="44">
        <v>2027</v>
      </c>
      <c r="E1165" s="44"/>
      <c r="F1165" s="90" t="s">
        <v>1331</v>
      </c>
      <c r="G1165" s="90" t="s">
        <v>457</v>
      </c>
      <c r="H1165" s="90"/>
      <c r="I1165" s="90" t="s">
        <v>1257</v>
      </c>
      <c r="J1165" s="90"/>
      <c r="K1165" s="90" t="s">
        <v>1243</v>
      </c>
      <c r="L1165" s="90"/>
      <c r="M1165" s="90">
        <v>1</v>
      </c>
      <c r="N1165" s="90"/>
      <c r="O1165" s="90"/>
      <c r="P1165" s="90"/>
      <c r="Q1165" s="90"/>
      <c r="R1165" s="90"/>
      <c r="S1165" s="90"/>
      <c r="T1165" s="90"/>
      <c r="U1165" s="90"/>
      <c r="V1165" s="90"/>
      <c r="W1165" s="90"/>
      <c r="X1165" s="90"/>
      <c r="Y1165" s="90"/>
      <c r="Z1165" s="40" t="s">
        <v>5007</v>
      </c>
      <c r="AA1165" s="47">
        <f>IF(H2ProjectDB689571011[[#This Row],[Dummy_1]]="Electrolysis",
AB1165*VLOOKUP(G1165,ElectrolysisConvF,3,FALSE),
"")</f>
        <v>528.02080465377185</v>
      </c>
      <c r="AB1165" s="46">
        <f>AC1165/(H2dens*HoursInYear/10^6)</f>
        <v>114787.13144647215</v>
      </c>
      <c r="AC1165" s="92">
        <f>(24+(150*3/17/0.98))/H2ProjectDB689571011[[#This Row],[LOWE_CF]]</f>
        <v>89.492639160927538</v>
      </c>
      <c r="AD1165" s="92"/>
      <c r="AE1165" s="92">
        <f>IF(AND(G1165&lt;&gt;"NG w CCUS",G1165&lt;&gt;"Oil w CCUS",G1165&lt;&gt;"Coal w CCUS"),AB1165,AD1165*10^3/(HoursInYear*IF(G1165="NG w CCUS",0.9105,1.9075)))</f>
        <v>114787.13144647215</v>
      </c>
      <c r="AF1165" s="93" t="s">
        <v>3952</v>
      </c>
      <c r="AG1165" s="43">
        <v>10.2333324</v>
      </c>
      <c r="AH1165" s="43">
        <v>106.38333179999999</v>
      </c>
      <c r="AI1165" s="122" t="s">
        <v>7286</v>
      </c>
      <c r="AJ1165" s="41">
        <v>0.56999999999999995</v>
      </c>
    </row>
    <row r="1166" spans="1:36" ht="35.1" hidden="1" customHeight="1" x14ac:dyDescent="0.25">
      <c r="A1166" s="40">
        <v>1725</v>
      </c>
      <c r="B1166" s="90" t="s">
        <v>7828</v>
      </c>
      <c r="C1166" s="90" t="s">
        <v>1061</v>
      </c>
      <c r="D1166" s="90"/>
      <c r="E1166" s="90"/>
      <c r="F1166" s="90" t="s">
        <v>2222</v>
      </c>
      <c r="G1166" s="90" t="s">
        <v>1259</v>
      </c>
      <c r="H1166" s="90" t="s">
        <v>467</v>
      </c>
      <c r="I1166" s="90" t="s">
        <v>1257</v>
      </c>
      <c r="J1166" s="90"/>
      <c r="K1166" s="90" t="s">
        <v>578</v>
      </c>
      <c r="L1166" s="90"/>
      <c r="M1166" s="90">
        <v>1</v>
      </c>
      <c r="N1166" s="90"/>
      <c r="O1166" s="90"/>
      <c r="P1166" s="90"/>
      <c r="Q1166" s="90"/>
      <c r="R1166" s="90"/>
      <c r="S1166" s="90"/>
      <c r="T1166" s="90"/>
      <c r="U1166" s="90"/>
      <c r="V1166" s="90"/>
      <c r="W1166" s="90"/>
      <c r="X1166" s="90"/>
      <c r="Y1166" s="90"/>
      <c r="Z1166" s="40" t="s">
        <v>5008</v>
      </c>
      <c r="AA1166" s="47">
        <f>IF(H2ProjectDB689571011[[#This Row],[Dummy_1]]="Electrolysis",
AB1166*VLOOKUP(G1166,ElectrolysisConvF,3,FALSE),
"")</f>
        <v>774.92254324183762</v>
      </c>
      <c r="AB1166" s="46">
        <f>AC1166/(H2dens*HoursInYear/10^6)</f>
        <v>172205.00960929727</v>
      </c>
      <c r="AC1166" s="92">
        <f>(60+(375*3/17/0.98)-51)/H2ProjectDB689571011[[#This Row],[LOWE_CF]]</f>
        <v>134.25791369179251</v>
      </c>
      <c r="AD1166" s="92"/>
      <c r="AE1166" s="92">
        <f>IF(AND(G1166&lt;&gt;"NG w CCUS",G1166&lt;&gt;"Oil w CCUS",G1166&lt;&gt;"Coal w CCUS"),AB1166,AD1166*10^3/(HoursInYear*IF(G1166="NG w CCUS",0.9105,1.9075)))</f>
        <v>172205.00960929727</v>
      </c>
      <c r="AF1166" s="93" t="s">
        <v>3952</v>
      </c>
      <c r="AG1166" s="43">
        <v>10.2333324</v>
      </c>
      <c r="AH1166" s="43">
        <v>106.38333179999999</v>
      </c>
      <c r="AI1166" s="122" t="s">
        <v>7286</v>
      </c>
      <c r="AJ1166" s="41">
        <v>0.56999999999999995</v>
      </c>
    </row>
    <row r="1167" spans="1:36" ht="35.1" hidden="1" customHeight="1" x14ac:dyDescent="0.25">
      <c r="A1167" s="40">
        <v>1726</v>
      </c>
      <c r="B1167" s="90" t="s">
        <v>7577</v>
      </c>
      <c r="C1167" s="90" t="s">
        <v>536</v>
      </c>
      <c r="D1167" s="44">
        <v>2026</v>
      </c>
      <c r="E1167" s="44"/>
      <c r="F1167" s="90" t="s">
        <v>1331</v>
      </c>
      <c r="G1167" s="90" t="s">
        <v>1261</v>
      </c>
      <c r="H1167" s="40" t="s">
        <v>4057</v>
      </c>
      <c r="I1167" s="90"/>
      <c r="J1167" s="90"/>
      <c r="K1167" s="90" t="s">
        <v>1243</v>
      </c>
      <c r="L1167" s="90"/>
      <c r="M1167" s="90">
        <v>1</v>
      </c>
      <c r="N1167" s="90"/>
      <c r="O1167" s="90"/>
      <c r="P1167" s="90"/>
      <c r="Q1167" s="90"/>
      <c r="R1167" s="90"/>
      <c r="S1167" s="90"/>
      <c r="T1167" s="90"/>
      <c r="U1167" s="90"/>
      <c r="V1167" s="90"/>
      <c r="W1167" s="90"/>
      <c r="X1167" s="90"/>
      <c r="Y1167" s="90"/>
      <c r="Z1167" s="90" t="s">
        <v>4305</v>
      </c>
      <c r="AA1167" s="91"/>
      <c r="AB1167" s="46">
        <f>AC1167/(H2dens*HoursInYear/10^6)</f>
        <v>86613.066036018834</v>
      </c>
      <c r="AC1167" s="92">
        <f>375*3/17/0.98</f>
        <v>67.527010804321719</v>
      </c>
      <c r="AD1167" s="92">
        <v>450000</v>
      </c>
      <c r="AE1167" s="92">
        <f>IF(AND(G1167&lt;&gt;"NG w CCUS",G1167&lt;&gt;"Oil w CCUS",G1167&lt;&gt;"Coal w CCUS"),AB1167,AD1167*10^3/(HoursInYear*IF(G1167="NG w CCUS",0.9105,1.9075)))</f>
        <v>56419.399246236826</v>
      </c>
      <c r="AF1167" s="93" t="s">
        <v>3954</v>
      </c>
      <c r="AG1167" s="43">
        <v>33.265263508498997</v>
      </c>
      <c r="AH1167" s="43">
        <v>-92.660997857398996</v>
      </c>
      <c r="AI1167" s="122" t="s">
        <v>7287</v>
      </c>
      <c r="AJ1167" s="41">
        <v>0.9</v>
      </c>
    </row>
    <row r="1168" spans="1:36" ht="35.1" hidden="1" customHeight="1" x14ac:dyDescent="0.25">
      <c r="A1168" s="40">
        <v>1728</v>
      </c>
      <c r="B1168" s="90" t="s">
        <v>2819</v>
      </c>
      <c r="C1168" s="40" t="s">
        <v>1764</v>
      </c>
      <c r="F1168" s="40" t="s">
        <v>1331</v>
      </c>
      <c r="G1168" s="40" t="s">
        <v>455</v>
      </c>
      <c r="I1168" s="40" t="s">
        <v>1269</v>
      </c>
      <c r="J1168" s="40" t="s">
        <v>1393</v>
      </c>
      <c r="K1168" s="40" t="s">
        <v>578</v>
      </c>
      <c r="Q1168" s="40">
        <v>1</v>
      </c>
      <c r="Z1168" s="40" t="s">
        <v>1510</v>
      </c>
      <c r="AA1168" s="45">
        <v>30</v>
      </c>
      <c r="AB1168" s="46">
        <f>IF(H2ProjectDB689571011[[#This Row],[Dummy_1]]="Electrolysis",
AA1168/VLOOKUP(G1168,ElectrolysisConvF,3,FALSE),
AC1168*10^6/(H2dens*HoursInYear))</f>
        <v>5769.2307692307695</v>
      </c>
      <c r="AC1168" s="47">
        <f>AB1168*H2dens*HoursInYear/10^6</f>
        <v>4.4979230769230769</v>
      </c>
      <c r="AE1168" s="46">
        <f>AB1168</f>
        <v>5769.2307692307695</v>
      </c>
      <c r="AF1168" s="43" t="s">
        <v>3958</v>
      </c>
      <c r="AG1168" s="43">
        <v>43.457355</v>
      </c>
      <c r="AH1168" s="43">
        <v>-7.9479040000000003</v>
      </c>
      <c r="AI1168" s="122" t="s">
        <v>7286</v>
      </c>
      <c r="AJ1168" s="41">
        <v>0.55000000000000004</v>
      </c>
    </row>
    <row r="1169" spans="1:36" ht="35.1" hidden="1" customHeight="1" x14ac:dyDescent="0.25">
      <c r="A1169" s="40">
        <v>1729</v>
      </c>
      <c r="B1169" s="90" t="s">
        <v>2819</v>
      </c>
      <c r="C1169" s="40" t="s">
        <v>1764</v>
      </c>
      <c r="F1169" s="40" t="s">
        <v>1331</v>
      </c>
      <c r="G1169" s="40" t="s">
        <v>455</v>
      </c>
      <c r="I1169" s="40" t="s">
        <v>1269</v>
      </c>
      <c r="J1169" s="40" t="s">
        <v>1393</v>
      </c>
      <c r="K1169" s="40" t="s">
        <v>578</v>
      </c>
      <c r="Q1169" s="40">
        <v>1</v>
      </c>
      <c r="Z1169" s="40" t="s">
        <v>1483</v>
      </c>
      <c r="AA1169" s="45">
        <v>50</v>
      </c>
      <c r="AB1169" s="46">
        <f>IF(H2ProjectDB689571011[[#This Row],[Dummy_1]]="Electrolysis",
AA1169/VLOOKUP(G1169,ElectrolysisConvF,3,FALSE),
AC1169*10^6/(H2dens*HoursInYear))</f>
        <v>9615.3846153846152</v>
      </c>
      <c r="AC1169" s="47">
        <f>AB1169*H2dens*HoursInYear/10^6</f>
        <v>7.4965384615384609</v>
      </c>
      <c r="AE1169" s="46">
        <f>AB1169</f>
        <v>9615.3846153846152</v>
      </c>
      <c r="AF1169" s="43" t="s">
        <v>3958</v>
      </c>
      <c r="AG1169" s="43">
        <v>43.457355</v>
      </c>
      <c r="AH1169" s="43">
        <v>-7.9479040000000003</v>
      </c>
      <c r="AI1169" s="122" t="s">
        <v>7286</v>
      </c>
      <c r="AJ1169" s="41">
        <v>0.55000000000000004</v>
      </c>
    </row>
    <row r="1170" spans="1:36" ht="35.1" hidden="1" customHeight="1" x14ac:dyDescent="0.25">
      <c r="A1170" s="40">
        <v>1731</v>
      </c>
      <c r="B1170" s="40" t="s">
        <v>3964</v>
      </c>
      <c r="C1170" s="40" t="s">
        <v>1752</v>
      </c>
      <c r="D1170" s="44">
        <v>2030</v>
      </c>
      <c r="E1170" s="44"/>
      <c r="F1170" s="40" t="s">
        <v>1331</v>
      </c>
      <c r="G1170" s="40" t="s">
        <v>1259</v>
      </c>
      <c r="H1170" s="40" t="s">
        <v>467</v>
      </c>
      <c r="I1170" s="40" t="s">
        <v>1269</v>
      </c>
      <c r="J1170" s="40" t="s">
        <v>1395</v>
      </c>
      <c r="K1170" s="40" t="s">
        <v>578</v>
      </c>
      <c r="Q1170" s="40">
        <v>1</v>
      </c>
      <c r="Z1170" s="40" t="s">
        <v>3965</v>
      </c>
      <c r="AA1170" s="45">
        <f>36-6</f>
        <v>30</v>
      </c>
      <c r="AB1170" s="46">
        <f>IF(H2ProjectDB689571011[[#This Row],[Dummy_1]]="Electrolysis",
AA1170/VLOOKUP(G1170,ElectrolysisConvF,3,FALSE),
AC1170*10^6/(H2dens*HoursInYear))</f>
        <v>6666.666666666667</v>
      </c>
      <c r="AC1170" s="47">
        <f>AB1170*H2dens*HoursInYear/10^6</f>
        <v>5.1976000000000004</v>
      </c>
      <c r="AE1170" s="46">
        <f t="shared" ref="AE1170:AE1233" si="90">IF(AND(G1170&lt;&gt;"NG w CCUS",G1170&lt;&gt;"Oil w CCUS",G1170&lt;&gt;"Coal w CCUS"),AB1170,AD1170*10^3/(HoursInYear*IF(G1170="NG w CCUS",0.9105,1.9075)))</f>
        <v>6666.666666666667</v>
      </c>
      <c r="AF1170" s="43" t="s">
        <v>2741</v>
      </c>
      <c r="AG1170" s="43">
        <v>50.270416131149702</v>
      </c>
      <c r="AH1170" s="43">
        <v>14.5131943817664</v>
      </c>
      <c r="AI1170" s="122" t="s">
        <v>7286</v>
      </c>
      <c r="AJ1170" s="41">
        <v>0.5</v>
      </c>
    </row>
    <row r="1171" spans="1:36" ht="35.1" hidden="1" customHeight="1" x14ac:dyDescent="0.25">
      <c r="A1171" s="40">
        <v>1732</v>
      </c>
      <c r="B1171" s="40" t="s">
        <v>3967</v>
      </c>
      <c r="C1171" s="40" t="s">
        <v>1305</v>
      </c>
      <c r="D1171" s="44">
        <v>2024</v>
      </c>
      <c r="E1171" s="44"/>
      <c r="F1171" s="40" t="s">
        <v>5701</v>
      </c>
      <c r="G1171" s="40" t="s">
        <v>455</v>
      </c>
      <c r="I1171" s="40" t="s">
        <v>1269</v>
      </c>
      <c r="J1171" s="40" t="s">
        <v>1392</v>
      </c>
      <c r="K1171" s="40" t="s">
        <v>578</v>
      </c>
      <c r="Q1171" s="40">
        <v>1</v>
      </c>
      <c r="Z1171" s="40" t="s">
        <v>1368</v>
      </c>
      <c r="AA1171" s="45">
        <v>2</v>
      </c>
      <c r="AB1171" s="46">
        <f>IF(H2ProjectDB689571011[[#This Row],[Dummy_1]]="Electrolysis",
AA1171/VLOOKUP(G1171,ElectrolysisConvF,3,FALSE),
AC1171*10^6/(H2dens*HoursInYear))</f>
        <v>384.61538461538464</v>
      </c>
      <c r="AC1171" s="47">
        <f>AB1171*H2dens*HoursInYear/10^6</f>
        <v>0.29986153846153851</v>
      </c>
      <c r="AE1171" s="46">
        <f t="shared" si="90"/>
        <v>384.61538461538464</v>
      </c>
      <c r="AF1171" s="43" t="s">
        <v>7405</v>
      </c>
      <c r="AG1171" s="43">
        <v>53.554810509350602</v>
      </c>
      <c r="AH1171" s="43">
        <v>8.5791732428964593</v>
      </c>
      <c r="AI1171" s="122" t="s">
        <v>7286</v>
      </c>
      <c r="AJ1171" s="41">
        <v>0.4</v>
      </c>
    </row>
    <row r="1172" spans="1:36" ht="35.1" hidden="1" customHeight="1" x14ac:dyDescent="0.25">
      <c r="A1172" s="40">
        <v>1734</v>
      </c>
      <c r="B1172" s="90" t="s">
        <v>3970</v>
      </c>
      <c r="C1172" s="90" t="s">
        <v>1045</v>
      </c>
      <c r="D1172" s="44">
        <v>2026</v>
      </c>
      <c r="E1172" s="44"/>
      <c r="F1172" s="90" t="s">
        <v>1331</v>
      </c>
      <c r="G1172" s="90" t="s">
        <v>1255</v>
      </c>
      <c r="H1172" s="90" t="s">
        <v>3971</v>
      </c>
      <c r="I1172" s="90"/>
      <c r="J1172" s="90"/>
      <c r="K1172" s="90" t="s">
        <v>578</v>
      </c>
      <c r="L1172" s="90"/>
      <c r="M1172" s="90"/>
      <c r="N1172" s="90"/>
      <c r="O1172" s="90"/>
      <c r="P1172" s="90"/>
      <c r="Q1172" s="90"/>
      <c r="R1172" s="90"/>
      <c r="S1172" s="90"/>
      <c r="T1172" s="90"/>
      <c r="U1172" s="90"/>
      <c r="V1172" s="90"/>
      <c r="W1172" s="90">
        <v>1</v>
      </c>
      <c r="X1172" s="90"/>
      <c r="Y1172" s="90"/>
      <c r="Z1172" s="40" t="s">
        <v>3150</v>
      </c>
      <c r="AA1172" s="92"/>
      <c r="AB1172" s="46">
        <f>AC1172/(H2dens*HoursInYear/10^6)</f>
        <v>384792.98137601971</v>
      </c>
      <c r="AC1172" s="92">
        <v>300</v>
      </c>
      <c r="AD1172" s="92"/>
      <c r="AE1172" s="92">
        <f t="shared" si="90"/>
        <v>384792.98137601971</v>
      </c>
      <c r="AF1172" s="93" t="s">
        <v>3974</v>
      </c>
      <c r="AG1172" s="43">
        <v>31.256540000000001</v>
      </c>
      <c r="AH1172" s="43">
        <v>32.284109999999998</v>
      </c>
      <c r="AI1172" s="122" t="s">
        <v>1255</v>
      </c>
      <c r="AJ1172" s="41">
        <v>0.9</v>
      </c>
    </row>
    <row r="1173" spans="1:36" ht="35.1" hidden="1" customHeight="1" x14ac:dyDescent="0.25">
      <c r="A1173" s="40">
        <v>1735</v>
      </c>
      <c r="B1173" s="40" t="s">
        <v>5414</v>
      </c>
      <c r="C1173" s="40" t="s">
        <v>1305</v>
      </c>
      <c r="D1173" s="44">
        <v>2026</v>
      </c>
      <c r="E1173" s="44"/>
      <c r="F1173" s="90" t="s">
        <v>1331</v>
      </c>
      <c r="G1173" s="90" t="s">
        <v>1259</v>
      </c>
      <c r="H1173" s="90" t="s">
        <v>467</v>
      </c>
      <c r="I1173" s="90" t="s">
        <v>1269</v>
      </c>
      <c r="J1173" s="90" t="s">
        <v>581</v>
      </c>
      <c r="K1173" s="90" t="s">
        <v>578</v>
      </c>
      <c r="L1173" s="90"/>
      <c r="M1173" s="90"/>
      <c r="N1173" s="90"/>
      <c r="O1173" s="90"/>
      <c r="P1173" s="90"/>
      <c r="Q1173" s="90">
        <v>1</v>
      </c>
      <c r="R1173" s="90"/>
      <c r="S1173" s="90"/>
      <c r="T1173" s="90"/>
      <c r="U1173" s="90"/>
      <c r="V1173" s="90"/>
      <c r="W1173" s="90"/>
      <c r="X1173" s="90"/>
      <c r="Y1173" s="90"/>
      <c r="Z1173" s="40" t="s">
        <v>1348</v>
      </c>
      <c r="AA1173" s="91">
        <v>10</v>
      </c>
      <c r="AB1173" s="46">
        <f>IF(H2ProjectDB689571011[[#This Row],[Dummy_1]]="Electrolysis",
AA1173/VLOOKUP(G1173,ElectrolysisConvF,3,FALSE),
AC1173*10^6/(H2dens*HoursInYear))</f>
        <v>2222.2222222222222</v>
      </c>
      <c r="AC1173" s="47">
        <f>AB1173*H2dens*HoursInYear/10^6</f>
        <v>1.7325333333333333</v>
      </c>
      <c r="AD1173" s="92"/>
      <c r="AE1173" s="92">
        <f t="shared" si="90"/>
        <v>2222.2222222222222</v>
      </c>
      <c r="AF1173" s="93" t="s">
        <v>5416</v>
      </c>
      <c r="AG1173" s="43">
        <v>53.360246083928203</v>
      </c>
      <c r="AH1173" s="43">
        <v>7.2116416620710497</v>
      </c>
      <c r="AI1173" s="122" t="s">
        <v>7286</v>
      </c>
      <c r="AJ1173" s="41">
        <v>0.5</v>
      </c>
    </row>
    <row r="1174" spans="1:36" ht="35.1" hidden="1" customHeight="1" x14ac:dyDescent="0.25">
      <c r="A1174" s="40">
        <v>1736</v>
      </c>
      <c r="B1174" s="90" t="s">
        <v>798</v>
      </c>
      <c r="C1174" s="40" t="s">
        <v>1305</v>
      </c>
      <c r="D1174" s="44">
        <v>2026</v>
      </c>
      <c r="E1174" s="44"/>
      <c r="F1174" s="90" t="s">
        <v>5701</v>
      </c>
      <c r="G1174" s="90" t="s">
        <v>455</v>
      </c>
      <c r="H1174" s="90"/>
      <c r="I1174" s="90" t="s">
        <v>1269</v>
      </c>
      <c r="J1174" s="90" t="s">
        <v>581</v>
      </c>
      <c r="K1174" s="90" t="s">
        <v>578</v>
      </c>
      <c r="L1174" s="90"/>
      <c r="M1174" s="90"/>
      <c r="N1174" s="90"/>
      <c r="O1174" s="90"/>
      <c r="P1174" s="90">
        <v>1</v>
      </c>
      <c r="Q1174" s="90">
        <v>1</v>
      </c>
      <c r="R1174" s="90"/>
      <c r="S1174" s="90"/>
      <c r="T1174" s="90"/>
      <c r="U1174" s="90"/>
      <c r="V1174" s="90"/>
      <c r="W1174" s="90"/>
      <c r="X1174" s="90"/>
      <c r="Y1174" s="90"/>
      <c r="Z1174" s="40" t="s">
        <v>4690</v>
      </c>
      <c r="AA1174" s="47">
        <f>IF(H2ProjectDB689571011[[#This Row],[Dummy_1]]="Electrolysis",
AB1174*VLOOKUP(G1174,ElectrolysisConvF,3,FALSE),
"")</f>
        <v>6.6697450105176745</v>
      </c>
      <c r="AB1174" s="46">
        <f>AC1174/(H2dens*HoursInYear/10^6)</f>
        <v>1282.643271253399</v>
      </c>
      <c r="AC1174" s="47">
        <v>1</v>
      </c>
      <c r="AD1174" s="92"/>
      <c r="AE1174" s="92">
        <f t="shared" si="90"/>
        <v>1282.643271253399</v>
      </c>
      <c r="AF1174" s="43" t="s">
        <v>3977</v>
      </c>
      <c r="AG1174" s="43">
        <v>51.511214381143503</v>
      </c>
      <c r="AH1174" s="43">
        <v>13.349467188174</v>
      </c>
      <c r="AI1174" s="122" t="s">
        <v>7286</v>
      </c>
      <c r="AJ1174" s="41">
        <v>0.5</v>
      </c>
    </row>
    <row r="1175" spans="1:36" ht="35.1" hidden="1" customHeight="1" x14ac:dyDescent="0.25">
      <c r="A1175" s="40">
        <v>1737</v>
      </c>
      <c r="B1175" s="40" t="s">
        <v>3976</v>
      </c>
      <c r="C1175" s="40" t="s">
        <v>1305</v>
      </c>
      <c r="D1175" s="90"/>
      <c r="E1175" s="90"/>
      <c r="F1175" s="40" t="s">
        <v>1331</v>
      </c>
      <c r="G1175" s="40" t="s">
        <v>1259</v>
      </c>
      <c r="H1175" s="40" t="s">
        <v>1666</v>
      </c>
      <c r="I1175" s="90" t="s">
        <v>1269</v>
      </c>
      <c r="J1175" s="90" t="s">
        <v>1392</v>
      </c>
      <c r="K1175" s="90" t="s">
        <v>578</v>
      </c>
      <c r="L1175" s="90"/>
      <c r="M1175" s="90"/>
      <c r="N1175" s="90"/>
      <c r="O1175" s="90"/>
      <c r="P1175" s="90">
        <v>1</v>
      </c>
      <c r="Q1175" s="90">
        <v>1</v>
      </c>
      <c r="R1175" s="90"/>
      <c r="S1175" s="90"/>
      <c r="T1175" s="90"/>
      <c r="U1175" s="90"/>
      <c r="V1175" s="90"/>
      <c r="W1175" s="90"/>
      <c r="X1175" s="90"/>
      <c r="Y1175" s="90"/>
      <c r="Z1175" s="40" t="s">
        <v>1370</v>
      </c>
      <c r="AA1175" s="91">
        <v>1.3</v>
      </c>
      <c r="AB1175" s="46">
        <f>IF(H2ProjectDB689571011[[#This Row],[Dummy_1]]="Electrolysis",
AA1175/VLOOKUP(G1175,ElectrolysisConvF,3,FALSE),
AC1175*10^6/(H2dens*HoursInYear))</f>
        <v>288.88888888888891</v>
      </c>
      <c r="AC1175" s="47">
        <f t="shared" ref="AC1175:AC1196" si="91">AB1175*H2dens*HoursInYear/10^6</f>
        <v>0.22522933333333334</v>
      </c>
      <c r="AD1175" s="92"/>
      <c r="AE1175" s="92">
        <f t="shared" si="90"/>
        <v>288.88888888888891</v>
      </c>
      <c r="AF1175" s="43" t="s">
        <v>3980</v>
      </c>
      <c r="AG1175" s="43">
        <v>53.566788484278902</v>
      </c>
      <c r="AH1175" s="43">
        <v>8.6608775065308201</v>
      </c>
      <c r="AI1175" s="122" t="s">
        <v>7286</v>
      </c>
      <c r="AJ1175" s="41">
        <v>0.4</v>
      </c>
    </row>
    <row r="1176" spans="1:36" ht="35.1" hidden="1" customHeight="1" x14ac:dyDescent="0.25">
      <c r="A1176" s="40">
        <v>1739</v>
      </c>
      <c r="B1176" s="40" t="s">
        <v>3982</v>
      </c>
      <c r="C1176" s="40" t="s">
        <v>1074</v>
      </c>
      <c r="D1176" s="44">
        <v>2026</v>
      </c>
      <c r="E1176" s="44"/>
      <c r="F1176" s="90" t="s">
        <v>1331</v>
      </c>
      <c r="G1176" s="90" t="s">
        <v>1259</v>
      </c>
      <c r="H1176" s="90" t="s">
        <v>467</v>
      </c>
      <c r="I1176" s="90" t="s">
        <v>1269</v>
      </c>
      <c r="J1176" s="90" t="s">
        <v>1391</v>
      </c>
      <c r="K1176" s="90" t="s">
        <v>578</v>
      </c>
      <c r="L1176" s="90"/>
      <c r="M1176" s="90"/>
      <c r="N1176" s="90"/>
      <c r="O1176" s="90"/>
      <c r="P1176" s="90"/>
      <c r="Q1176" s="90"/>
      <c r="R1176" s="90"/>
      <c r="S1176" s="90"/>
      <c r="T1176" s="90"/>
      <c r="U1176" s="90"/>
      <c r="V1176" s="90"/>
      <c r="W1176" s="90"/>
      <c r="X1176" s="90"/>
      <c r="Y1176" s="90"/>
      <c r="Z1176" s="40" t="s">
        <v>3853</v>
      </c>
      <c r="AA1176" s="91">
        <v>50</v>
      </c>
      <c r="AB1176" s="46">
        <f>IF(H2ProjectDB689571011[[#This Row],[Dummy_1]]="Electrolysis",
AA1176/VLOOKUP(G1176,ElectrolysisConvF,3,FALSE),
AC1176*10^6/(H2dens*HoursInYear))</f>
        <v>11111.111111111111</v>
      </c>
      <c r="AC1176" s="47">
        <f t="shared" si="91"/>
        <v>8.6626666666666665</v>
      </c>
      <c r="AD1176" s="92"/>
      <c r="AE1176" s="92">
        <f t="shared" si="90"/>
        <v>11111.111111111111</v>
      </c>
      <c r="AF1176" s="43" t="s">
        <v>3984</v>
      </c>
      <c r="AG1176" s="43">
        <v>44.385832115915399</v>
      </c>
      <c r="AH1176" s="43">
        <v>22.521672130113199</v>
      </c>
      <c r="AI1176" s="122" t="s">
        <v>7286</v>
      </c>
      <c r="AJ1176" s="41">
        <v>0.3</v>
      </c>
    </row>
    <row r="1177" spans="1:36" ht="35.1" hidden="1" customHeight="1" x14ac:dyDescent="0.25">
      <c r="A1177" s="40">
        <v>1740</v>
      </c>
      <c r="B1177" s="40" t="s">
        <v>3985</v>
      </c>
      <c r="C1177" s="40" t="s">
        <v>1761</v>
      </c>
      <c r="D1177" s="90"/>
      <c r="E1177" s="90"/>
      <c r="F1177" s="90" t="s">
        <v>2222</v>
      </c>
      <c r="G1177" s="90" t="s">
        <v>1259</v>
      </c>
      <c r="H1177" s="90" t="s">
        <v>467</v>
      </c>
      <c r="I1177" s="90" t="s">
        <v>1269</v>
      </c>
      <c r="J1177" s="90" t="s">
        <v>581</v>
      </c>
      <c r="K1177" s="90" t="s">
        <v>578</v>
      </c>
      <c r="L1177" s="90"/>
      <c r="M1177" s="90"/>
      <c r="N1177" s="90"/>
      <c r="O1177" s="90"/>
      <c r="P1177" s="90">
        <v>1</v>
      </c>
      <c r="Q1177" s="90">
        <v>1</v>
      </c>
      <c r="R1177" s="90"/>
      <c r="S1177" s="90"/>
      <c r="T1177" s="90"/>
      <c r="U1177" s="90"/>
      <c r="V1177" s="90"/>
      <c r="W1177" s="90"/>
      <c r="X1177" s="90"/>
      <c r="Y1177" s="90"/>
      <c r="Z1177" s="40" t="s">
        <v>6201</v>
      </c>
      <c r="AA1177" s="91">
        <v>2.52</v>
      </c>
      <c r="AB1177" s="46">
        <f>IF(H2ProjectDB689571011[[#This Row],[Dummy_1]]="Electrolysis",
AA1177/VLOOKUP(G1177,ElectrolysisConvF,3,FALSE),
AC1177*10^6/(H2dens*HoursInYear))</f>
        <v>560</v>
      </c>
      <c r="AC1177" s="47">
        <f t="shared" si="91"/>
        <v>0.43659839999999994</v>
      </c>
      <c r="AD1177" s="92"/>
      <c r="AE1177" s="92">
        <f t="shared" si="90"/>
        <v>560</v>
      </c>
      <c r="AF1177" s="43" t="s">
        <v>3987</v>
      </c>
      <c r="AG1177" s="43">
        <v>37.958893568872803</v>
      </c>
      <c r="AH1177" s="43">
        <v>-8.8600732888896907</v>
      </c>
      <c r="AI1177" s="122" t="s">
        <v>7286</v>
      </c>
      <c r="AJ1177" s="41">
        <v>0.5</v>
      </c>
    </row>
    <row r="1178" spans="1:36" ht="35.1" hidden="1" customHeight="1" x14ac:dyDescent="0.25">
      <c r="A1178" s="40">
        <v>1741</v>
      </c>
      <c r="B1178" s="40" t="s">
        <v>3988</v>
      </c>
      <c r="C1178" s="40" t="s">
        <v>975</v>
      </c>
      <c r="D1178" s="44">
        <v>2030</v>
      </c>
      <c r="E1178" s="44"/>
      <c r="F1178" s="90" t="s">
        <v>2222</v>
      </c>
      <c r="G1178" s="90" t="s">
        <v>1259</v>
      </c>
      <c r="H1178" s="90" t="s">
        <v>467</v>
      </c>
      <c r="I1178" s="90" t="s">
        <v>1269</v>
      </c>
      <c r="J1178" s="90" t="s">
        <v>1393</v>
      </c>
      <c r="K1178" s="90" t="s">
        <v>578</v>
      </c>
      <c r="L1178" s="90"/>
      <c r="M1178" s="90"/>
      <c r="N1178" s="90"/>
      <c r="O1178" s="90"/>
      <c r="P1178" s="90"/>
      <c r="Q1178" s="90">
        <v>1</v>
      </c>
      <c r="R1178" s="90"/>
      <c r="S1178" s="90"/>
      <c r="T1178" s="90"/>
      <c r="U1178" s="90"/>
      <c r="V1178" s="90"/>
      <c r="W1178" s="90"/>
      <c r="X1178" s="90"/>
      <c r="Y1178" s="90"/>
      <c r="Z1178" s="40" t="s">
        <v>1487</v>
      </c>
      <c r="AA1178" s="91">
        <v>100</v>
      </c>
      <c r="AB1178" s="46">
        <f>IF(H2ProjectDB689571011[[#This Row],[Dummy_1]]="Electrolysis",
AA1178/VLOOKUP(G1178,ElectrolysisConvF,3,FALSE),
AC1178*10^6/(H2dens*HoursInYear))</f>
        <v>22222.222222222223</v>
      </c>
      <c r="AC1178" s="47">
        <f t="shared" si="91"/>
        <v>17.325333333333333</v>
      </c>
      <c r="AD1178" s="92"/>
      <c r="AE1178" s="92">
        <f t="shared" si="90"/>
        <v>22222.222222222223</v>
      </c>
      <c r="AF1178" s="43" t="s">
        <v>3991</v>
      </c>
      <c r="AG1178" s="43">
        <v>0</v>
      </c>
      <c r="AH1178" s="43">
        <v>0</v>
      </c>
      <c r="AI1178" s="122" t="s">
        <v>7286</v>
      </c>
      <c r="AJ1178" s="41">
        <v>0.55000000000000004</v>
      </c>
    </row>
    <row r="1179" spans="1:36" ht="35.1" hidden="1" customHeight="1" x14ac:dyDescent="0.25">
      <c r="A1179" s="40">
        <v>1742</v>
      </c>
      <c r="B1179" s="40" t="s">
        <v>3989</v>
      </c>
      <c r="C1179" s="40" t="s">
        <v>975</v>
      </c>
      <c r="D1179" s="44">
        <v>2025</v>
      </c>
      <c r="E1179" s="44"/>
      <c r="F1179" s="90" t="s">
        <v>2222</v>
      </c>
      <c r="G1179" s="90" t="s">
        <v>1259</v>
      </c>
      <c r="H1179" s="90" t="s">
        <v>467</v>
      </c>
      <c r="I1179" s="90" t="s">
        <v>1269</v>
      </c>
      <c r="J1179" s="90" t="s">
        <v>1393</v>
      </c>
      <c r="K1179" s="90" t="s">
        <v>578</v>
      </c>
      <c r="L1179" s="90"/>
      <c r="M1179" s="90"/>
      <c r="N1179" s="90"/>
      <c r="O1179" s="90"/>
      <c r="P1179" s="90"/>
      <c r="Q1179" s="90">
        <v>1</v>
      </c>
      <c r="R1179" s="90"/>
      <c r="S1179" s="90"/>
      <c r="T1179" s="90"/>
      <c r="U1179" s="90"/>
      <c r="V1179" s="90"/>
      <c r="W1179" s="90"/>
      <c r="X1179" s="90"/>
      <c r="Y1179" s="90"/>
      <c r="Z1179" s="40" t="s">
        <v>3990</v>
      </c>
      <c r="AA1179" s="91">
        <v>1200</v>
      </c>
      <c r="AB1179" s="46">
        <f>IF(H2ProjectDB689571011[[#This Row],[Dummy_1]]="Electrolysis",
AA1179/VLOOKUP(G1179,ElectrolysisConvF,3,FALSE),
AC1179*10^6/(H2dens*HoursInYear))</f>
        <v>266666.66666666669</v>
      </c>
      <c r="AC1179" s="47">
        <f t="shared" si="91"/>
        <v>207.904</v>
      </c>
      <c r="AD1179" s="92"/>
      <c r="AE1179" s="92">
        <f t="shared" si="90"/>
        <v>266666.66666666669</v>
      </c>
      <c r="AF1179" s="43" t="s">
        <v>3991</v>
      </c>
      <c r="AG1179" s="43">
        <v>36.203747177229999</v>
      </c>
      <c r="AH1179" s="43">
        <v>128.15174352824599</v>
      </c>
      <c r="AI1179" s="122" t="s">
        <v>7286</v>
      </c>
      <c r="AJ1179" s="41">
        <v>0.55000000000000004</v>
      </c>
    </row>
    <row r="1180" spans="1:36" ht="35.1" hidden="1" customHeight="1" x14ac:dyDescent="0.25">
      <c r="A1180" s="40">
        <v>1743</v>
      </c>
      <c r="B1180" s="90" t="s">
        <v>3995</v>
      </c>
      <c r="C1180" s="90" t="s">
        <v>536</v>
      </c>
      <c r="D1180" s="44">
        <v>2030</v>
      </c>
      <c r="E1180" s="44"/>
      <c r="F1180" s="90" t="s">
        <v>1331</v>
      </c>
      <c r="G1180" s="90" t="s">
        <v>1259</v>
      </c>
      <c r="H1180" s="90" t="s">
        <v>467</v>
      </c>
      <c r="I1180" s="90" t="s">
        <v>1257</v>
      </c>
      <c r="J1180" s="90"/>
      <c r="K1180" s="90" t="s">
        <v>578</v>
      </c>
      <c r="L1180" s="90"/>
      <c r="M1180" s="90"/>
      <c r="N1180" s="90"/>
      <c r="O1180" s="90"/>
      <c r="P1180" s="90"/>
      <c r="Q1180" s="90"/>
      <c r="R1180" s="90"/>
      <c r="S1180" s="90"/>
      <c r="T1180" s="90"/>
      <c r="U1180" s="90"/>
      <c r="V1180" s="90"/>
      <c r="W1180" s="90">
        <v>1</v>
      </c>
      <c r="X1180" s="90"/>
      <c r="Y1180" s="90"/>
      <c r="Z1180" s="90" t="s">
        <v>3998</v>
      </c>
      <c r="AA1180" s="91">
        <v>1000</v>
      </c>
      <c r="AB1180" s="46">
        <f>IF(H2ProjectDB689571011[[#This Row],[Dummy_1]]="Electrolysis",
AA1180/VLOOKUP(G1180,ElectrolysisConvF,3,FALSE),
AC1180*10^6/(H2dens*HoursInYear))</f>
        <v>222222.22222222225</v>
      </c>
      <c r="AC1180" s="47">
        <f t="shared" si="91"/>
        <v>173.25333333333333</v>
      </c>
      <c r="AD1180" s="92"/>
      <c r="AE1180" s="92">
        <f t="shared" si="90"/>
        <v>222222.22222222225</v>
      </c>
      <c r="AF1180" s="93" t="s">
        <v>3997</v>
      </c>
      <c r="AG1180" s="43">
        <v>30.471164999999999</v>
      </c>
      <c r="AH1180" s="43">
        <v>-91.147385</v>
      </c>
      <c r="AI1180" s="122" t="s">
        <v>7286</v>
      </c>
      <c r="AJ1180" s="41">
        <v>0.56999999999999995</v>
      </c>
    </row>
    <row r="1181" spans="1:36" ht="35.1" hidden="1" customHeight="1" x14ac:dyDescent="0.25">
      <c r="A1181" s="40">
        <v>1744</v>
      </c>
      <c r="B1181" s="90" t="s">
        <v>3999</v>
      </c>
      <c r="C1181" s="90" t="s">
        <v>536</v>
      </c>
      <c r="D1181" s="44">
        <v>2025</v>
      </c>
      <c r="E1181" s="44"/>
      <c r="F1181" s="90" t="s">
        <v>1331</v>
      </c>
      <c r="G1181" s="90" t="s">
        <v>457</v>
      </c>
      <c r="H1181" s="90"/>
      <c r="I1181" s="90" t="s">
        <v>1257</v>
      </c>
      <c r="J1181" s="90"/>
      <c r="K1181" s="90" t="s">
        <v>578</v>
      </c>
      <c r="L1181" s="90"/>
      <c r="M1181" s="90"/>
      <c r="N1181" s="90"/>
      <c r="O1181" s="90"/>
      <c r="P1181" s="90"/>
      <c r="Q1181" s="90"/>
      <c r="R1181" s="90"/>
      <c r="S1181" s="90"/>
      <c r="T1181" s="90"/>
      <c r="U1181" s="90"/>
      <c r="V1181" s="90"/>
      <c r="W1181" s="90"/>
      <c r="X1181" s="90"/>
      <c r="Y1181" s="90"/>
      <c r="Z1181" s="90" t="s">
        <v>4000</v>
      </c>
      <c r="AA1181" s="91">
        <v>290</v>
      </c>
      <c r="AB1181" s="46">
        <f>IF(H2ProjectDB689571011[[#This Row],[Dummy_1]]="Electrolysis",
AA1181/VLOOKUP(G1181,ElectrolysisConvF,3,FALSE),
AC1181*10^6/(H2dens*HoursInYear))</f>
        <v>63043.478260869568</v>
      </c>
      <c r="AC1181" s="47">
        <f t="shared" si="91"/>
        <v>49.151217391304343</v>
      </c>
      <c r="AD1181" s="92"/>
      <c r="AE1181" s="92">
        <f t="shared" si="90"/>
        <v>63043.478260869568</v>
      </c>
      <c r="AF1181" s="93" t="s">
        <v>4002</v>
      </c>
      <c r="AG1181" s="43">
        <v>34.174261000000001</v>
      </c>
      <c r="AH1181" s="43">
        <v>-97.143625</v>
      </c>
      <c r="AI1181" s="122" t="s">
        <v>7286</v>
      </c>
      <c r="AJ1181" s="41">
        <v>0.56999999999999995</v>
      </c>
    </row>
    <row r="1182" spans="1:36" ht="35.1" hidden="1" customHeight="1" x14ac:dyDescent="0.25">
      <c r="A1182" s="40">
        <v>1745</v>
      </c>
      <c r="B1182" s="90" t="s">
        <v>4003</v>
      </c>
      <c r="C1182" s="90" t="s">
        <v>536</v>
      </c>
      <c r="D1182" s="90"/>
      <c r="E1182" s="90"/>
      <c r="F1182" s="90" t="s">
        <v>1331</v>
      </c>
      <c r="G1182" s="90" t="s">
        <v>1259</v>
      </c>
      <c r="H1182" s="90" t="s">
        <v>467</v>
      </c>
      <c r="I1182" s="90" t="s">
        <v>1269</v>
      </c>
      <c r="J1182" s="90" t="s">
        <v>1393</v>
      </c>
      <c r="K1182" s="90" t="s">
        <v>578</v>
      </c>
      <c r="L1182" s="90"/>
      <c r="M1182" s="90"/>
      <c r="N1182" s="90"/>
      <c r="O1182" s="90"/>
      <c r="P1182" s="90"/>
      <c r="Q1182" s="90"/>
      <c r="R1182" s="90">
        <v>1</v>
      </c>
      <c r="S1182" s="90">
        <v>1</v>
      </c>
      <c r="T1182" s="90"/>
      <c r="U1182" s="90"/>
      <c r="V1182" s="90"/>
      <c r="W1182" s="90"/>
      <c r="X1182" s="90"/>
      <c r="Y1182" s="90"/>
      <c r="Z1182" s="90" t="s">
        <v>1344</v>
      </c>
      <c r="AA1182" s="91">
        <v>20</v>
      </c>
      <c r="AB1182" s="46">
        <f>IF(H2ProjectDB689571011[[#This Row],[Dummy_1]]="Electrolysis",
AA1182/VLOOKUP(G1182,ElectrolysisConvF,3,FALSE),
AC1182*10^6/(H2dens*HoursInYear))</f>
        <v>4444.4444444444443</v>
      </c>
      <c r="AC1182" s="47">
        <f t="shared" si="91"/>
        <v>3.4650666666666665</v>
      </c>
      <c r="AD1182" s="92"/>
      <c r="AE1182" s="92">
        <f t="shared" si="90"/>
        <v>4444.4444444444443</v>
      </c>
      <c r="AF1182" s="93" t="s">
        <v>4007</v>
      </c>
      <c r="AG1182" s="43">
        <v>41.748986000000002</v>
      </c>
      <c r="AH1182" s="43">
        <v>-72.989593999999997</v>
      </c>
      <c r="AI1182" s="122" t="s">
        <v>7286</v>
      </c>
      <c r="AJ1182" s="41">
        <v>0.55000000000000004</v>
      </c>
    </row>
    <row r="1183" spans="1:36" ht="35.1" hidden="1" customHeight="1" x14ac:dyDescent="0.25">
      <c r="A1183" s="40">
        <v>1746</v>
      </c>
      <c r="B1183" s="90" t="s">
        <v>4004</v>
      </c>
      <c r="C1183" s="90" t="s">
        <v>536</v>
      </c>
      <c r="D1183" s="90"/>
      <c r="E1183" s="90"/>
      <c r="F1183" s="90" t="s">
        <v>1331</v>
      </c>
      <c r="G1183" s="90" t="s">
        <v>1259</v>
      </c>
      <c r="H1183" s="90" t="s">
        <v>467</v>
      </c>
      <c r="I1183" s="90" t="s">
        <v>1269</v>
      </c>
      <c r="J1183" s="90" t="s">
        <v>1393</v>
      </c>
      <c r="K1183" s="90" t="s">
        <v>578</v>
      </c>
      <c r="L1183" s="90"/>
      <c r="M1183" s="90"/>
      <c r="N1183" s="90"/>
      <c r="O1183" s="90"/>
      <c r="P1183" s="90"/>
      <c r="Q1183" s="90"/>
      <c r="R1183" s="90"/>
      <c r="S1183" s="90"/>
      <c r="T1183" s="90">
        <v>1</v>
      </c>
      <c r="U1183" s="90"/>
      <c r="V1183" s="90"/>
      <c r="W1183" s="90"/>
      <c r="X1183" s="90"/>
      <c r="Y1183" s="90"/>
      <c r="Z1183" s="90" t="s">
        <v>1344</v>
      </c>
      <c r="AA1183" s="91">
        <v>20</v>
      </c>
      <c r="AB1183" s="46">
        <f>IF(H2ProjectDB689571011[[#This Row],[Dummy_1]]="Electrolysis",
AA1183/VLOOKUP(G1183,ElectrolysisConvF,3,FALSE),
AC1183*10^6/(H2dens*HoursInYear))</f>
        <v>4444.4444444444443</v>
      </c>
      <c r="AC1183" s="47">
        <f t="shared" si="91"/>
        <v>3.4650666666666665</v>
      </c>
      <c r="AD1183" s="92"/>
      <c r="AE1183" s="92">
        <f t="shared" si="90"/>
        <v>4444.4444444444443</v>
      </c>
      <c r="AF1183" s="93" t="s">
        <v>4007</v>
      </c>
      <c r="AG1183" s="43">
        <v>42.175640000000001</v>
      </c>
      <c r="AH1183" s="43">
        <v>-121.807182</v>
      </c>
      <c r="AI1183" s="122" t="s">
        <v>7286</v>
      </c>
      <c r="AJ1183" s="41">
        <v>0.55000000000000004</v>
      </c>
    </row>
    <row r="1184" spans="1:36" ht="35.1" hidden="1" customHeight="1" x14ac:dyDescent="0.25">
      <c r="A1184" s="40">
        <v>1748</v>
      </c>
      <c r="B1184" s="90" t="s">
        <v>5953</v>
      </c>
      <c r="C1184" s="90" t="s">
        <v>530</v>
      </c>
      <c r="D1184" s="44">
        <v>2028</v>
      </c>
      <c r="E1184" s="44"/>
      <c r="F1184" s="90" t="s">
        <v>1331</v>
      </c>
      <c r="G1184" s="90" t="s">
        <v>457</v>
      </c>
      <c r="H1184" s="90"/>
      <c r="I1184" s="90" t="s">
        <v>1269</v>
      </c>
      <c r="J1184" s="90" t="s">
        <v>1391</v>
      </c>
      <c r="K1184" s="90" t="s">
        <v>578</v>
      </c>
      <c r="L1184" s="90"/>
      <c r="M1184" s="90"/>
      <c r="N1184" s="90"/>
      <c r="O1184" s="90"/>
      <c r="P1184" s="90"/>
      <c r="Q1184" s="90">
        <v>1</v>
      </c>
      <c r="R1184" s="90"/>
      <c r="S1184" s="90"/>
      <c r="T1184" s="90"/>
      <c r="U1184" s="90"/>
      <c r="V1184" s="90"/>
      <c r="W1184" s="90">
        <v>1</v>
      </c>
      <c r="X1184" s="90"/>
      <c r="Y1184" s="90"/>
      <c r="Z1184" s="90" t="s">
        <v>1487</v>
      </c>
      <c r="AA1184" s="91">
        <v>100</v>
      </c>
      <c r="AB1184" s="46">
        <f>IF(H2ProjectDB689571011[[#This Row],[Dummy_1]]="Electrolysis",
AA1184/VLOOKUP(G1184,ElectrolysisConvF,3,FALSE),
AC1184*10^6/(H2dens*HoursInYear))</f>
        <v>21739.130434782608</v>
      </c>
      <c r="AC1184" s="47">
        <f t="shared" si="91"/>
        <v>16.94869565217391</v>
      </c>
      <c r="AD1184" s="92"/>
      <c r="AE1184" s="92">
        <f t="shared" si="90"/>
        <v>21739.130434782608</v>
      </c>
      <c r="AF1184" s="93" t="s">
        <v>4012</v>
      </c>
      <c r="AG1184" s="43">
        <v>44.909393999999999</v>
      </c>
      <c r="AH1184" s="43">
        <v>-0.53684699999999996</v>
      </c>
      <c r="AI1184" s="122" t="s">
        <v>7286</v>
      </c>
      <c r="AJ1184" s="41">
        <v>0.3</v>
      </c>
    </row>
    <row r="1185" spans="1:36" ht="35.1" hidden="1" customHeight="1" x14ac:dyDescent="0.25">
      <c r="A1185" s="40">
        <v>1749</v>
      </c>
      <c r="B1185" s="90" t="s">
        <v>5954</v>
      </c>
      <c r="C1185" s="90" t="s">
        <v>530</v>
      </c>
      <c r="D1185" s="44">
        <v>2027</v>
      </c>
      <c r="E1185" s="44"/>
      <c r="F1185" s="90" t="s">
        <v>2222</v>
      </c>
      <c r="G1185" s="90" t="s">
        <v>1259</v>
      </c>
      <c r="H1185" s="90" t="s">
        <v>467</v>
      </c>
      <c r="I1185" s="90" t="s">
        <v>1257</v>
      </c>
      <c r="J1185" s="90"/>
      <c r="K1185" s="90" t="s">
        <v>578</v>
      </c>
      <c r="L1185" s="90"/>
      <c r="M1185" s="90"/>
      <c r="N1185" s="90"/>
      <c r="O1185" s="90"/>
      <c r="P1185" s="90"/>
      <c r="Q1185" s="90">
        <v>1</v>
      </c>
      <c r="R1185" s="90"/>
      <c r="S1185" s="90"/>
      <c r="T1185" s="90"/>
      <c r="U1185" s="90"/>
      <c r="V1185" s="90"/>
      <c r="W1185" s="90">
        <v>1</v>
      </c>
      <c r="X1185" s="90"/>
      <c r="Y1185" s="90"/>
      <c r="Z1185" s="90" t="s">
        <v>2773</v>
      </c>
      <c r="AA1185" s="91">
        <f>300-100</f>
        <v>200</v>
      </c>
      <c r="AB1185" s="46">
        <f>IF(H2ProjectDB689571011[[#This Row],[Dummy_1]]="Electrolysis",
AA1185/VLOOKUP(G1185,ElectrolysisConvF,3,FALSE),
AC1185*10^6/(H2dens*HoursInYear))</f>
        <v>44444.444444444445</v>
      </c>
      <c r="AC1185" s="47">
        <f t="shared" si="91"/>
        <v>34.650666666666666</v>
      </c>
      <c r="AD1185" s="92"/>
      <c r="AE1185" s="92">
        <f t="shared" si="90"/>
        <v>44444.444444444445</v>
      </c>
      <c r="AF1185" s="93" t="s">
        <v>4010</v>
      </c>
      <c r="AG1185" s="43">
        <v>44.909393999999999</v>
      </c>
      <c r="AH1185" s="43">
        <v>-0.53684699999999996</v>
      </c>
      <c r="AI1185" s="122" t="s">
        <v>7286</v>
      </c>
      <c r="AJ1185" s="41">
        <v>0.56999999999999995</v>
      </c>
    </row>
    <row r="1186" spans="1:36" ht="35.1" hidden="1" customHeight="1" x14ac:dyDescent="0.25">
      <c r="A1186" s="40">
        <v>1750</v>
      </c>
      <c r="B1186" s="90" t="s">
        <v>4013</v>
      </c>
      <c r="C1186" s="90" t="s">
        <v>530</v>
      </c>
      <c r="D1186" s="44">
        <v>2027</v>
      </c>
      <c r="E1186" s="44"/>
      <c r="F1186" s="90" t="s">
        <v>1331</v>
      </c>
      <c r="G1186" s="90" t="s">
        <v>457</v>
      </c>
      <c r="H1186" s="90"/>
      <c r="I1186" s="90" t="s">
        <v>5700</v>
      </c>
      <c r="J1186" s="90"/>
      <c r="K1186" s="90" t="s">
        <v>578</v>
      </c>
      <c r="L1186" s="90"/>
      <c r="M1186" s="90"/>
      <c r="N1186" s="90"/>
      <c r="O1186" s="90"/>
      <c r="P1186" s="90"/>
      <c r="Q1186" s="90"/>
      <c r="R1186" s="90"/>
      <c r="S1186" s="90"/>
      <c r="T1186" s="90"/>
      <c r="U1186" s="90"/>
      <c r="V1186" s="90">
        <v>1</v>
      </c>
      <c r="W1186" s="90"/>
      <c r="X1186" s="90"/>
      <c r="Y1186" s="90"/>
      <c r="Z1186" s="90" t="s">
        <v>3527</v>
      </c>
      <c r="AA1186" s="91">
        <v>120</v>
      </c>
      <c r="AB1186" s="46">
        <f>IF(H2ProjectDB689571011[[#This Row],[Dummy_1]]="Electrolysis",
AA1186/VLOOKUP(G1186,ElectrolysisConvF,3,FALSE),
AC1186*10^6/(H2dens*HoursInYear))</f>
        <v>26086.956521739132</v>
      </c>
      <c r="AC1186" s="47">
        <f t="shared" si="91"/>
        <v>20.338434782608694</v>
      </c>
      <c r="AD1186" s="92"/>
      <c r="AE1186" s="92">
        <f t="shared" si="90"/>
        <v>26086.956521739132</v>
      </c>
      <c r="AF1186" s="93" t="s">
        <v>4015</v>
      </c>
      <c r="AG1186" s="43">
        <v>43.3997339476077</v>
      </c>
      <c r="AH1186" s="43">
        <v>5.1017603232962303</v>
      </c>
      <c r="AI1186" s="122" t="s">
        <v>7286</v>
      </c>
      <c r="AJ1186" s="41">
        <v>0.7</v>
      </c>
    </row>
    <row r="1187" spans="1:36" ht="35.1" hidden="1" customHeight="1" x14ac:dyDescent="0.25">
      <c r="A1187" s="40">
        <v>1751</v>
      </c>
      <c r="B1187" s="90" t="s">
        <v>5968</v>
      </c>
      <c r="C1187" s="90" t="s">
        <v>530</v>
      </c>
      <c r="D1187" s="44">
        <v>2025</v>
      </c>
      <c r="E1187" s="44"/>
      <c r="F1187" s="90" t="s">
        <v>5701</v>
      </c>
      <c r="G1187" s="90" t="s">
        <v>1259</v>
      </c>
      <c r="H1187" s="90" t="s">
        <v>467</v>
      </c>
      <c r="I1187" s="90" t="s">
        <v>1257</v>
      </c>
      <c r="J1187" s="90"/>
      <c r="K1187" s="90" t="s">
        <v>578</v>
      </c>
      <c r="L1187" s="90"/>
      <c r="M1187" s="90"/>
      <c r="N1187" s="90"/>
      <c r="O1187" s="90"/>
      <c r="P1187" s="90"/>
      <c r="Q1187" s="90"/>
      <c r="R1187" s="90"/>
      <c r="S1187" s="90"/>
      <c r="T1187" s="90"/>
      <c r="U1187" s="90"/>
      <c r="V1187" s="90"/>
      <c r="W1187" s="90"/>
      <c r="X1187" s="90"/>
      <c r="Y1187" s="90"/>
      <c r="Z1187" s="40" t="s">
        <v>1377</v>
      </c>
      <c r="AA1187" s="91">
        <v>4</v>
      </c>
      <c r="AB1187" s="46">
        <f>IF(H2ProjectDB689571011[[#This Row],[Dummy_1]]="Electrolysis",
AA1187/VLOOKUP(G1187,ElectrolysisConvF,3,FALSE),
AC1187*10^6/(H2dens*HoursInYear))</f>
        <v>888.88888888888891</v>
      </c>
      <c r="AC1187" s="47">
        <f t="shared" si="91"/>
        <v>0.69301333333333337</v>
      </c>
      <c r="AD1187" s="92"/>
      <c r="AE1187" s="92">
        <f t="shared" si="90"/>
        <v>888.88888888888891</v>
      </c>
      <c r="AF1187" s="43" t="s">
        <v>4540</v>
      </c>
      <c r="AG1187" s="43">
        <v>47.505298309614197</v>
      </c>
      <c r="AH1187" s="43">
        <v>0.36431417864756899</v>
      </c>
      <c r="AI1187" s="122" t="s">
        <v>7286</v>
      </c>
      <c r="AJ1187" s="41">
        <v>0.56999999999999995</v>
      </c>
    </row>
    <row r="1188" spans="1:36" ht="35.1" hidden="1" customHeight="1" x14ac:dyDescent="0.25">
      <c r="A1188" s="40">
        <v>1752</v>
      </c>
      <c r="B1188" s="40" t="s">
        <v>5973</v>
      </c>
      <c r="C1188" s="90" t="s">
        <v>530</v>
      </c>
      <c r="D1188" s="44">
        <v>2024</v>
      </c>
      <c r="E1188" s="90"/>
      <c r="F1188" s="90" t="s">
        <v>1339</v>
      </c>
      <c r="G1188" s="90" t="s">
        <v>457</v>
      </c>
      <c r="H1188" s="90"/>
      <c r="I1188" s="90" t="s">
        <v>1266</v>
      </c>
      <c r="J1188" s="90"/>
      <c r="K1188" s="90" t="s">
        <v>578</v>
      </c>
      <c r="L1188" s="90"/>
      <c r="M1188" s="90"/>
      <c r="N1188" s="90"/>
      <c r="O1188" s="90"/>
      <c r="P1188" s="90"/>
      <c r="Q1188" s="90">
        <v>1</v>
      </c>
      <c r="R1188" s="90"/>
      <c r="S1188" s="90"/>
      <c r="T1188" s="90"/>
      <c r="U1188" s="90"/>
      <c r="V1188" s="90"/>
      <c r="W1188" s="90"/>
      <c r="X1188" s="90"/>
      <c r="Y1188" s="90"/>
      <c r="Z1188" s="90" t="s">
        <v>1372</v>
      </c>
      <c r="AA1188" s="91">
        <v>1</v>
      </c>
      <c r="AB1188" s="46">
        <f>IF(H2ProjectDB689571011[[#This Row],[Dummy_1]]="Electrolysis",
AA1188/VLOOKUP(G1188,ElectrolysisConvF,3,FALSE),
AC1188*10^6/(H2dens*HoursInYear))</f>
        <v>217.39130434782609</v>
      </c>
      <c r="AC1188" s="47">
        <f t="shared" si="91"/>
        <v>0.16948695652173912</v>
      </c>
      <c r="AD1188" s="92"/>
      <c r="AE1188" s="92">
        <f t="shared" si="90"/>
        <v>217.39130434782609</v>
      </c>
      <c r="AF1188" s="43" t="s">
        <v>8038</v>
      </c>
      <c r="AG1188" s="43">
        <v>47.319832054000003</v>
      </c>
      <c r="AH1188" s="43">
        <v>5.0381665140000003</v>
      </c>
      <c r="AI1188" s="122" t="s">
        <v>7286</v>
      </c>
      <c r="AJ1188" s="41">
        <v>0.56999999999999995</v>
      </c>
    </row>
    <row r="1189" spans="1:36" ht="35.1" hidden="1" customHeight="1" x14ac:dyDescent="0.25">
      <c r="A1189" s="40">
        <v>1753</v>
      </c>
      <c r="B1189" s="90" t="s">
        <v>4018</v>
      </c>
      <c r="C1189" s="90" t="s">
        <v>542</v>
      </c>
      <c r="D1189" s="44">
        <v>2024</v>
      </c>
      <c r="E1189" s="44"/>
      <c r="F1189" s="90" t="s">
        <v>1257</v>
      </c>
      <c r="G1189" s="90" t="s">
        <v>455</v>
      </c>
      <c r="H1189" s="90"/>
      <c r="I1189" s="90" t="s">
        <v>1269</v>
      </c>
      <c r="J1189" s="90" t="s">
        <v>1392</v>
      </c>
      <c r="K1189" s="90" t="s">
        <v>578</v>
      </c>
      <c r="L1189" s="90"/>
      <c r="M1189" s="90"/>
      <c r="N1189" s="90"/>
      <c r="O1189" s="90">
        <v>1</v>
      </c>
      <c r="P1189" s="90"/>
      <c r="Q1189" s="90">
        <v>1</v>
      </c>
      <c r="R1189" s="90"/>
      <c r="S1189" s="90"/>
      <c r="T1189" s="90"/>
      <c r="U1189" s="90"/>
      <c r="V1189" s="90"/>
      <c r="W1189" s="90"/>
      <c r="X1189" s="90"/>
      <c r="Y1189" s="90"/>
      <c r="Z1189" s="90" t="s">
        <v>3853</v>
      </c>
      <c r="AA1189" s="91">
        <v>50</v>
      </c>
      <c r="AB1189" s="46">
        <f>IF(H2ProjectDB689571011[[#This Row],[Dummy_1]]="Electrolysis",
AA1189/VLOOKUP(G1189,ElectrolysisConvF,3,FALSE),
AC1189*10^6/(H2dens*HoursInYear))</f>
        <v>9615.3846153846152</v>
      </c>
      <c r="AC1189" s="47">
        <f t="shared" si="91"/>
        <v>7.4965384615384609</v>
      </c>
      <c r="AD1189" s="92"/>
      <c r="AE1189" s="92">
        <f t="shared" si="90"/>
        <v>9615.3846153846152</v>
      </c>
      <c r="AF1189" s="93" t="s">
        <v>4020</v>
      </c>
      <c r="AG1189" s="43">
        <v>51.770307975388697</v>
      </c>
      <c r="AH1189" s="43">
        <v>-3.5346607882901502</v>
      </c>
      <c r="AI1189" s="122" t="s">
        <v>7286</v>
      </c>
      <c r="AJ1189" s="41">
        <v>0.4</v>
      </c>
    </row>
    <row r="1190" spans="1:36" ht="35.1" hidden="1" customHeight="1" x14ac:dyDescent="0.25">
      <c r="A1190" s="40">
        <v>1754</v>
      </c>
      <c r="B1190" s="90" t="s">
        <v>4021</v>
      </c>
      <c r="C1190" s="90" t="s">
        <v>542</v>
      </c>
      <c r="D1190" s="44">
        <v>2025</v>
      </c>
      <c r="E1190" s="44"/>
      <c r="F1190" s="90" t="s">
        <v>1331</v>
      </c>
      <c r="G1190" s="90" t="s">
        <v>455</v>
      </c>
      <c r="H1190" s="90"/>
      <c r="I1190" s="90" t="s">
        <v>1257</v>
      </c>
      <c r="J1190" s="90"/>
      <c r="K1190" s="90" t="s">
        <v>578</v>
      </c>
      <c r="L1190" s="90"/>
      <c r="M1190" s="90"/>
      <c r="N1190" s="90"/>
      <c r="O1190" s="90"/>
      <c r="P1190" s="90"/>
      <c r="Q1190" s="90">
        <v>1</v>
      </c>
      <c r="R1190" s="90"/>
      <c r="S1190" s="90"/>
      <c r="T1190" s="90"/>
      <c r="U1190" s="90"/>
      <c r="V1190" s="90"/>
      <c r="W1190" s="90">
        <v>1</v>
      </c>
      <c r="X1190" s="90"/>
      <c r="Y1190" s="90"/>
      <c r="Z1190" s="90" t="s">
        <v>1344</v>
      </c>
      <c r="AA1190" s="91">
        <v>20</v>
      </c>
      <c r="AB1190" s="46">
        <f>IF(H2ProjectDB689571011[[#This Row],[Dummy_1]]="Electrolysis",
AA1190/VLOOKUP(G1190,ElectrolysisConvF,3,FALSE),
AC1190*10^6/(H2dens*HoursInYear))</f>
        <v>3846.1538461538462</v>
      </c>
      <c r="AC1190" s="47">
        <f t="shared" si="91"/>
        <v>2.9986153846153845</v>
      </c>
      <c r="AD1190" s="92"/>
      <c r="AE1190" s="92">
        <f t="shared" si="90"/>
        <v>3846.1538461538462</v>
      </c>
      <c r="AF1190" s="93" t="s">
        <v>4023</v>
      </c>
      <c r="AG1190" s="43">
        <v>53.627699999999997</v>
      </c>
      <c r="AH1190" s="43">
        <v>-0.1918</v>
      </c>
      <c r="AI1190" s="122" t="s">
        <v>7286</v>
      </c>
      <c r="AJ1190" s="41">
        <v>0.56999999999999995</v>
      </c>
    </row>
    <row r="1191" spans="1:36" ht="35.1" hidden="1" customHeight="1" x14ac:dyDescent="0.25">
      <c r="A1191" s="40">
        <v>1755</v>
      </c>
      <c r="B1191" s="40" t="s">
        <v>4024</v>
      </c>
      <c r="C1191" s="90" t="s">
        <v>542</v>
      </c>
      <c r="D1191" s="44">
        <v>2030</v>
      </c>
      <c r="E1191" s="44"/>
      <c r="F1191" s="90" t="s">
        <v>1331</v>
      </c>
      <c r="G1191" s="90" t="s">
        <v>1259</v>
      </c>
      <c r="H1191" s="90" t="s">
        <v>467</v>
      </c>
      <c r="I1191" s="90" t="s">
        <v>1269</v>
      </c>
      <c r="J1191" s="90" t="s">
        <v>1393</v>
      </c>
      <c r="K1191" s="90" t="s">
        <v>1243</v>
      </c>
      <c r="L1191" s="90"/>
      <c r="M1191" s="90">
        <v>1</v>
      </c>
      <c r="N1191" s="90"/>
      <c r="O1191" s="90"/>
      <c r="P1191" s="90"/>
      <c r="Q1191" s="90"/>
      <c r="R1191" s="90"/>
      <c r="S1191" s="90"/>
      <c r="T1191" s="90"/>
      <c r="U1191" s="90"/>
      <c r="V1191" s="90"/>
      <c r="W1191" s="90"/>
      <c r="X1191" s="90"/>
      <c r="Y1191" s="90"/>
      <c r="Z1191" s="90" t="s">
        <v>4025</v>
      </c>
      <c r="AA1191" s="91">
        <v>12.9</v>
      </c>
      <c r="AB1191" s="46">
        <f>IF(H2ProjectDB689571011[[#This Row],[Dummy_1]]="Electrolysis",
AA1191/VLOOKUP(G1191,ElectrolysisConvF,3,FALSE),
AC1191*10^6/(H2dens*HoursInYear))</f>
        <v>2866.666666666667</v>
      </c>
      <c r="AC1191" s="47">
        <f t="shared" si="91"/>
        <v>2.2349679999999998</v>
      </c>
      <c r="AD1191" s="92"/>
      <c r="AE1191" s="92">
        <f t="shared" si="90"/>
        <v>2866.666666666667</v>
      </c>
      <c r="AF1191" s="43" t="s">
        <v>8584</v>
      </c>
      <c r="AG1191" s="43">
        <v>59.098865123510301</v>
      </c>
      <c r="AH1191" s="43">
        <v>-3.0742360934417801</v>
      </c>
      <c r="AI1191" s="122" t="s">
        <v>7286</v>
      </c>
      <c r="AJ1191" s="41">
        <v>0.55000000000000004</v>
      </c>
    </row>
    <row r="1192" spans="1:36" ht="35.1" hidden="1" customHeight="1" x14ac:dyDescent="0.25">
      <c r="A1192" s="40">
        <v>1756</v>
      </c>
      <c r="B1192" s="90" t="s">
        <v>4027</v>
      </c>
      <c r="C1192" s="90" t="s">
        <v>1764</v>
      </c>
      <c r="D1192" s="90"/>
      <c r="E1192" s="90"/>
      <c r="F1192" s="90" t="s">
        <v>2222</v>
      </c>
      <c r="G1192" s="90" t="s">
        <v>1259</v>
      </c>
      <c r="H1192" s="90" t="s">
        <v>467</v>
      </c>
      <c r="I1192" s="90" t="s">
        <v>1257</v>
      </c>
      <c r="J1192" s="90"/>
      <c r="K1192" s="90" t="s">
        <v>578</v>
      </c>
      <c r="L1192" s="90"/>
      <c r="M1192" s="90"/>
      <c r="N1192" s="90"/>
      <c r="O1192" s="90"/>
      <c r="P1192" s="90">
        <v>1</v>
      </c>
      <c r="Q1192" s="90">
        <v>1</v>
      </c>
      <c r="R1192" s="90"/>
      <c r="S1192" s="90"/>
      <c r="T1192" s="90"/>
      <c r="U1192" s="90"/>
      <c r="V1192" s="90"/>
      <c r="W1192" s="90"/>
      <c r="X1192" s="90"/>
      <c r="Y1192" s="90"/>
      <c r="Z1192" s="90" t="s">
        <v>1436</v>
      </c>
      <c r="AA1192" s="91">
        <v>5</v>
      </c>
      <c r="AB1192" s="46">
        <f>IF(H2ProjectDB689571011[[#This Row],[Dummy_1]]="Electrolysis",
AA1192/VLOOKUP(G1192,ElectrolysisConvF,3,FALSE),
AC1192*10^6/(H2dens*HoursInYear))</f>
        <v>1111.1111111111111</v>
      </c>
      <c r="AC1192" s="47">
        <f t="shared" si="91"/>
        <v>0.86626666666666663</v>
      </c>
      <c r="AD1192" s="92"/>
      <c r="AE1192" s="92">
        <f t="shared" si="90"/>
        <v>1111.1111111111111</v>
      </c>
      <c r="AF1192" s="93" t="s">
        <v>4032</v>
      </c>
      <c r="AG1192" s="43">
        <v>41.118945875490603</v>
      </c>
      <c r="AH1192" s="43">
        <v>1.24338923261384</v>
      </c>
      <c r="AI1192" s="122" t="s">
        <v>7286</v>
      </c>
      <c r="AJ1192" s="41">
        <v>0.56999999999999995</v>
      </c>
    </row>
    <row r="1193" spans="1:36" ht="35.1" hidden="1" customHeight="1" x14ac:dyDescent="0.25">
      <c r="A1193" s="40">
        <v>1757</v>
      </c>
      <c r="B1193" s="90" t="s">
        <v>4028</v>
      </c>
      <c r="C1193" s="90" t="s">
        <v>1764</v>
      </c>
      <c r="D1193" s="90"/>
      <c r="E1193" s="90"/>
      <c r="F1193" s="90" t="s">
        <v>2222</v>
      </c>
      <c r="G1193" s="90" t="s">
        <v>1259</v>
      </c>
      <c r="H1193" s="90" t="s">
        <v>467</v>
      </c>
      <c r="I1193" s="90" t="s">
        <v>1257</v>
      </c>
      <c r="J1193" s="90"/>
      <c r="K1193" s="90" t="s">
        <v>578</v>
      </c>
      <c r="L1193" s="90"/>
      <c r="M1193" s="90"/>
      <c r="N1193" s="90"/>
      <c r="O1193" s="90"/>
      <c r="P1193" s="90">
        <v>1</v>
      </c>
      <c r="Q1193" s="90">
        <v>1</v>
      </c>
      <c r="R1193" s="90"/>
      <c r="S1193" s="90"/>
      <c r="T1193" s="90"/>
      <c r="U1193" s="90"/>
      <c r="V1193" s="90"/>
      <c r="W1193" s="90"/>
      <c r="X1193" s="90"/>
      <c r="Y1193" s="90"/>
      <c r="Z1193" s="90" t="s">
        <v>3853</v>
      </c>
      <c r="AA1193" s="91">
        <f>50-5</f>
        <v>45</v>
      </c>
      <c r="AB1193" s="46">
        <f>IF(H2ProjectDB689571011[[#This Row],[Dummy_1]]="Electrolysis",
AA1193/VLOOKUP(G1193,ElectrolysisConvF,3,FALSE),
AC1193*10^6/(H2dens*HoursInYear))</f>
        <v>10000</v>
      </c>
      <c r="AC1193" s="47">
        <f t="shared" si="91"/>
        <v>7.7964000000000002</v>
      </c>
      <c r="AD1193" s="92"/>
      <c r="AE1193" s="92">
        <f t="shared" si="90"/>
        <v>10000</v>
      </c>
      <c r="AF1193" s="93" t="s">
        <v>4032</v>
      </c>
      <c r="AG1193" s="43">
        <v>41.118945875490603</v>
      </c>
      <c r="AH1193" s="43">
        <v>1.24338923261384</v>
      </c>
      <c r="AI1193" s="122" t="s">
        <v>7286</v>
      </c>
      <c r="AJ1193" s="41">
        <v>0.56999999999999995</v>
      </c>
    </row>
    <row r="1194" spans="1:36" ht="35.1" hidden="1" customHeight="1" x14ac:dyDescent="0.25">
      <c r="A1194" s="40">
        <v>1758</v>
      </c>
      <c r="B1194" s="90" t="s">
        <v>4029</v>
      </c>
      <c r="C1194" s="90" t="s">
        <v>1764</v>
      </c>
      <c r="D1194" s="90"/>
      <c r="E1194" s="90"/>
      <c r="F1194" s="90" t="s">
        <v>2222</v>
      </c>
      <c r="G1194" s="90" t="s">
        <v>1259</v>
      </c>
      <c r="H1194" s="90" t="s">
        <v>467</v>
      </c>
      <c r="I1194" s="90" t="s">
        <v>1257</v>
      </c>
      <c r="J1194" s="90"/>
      <c r="K1194" s="90" t="s">
        <v>578</v>
      </c>
      <c r="L1194" s="90"/>
      <c r="M1194" s="90"/>
      <c r="N1194" s="90"/>
      <c r="O1194" s="90"/>
      <c r="P1194" s="90">
        <v>1</v>
      </c>
      <c r="Q1194" s="90">
        <v>1</v>
      </c>
      <c r="R1194" s="90"/>
      <c r="S1194" s="90"/>
      <c r="T1194" s="90"/>
      <c r="U1194" s="90"/>
      <c r="V1194" s="90"/>
      <c r="W1194" s="90"/>
      <c r="X1194" s="90"/>
      <c r="Y1194" s="90"/>
      <c r="Z1194" s="90" t="s">
        <v>4030</v>
      </c>
      <c r="AA1194" s="91">
        <f>70-50</f>
        <v>20</v>
      </c>
      <c r="AB1194" s="46">
        <f>IF(H2ProjectDB689571011[[#This Row],[Dummy_1]]="Electrolysis",
AA1194/VLOOKUP(G1194,ElectrolysisConvF,3,FALSE),
AC1194*10^6/(H2dens*HoursInYear))</f>
        <v>4444.4444444444443</v>
      </c>
      <c r="AC1194" s="47">
        <f t="shared" si="91"/>
        <v>3.4650666666666665</v>
      </c>
      <c r="AD1194" s="92"/>
      <c r="AE1194" s="92">
        <f t="shared" si="90"/>
        <v>4444.4444444444443</v>
      </c>
      <c r="AF1194" s="93" t="s">
        <v>4032</v>
      </c>
      <c r="AG1194" s="43">
        <v>41.118945875490603</v>
      </c>
      <c r="AH1194" s="43">
        <v>1.24338923261384</v>
      </c>
      <c r="AI1194" s="122" t="s">
        <v>7286</v>
      </c>
      <c r="AJ1194" s="41">
        <v>0.56999999999999995</v>
      </c>
    </row>
    <row r="1195" spans="1:36" ht="35.1" hidden="1" customHeight="1" x14ac:dyDescent="0.25">
      <c r="A1195" s="40">
        <v>1759</v>
      </c>
      <c r="B1195" s="90" t="s">
        <v>4033</v>
      </c>
      <c r="C1195" s="90" t="s">
        <v>539</v>
      </c>
      <c r="D1195" s="44">
        <v>2024</v>
      </c>
      <c r="E1195" s="44"/>
      <c r="F1195" s="90" t="s">
        <v>1339</v>
      </c>
      <c r="G1195" s="90" t="s">
        <v>455</v>
      </c>
      <c r="H1195" s="90"/>
      <c r="I1195" s="90" t="s">
        <v>1269</v>
      </c>
      <c r="J1195" s="90" t="s">
        <v>581</v>
      </c>
      <c r="K1195" s="90" t="s">
        <v>578</v>
      </c>
      <c r="L1195" s="90"/>
      <c r="M1195" s="90"/>
      <c r="N1195" s="90"/>
      <c r="O1195" s="90"/>
      <c r="P1195" s="90">
        <v>1</v>
      </c>
      <c r="Q1195" s="90"/>
      <c r="R1195" s="90"/>
      <c r="S1195" s="90"/>
      <c r="T1195" s="90"/>
      <c r="U1195" s="90"/>
      <c r="V1195" s="90"/>
      <c r="W1195" s="90"/>
      <c r="X1195" s="90"/>
      <c r="Y1195" s="90"/>
      <c r="Z1195" s="90" t="s">
        <v>1348</v>
      </c>
      <c r="AA1195" s="91">
        <v>10</v>
      </c>
      <c r="AB1195" s="46">
        <f>IF(H2ProjectDB689571011[[#This Row],[Dummy_1]]="Electrolysis",
AA1195/VLOOKUP(G1195,ElectrolysisConvF,3,FALSE),
AC1195*10^6/(H2dens*HoursInYear))</f>
        <v>1923.0769230769231</v>
      </c>
      <c r="AC1195" s="47">
        <f t="shared" si="91"/>
        <v>1.4993076923076922</v>
      </c>
      <c r="AD1195" s="92"/>
      <c r="AE1195" s="92">
        <f t="shared" si="90"/>
        <v>1923.0769230769231</v>
      </c>
      <c r="AF1195" s="43" t="s">
        <v>7494</v>
      </c>
      <c r="AG1195" s="43">
        <v>23.473324000000002</v>
      </c>
      <c r="AH1195" s="43">
        <v>77.947997999999998</v>
      </c>
      <c r="AI1195" s="122" t="s">
        <v>7286</v>
      </c>
      <c r="AJ1195" s="41">
        <v>0.5</v>
      </c>
    </row>
    <row r="1196" spans="1:36" ht="35.1" hidden="1" customHeight="1" x14ac:dyDescent="0.25">
      <c r="A1196" s="40">
        <v>1760</v>
      </c>
      <c r="B1196" s="40" t="s">
        <v>3993</v>
      </c>
      <c r="C1196" s="40" t="s">
        <v>537</v>
      </c>
      <c r="D1196" s="44">
        <v>2025</v>
      </c>
      <c r="E1196" s="44"/>
      <c r="F1196" s="90" t="s">
        <v>5701</v>
      </c>
      <c r="G1196" s="90" t="s">
        <v>1259</v>
      </c>
      <c r="H1196" s="40" t="s">
        <v>1666</v>
      </c>
      <c r="I1196" s="90" t="s">
        <v>1269</v>
      </c>
      <c r="J1196" s="90" t="s">
        <v>1395</v>
      </c>
      <c r="K1196" s="90" t="s">
        <v>578</v>
      </c>
      <c r="L1196" s="90"/>
      <c r="M1196" s="90"/>
      <c r="N1196" s="90"/>
      <c r="O1196" s="90">
        <v>1</v>
      </c>
      <c r="P1196" s="90"/>
      <c r="Q1196" s="90">
        <v>1</v>
      </c>
      <c r="R1196" s="90"/>
      <c r="S1196" s="90"/>
      <c r="T1196" s="90"/>
      <c r="U1196" s="90"/>
      <c r="V1196" s="90"/>
      <c r="W1196" s="90"/>
      <c r="X1196" s="90"/>
      <c r="Y1196" s="90"/>
      <c r="Z1196" s="40" t="s">
        <v>6995</v>
      </c>
      <c r="AA1196" s="92">
        <f>IF(H2ProjectDB689571011[[#This Row],[Dummy_1]]="Electrolysis",
AB1196*VLOOKUP(G1196,ElectrolysisConvF,3,FALSE),
"")</f>
        <v>53.999999999999993</v>
      </c>
      <c r="AB1196" s="92">
        <v>12000</v>
      </c>
      <c r="AC1196" s="92">
        <f t="shared" si="91"/>
        <v>9.3556799999999996</v>
      </c>
      <c r="AD1196" s="92"/>
      <c r="AE1196" s="92">
        <f t="shared" si="90"/>
        <v>12000</v>
      </c>
      <c r="AF1196" s="93"/>
      <c r="AG1196" s="43">
        <v>40.664398954615798</v>
      </c>
      <c r="AH1196" s="43">
        <v>109.84298384509</v>
      </c>
      <c r="AI1196" s="122" t="s">
        <v>7286</v>
      </c>
      <c r="AJ1196" s="41">
        <v>0.5</v>
      </c>
    </row>
    <row r="1197" spans="1:36" ht="35.1" hidden="1" customHeight="1" x14ac:dyDescent="0.25">
      <c r="A1197" s="40">
        <v>1761</v>
      </c>
      <c r="B1197" s="40" t="s">
        <v>4541</v>
      </c>
      <c r="C1197" s="40" t="s">
        <v>537</v>
      </c>
      <c r="D1197" s="44">
        <v>2023</v>
      </c>
      <c r="F1197" s="40" t="s">
        <v>1339</v>
      </c>
      <c r="G1197" s="40" t="s">
        <v>1259</v>
      </c>
      <c r="H1197" s="40" t="s">
        <v>1666</v>
      </c>
      <c r="I1197" s="40" t="s">
        <v>1269</v>
      </c>
      <c r="J1197" s="40" t="s">
        <v>1391</v>
      </c>
      <c r="K1197" s="40" t="s">
        <v>578</v>
      </c>
      <c r="P1197" s="40">
        <v>1</v>
      </c>
      <c r="Z1197" s="40" t="s">
        <v>7482</v>
      </c>
      <c r="AA1197" s="47">
        <f>IF(H2ProjectDB689571011[[#This Row],[Dummy_1]]="Electrolysis",
AB1197*VLOOKUP(G1197,ElectrolysisConvF,3,FALSE),
"")</f>
        <v>12.12097891334462</v>
      </c>
      <c r="AB1197" s="46">
        <f>AC1197/(H2dens*HoursInYear/10^6)</f>
        <v>2693.5508696321381</v>
      </c>
      <c r="AC1197" s="46">
        <v>2.1</v>
      </c>
      <c r="AE1197" s="46">
        <f t="shared" si="90"/>
        <v>2693.5508696321381</v>
      </c>
      <c r="AF1197" s="43" t="s">
        <v>4542</v>
      </c>
      <c r="AG1197" s="43">
        <v>40.2369739874703</v>
      </c>
      <c r="AH1197" s="43">
        <v>97.542628572963295</v>
      </c>
      <c r="AI1197" s="122" t="s">
        <v>7286</v>
      </c>
      <c r="AJ1197" s="41">
        <v>0.3</v>
      </c>
    </row>
    <row r="1198" spans="1:36" ht="35.1" hidden="1" customHeight="1" x14ac:dyDescent="0.25">
      <c r="A1198" s="40">
        <v>1762</v>
      </c>
      <c r="B1198" s="40" t="s">
        <v>4035</v>
      </c>
      <c r="C1198" s="40" t="s">
        <v>537</v>
      </c>
      <c r="D1198" s="90"/>
      <c r="E1198" s="90"/>
      <c r="F1198" s="90" t="s">
        <v>2222</v>
      </c>
      <c r="G1198" s="90" t="s">
        <v>457</v>
      </c>
      <c r="H1198" s="90"/>
      <c r="I1198" s="90" t="s">
        <v>1269</v>
      </c>
      <c r="J1198" s="90" t="s">
        <v>1391</v>
      </c>
      <c r="K1198" s="90" t="s">
        <v>578</v>
      </c>
      <c r="L1198" s="90"/>
      <c r="M1198" s="90"/>
      <c r="N1198" s="90"/>
      <c r="O1198" s="90"/>
      <c r="P1198" s="90"/>
      <c r="Q1198" s="90"/>
      <c r="R1198" s="90"/>
      <c r="S1198" s="90"/>
      <c r="T1198" s="90"/>
      <c r="U1198" s="90"/>
      <c r="V1198" s="90"/>
      <c r="W1198" s="90"/>
      <c r="X1198" s="90"/>
      <c r="Y1198" s="90"/>
      <c r="Z1198" s="40" t="s">
        <v>3853</v>
      </c>
      <c r="AA1198" s="91">
        <v>50</v>
      </c>
      <c r="AB1198" s="46">
        <f>IF(H2ProjectDB689571011[[#This Row],[Dummy_1]]="Electrolysis",
AA1198/VLOOKUP(G1198,ElectrolysisConvF,3,FALSE),
AC1198*10^6/(H2dens*HoursInYear))</f>
        <v>10869.565217391304</v>
      </c>
      <c r="AC1198" s="47">
        <f>AB1198*H2dens*HoursInYear/10^6</f>
        <v>8.4743478260869551</v>
      </c>
      <c r="AD1198" s="92"/>
      <c r="AE1198" s="92">
        <f t="shared" si="90"/>
        <v>10869.565217391304</v>
      </c>
      <c r="AF1198" s="93"/>
      <c r="AG1198" s="43">
        <v>36.066898000000002</v>
      </c>
      <c r="AH1198" s="43">
        <v>120.382698</v>
      </c>
      <c r="AI1198" s="122" t="s">
        <v>7286</v>
      </c>
      <c r="AJ1198" s="41">
        <v>0.3</v>
      </c>
    </row>
    <row r="1199" spans="1:36" ht="35.1" hidden="1" customHeight="1" x14ac:dyDescent="0.25">
      <c r="A1199" s="40">
        <v>1764</v>
      </c>
      <c r="B1199" s="90" t="s">
        <v>4037</v>
      </c>
      <c r="C1199" s="40" t="s">
        <v>539</v>
      </c>
      <c r="D1199" s="44">
        <v>2030</v>
      </c>
      <c r="E1199" s="44"/>
      <c r="F1199" s="90" t="s">
        <v>2222</v>
      </c>
      <c r="G1199" s="90" t="s">
        <v>1259</v>
      </c>
      <c r="H1199" s="90" t="s">
        <v>467</v>
      </c>
      <c r="I1199" s="90" t="s">
        <v>1269</v>
      </c>
      <c r="J1199" s="90" t="s">
        <v>1395</v>
      </c>
      <c r="K1199" s="90" t="s">
        <v>1243</v>
      </c>
      <c r="L1199" s="90"/>
      <c r="M1199" s="90">
        <v>1</v>
      </c>
      <c r="N1199" s="90"/>
      <c r="O1199" s="90"/>
      <c r="P1199" s="90"/>
      <c r="Q1199" s="90"/>
      <c r="R1199" s="90"/>
      <c r="S1199" s="90"/>
      <c r="T1199" s="90"/>
      <c r="U1199" s="90"/>
      <c r="V1199" s="90"/>
      <c r="W1199" s="90"/>
      <c r="X1199" s="90"/>
      <c r="Y1199" s="90"/>
      <c r="Z1199" s="90" t="s">
        <v>4036</v>
      </c>
      <c r="AA1199" s="91">
        <v>2000</v>
      </c>
      <c r="AB1199" s="46">
        <f>IF(H2ProjectDB689571011[[#This Row],[Dummy_1]]="Electrolysis",
AA1199/VLOOKUP(G1199,ElectrolysisConvF,3,FALSE),
AC1199*10^6/(H2dens*HoursInYear))</f>
        <v>444444.4444444445</v>
      </c>
      <c r="AC1199" s="47">
        <f>AB1199*H2dens*HoursInYear/10^6</f>
        <v>346.50666666666666</v>
      </c>
      <c r="AD1199" s="92"/>
      <c r="AE1199" s="92">
        <f t="shared" si="90"/>
        <v>444444.4444444445</v>
      </c>
      <c r="AF1199" s="93"/>
      <c r="AG1199" s="43">
        <v>0</v>
      </c>
      <c r="AH1199" s="43">
        <v>0</v>
      </c>
      <c r="AI1199" s="122" t="s">
        <v>7286</v>
      </c>
      <c r="AJ1199" s="41">
        <v>0.5</v>
      </c>
    </row>
    <row r="1200" spans="1:36" ht="35.1" hidden="1" customHeight="1" x14ac:dyDescent="0.25">
      <c r="A1200" s="40">
        <v>1765</v>
      </c>
      <c r="B1200" s="90" t="s">
        <v>4039</v>
      </c>
      <c r="C1200" s="40" t="s">
        <v>1305</v>
      </c>
      <c r="D1200" s="44">
        <v>2025</v>
      </c>
      <c r="E1200" s="44"/>
      <c r="F1200" s="90" t="s">
        <v>1331</v>
      </c>
      <c r="G1200" s="90" t="s">
        <v>457</v>
      </c>
      <c r="H1200" s="90"/>
      <c r="I1200" s="90" t="s">
        <v>1269</v>
      </c>
      <c r="J1200" s="90" t="s">
        <v>1395</v>
      </c>
      <c r="K1200" s="90" t="s">
        <v>578</v>
      </c>
      <c r="L1200" s="90"/>
      <c r="M1200" s="90"/>
      <c r="N1200" s="90"/>
      <c r="O1200" s="90"/>
      <c r="P1200" s="90">
        <v>1</v>
      </c>
      <c r="Q1200" s="90">
        <v>1</v>
      </c>
      <c r="R1200" s="90"/>
      <c r="S1200" s="90"/>
      <c r="T1200" s="90"/>
      <c r="U1200" s="90"/>
      <c r="V1200" s="90"/>
      <c r="W1200" s="90"/>
      <c r="X1200" s="90"/>
      <c r="Y1200" s="90"/>
      <c r="Z1200" s="90" t="s">
        <v>1487</v>
      </c>
      <c r="AA1200" s="91">
        <v>100</v>
      </c>
      <c r="AB1200" s="46">
        <f>IF(H2ProjectDB689571011[[#This Row],[Dummy_1]]="Electrolysis",
AA1200/VLOOKUP(G1200,ElectrolysisConvF,3,FALSE),
AC1200*10^6/(H2dens*HoursInYear))</f>
        <v>21739.130434782608</v>
      </c>
      <c r="AC1200" s="47">
        <f>AB1200*H2dens*HoursInYear/10^6</f>
        <v>16.94869565217391</v>
      </c>
      <c r="AD1200" s="92"/>
      <c r="AE1200" s="92">
        <f t="shared" si="90"/>
        <v>21739.130434782608</v>
      </c>
      <c r="AF1200" s="93" t="s">
        <v>4042</v>
      </c>
      <c r="AG1200" s="43">
        <v>54.116999999999997</v>
      </c>
      <c r="AH1200" s="43">
        <v>13.733000000000001</v>
      </c>
      <c r="AI1200" s="122" t="s">
        <v>7286</v>
      </c>
      <c r="AJ1200" s="41">
        <v>0.5</v>
      </c>
    </row>
    <row r="1201" spans="1:36" ht="35.1" hidden="1" customHeight="1" x14ac:dyDescent="0.25">
      <c r="A1201" s="40">
        <v>1766</v>
      </c>
      <c r="B1201" s="90" t="s">
        <v>4040</v>
      </c>
      <c r="C1201" s="40" t="s">
        <v>1305</v>
      </c>
      <c r="D1201" s="44">
        <v>2030</v>
      </c>
      <c r="E1201" s="44"/>
      <c r="F1201" s="90" t="s">
        <v>2222</v>
      </c>
      <c r="G1201" s="90" t="s">
        <v>1259</v>
      </c>
      <c r="H1201" s="90" t="s">
        <v>467</v>
      </c>
      <c r="I1201" s="90" t="s">
        <v>1269</v>
      </c>
      <c r="J1201" s="90" t="s">
        <v>1395</v>
      </c>
      <c r="K1201" s="90" t="s">
        <v>578</v>
      </c>
      <c r="L1201" s="90"/>
      <c r="M1201" s="90"/>
      <c r="N1201" s="90"/>
      <c r="O1201" s="90"/>
      <c r="P1201" s="90">
        <v>1</v>
      </c>
      <c r="Q1201" s="90">
        <v>1</v>
      </c>
      <c r="R1201" s="90"/>
      <c r="S1201" s="90"/>
      <c r="T1201" s="90"/>
      <c r="U1201" s="90"/>
      <c r="V1201" s="90"/>
      <c r="W1201" s="90"/>
      <c r="X1201" s="90"/>
      <c r="Y1201" s="90"/>
      <c r="Z1201" s="90" t="s">
        <v>3209</v>
      </c>
      <c r="AA1201" s="91">
        <v>1000</v>
      </c>
      <c r="AB1201" s="46">
        <f>IF(H2ProjectDB689571011[[#This Row],[Dummy_1]]="Electrolysis",
AA1201/VLOOKUP(G1201,ElectrolysisConvF,3,FALSE),
AC1201*10^6/(H2dens*HoursInYear))</f>
        <v>222222.22222222225</v>
      </c>
      <c r="AC1201" s="47">
        <f>AB1201*H2dens*HoursInYear/10^6</f>
        <v>173.25333333333333</v>
      </c>
      <c r="AD1201" s="92"/>
      <c r="AE1201" s="92">
        <f t="shared" si="90"/>
        <v>222222.22222222225</v>
      </c>
      <c r="AF1201" s="93" t="s">
        <v>4042</v>
      </c>
      <c r="AG1201" s="43">
        <v>54.116999999999997</v>
      </c>
      <c r="AH1201" s="43">
        <v>13.733000000000001</v>
      </c>
      <c r="AI1201" s="122" t="s">
        <v>7286</v>
      </c>
      <c r="AJ1201" s="41">
        <v>0.5</v>
      </c>
    </row>
    <row r="1202" spans="1:36" ht="35.1" hidden="1" customHeight="1" x14ac:dyDescent="0.25">
      <c r="A1202" s="40">
        <v>1767</v>
      </c>
      <c r="B1202" s="90" t="s">
        <v>4043</v>
      </c>
      <c r="C1202" s="40" t="s">
        <v>559</v>
      </c>
      <c r="D1202" s="44">
        <v>2026</v>
      </c>
      <c r="E1202" s="44"/>
      <c r="F1202" s="90" t="s">
        <v>1540</v>
      </c>
      <c r="G1202" s="90" t="s">
        <v>1264</v>
      </c>
      <c r="H1202" s="90"/>
      <c r="I1202" s="90"/>
      <c r="J1202" s="90"/>
      <c r="K1202" s="90" t="s">
        <v>578</v>
      </c>
      <c r="L1202" s="90"/>
      <c r="M1202" s="90"/>
      <c r="N1202" s="90"/>
      <c r="O1202" s="90">
        <v>1</v>
      </c>
      <c r="P1202" s="90"/>
      <c r="Q1202" s="90"/>
      <c r="R1202" s="90"/>
      <c r="S1202" s="90"/>
      <c r="T1202" s="90"/>
      <c r="U1202" s="90"/>
      <c r="V1202" s="90"/>
      <c r="W1202" s="90"/>
      <c r="X1202" s="90"/>
      <c r="Y1202" s="90"/>
      <c r="Z1202" s="90" t="s">
        <v>6314</v>
      </c>
      <c r="AA1202" s="91"/>
      <c r="AB1202" s="46">
        <f>AC1202/(H2dens*HoursInYear/10^6)</f>
        <v>3847.9298137601972</v>
      </c>
      <c r="AC1202" s="92">
        <v>3</v>
      </c>
      <c r="AD1202" s="92"/>
      <c r="AE1202" s="92">
        <f t="shared" si="90"/>
        <v>3847.9298137601972</v>
      </c>
      <c r="AF1202" s="93" t="s">
        <v>6316</v>
      </c>
      <c r="AG1202" s="43">
        <v>60.557839589393602</v>
      </c>
      <c r="AH1202" s="43">
        <v>16.299335015812598</v>
      </c>
      <c r="AI1202" s="122" t="s">
        <v>1255</v>
      </c>
      <c r="AJ1202" s="41">
        <v>0.9</v>
      </c>
    </row>
    <row r="1203" spans="1:36" ht="35.1" hidden="1" customHeight="1" x14ac:dyDescent="0.25">
      <c r="A1203" s="40">
        <v>1768</v>
      </c>
      <c r="B1203" s="90" t="s">
        <v>5979</v>
      </c>
      <c r="C1203" s="40" t="s">
        <v>530</v>
      </c>
      <c r="D1203" s="44">
        <v>2023</v>
      </c>
      <c r="E1203" s="90"/>
      <c r="F1203" s="90" t="s">
        <v>1339</v>
      </c>
      <c r="G1203" s="90" t="s">
        <v>455</v>
      </c>
      <c r="H1203" s="90"/>
      <c r="I1203" s="90" t="s">
        <v>1257</v>
      </c>
      <c r="J1203" s="90"/>
      <c r="K1203" s="90" t="s">
        <v>578</v>
      </c>
      <c r="L1203" s="90"/>
      <c r="M1203" s="90"/>
      <c r="N1203" s="90"/>
      <c r="O1203" s="90"/>
      <c r="P1203" s="90"/>
      <c r="Q1203" s="90">
        <v>1</v>
      </c>
      <c r="R1203" s="90"/>
      <c r="S1203" s="90"/>
      <c r="T1203" s="90"/>
      <c r="U1203" s="90"/>
      <c r="V1203" s="90"/>
      <c r="W1203" s="90"/>
      <c r="X1203" s="90"/>
      <c r="Y1203" s="90"/>
      <c r="Z1203" s="90" t="s">
        <v>1336</v>
      </c>
      <c r="AA1203" s="91">
        <v>2.5</v>
      </c>
      <c r="AB1203" s="46">
        <f>IF(H2ProjectDB689571011[[#This Row],[Dummy_1]]="Electrolysis",
AA1203/VLOOKUP(G1203,ElectrolysisConvF,3,FALSE),
AC1203*10^6/(H2dens*HoursInYear))</f>
        <v>480.76923076923077</v>
      </c>
      <c r="AC1203" s="47">
        <f>AB1203*H2dens*HoursInYear/10^6</f>
        <v>0.37482692307692306</v>
      </c>
      <c r="AD1203" s="92"/>
      <c r="AE1203" s="92">
        <f t="shared" si="90"/>
        <v>480.76923076923077</v>
      </c>
      <c r="AF1203" s="93" t="s">
        <v>4046</v>
      </c>
      <c r="AG1203" s="43">
        <v>48.8572441996414</v>
      </c>
      <c r="AH1203" s="43">
        <v>2.3511506574924699</v>
      </c>
      <c r="AI1203" s="122" t="s">
        <v>7286</v>
      </c>
      <c r="AJ1203" s="41">
        <v>0.56999999999999995</v>
      </c>
    </row>
    <row r="1204" spans="1:36" ht="35.1" hidden="1" customHeight="1" x14ac:dyDescent="0.25">
      <c r="A1204" s="40">
        <v>1777</v>
      </c>
      <c r="B1204" s="90" t="s">
        <v>4050</v>
      </c>
      <c r="C1204" s="90" t="s">
        <v>537</v>
      </c>
      <c r="D1204" s="44">
        <v>2022</v>
      </c>
      <c r="E1204" s="90"/>
      <c r="F1204" s="90" t="s">
        <v>1339</v>
      </c>
      <c r="G1204" s="90" t="s">
        <v>455</v>
      </c>
      <c r="H1204" s="90"/>
      <c r="I1204" s="90" t="s">
        <v>1269</v>
      </c>
      <c r="J1204" s="90" t="s">
        <v>1395</v>
      </c>
      <c r="K1204" s="90" t="s">
        <v>578</v>
      </c>
      <c r="L1204" s="90">
        <v>1</v>
      </c>
      <c r="M1204" s="90"/>
      <c r="N1204" s="90"/>
      <c r="O1204" s="90"/>
      <c r="P1204" s="90"/>
      <c r="Q1204" s="90"/>
      <c r="R1204" s="90"/>
      <c r="S1204" s="90"/>
      <c r="T1204" s="90"/>
      <c r="U1204" s="90"/>
      <c r="V1204" s="90"/>
      <c r="W1204" s="90"/>
      <c r="X1204" s="90"/>
      <c r="Y1204" s="90"/>
      <c r="Z1204" s="90" t="s">
        <v>6516</v>
      </c>
      <c r="AA1204" s="47">
        <f>IF(H2ProjectDB689571011[[#This Row],[Dummy_1]]="Electrolysis",
AB1204*VLOOKUP(G1204,ElectrolysisConvF,3,FALSE),
"")</f>
        <v>2.4219178082191779</v>
      </c>
      <c r="AB1204" s="92">
        <f>4080000/8760</f>
        <v>465.75342465753425</v>
      </c>
      <c r="AC1204" s="47">
        <f>AB1204*H2dens*HoursInYear/10^6</f>
        <v>0.36312</v>
      </c>
      <c r="AD1204" s="92"/>
      <c r="AE1204" s="92">
        <f t="shared" si="90"/>
        <v>465.75342465753425</v>
      </c>
      <c r="AF1204" s="93" t="s">
        <v>4446</v>
      </c>
      <c r="AG1204" s="43">
        <v>35.762928000000002</v>
      </c>
      <c r="AH1204" s="43">
        <v>114.98051100000001</v>
      </c>
      <c r="AI1204" s="122" t="s">
        <v>7286</v>
      </c>
      <c r="AJ1204" s="41">
        <v>0.5</v>
      </c>
    </row>
    <row r="1205" spans="1:36" ht="35.1" hidden="1" customHeight="1" x14ac:dyDescent="0.25">
      <c r="A1205" s="40">
        <v>1778</v>
      </c>
      <c r="B1205" s="90" t="s">
        <v>4051</v>
      </c>
      <c r="C1205" s="90" t="s">
        <v>537</v>
      </c>
      <c r="D1205" s="44"/>
      <c r="E1205" s="44"/>
      <c r="F1205" s="90" t="s">
        <v>2222</v>
      </c>
      <c r="G1205" s="90" t="s">
        <v>455</v>
      </c>
      <c r="H1205" s="90"/>
      <c r="I1205" s="90" t="s">
        <v>1269</v>
      </c>
      <c r="J1205" s="90" t="s">
        <v>1392</v>
      </c>
      <c r="K1205" s="90" t="s">
        <v>578</v>
      </c>
      <c r="L1205" s="90">
        <v>1</v>
      </c>
      <c r="M1205" s="90"/>
      <c r="N1205" s="90"/>
      <c r="O1205" s="90"/>
      <c r="P1205" s="90"/>
      <c r="Q1205" s="90"/>
      <c r="R1205" s="90"/>
      <c r="S1205" s="90"/>
      <c r="T1205" s="90"/>
      <c r="U1205" s="90"/>
      <c r="V1205" s="90"/>
      <c r="W1205" s="90"/>
      <c r="X1205" s="90"/>
      <c r="Y1205" s="90"/>
      <c r="Z1205" s="90" t="s">
        <v>6517</v>
      </c>
      <c r="AA1205" s="47">
        <f>IF(H2ProjectDB689571011[[#This Row],[Dummy_1]]="Electrolysis",
AB1205*VLOOKUP(G1205,ElectrolysisConvF,3,FALSE),
"")</f>
        <v>29.039269406392695</v>
      </c>
      <c r="AB1205" s="92">
        <f>53000000/8760-AB1204</f>
        <v>5584.4748858447492</v>
      </c>
      <c r="AC1205" s="47">
        <f>AB1205*H2dens*HoursInYear/10^6</f>
        <v>4.3538800000000002</v>
      </c>
      <c r="AD1205" s="92"/>
      <c r="AE1205" s="92">
        <f t="shared" si="90"/>
        <v>5584.4748858447492</v>
      </c>
      <c r="AF1205" s="93" t="s">
        <v>4047</v>
      </c>
      <c r="AG1205" s="43">
        <v>35.762928000000002</v>
      </c>
      <c r="AH1205" s="43">
        <v>114.98051100000001</v>
      </c>
      <c r="AI1205" s="122" t="s">
        <v>7286</v>
      </c>
      <c r="AJ1205" s="41">
        <v>0.4</v>
      </c>
    </row>
    <row r="1206" spans="1:36" ht="35.1" hidden="1" customHeight="1" x14ac:dyDescent="0.25">
      <c r="A1206" s="40">
        <v>1795</v>
      </c>
      <c r="B1206" s="43" t="s">
        <v>4055</v>
      </c>
      <c r="C1206" s="40" t="s">
        <v>537</v>
      </c>
      <c r="D1206" s="44">
        <v>2025</v>
      </c>
      <c r="E1206" s="44"/>
      <c r="F1206" s="40" t="s">
        <v>5701</v>
      </c>
      <c r="G1206" s="40" t="s">
        <v>1259</v>
      </c>
      <c r="H1206" s="40" t="s">
        <v>1666</v>
      </c>
      <c r="I1206" s="40" t="s">
        <v>1269</v>
      </c>
      <c r="J1206" s="40" t="s">
        <v>1395</v>
      </c>
      <c r="K1206" s="40" t="s">
        <v>1243</v>
      </c>
      <c r="M1206" s="40">
        <v>1</v>
      </c>
      <c r="P1206" s="40">
        <v>1</v>
      </c>
      <c r="Z1206" s="40" t="s">
        <v>7005</v>
      </c>
      <c r="AA1206" s="47">
        <f>IF(H2ProjectDB689571011[[#This Row],[Dummy_1]]="Electrolysis",
AB1206*VLOOKUP(G1206,ElectrolysisConvF,3,FALSE),
"")</f>
        <v>206.99999999999997</v>
      </c>
      <c r="AB1206" s="40">
        <v>46000</v>
      </c>
      <c r="AC1206" s="40">
        <f>AB1206*H2dens*HoursInYear/10^6</f>
        <v>35.863439999999997</v>
      </c>
      <c r="AE1206" s="46">
        <f t="shared" si="90"/>
        <v>46000</v>
      </c>
      <c r="AF1206" s="43" t="s">
        <v>5685</v>
      </c>
      <c r="AG1206" s="43">
        <v>45.424534565620199</v>
      </c>
      <c r="AH1206" s="43">
        <v>123.485519964986</v>
      </c>
      <c r="AI1206" s="122" t="s">
        <v>7286</v>
      </c>
      <c r="AJ1206" s="41">
        <v>0.5</v>
      </c>
    </row>
    <row r="1207" spans="1:36" ht="35.1" hidden="1" customHeight="1" x14ac:dyDescent="0.25">
      <c r="A1207" s="40">
        <v>1796</v>
      </c>
      <c r="B1207" s="40" t="s">
        <v>7013</v>
      </c>
      <c r="C1207" s="40" t="s">
        <v>537</v>
      </c>
      <c r="D1207" s="44">
        <v>2023</v>
      </c>
      <c r="F1207" s="40" t="s">
        <v>1339</v>
      </c>
      <c r="G1207" s="40" t="s">
        <v>1259</v>
      </c>
      <c r="H1207" s="40" t="s">
        <v>467</v>
      </c>
      <c r="I1207" s="40" t="s">
        <v>1269</v>
      </c>
      <c r="J1207" s="40" t="s">
        <v>1392</v>
      </c>
      <c r="K1207" s="40" t="s">
        <v>578</v>
      </c>
      <c r="Q1207" s="40">
        <v>1</v>
      </c>
      <c r="Z1207" s="40" t="s">
        <v>4056</v>
      </c>
      <c r="AA1207" s="47">
        <f>IF(H2ProjectDB689571011[[#This Row],[Dummy_1]]="Electrolysis",
AB1207*VLOOKUP(G1207,ElectrolysisConvF,3,FALSE),
"")</f>
        <v>9</v>
      </c>
      <c r="AB1207" s="46">
        <v>2000</v>
      </c>
      <c r="AC1207" s="47">
        <f>AB1207*H2dens*HoursInYear/10^6</f>
        <v>1.55928</v>
      </c>
      <c r="AE1207" s="46">
        <f t="shared" si="90"/>
        <v>2000</v>
      </c>
      <c r="AF1207" s="43" t="s">
        <v>4518</v>
      </c>
      <c r="AG1207" s="43">
        <v>40.781632150911399</v>
      </c>
      <c r="AH1207" s="43">
        <v>114.867657780727</v>
      </c>
      <c r="AI1207" s="122" t="s">
        <v>7286</v>
      </c>
      <c r="AJ1207" s="41">
        <v>0.4</v>
      </c>
    </row>
    <row r="1208" spans="1:36" ht="35.1" hidden="1" customHeight="1" x14ac:dyDescent="0.25">
      <c r="A1208" s="40">
        <v>1801</v>
      </c>
      <c r="B1208" s="40" t="s">
        <v>4065</v>
      </c>
      <c r="C1208" s="40" t="s">
        <v>531</v>
      </c>
      <c r="D1208" s="44"/>
      <c r="E1208" s="44"/>
      <c r="F1208" s="40" t="s">
        <v>2222</v>
      </c>
      <c r="G1208" s="40" t="s">
        <v>1261</v>
      </c>
      <c r="H1208" s="40" t="s">
        <v>5708</v>
      </c>
      <c r="K1208" s="40" t="s">
        <v>1243</v>
      </c>
      <c r="M1208" s="40">
        <v>1</v>
      </c>
      <c r="Z1208" s="40" t="s">
        <v>4067</v>
      </c>
      <c r="AB1208" s="46">
        <f>AC1208/(H2dens*HoursInYear/10^6)</f>
        <v>230968.17609605024</v>
      </c>
      <c r="AC1208" s="47">
        <f>1000*3/17/0.98</f>
        <v>180.0720288115246</v>
      </c>
      <c r="AD1208" s="46">
        <v>2000000</v>
      </c>
      <c r="AE1208" s="46">
        <f t="shared" si="90"/>
        <v>250752.88553883036</v>
      </c>
      <c r="AF1208" s="43" t="s">
        <v>3141</v>
      </c>
      <c r="AG1208" s="43">
        <v>70.479900000000001</v>
      </c>
      <c r="AH1208" s="43">
        <v>24.263300000000001</v>
      </c>
      <c r="AI1208" s="122" t="s">
        <v>7287</v>
      </c>
      <c r="AJ1208" s="41">
        <v>0.9</v>
      </c>
    </row>
    <row r="1209" spans="1:36" ht="35.1" hidden="1" customHeight="1" x14ac:dyDescent="0.25">
      <c r="A1209" s="40">
        <v>1802</v>
      </c>
      <c r="B1209" s="40" t="s">
        <v>4066</v>
      </c>
      <c r="C1209" s="40" t="s">
        <v>531</v>
      </c>
      <c r="D1209" s="44"/>
      <c r="E1209" s="44"/>
      <c r="F1209" s="40" t="s">
        <v>2222</v>
      </c>
      <c r="G1209" s="40" t="s">
        <v>1261</v>
      </c>
      <c r="H1209" s="40" t="s">
        <v>5708</v>
      </c>
      <c r="K1209" s="40" t="s">
        <v>1243</v>
      </c>
      <c r="M1209" s="40">
        <v>1</v>
      </c>
      <c r="Z1209" s="40" t="s">
        <v>3160</v>
      </c>
      <c r="AB1209" s="46">
        <f>AC1209/(H2dens*HoursInYear/10^6)</f>
        <v>230968.17609605024</v>
      </c>
      <c r="AC1209" s="47">
        <f>1000*3/17/0.98</f>
        <v>180.0720288115246</v>
      </c>
      <c r="AD1209" s="46">
        <v>2000000</v>
      </c>
      <c r="AE1209" s="46">
        <f t="shared" si="90"/>
        <v>250752.88553883036</v>
      </c>
      <c r="AF1209" s="43" t="s">
        <v>3141</v>
      </c>
      <c r="AG1209" s="43">
        <v>70.479900000000001</v>
      </c>
      <c r="AH1209" s="43">
        <v>24.263300000000001</v>
      </c>
      <c r="AI1209" s="122" t="s">
        <v>7287</v>
      </c>
      <c r="AJ1209" s="41">
        <v>0.9</v>
      </c>
    </row>
    <row r="1210" spans="1:36" ht="35.1" hidden="1" customHeight="1" x14ac:dyDescent="0.25">
      <c r="A1210" s="40">
        <v>1803</v>
      </c>
      <c r="B1210" s="90" t="s">
        <v>4070</v>
      </c>
      <c r="C1210" s="90" t="s">
        <v>559</v>
      </c>
      <c r="D1210" s="44">
        <v>2027</v>
      </c>
      <c r="E1210" s="44"/>
      <c r="F1210" s="90" t="s">
        <v>1331</v>
      </c>
      <c r="G1210" s="90" t="s">
        <v>1259</v>
      </c>
      <c r="H1210" s="90" t="s">
        <v>467</v>
      </c>
      <c r="I1210" s="40" t="s">
        <v>1269</v>
      </c>
      <c r="J1210" s="40" t="s">
        <v>1395</v>
      </c>
      <c r="K1210" s="40" t="s">
        <v>1242</v>
      </c>
      <c r="L1210" s="90"/>
      <c r="M1210" s="90"/>
      <c r="N1210" s="90">
        <v>1</v>
      </c>
      <c r="O1210" s="90"/>
      <c r="P1210" s="90"/>
      <c r="Q1210" s="90"/>
      <c r="R1210" s="90"/>
      <c r="S1210" s="90"/>
      <c r="T1210" s="90"/>
      <c r="U1210" s="90"/>
      <c r="V1210" s="90"/>
      <c r="W1210" s="90"/>
      <c r="X1210" s="90"/>
      <c r="Y1210" s="90"/>
      <c r="Z1210" s="40" t="s">
        <v>8828</v>
      </c>
      <c r="AA1210" s="47">
        <f>IF(H2ProjectDB689571011[[#This Row],[Dummy_1]]="Electrolysis",
AB1210*VLOOKUP(G1210,ElectrolysisConvF,3,FALSE),
"")</f>
        <v>287.12301831614587</v>
      </c>
      <c r="AB1210" s="46">
        <f>AC1210/(H2dens*HoursInYear/10^6)</f>
        <v>63805.115181365756</v>
      </c>
      <c r="AC1210" s="92">
        <f>130*0.191327/H2ProjectDB689571011[[#This Row],[LOWE_CF]]</f>
        <v>49.745019999999997</v>
      </c>
      <c r="AD1210" s="92"/>
      <c r="AE1210" s="92">
        <f t="shared" si="90"/>
        <v>63805.115181365756</v>
      </c>
      <c r="AF1210" s="43" t="s">
        <v>8827</v>
      </c>
      <c r="AG1210" s="43">
        <v>62.396576238545897</v>
      </c>
      <c r="AH1210" s="43">
        <v>17.304205677232599</v>
      </c>
      <c r="AI1210" s="122" t="s">
        <v>7286</v>
      </c>
      <c r="AJ1210" s="41">
        <v>0.5</v>
      </c>
    </row>
    <row r="1211" spans="1:36" ht="35.1" hidden="1" customHeight="1" x14ac:dyDescent="0.25">
      <c r="A1211" s="40">
        <v>1804</v>
      </c>
      <c r="B1211" s="40" t="s">
        <v>4773</v>
      </c>
      <c r="C1211" s="90" t="s">
        <v>1305</v>
      </c>
      <c r="D1211" s="44">
        <v>2025</v>
      </c>
      <c r="E1211" s="44"/>
      <c r="F1211" s="90" t="s">
        <v>5701</v>
      </c>
      <c r="G1211" s="90" t="s">
        <v>1259</v>
      </c>
      <c r="H1211" s="90" t="s">
        <v>467</v>
      </c>
      <c r="I1211" s="90" t="s">
        <v>1269</v>
      </c>
      <c r="J1211" s="40" t="s">
        <v>1392</v>
      </c>
      <c r="K1211" s="90" t="s">
        <v>578</v>
      </c>
      <c r="L1211" s="90"/>
      <c r="M1211" s="90"/>
      <c r="N1211" s="90"/>
      <c r="O1211" s="90">
        <v>1</v>
      </c>
      <c r="P1211" s="90"/>
      <c r="Q1211" s="90"/>
      <c r="R1211" s="90"/>
      <c r="S1211" s="90"/>
      <c r="T1211" s="90"/>
      <c r="U1211" s="90"/>
      <c r="V1211" s="90"/>
      <c r="W1211" s="90"/>
      <c r="X1211" s="90"/>
      <c r="Y1211" s="90"/>
      <c r="Z1211" s="40" t="s">
        <v>1487</v>
      </c>
      <c r="AA1211" s="91">
        <v>100</v>
      </c>
      <c r="AB1211" s="46">
        <f>IF(H2ProjectDB689571011[[#This Row],[Dummy_1]]="Electrolysis",
AA1211/VLOOKUP(G1211,ElectrolysisConvF,3,FALSE),
AC1211*10^6/(H2dens*HoursInYear))</f>
        <v>22222.222222222223</v>
      </c>
      <c r="AC1211" s="92">
        <f t="shared" ref="AC1211:AC1216" si="92">AB1211*H2dens*HoursInYear/10^6</f>
        <v>17.325333333333333</v>
      </c>
      <c r="AD1211" s="92"/>
      <c r="AE1211" s="92">
        <f t="shared" si="90"/>
        <v>22222.222222222223</v>
      </c>
      <c r="AF1211" s="43" t="s">
        <v>4775</v>
      </c>
      <c r="AG1211" s="43">
        <v>52.161392389666503</v>
      </c>
      <c r="AH1211" s="43">
        <v>10.431165376505</v>
      </c>
      <c r="AI1211" s="122" t="s">
        <v>7286</v>
      </c>
      <c r="AJ1211" s="41">
        <v>0.4</v>
      </c>
    </row>
    <row r="1212" spans="1:36" ht="35.1" hidden="1" customHeight="1" x14ac:dyDescent="0.25">
      <c r="A1212" s="40">
        <v>1805</v>
      </c>
      <c r="B1212" s="90" t="s">
        <v>4073</v>
      </c>
      <c r="C1212" s="90" t="s">
        <v>1305</v>
      </c>
      <c r="D1212" s="90">
        <v>2027</v>
      </c>
      <c r="E1212" s="90"/>
      <c r="F1212" s="90" t="s">
        <v>1331</v>
      </c>
      <c r="G1212" s="90" t="s">
        <v>1259</v>
      </c>
      <c r="H1212" s="90" t="s">
        <v>467</v>
      </c>
      <c r="I1212" s="90" t="s">
        <v>1269</v>
      </c>
      <c r="J1212" s="90" t="s">
        <v>1393</v>
      </c>
      <c r="K1212" s="90" t="s">
        <v>578</v>
      </c>
      <c r="L1212" s="90"/>
      <c r="M1212" s="90"/>
      <c r="N1212" s="90"/>
      <c r="O1212" s="90"/>
      <c r="P1212" s="90"/>
      <c r="Q1212" s="90"/>
      <c r="R1212" s="90"/>
      <c r="S1212" s="90"/>
      <c r="T1212" s="90"/>
      <c r="U1212" s="90"/>
      <c r="V1212" s="90"/>
      <c r="W1212" s="90"/>
      <c r="X1212" s="90"/>
      <c r="Y1212" s="90"/>
      <c r="Z1212" s="90" t="s">
        <v>1648</v>
      </c>
      <c r="AA1212" s="91">
        <v>4</v>
      </c>
      <c r="AB1212" s="46">
        <f>IF(H2ProjectDB689571011[[#This Row],[Dummy_1]]="Electrolysis",
AA1212/VLOOKUP(G1212,ElectrolysisConvF,3,FALSE),
AC1212*10^6/(H2dens*HoursInYear))</f>
        <v>888.88888888888891</v>
      </c>
      <c r="AC1212" s="47">
        <f t="shared" si="92"/>
        <v>0.69301333333333337</v>
      </c>
      <c r="AD1212" s="92"/>
      <c r="AE1212" s="92">
        <f t="shared" si="90"/>
        <v>888.88888888888891</v>
      </c>
      <c r="AF1212" s="43" t="s">
        <v>7502</v>
      </c>
      <c r="AG1212" s="43">
        <v>54.9353981843051</v>
      </c>
      <c r="AH1212" s="43">
        <v>7.4258905305736196</v>
      </c>
      <c r="AI1212" s="122" t="s">
        <v>7286</v>
      </c>
      <c r="AJ1212" s="41">
        <v>0.55000000000000004</v>
      </c>
    </row>
    <row r="1213" spans="1:36" ht="35.1" hidden="1" customHeight="1" x14ac:dyDescent="0.25">
      <c r="A1213" s="40">
        <v>1806</v>
      </c>
      <c r="B1213" s="40" t="s">
        <v>4078</v>
      </c>
      <c r="C1213" s="40" t="s">
        <v>546</v>
      </c>
      <c r="D1213" s="44">
        <v>2027</v>
      </c>
      <c r="E1213" s="44"/>
      <c r="F1213" s="90" t="s">
        <v>1331</v>
      </c>
      <c r="G1213" s="90" t="s">
        <v>457</v>
      </c>
      <c r="H1213" s="90"/>
      <c r="I1213" s="40" t="s">
        <v>1269</v>
      </c>
      <c r="J1213" s="40" t="s">
        <v>1393</v>
      </c>
      <c r="K1213" s="90" t="s">
        <v>578</v>
      </c>
      <c r="L1213" s="90">
        <v>1</v>
      </c>
      <c r="M1213" s="90"/>
      <c r="N1213" s="90"/>
      <c r="O1213" s="90"/>
      <c r="P1213" s="90"/>
      <c r="Q1213" s="90"/>
      <c r="R1213" s="90"/>
      <c r="S1213" s="90"/>
      <c r="T1213" s="90"/>
      <c r="U1213" s="90"/>
      <c r="V1213" s="90"/>
      <c r="W1213" s="90"/>
      <c r="X1213" s="90"/>
      <c r="Y1213" s="90"/>
      <c r="Z1213" s="40" t="s">
        <v>2393</v>
      </c>
      <c r="AA1213" s="45">
        <v>200</v>
      </c>
      <c r="AB1213" s="46">
        <f>IF(H2ProjectDB689571011[[#This Row],[Dummy_1]]="Electrolysis",
AA1213/VLOOKUP(G1213,ElectrolysisConvF,3,FALSE),
AC1213*10^6/(H2dens*HoursInYear))</f>
        <v>43478.260869565216</v>
      </c>
      <c r="AC1213" s="47">
        <f t="shared" si="92"/>
        <v>33.897391304347821</v>
      </c>
      <c r="AD1213" s="92"/>
      <c r="AE1213" s="92">
        <f t="shared" si="90"/>
        <v>43478.260869565216</v>
      </c>
      <c r="AF1213" s="93" t="s">
        <v>4075</v>
      </c>
      <c r="AG1213" s="43">
        <v>51.946838954609603</v>
      </c>
      <c r="AH1213" s="43">
        <v>4.0097518919116197</v>
      </c>
      <c r="AI1213" s="122" t="s">
        <v>7286</v>
      </c>
      <c r="AJ1213" s="41">
        <v>0.55000000000000004</v>
      </c>
    </row>
    <row r="1214" spans="1:36" ht="35.1" hidden="1" customHeight="1" x14ac:dyDescent="0.25">
      <c r="A1214" s="40">
        <v>1807</v>
      </c>
      <c r="B1214" s="90" t="s">
        <v>4080</v>
      </c>
      <c r="C1214" s="90" t="s">
        <v>546</v>
      </c>
      <c r="D1214" s="44">
        <v>2027</v>
      </c>
      <c r="E1214" s="44"/>
      <c r="F1214" s="40" t="s">
        <v>1331</v>
      </c>
      <c r="G1214" s="40" t="s">
        <v>1259</v>
      </c>
      <c r="H1214" s="40" t="s">
        <v>467</v>
      </c>
      <c r="I1214" s="40" t="s">
        <v>1269</v>
      </c>
      <c r="J1214" s="40" t="s">
        <v>1393</v>
      </c>
      <c r="K1214" s="40" t="s">
        <v>578</v>
      </c>
      <c r="L1214" s="90"/>
      <c r="M1214" s="90"/>
      <c r="N1214" s="90"/>
      <c r="O1214" s="90"/>
      <c r="P1214" s="90"/>
      <c r="Q1214" s="90"/>
      <c r="R1214" s="90"/>
      <c r="S1214" s="90"/>
      <c r="T1214" s="90"/>
      <c r="U1214" s="90"/>
      <c r="V1214" s="90"/>
      <c r="W1214" s="90"/>
      <c r="X1214" s="90"/>
      <c r="Y1214" s="90"/>
      <c r="Z1214" s="90" t="s">
        <v>2054</v>
      </c>
      <c r="AA1214" s="91">
        <v>500</v>
      </c>
      <c r="AB1214" s="46">
        <f>IF(H2ProjectDB689571011[[#This Row],[Dummy_1]]="Electrolysis",
AA1214/VLOOKUP(G1214,ElectrolysisConvF,3,FALSE),
AC1214*10^6/(H2dens*HoursInYear))</f>
        <v>111111.11111111112</v>
      </c>
      <c r="AC1214" s="47">
        <f t="shared" si="92"/>
        <v>86.626666666666665</v>
      </c>
      <c r="AD1214" s="92"/>
      <c r="AE1214" s="92">
        <f t="shared" si="90"/>
        <v>111111.11111111112</v>
      </c>
      <c r="AF1214" s="93" t="s">
        <v>4082</v>
      </c>
      <c r="AG1214" s="43">
        <v>52.366101683889397</v>
      </c>
      <c r="AH1214" s="43">
        <v>5.0347740334735898</v>
      </c>
      <c r="AI1214" s="122" t="s">
        <v>7286</v>
      </c>
      <c r="AJ1214" s="41">
        <v>0.55000000000000004</v>
      </c>
    </row>
    <row r="1215" spans="1:36" ht="35.1" customHeight="1" x14ac:dyDescent="0.25">
      <c r="A1215" s="40">
        <v>1808</v>
      </c>
      <c r="B1215" s="90" t="s">
        <v>4085</v>
      </c>
      <c r="C1215" s="90" t="s">
        <v>1052</v>
      </c>
      <c r="D1215" s="44">
        <v>2024</v>
      </c>
      <c r="E1215" s="44"/>
      <c r="F1215" s="90" t="s">
        <v>5701</v>
      </c>
      <c r="G1215" s="90" t="s">
        <v>457</v>
      </c>
      <c r="H1215" s="90"/>
      <c r="I1215" s="90" t="s">
        <v>1269</v>
      </c>
      <c r="J1215" s="90" t="s">
        <v>1392</v>
      </c>
      <c r="K1215" s="90" t="s">
        <v>1243</v>
      </c>
      <c r="L1215" s="90"/>
      <c r="M1215" s="90">
        <v>1</v>
      </c>
      <c r="N1215" s="90"/>
      <c r="O1215" s="90"/>
      <c r="P1215" s="90"/>
      <c r="Q1215" s="90"/>
      <c r="R1215" s="90"/>
      <c r="S1215" s="90"/>
      <c r="T1215" s="90"/>
      <c r="U1215" s="90"/>
      <c r="V1215" s="90"/>
      <c r="W1215" s="90"/>
      <c r="X1215" s="90"/>
      <c r="Y1215" s="90"/>
      <c r="Z1215" s="90" t="s">
        <v>1577</v>
      </c>
      <c r="AA1215" s="91">
        <v>60</v>
      </c>
      <c r="AB1215" s="46">
        <f>IF(H2ProjectDB689571011[[#This Row],[Dummy_1]]="Electrolysis",
AA1215/VLOOKUP(G1215,ElectrolysisConvF,3,FALSE),
AC1215*10^6/(H2dens*HoursInYear))</f>
        <v>13043.478260869566</v>
      </c>
      <c r="AC1215" s="47">
        <f t="shared" si="92"/>
        <v>10.169217391304347</v>
      </c>
      <c r="AD1215" s="92"/>
      <c r="AE1215" s="92">
        <f t="shared" si="90"/>
        <v>13043.478260869566</v>
      </c>
      <c r="AF1215" s="43" t="s">
        <v>4088</v>
      </c>
      <c r="AG1215" s="43">
        <v>-12.689967958695901</v>
      </c>
      <c r="AH1215" s="43">
        <v>-38.317995824355599</v>
      </c>
      <c r="AI1215" s="122" t="s">
        <v>7286</v>
      </c>
      <c r="AJ1215" s="41">
        <v>0.4</v>
      </c>
    </row>
    <row r="1216" spans="1:36" ht="35.1" customHeight="1" x14ac:dyDescent="0.25">
      <c r="A1216" s="40">
        <v>1809</v>
      </c>
      <c r="B1216" s="90" t="s">
        <v>4089</v>
      </c>
      <c r="C1216" s="90" t="s">
        <v>1052</v>
      </c>
      <c r="D1216" s="44">
        <v>2025</v>
      </c>
      <c r="E1216" s="44"/>
      <c r="F1216" s="90" t="s">
        <v>1331</v>
      </c>
      <c r="G1216" s="90" t="s">
        <v>457</v>
      </c>
      <c r="H1216" s="90"/>
      <c r="I1216" s="90" t="s">
        <v>1269</v>
      </c>
      <c r="J1216" s="90" t="s">
        <v>1392</v>
      </c>
      <c r="K1216" s="90" t="s">
        <v>1243</v>
      </c>
      <c r="L1216" s="90"/>
      <c r="M1216" s="90">
        <v>1</v>
      </c>
      <c r="N1216" s="90"/>
      <c r="O1216" s="90"/>
      <c r="P1216" s="90"/>
      <c r="Q1216" s="90"/>
      <c r="R1216" s="90"/>
      <c r="S1216" s="90"/>
      <c r="T1216" s="90"/>
      <c r="U1216" s="90"/>
      <c r="V1216" s="90"/>
      <c r="W1216" s="90"/>
      <c r="X1216" s="90"/>
      <c r="Y1216" s="90"/>
      <c r="Z1216" s="90" t="s">
        <v>3421</v>
      </c>
      <c r="AA1216" s="91">
        <v>180</v>
      </c>
      <c r="AB1216" s="46">
        <f>IF(H2ProjectDB689571011[[#This Row],[Dummy_1]]="Electrolysis",
AA1216/VLOOKUP(G1216,ElectrolysisConvF,3,FALSE),
AC1216*10^6/(H2dens*HoursInYear))</f>
        <v>39130.434782608696</v>
      </c>
      <c r="AC1216" s="47">
        <f t="shared" si="92"/>
        <v>30.507652173913044</v>
      </c>
      <c r="AD1216" s="92"/>
      <c r="AE1216" s="92">
        <f t="shared" si="90"/>
        <v>39130.434782608696</v>
      </c>
      <c r="AF1216" s="93" t="s">
        <v>4088</v>
      </c>
      <c r="AG1216" s="43">
        <v>-12.689967958695901</v>
      </c>
      <c r="AH1216" s="43">
        <v>-38.317995824355599</v>
      </c>
      <c r="AI1216" s="122" t="s">
        <v>7286</v>
      </c>
      <c r="AJ1216" s="41">
        <v>0.4</v>
      </c>
    </row>
    <row r="1217" spans="1:36" ht="35.1" hidden="1" customHeight="1" x14ac:dyDescent="0.25">
      <c r="A1217" s="40">
        <v>1810</v>
      </c>
      <c r="B1217" s="90" t="s">
        <v>4090</v>
      </c>
      <c r="C1217" s="90" t="s">
        <v>1094</v>
      </c>
      <c r="D1217" s="90"/>
      <c r="E1217" s="90"/>
      <c r="F1217" s="90" t="s">
        <v>1331</v>
      </c>
      <c r="G1217" s="90" t="s">
        <v>455</v>
      </c>
      <c r="H1217" s="90"/>
      <c r="I1217" s="90" t="s">
        <v>1269</v>
      </c>
      <c r="J1217" s="90" t="s">
        <v>581</v>
      </c>
      <c r="K1217" s="90" t="s">
        <v>578</v>
      </c>
      <c r="L1217" s="90"/>
      <c r="M1217" s="90"/>
      <c r="N1217" s="90"/>
      <c r="O1217" s="90"/>
      <c r="P1217" s="90"/>
      <c r="Q1217" s="90"/>
      <c r="R1217" s="90"/>
      <c r="S1217" s="90"/>
      <c r="T1217" s="90"/>
      <c r="U1217" s="90"/>
      <c r="V1217" s="90"/>
      <c r="W1217" s="90"/>
      <c r="X1217" s="90"/>
      <c r="Y1217" s="90"/>
      <c r="Z1217" s="40" t="s">
        <v>5028</v>
      </c>
      <c r="AA1217" s="47">
        <f>IF(H2ProjectDB689571011[[#This Row],[Dummy_1]]="Electrolysis",
AB1217*VLOOKUP(G1217,ElectrolysisConvF,3,FALSE),
"")</f>
        <v>133.89513108614233</v>
      </c>
      <c r="AB1217" s="92">
        <f>AC1217/(H2dens*HoursInYear/10^6)</f>
        <v>25749.063670411986</v>
      </c>
      <c r="AC1217" s="92">
        <f>55*0.365</f>
        <v>20.074999999999999</v>
      </c>
      <c r="AD1217" s="92"/>
      <c r="AE1217" s="92">
        <f t="shared" si="90"/>
        <v>25749.063670411986</v>
      </c>
      <c r="AF1217" s="93" t="s">
        <v>4091</v>
      </c>
      <c r="AG1217" s="43">
        <v>-9.3944505702636398</v>
      </c>
      <c r="AH1217" s="43">
        <v>-77.229924869097601</v>
      </c>
      <c r="AI1217" s="122" t="s">
        <v>7286</v>
      </c>
      <c r="AJ1217" s="41">
        <v>0.5</v>
      </c>
    </row>
    <row r="1218" spans="1:36" ht="35.1" hidden="1" customHeight="1" x14ac:dyDescent="0.25">
      <c r="A1218" s="40">
        <v>1811</v>
      </c>
      <c r="B1218" s="90" t="s">
        <v>4093</v>
      </c>
      <c r="C1218" s="90" t="s">
        <v>542</v>
      </c>
      <c r="D1218" s="44">
        <v>2026</v>
      </c>
      <c r="E1218" s="44"/>
      <c r="F1218" s="40" t="s">
        <v>5701</v>
      </c>
      <c r="G1218" s="40" t="s">
        <v>1259</v>
      </c>
      <c r="H1218" s="40" t="s">
        <v>467</v>
      </c>
      <c r="I1218" s="40" t="s">
        <v>1269</v>
      </c>
      <c r="J1218" s="40" t="s">
        <v>1393</v>
      </c>
      <c r="K1218" s="40" t="s">
        <v>578</v>
      </c>
      <c r="L1218" s="90"/>
      <c r="M1218" s="90"/>
      <c r="N1218" s="90"/>
      <c r="O1218" s="90">
        <v>1</v>
      </c>
      <c r="P1218" s="90">
        <v>1</v>
      </c>
      <c r="Q1218" s="90">
        <v>1</v>
      </c>
      <c r="R1218" s="90"/>
      <c r="S1218" s="90"/>
      <c r="T1218" s="90"/>
      <c r="U1218" s="90"/>
      <c r="V1218" s="90"/>
      <c r="W1218" s="90"/>
      <c r="X1218" s="90"/>
      <c r="Y1218" s="90"/>
      <c r="Z1218" s="40" t="s">
        <v>3921</v>
      </c>
      <c r="AA1218" s="91">
        <v>7.5</v>
      </c>
      <c r="AB1218" s="46">
        <f>IF(H2ProjectDB689571011[[#This Row],[Dummy_1]]="Electrolysis",
AA1218/VLOOKUP(G1218,ElectrolysisConvF,3,FALSE),
AC1218*10^6/(H2dens*HoursInYear))</f>
        <v>1666.6666666666667</v>
      </c>
      <c r="AC1218" s="47">
        <f>AB1218*H2dens*HoursInYear/10^6</f>
        <v>1.2994000000000001</v>
      </c>
      <c r="AD1218" s="92"/>
      <c r="AE1218" s="92">
        <f t="shared" si="90"/>
        <v>1666.6666666666667</v>
      </c>
      <c r="AF1218" s="93" t="s">
        <v>4095</v>
      </c>
      <c r="AG1218" s="43">
        <v>54.591741020702699</v>
      </c>
      <c r="AH1218" s="43">
        <v>-1.14965592272594</v>
      </c>
      <c r="AI1218" s="122" t="s">
        <v>7286</v>
      </c>
      <c r="AJ1218" s="41">
        <v>0.55000000000000004</v>
      </c>
    </row>
    <row r="1219" spans="1:36" ht="35.1" hidden="1" customHeight="1" x14ac:dyDescent="0.25">
      <c r="A1219" s="40">
        <v>1812</v>
      </c>
      <c r="B1219" s="90" t="s">
        <v>4094</v>
      </c>
      <c r="C1219" s="90" t="s">
        <v>542</v>
      </c>
      <c r="D1219" s="44">
        <v>2030</v>
      </c>
      <c r="E1219" s="44"/>
      <c r="F1219" s="40" t="s">
        <v>2222</v>
      </c>
      <c r="G1219" s="40" t="s">
        <v>1259</v>
      </c>
      <c r="H1219" s="40" t="s">
        <v>467</v>
      </c>
      <c r="I1219" s="40" t="s">
        <v>1269</v>
      </c>
      <c r="J1219" s="40" t="s">
        <v>1393</v>
      </c>
      <c r="K1219" s="40" t="s">
        <v>578</v>
      </c>
      <c r="L1219" s="90"/>
      <c r="M1219" s="90"/>
      <c r="N1219" s="90"/>
      <c r="O1219" s="90">
        <v>1</v>
      </c>
      <c r="P1219" s="90">
        <v>1</v>
      </c>
      <c r="Q1219" s="90">
        <v>1</v>
      </c>
      <c r="R1219" s="90"/>
      <c r="S1219" s="90"/>
      <c r="T1219" s="90"/>
      <c r="U1219" s="90"/>
      <c r="V1219" s="90"/>
      <c r="W1219" s="90"/>
      <c r="X1219" s="90"/>
      <c r="Y1219" s="90"/>
      <c r="Z1219" s="40" t="s">
        <v>8595</v>
      </c>
      <c r="AA1219" s="91">
        <v>200</v>
      </c>
      <c r="AB1219" s="46">
        <f>IF(H2ProjectDB689571011[[#This Row],[Dummy_1]]="Electrolysis",
AA1219/VLOOKUP(G1219,ElectrolysisConvF,3,FALSE),
AC1219*10^6/(H2dens*HoursInYear))</f>
        <v>44444.444444444445</v>
      </c>
      <c r="AC1219" s="47">
        <f>AB1219*H2dens*HoursInYear/10^6</f>
        <v>34.650666666666666</v>
      </c>
      <c r="AD1219" s="92"/>
      <c r="AE1219" s="92">
        <f t="shared" si="90"/>
        <v>44444.444444444445</v>
      </c>
      <c r="AF1219" s="93" t="s">
        <v>4095</v>
      </c>
      <c r="AG1219" s="43">
        <v>54.591741020702699</v>
      </c>
      <c r="AH1219" s="43">
        <v>-1.14965592272594</v>
      </c>
      <c r="AI1219" s="122" t="s">
        <v>7286</v>
      </c>
      <c r="AJ1219" s="41">
        <v>0.55000000000000004</v>
      </c>
    </row>
    <row r="1220" spans="1:36" ht="35.1" hidden="1" customHeight="1" x14ac:dyDescent="0.25">
      <c r="A1220" s="40">
        <v>1813</v>
      </c>
      <c r="B1220" s="90" t="s">
        <v>4096</v>
      </c>
      <c r="C1220" s="90" t="s">
        <v>530</v>
      </c>
      <c r="D1220" s="44">
        <v>2027</v>
      </c>
      <c r="E1220" s="44"/>
      <c r="F1220" s="40" t="s">
        <v>1331</v>
      </c>
      <c r="G1220" s="40" t="s">
        <v>1259</v>
      </c>
      <c r="H1220" s="40" t="s">
        <v>467</v>
      </c>
      <c r="I1220" s="40" t="s">
        <v>1266</v>
      </c>
      <c r="J1220" s="90"/>
      <c r="K1220" s="90" t="s">
        <v>578</v>
      </c>
      <c r="L1220" s="90"/>
      <c r="M1220" s="90"/>
      <c r="N1220" s="90"/>
      <c r="O1220" s="90">
        <v>1</v>
      </c>
      <c r="P1220" s="90"/>
      <c r="Q1220" s="90"/>
      <c r="R1220" s="90"/>
      <c r="S1220" s="90"/>
      <c r="T1220" s="90"/>
      <c r="U1220" s="90"/>
      <c r="V1220" s="90"/>
      <c r="W1220" s="90"/>
      <c r="X1220" s="90"/>
      <c r="Y1220" s="90"/>
      <c r="Z1220" s="40" t="s">
        <v>5949</v>
      </c>
      <c r="AA1220" s="91">
        <v>700</v>
      </c>
      <c r="AB1220" s="46">
        <f>IF(H2ProjectDB689571011[[#This Row],[Dummy_1]]="Electrolysis",
AA1220/VLOOKUP(G1220,ElectrolysisConvF,3,FALSE),
AC1220*10^6/(H2dens*HoursInYear))</f>
        <v>155555.55555555556</v>
      </c>
      <c r="AC1220" s="47">
        <f>AB1220*H2dens*HoursInYear/10^6</f>
        <v>121.27733333333335</v>
      </c>
      <c r="AD1220" s="92"/>
      <c r="AE1220" s="92">
        <f t="shared" si="90"/>
        <v>155555.55555555556</v>
      </c>
      <c r="AF1220" s="93" t="s">
        <v>4097</v>
      </c>
      <c r="AG1220" s="43">
        <v>43.4230159307386</v>
      </c>
      <c r="AH1220" s="43">
        <v>4.9212669729501499</v>
      </c>
      <c r="AI1220" s="122" t="s">
        <v>7286</v>
      </c>
      <c r="AJ1220" s="41">
        <v>0.56999999999999995</v>
      </c>
    </row>
    <row r="1221" spans="1:36" ht="35.1" hidden="1" customHeight="1" x14ac:dyDescent="0.25">
      <c r="A1221" s="40">
        <v>1814</v>
      </c>
      <c r="B1221" s="90" t="s">
        <v>4101</v>
      </c>
      <c r="C1221" s="90" t="s">
        <v>546</v>
      </c>
      <c r="D1221" s="44">
        <v>2026</v>
      </c>
      <c r="E1221" s="44"/>
      <c r="F1221" s="40" t="s">
        <v>1331</v>
      </c>
      <c r="G1221" s="40" t="s">
        <v>1259</v>
      </c>
      <c r="H1221" s="40" t="s">
        <v>467</v>
      </c>
      <c r="I1221" s="40" t="s">
        <v>1269</v>
      </c>
      <c r="J1221" s="40" t="s">
        <v>1393</v>
      </c>
      <c r="K1221" s="90" t="s">
        <v>578</v>
      </c>
      <c r="L1221" s="90"/>
      <c r="M1221" s="90"/>
      <c r="N1221" s="90"/>
      <c r="O1221" s="90"/>
      <c r="P1221" s="90">
        <v>1</v>
      </c>
      <c r="Q1221" s="90"/>
      <c r="R1221" s="90"/>
      <c r="S1221" s="90"/>
      <c r="T1221" s="90"/>
      <c r="U1221" s="90"/>
      <c r="V1221" s="90"/>
      <c r="W1221" s="90"/>
      <c r="X1221" s="90"/>
      <c r="Y1221" s="90"/>
      <c r="Z1221" s="90" t="s">
        <v>1483</v>
      </c>
      <c r="AA1221" s="91">
        <v>50</v>
      </c>
      <c r="AB1221" s="46">
        <f>IF(H2ProjectDB689571011[[#This Row],[Dummy_1]]="Electrolysis",
AA1221/VLOOKUP(G1221,ElectrolysisConvF,3,FALSE),
AC1221*10^6/(H2dens*HoursInYear))</f>
        <v>11111.111111111111</v>
      </c>
      <c r="AC1221" s="47">
        <f>AB1221*H2dens*HoursInYear/10^6</f>
        <v>8.6626666666666665</v>
      </c>
      <c r="AD1221" s="92"/>
      <c r="AE1221" s="92">
        <f t="shared" si="90"/>
        <v>11111.111111111111</v>
      </c>
      <c r="AF1221" s="43" t="s">
        <v>4636</v>
      </c>
      <c r="AG1221" s="43">
        <v>53.334414502966901</v>
      </c>
      <c r="AH1221" s="43">
        <v>6.9213599498701699</v>
      </c>
      <c r="AI1221" s="122" t="s">
        <v>7286</v>
      </c>
      <c r="AJ1221" s="41">
        <v>0.55000000000000004</v>
      </c>
    </row>
    <row r="1222" spans="1:36" ht="35.1" hidden="1" customHeight="1" x14ac:dyDescent="0.25">
      <c r="A1222" s="40">
        <v>1816</v>
      </c>
      <c r="B1222" s="90" t="s">
        <v>4106</v>
      </c>
      <c r="C1222" s="90" t="s">
        <v>1761</v>
      </c>
      <c r="D1222" s="44">
        <v>2026</v>
      </c>
      <c r="E1222" s="44"/>
      <c r="F1222" s="40" t="s">
        <v>1331</v>
      </c>
      <c r="G1222" s="40" t="s">
        <v>1259</v>
      </c>
      <c r="H1222" s="40" t="s">
        <v>467</v>
      </c>
      <c r="I1222" s="40" t="s">
        <v>1269</v>
      </c>
      <c r="J1222" s="90" t="s">
        <v>581</v>
      </c>
      <c r="K1222" s="90" t="s">
        <v>1267</v>
      </c>
      <c r="L1222" s="90"/>
      <c r="M1222" s="90"/>
      <c r="N1222" s="90"/>
      <c r="O1222" s="90"/>
      <c r="P1222" s="90"/>
      <c r="Q1222" s="90"/>
      <c r="R1222" s="90"/>
      <c r="S1222" s="90"/>
      <c r="T1222" s="90"/>
      <c r="U1222" s="90"/>
      <c r="V1222" s="90"/>
      <c r="W1222" s="90">
        <v>1</v>
      </c>
      <c r="X1222" s="90"/>
      <c r="Y1222" s="90"/>
      <c r="Z1222" s="40" t="s">
        <v>7176</v>
      </c>
      <c r="AA1222" s="47">
        <f>IF(H2ProjectDB689571011[[#This Row],[Dummy_1]]="Electrolysis",
AB1222*VLOOKUP(G1222,ElectrolysisConvF,3,FALSE),
"")</f>
        <v>237.20115290302581</v>
      </c>
      <c r="AB1222" s="46">
        <f>AC1222/(H2dens*HoursInYear/10^6)</f>
        <v>52711.367311783521</v>
      </c>
      <c r="AC1222" s="47">
        <f>(40*0.045/0.73/0.12)/H2ProjectDB689571011[[#This Row],[LOWE_CF]]</f>
        <v>41.095890410958901</v>
      </c>
      <c r="AD1222" s="92"/>
      <c r="AE1222" s="92">
        <f t="shared" si="90"/>
        <v>52711.367311783521</v>
      </c>
      <c r="AF1222" s="43" t="s">
        <v>6191</v>
      </c>
      <c r="AG1222" s="43">
        <v>40.175808407332703</v>
      </c>
      <c r="AH1222" s="43">
        <v>-8.8864449839101098</v>
      </c>
      <c r="AI1222" s="122" t="s">
        <v>7286</v>
      </c>
      <c r="AJ1222" s="41">
        <v>0.5</v>
      </c>
    </row>
    <row r="1223" spans="1:36" ht="35.1" hidden="1" customHeight="1" x14ac:dyDescent="0.25">
      <c r="A1223" s="40">
        <v>1817</v>
      </c>
      <c r="B1223" s="40" t="s">
        <v>4107</v>
      </c>
      <c r="C1223" s="90" t="s">
        <v>559</v>
      </c>
      <c r="D1223" s="44">
        <v>2028</v>
      </c>
      <c r="E1223" s="44"/>
      <c r="F1223" s="40" t="s">
        <v>1331</v>
      </c>
      <c r="G1223" s="40" t="s">
        <v>1259</v>
      </c>
      <c r="H1223" s="40" t="s">
        <v>467</v>
      </c>
      <c r="I1223" s="40" t="s">
        <v>1269</v>
      </c>
      <c r="J1223" s="90" t="s">
        <v>581</v>
      </c>
      <c r="K1223" s="90" t="s">
        <v>1267</v>
      </c>
      <c r="L1223" s="90"/>
      <c r="M1223" s="90"/>
      <c r="N1223" s="90"/>
      <c r="O1223" s="90"/>
      <c r="P1223" s="90"/>
      <c r="Q1223" s="90"/>
      <c r="R1223" s="90"/>
      <c r="S1223" s="90"/>
      <c r="T1223" s="90"/>
      <c r="U1223" s="90"/>
      <c r="V1223" s="90"/>
      <c r="W1223" s="90">
        <v>1</v>
      </c>
      <c r="X1223" s="90"/>
      <c r="Y1223" s="90"/>
      <c r="Z1223" s="90"/>
      <c r="AA1223" s="91">
        <f>IF(OR(G1223="ALK",G1223="PEM",G1223="SOEC",G1223="Other Electrolysis"),
AB1223*VLOOKUP(G1223,ElectrolysisConvF,3,FALSE),
"")</f>
        <v>0</v>
      </c>
      <c r="AB1223" s="92"/>
      <c r="AC1223" s="92"/>
      <c r="AD1223" s="92"/>
      <c r="AE1223" s="92">
        <f t="shared" si="90"/>
        <v>0</v>
      </c>
      <c r="AF1223" s="43" t="s">
        <v>6409</v>
      </c>
      <c r="AG1223" s="43">
        <v>63.165962441218497</v>
      </c>
      <c r="AH1223" s="43">
        <v>17.261688318205501</v>
      </c>
      <c r="AI1223" s="122" t="s">
        <v>7286</v>
      </c>
      <c r="AJ1223" s="41">
        <v>0.5</v>
      </c>
    </row>
    <row r="1224" spans="1:36" ht="35.1" hidden="1" customHeight="1" x14ac:dyDescent="0.25">
      <c r="A1224" s="40">
        <v>1818</v>
      </c>
      <c r="B1224" s="40" t="s">
        <v>7913</v>
      </c>
      <c r="C1224" s="90" t="s">
        <v>536</v>
      </c>
      <c r="D1224" s="44">
        <v>2024</v>
      </c>
      <c r="E1224" s="44"/>
      <c r="F1224" s="40" t="s">
        <v>5701</v>
      </c>
      <c r="G1224" s="40" t="s">
        <v>1255</v>
      </c>
      <c r="H1224" s="90" t="s">
        <v>2727</v>
      </c>
      <c r="I1224" s="90"/>
      <c r="J1224" s="90"/>
      <c r="K1224" s="90" t="s">
        <v>578</v>
      </c>
      <c r="L1224" s="90"/>
      <c r="M1224" s="90"/>
      <c r="N1224" s="90"/>
      <c r="O1224" s="90"/>
      <c r="P1224" s="90"/>
      <c r="Q1224" s="90"/>
      <c r="R1224" s="90"/>
      <c r="S1224" s="90"/>
      <c r="T1224" s="90"/>
      <c r="U1224" s="90"/>
      <c r="V1224" s="90"/>
      <c r="W1224" s="90"/>
      <c r="X1224" s="90"/>
      <c r="Y1224" s="90"/>
      <c r="Z1224" s="40" t="s">
        <v>4113</v>
      </c>
      <c r="AB1224" s="46">
        <f>AC1224/(0.089*24*365/10^6)</f>
        <v>187.26591760299624</v>
      </c>
      <c r="AC1224" s="47">
        <f>0.4*0.365</f>
        <v>0.14599999999999999</v>
      </c>
      <c r="AD1224" s="92"/>
      <c r="AE1224" s="92">
        <f t="shared" si="90"/>
        <v>187.26591760299624</v>
      </c>
      <c r="AF1224" s="43" t="s">
        <v>6946</v>
      </c>
      <c r="AG1224" s="43">
        <v>29.6827181262762</v>
      </c>
      <c r="AH1224" s="43">
        <v>-98.583095228963302</v>
      </c>
      <c r="AI1224" s="122" t="s">
        <v>1255</v>
      </c>
      <c r="AJ1224" s="41">
        <v>0.9</v>
      </c>
    </row>
    <row r="1225" spans="1:36" ht="35.1" hidden="1" customHeight="1" x14ac:dyDescent="0.25">
      <c r="A1225" s="40">
        <v>1819</v>
      </c>
      <c r="B1225" s="40" t="s">
        <v>4115</v>
      </c>
      <c r="C1225" s="90" t="s">
        <v>535</v>
      </c>
      <c r="D1225" s="44">
        <v>2024</v>
      </c>
      <c r="E1225" s="44"/>
      <c r="F1225" s="90" t="s">
        <v>5701</v>
      </c>
      <c r="G1225" s="90" t="s">
        <v>455</v>
      </c>
      <c r="H1225" s="90"/>
      <c r="I1225" s="90" t="s">
        <v>1257</v>
      </c>
      <c r="J1225" s="90"/>
      <c r="K1225" s="90" t="s">
        <v>578</v>
      </c>
      <c r="L1225" s="90"/>
      <c r="M1225" s="90"/>
      <c r="N1225" s="90"/>
      <c r="O1225" s="90"/>
      <c r="P1225" s="90"/>
      <c r="Q1225" s="90">
        <v>1</v>
      </c>
      <c r="R1225" s="90"/>
      <c r="S1225" s="90"/>
      <c r="T1225" s="90"/>
      <c r="U1225" s="90"/>
      <c r="V1225" s="90"/>
      <c r="W1225" s="90"/>
      <c r="X1225" s="90"/>
      <c r="Y1225" s="90"/>
      <c r="Z1225" s="90" t="s">
        <v>2630</v>
      </c>
      <c r="AA1225" s="47">
        <f>IF(H2ProjectDB689571011[[#This Row],[Dummy_1]]="Electrolysis",
AB1225*VLOOKUP(G1225,ElectrolysisConvF,3,FALSE),
"")</f>
        <v>2.434456928838951</v>
      </c>
      <c r="AB1225" s="92">
        <f>AC1225/(H2dens*HoursInYear/10^6)</f>
        <v>468.16479400749063</v>
      </c>
      <c r="AC1225" s="92">
        <v>0.36499999999999999</v>
      </c>
      <c r="AD1225" s="92"/>
      <c r="AE1225" s="92">
        <f t="shared" si="90"/>
        <v>468.16479400749063</v>
      </c>
      <c r="AF1225" s="43" t="s">
        <v>6934</v>
      </c>
      <c r="AG1225" s="43">
        <v>-38.142803598581601</v>
      </c>
      <c r="AH1225" s="43">
        <v>144.366378819809</v>
      </c>
      <c r="AI1225" s="122" t="s">
        <v>7286</v>
      </c>
      <c r="AJ1225" s="41">
        <v>0.56999999999999995</v>
      </c>
    </row>
    <row r="1226" spans="1:36" ht="35.1" hidden="1" customHeight="1" x14ac:dyDescent="0.25">
      <c r="A1226" s="40">
        <v>1820</v>
      </c>
      <c r="B1226" s="90" t="s">
        <v>4118</v>
      </c>
      <c r="C1226" s="90" t="s">
        <v>1045</v>
      </c>
      <c r="D1226" s="44">
        <v>2025</v>
      </c>
      <c r="E1226" s="44"/>
      <c r="F1226" s="40" t="s">
        <v>2222</v>
      </c>
      <c r="G1226" s="40" t="s">
        <v>1259</v>
      </c>
      <c r="H1226" s="40" t="s">
        <v>467</v>
      </c>
      <c r="I1226" s="40" t="s">
        <v>1269</v>
      </c>
      <c r="J1226" s="90" t="s">
        <v>581</v>
      </c>
      <c r="K1226" s="90" t="s">
        <v>578</v>
      </c>
      <c r="L1226" s="90"/>
      <c r="M1226" s="90"/>
      <c r="N1226" s="90"/>
      <c r="O1226" s="90"/>
      <c r="P1226" s="90"/>
      <c r="Q1226" s="90"/>
      <c r="R1226" s="90"/>
      <c r="S1226" s="90"/>
      <c r="T1226" s="90"/>
      <c r="U1226" s="90"/>
      <c r="V1226" s="90"/>
      <c r="W1226" s="90"/>
      <c r="X1226" s="90"/>
      <c r="Y1226" s="90"/>
      <c r="Z1226" s="40" t="s">
        <v>5009</v>
      </c>
      <c r="AA1226" s="47">
        <f>IF(H2ProjectDB689571011[[#This Row],[Dummy_1]]="Electrolysis",
AB1226*VLOOKUP(G1226,ElectrolysisConvF,3,FALSE),
"")</f>
        <v>230.87578882561183</v>
      </c>
      <c r="AB1226" s="46">
        <f>AC1226/(H2dens*HoursInYear/10^6)</f>
        <v>51305.730850135966</v>
      </c>
      <c r="AC1226" s="92">
        <f>20/H2ProjectDB689571011[[#This Row],[LOWE_CF]]</f>
        <v>40</v>
      </c>
      <c r="AD1226" s="92"/>
      <c r="AE1226" s="92">
        <f t="shared" si="90"/>
        <v>51305.730850135966</v>
      </c>
      <c r="AF1226" s="43" t="s">
        <v>8104</v>
      </c>
      <c r="AG1226" s="43">
        <v>29.659369000000002</v>
      </c>
      <c r="AH1226" s="43">
        <v>32.344810000000003</v>
      </c>
      <c r="AI1226" s="122" t="s">
        <v>7286</v>
      </c>
      <c r="AJ1226" s="41">
        <v>0.5</v>
      </c>
    </row>
    <row r="1227" spans="1:36" ht="35.1" hidden="1" customHeight="1" x14ac:dyDescent="0.25">
      <c r="A1227" s="40">
        <v>1821</v>
      </c>
      <c r="B1227" s="90" t="s">
        <v>4119</v>
      </c>
      <c r="C1227" s="90" t="s">
        <v>1045</v>
      </c>
      <c r="D1227" s="44">
        <v>2029</v>
      </c>
      <c r="E1227" s="44"/>
      <c r="F1227" s="40" t="s">
        <v>2222</v>
      </c>
      <c r="G1227" s="40" t="s">
        <v>1259</v>
      </c>
      <c r="H1227" s="40" t="s">
        <v>467</v>
      </c>
      <c r="I1227" s="40" t="s">
        <v>1269</v>
      </c>
      <c r="J1227" s="90" t="s">
        <v>581</v>
      </c>
      <c r="K1227" s="90" t="s">
        <v>578</v>
      </c>
      <c r="L1227" s="90"/>
      <c r="M1227" s="90"/>
      <c r="N1227" s="90"/>
      <c r="O1227" s="90"/>
      <c r="P1227" s="90"/>
      <c r="Q1227" s="90"/>
      <c r="R1227" s="90"/>
      <c r="S1227" s="90"/>
      <c r="T1227" s="90"/>
      <c r="U1227" s="90"/>
      <c r="V1227" s="90"/>
      <c r="W1227" s="90"/>
      <c r="X1227" s="90"/>
      <c r="Y1227" s="90"/>
      <c r="Z1227" s="40" t="s">
        <v>5010</v>
      </c>
      <c r="AA1227" s="47">
        <f>IF(H2ProjectDB689571011[[#This Row],[Dummy_1]]="Electrolysis",
AB1227*VLOOKUP(G1227,ElectrolysisConvF,3,FALSE),
"")</f>
        <v>2077.8820994305065</v>
      </c>
      <c r="AB1227" s="46">
        <f>AC1227/(H2dens*HoursInYear/10^6)</f>
        <v>461751.57765122369</v>
      </c>
      <c r="AC1227" s="92">
        <f>180/H2ProjectDB689571011[[#This Row],[LOWE_CF]]</f>
        <v>360</v>
      </c>
      <c r="AD1227" s="92"/>
      <c r="AE1227" s="92">
        <f t="shared" si="90"/>
        <v>461751.57765122369</v>
      </c>
      <c r="AF1227" s="43" t="s">
        <v>8104</v>
      </c>
      <c r="AG1227" s="43">
        <v>29.659369000000002</v>
      </c>
      <c r="AH1227" s="43">
        <v>32.344810000000003</v>
      </c>
      <c r="AI1227" s="122" t="s">
        <v>7286</v>
      </c>
      <c r="AJ1227" s="41">
        <v>0.5</v>
      </c>
    </row>
    <row r="1228" spans="1:36" ht="35.1" hidden="1" customHeight="1" x14ac:dyDescent="0.25">
      <c r="A1228" s="40">
        <v>1822</v>
      </c>
      <c r="B1228" s="90" t="s">
        <v>4120</v>
      </c>
      <c r="C1228" s="90" t="s">
        <v>1045</v>
      </c>
      <c r="D1228" s="44">
        <v>2025</v>
      </c>
      <c r="E1228" s="44"/>
      <c r="F1228" s="40" t="s">
        <v>2222</v>
      </c>
      <c r="G1228" s="40" t="s">
        <v>1259</v>
      </c>
      <c r="H1228" s="40" t="s">
        <v>467</v>
      </c>
      <c r="I1228" s="40" t="s">
        <v>1269</v>
      </c>
      <c r="J1228" s="90" t="s">
        <v>581</v>
      </c>
      <c r="K1228" s="90" t="s">
        <v>1243</v>
      </c>
      <c r="L1228" s="90"/>
      <c r="M1228" s="90">
        <v>1</v>
      </c>
      <c r="N1228" s="90"/>
      <c r="O1228" s="90"/>
      <c r="P1228" s="90"/>
      <c r="Q1228" s="90"/>
      <c r="R1228" s="90"/>
      <c r="S1228" s="90"/>
      <c r="T1228" s="90"/>
      <c r="U1228" s="90"/>
      <c r="V1228" s="90"/>
      <c r="W1228" s="90"/>
      <c r="X1228" s="90"/>
      <c r="Y1228" s="90"/>
      <c r="Z1228" s="40" t="s">
        <v>5011</v>
      </c>
      <c r="AA1228" s="47">
        <f>IF(H2ProjectDB689571011[[#This Row],[Dummy_1]]="Electrolysis",
AB1228*VLOOKUP(G1228,ElectrolysisConvF,3,FALSE),
"")</f>
        <v>207.87135848644522</v>
      </c>
      <c r="AB1228" s="46">
        <f>AC1228/(H2dens*HoursInYear/10^6)</f>
        <v>46193.635219210053</v>
      </c>
      <c r="AC1228" s="47">
        <f>(100*3/17/0.98)/H2ProjectDB689571011[[#This Row],[LOWE_CF]]</f>
        <v>36.014405762304925</v>
      </c>
      <c r="AD1228" s="92"/>
      <c r="AE1228" s="92">
        <f t="shared" si="90"/>
        <v>46193.635219210053</v>
      </c>
      <c r="AF1228" s="43" t="s">
        <v>8104</v>
      </c>
      <c r="AG1228" s="43">
        <v>29.659369000000002</v>
      </c>
      <c r="AH1228" s="43">
        <v>32.344810000000003</v>
      </c>
      <c r="AI1228" s="122" t="s">
        <v>7286</v>
      </c>
      <c r="AJ1228" s="41">
        <v>0.5</v>
      </c>
    </row>
    <row r="1229" spans="1:36" ht="35.1" hidden="1" customHeight="1" x14ac:dyDescent="0.25">
      <c r="A1229" s="40">
        <v>1823</v>
      </c>
      <c r="B1229" s="90" t="s">
        <v>4121</v>
      </c>
      <c r="C1229" s="90" t="s">
        <v>1045</v>
      </c>
      <c r="D1229" s="44">
        <v>2029</v>
      </c>
      <c r="E1229" s="44"/>
      <c r="F1229" s="40" t="s">
        <v>2222</v>
      </c>
      <c r="G1229" s="40" t="s">
        <v>1259</v>
      </c>
      <c r="H1229" s="40" t="s">
        <v>467</v>
      </c>
      <c r="I1229" s="40" t="s">
        <v>1269</v>
      </c>
      <c r="J1229" s="90" t="s">
        <v>581</v>
      </c>
      <c r="K1229" s="90" t="s">
        <v>1243</v>
      </c>
      <c r="L1229" s="90"/>
      <c r="M1229" s="90">
        <v>1</v>
      </c>
      <c r="N1229" s="90"/>
      <c r="O1229" s="90"/>
      <c r="P1229" s="90"/>
      <c r="Q1229" s="90"/>
      <c r="R1229" s="90"/>
      <c r="S1229" s="90"/>
      <c r="T1229" s="90"/>
      <c r="U1229" s="90"/>
      <c r="V1229" s="90"/>
      <c r="W1229" s="90"/>
      <c r="X1229" s="90"/>
      <c r="Y1229" s="90"/>
      <c r="Z1229" s="40" t="s">
        <v>5012</v>
      </c>
      <c r="AA1229" s="47">
        <f>IF(H2ProjectDB689571011[[#This Row],[Dummy_1]]="Electrolysis",
AB1229*VLOOKUP(G1229,ElectrolysisConvF,3,FALSE),
"")</f>
        <v>2078.7135848644521</v>
      </c>
      <c r="AB1229" s="46">
        <f>AC1229/(H2dens*HoursInYear/10^6)</f>
        <v>461936.35219210049</v>
      </c>
      <c r="AC1229" s="47">
        <f>(1000*3/17/0.98)/H2ProjectDB689571011[[#This Row],[LOWE_CF]]</f>
        <v>360.14405762304921</v>
      </c>
      <c r="AD1229" s="92"/>
      <c r="AE1229" s="92">
        <f t="shared" si="90"/>
        <v>461936.35219210049</v>
      </c>
      <c r="AF1229" s="43" t="s">
        <v>8104</v>
      </c>
      <c r="AG1229" s="43">
        <v>29.659369000000002</v>
      </c>
      <c r="AH1229" s="43">
        <v>32.344810000000003</v>
      </c>
      <c r="AI1229" s="122" t="s">
        <v>7286</v>
      </c>
      <c r="AJ1229" s="41">
        <v>0.5</v>
      </c>
    </row>
    <row r="1230" spans="1:36" ht="35.1" hidden="1" customHeight="1" x14ac:dyDescent="0.25">
      <c r="A1230" s="40">
        <v>1824</v>
      </c>
      <c r="B1230" s="40" t="s">
        <v>8085</v>
      </c>
      <c r="C1230" s="90" t="s">
        <v>542</v>
      </c>
      <c r="D1230" s="44">
        <v>2030</v>
      </c>
      <c r="E1230" s="44"/>
      <c r="F1230" s="40" t="s">
        <v>1331</v>
      </c>
      <c r="G1230" s="40" t="s">
        <v>1259</v>
      </c>
      <c r="H1230" s="40" t="s">
        <v>467</v>
      </c>
      <c r="I1230" s="40" t="s">
        <v>1266</v>
      </c>
      <c r="J1230" s="90"/>
      <c r="K1230" s="90" t="s">
        <v>578</v>
      </c>
      <c r="L1230" s="90"/>
      <c r="M1230" s="90">
        <v>1</v>
      </c>
      <c r="N1230" s="90">
        <v>1</v>
      </c>
      <c r="O1230" s="90"/>
      <c r="P1230" s="90">
        <v>1</v>
      </c>
      <c r="Q1230" s="90">
        <v>1</v>
      </c>
      <c r="R1230" s="90"/>
      <c r="S1230" s="90"/>
      <c r="T1230" s="90"/>
      <c r="U1230" s="90"/>
      <c r="V1230" s="90"/>
      <c r="W1230" s="90">
        <v>1</v>
      </c>
      <c r="X1230" s="90"/>
      <c r="Y1230" s="90"/>
      <c r="Z1230" s="90" t="s">
        <v>1487</v>
      </c>
      <c r="AA1230" s="91">
        <v>100</v>
      </c>
      <c r="AB1230" s="46">
        <f>IF(H2ProjectDB689571011[[#This Row],[Dummy_1]]="Electrolysis",
AA1230/VLOOKUP(G1230,ElectrolysisConvF,3,FALSE),
AC1230*10^6/(H2dens*HoursInYear))</f>
        <v>22222.222222222223</v>
      </c>
      <c r="AC1230" s="47">
        <f t="shared" ref="AC1230:AC1235" si="93">AB1230*H2dens*HoursInYear/10^6</f>
        <v>17.325333333333333</v>
      </c>
      <c r="AD1230" s="92"/>
      <c r="AE1230" s="92">
        <f t="shared" si="90"/>
        <v>22222.222222222223</v>
      </c>
      <c r="AF1230" s="93" t="s">
        <v>4125</v>
      </c>
      <c r="AG1230" s="43">
        <v>51.951418066896601</v>
      </c>
      <c r="AH1230" s="43">
        <v>1.33425464260219</v>
      </c>
      <c r="AI1230" s="122" t="s">
        <v>7286</v>
      </c>
      <c r="AJ1230" s="41">
        <v>0.56999999999999995</v>
      </c>
    </row>
    <row r="1231" spans="1:36" ht="35.1" hidden="1" customHeight="1" x14ac:dyDescent="0.25">
      <c r="A1231" s="40">
        <v>1825</v>
      </c>
      <c r="B1231" s="90" t="s">
        <v>6192</v>
      </c>
      <c r="C1231" s="90" t="s">
        <v>540</v>
      </c>
      <c r="D1231" s="44">
        <v>2027</v>
      </c>
      <c r="E1231" s="44"/>
      <c r="F1231" s="90" t="s">
        <v>1331</v>
      </c>
      <c r="G1231" s="90" t="s">
        <v>1259</v>
      </c>
      <c r="H1231" s="40" t="s">
        <v>467</v>
      </c>
      <c r="I1231" s="90" t="s">
        <v>5700</v>
      </c>
      <c r="J1231" s="90" t="s">
        <v>1395</v>
      </c>
      <c r="K1231" s="90" t="s">
        <v>578</v>
      </c>
      <c r="L1231" s="90"/>
      <c r="M1231" s="90"/>
      <c r="N1231" s="90"/>
      <c r="O1231" s="90"/>
      <c r="P1231" s="90">
        <v>1</v>
      </c>
      <c r="Q1231" s="90"/>
      <c r="R1231" s="90"/>
      <c r="S1231" s="90"/>
      <c r="T1231" s="90"/>
      <c r="U1231" s="90"/>
      <c r="V1231" s="90"/>
      <c r="W1231" s="90"/>
      <c r="X1231" s="90"/>
      <c r="Y1231" s="90"/>
      <c r="Z1231" s="40" t="s">
        <v>6195</v>
      </c>
      <c r="AA1231" s="91">
        <v>60</v>
      </c>
      <c r="AB1231" s="46">
        <f>IF(H2ProjectDB689571011[[#This Row],[Dummy_1]]="Electrolysis",
AA1231/VLOOKUP(G1231,ElectrolysisConvF,3,FALSE),
AC1231*10^6/(H2dens*HoursInYear))</f>
        <v>13333.333333333334</v>
      </c>
      <c r="AC1231" s="47">
        <f t="shared" si="93"/>
        <v>10.395200000000001</v>
      </c>
      <c r="AD1231" s="92"/>
      <c r="AE1231" s="92">
        <f t="shared" si="90"/>
        <v>13333.333333333334</v>
      </c>
      <c r="AF1231" s="43" t="s">
        <v>6961</v>
      </c>
      <c r="AG1231" s="43">
        <v>47.981684405173297</v>
      </c>
      <c r="AH1231" s="43">
        <v>17.0060610809536</v>
      </c>
      <c r="AI1231" s="122" t="s">
        <v>7286</v>
      </c>
      <c r="AJ1231" s="41">
        <v>0.7</v>
      </c>
    </row>
    <row r="1232" spans="1:36" ht="35.1" hidden="1" customHeight="1" x14ac:dyDescent="0.25">
      <c r="A1232" s="40">
        <v>1826</v>
      </c>
      <c r="B1232" s="90" t="s">
        <v>6193</v>
      </c>
      <c r="C1232" s="90" t="s">
        <v>540</v>
      </c>
      <c r="D1232" s="44">
        <v>2030</v>
      </c>
      <c r="E1232" s="44"/>
      <c r="F1232" s="90" t="s">
        <v>2222</v>
      </c>
      <c r="G1232" s="90" t="s">
        <v>1259</v>
      </c>
      <c r="H1232" s="40" t="s">
        <v>467</v>
      </c>
      <c r="I1232" s="90" t="s">
        <v>5700</v>
      </c>
      <c r="J1232" s="90" t="s">
        <v>1395</v>
      </c>
      <c r="K1232" s="90" t="s">
        <v>578</v>
      </c>
      <c r="L1232" s="90"/>
      <c r="M1232" s="90">
        <v>1</v>
      </c>
      <c r="N1232" s="90"/>
      <c r="O1232" s="90"/>
      <c r="P1232" s="90"/>
      <c r="Q1232" s="90"/>
      <c r="R1232" s="90"/>
      <c r="S1232" s="90"/>
      <c r="T1232" s="90"/>
      <c r="U1232" s="90"/>
      <c r="V1232" s="90"/>
      <c r="W1232" s="90"/>
      <c r="X1232" s="90"/>
      <c r="Y1232" s="90"/>
      <c r="Z1232" s="40" t="s">
        <v>6196</v>
      </c>
      <c r="AA1232" s="91">
        <f>300-60</f>
        <v>240</v>
      </c>
      <c r="AB1232" s="46">
        <f>IF(H2ProjectDB689571011[[#This Row],[Dummy_1]]="Electrolysis",
AA1232/VLOOKUP(G1232,ElectrolysisConvF,3,FALSE),
AC1232*10^6/(H2dens*HoursInYear))</f>
        <v>53333.333333333336</v>
      </c>
      <c r="AC1232" s="47">
        <f t="shared" si="93"/>
        <v>41.580800000000004</v>
      </c>
      <c r="AD1232" s="92"/>
      <c r="AE1232" s="92">
        <f t="shared" si="90"/>
        <v>53333.333333333336</v>
      </c>
      <c r="AF1232" s="43" t="s">
        <v>6194</v>
      </c>
      <c r="AG1232" s="43">
        <v>47.981684405173297</v>
      </c>
      <c r="AH1232" s="43">
        <v>17.0060610809536</v>
      </c>
      <c r="AI1232" s="122" t="s">
        <v>7286</v>
      </c>
      <c r="AJ1232" s="41">
        <v>0.7</v>
      </c>
    </row>
    <row r="1233" spans="1:36" ht="35.1" hidden="1" customHeight="1" x14ac:dyDescent="0.25">
      <c r="A1233" s="40">
        <v>1827</v>
      </c>
      <c r="B1233" s="90" t="s">
        <v>4127</v>
      </c>
      <c r="C1233" s="90" t="s">
        <v>1094</v>
      </c>
      <c r="D1233" s="44">
        <v>2030</v>
      </c>
      <c r="E1233" s="44"/>
      <c r="F1233" s="40" t="s">
        <v>1331</v>
      </c>
      <c r="G1233" s="40" t="s">
        <v>1259</v>
      </c>
      <c r="H1233" s="40" t="s">
        <v>467</v>
      </c>
      <c r="I1233" s="40" t="s">
        <v>1269</v>
      </c>
      <c r="J1233" s="90" t="s">
        <v>581</v>
      </c>
      <c r="K1233" s="90" t="s">
        <v>612</v>
      </c>
      <c r="L1233" s="90"/>
      <c r="M1233" s="90"/>
      <c r="N1233" s="90"/>
      <c r="O1233" s="90"/>
      <c r="P1233" s="90"/>
      <c r="Q1233" s="90"/>
      <c r="R1233" s="90"/>
      <c r="S1233" s="90"/>
      <c r="T1233" s="90"/>
      <c r="U1233" s="90"/>
      <c r="V1233" s="90"/>
      <c r="W1233" s="90"/>
      <c r="X1233" s="90">
        <v>1</v>
      </c>
      <c r="Y1233" s="90"/>
      <c r="Z1233" s="40" t="s">
        <v>8008</v>
      </c>
      <c r="AA1233" s="47">
        <v>450</v>
      </c>
      <c r="AB1233" s="46">
        <f>IF(H2ProjectDB689571011[[#This Row],[Dummy_1]]="Electrolysis",
AA1233/VLOOKUP(G1233,ElectrolysisConvF,3,FALSE),
AC1233*10^6/(H2dens*HoursInYear))</f>
        <v>100000.00000000001</v>
      </c>
      <c r="AC1233" s="47">
        <f t="shared" si="93"/>
        <v>77.963999999999999</v>
      </c>
      <c r="AD1233" s="92"/>
      <c r="AE1233" s="92">
        <f t="shared" si="90"/>
        <v>100000.00000000001</v>
      </c>
      <c r="AF1233" s="43" t="s">
        <v>6446</v>
      </c>
      <c r="AG1233" s="43">
        <v>-13.2500148955281</v>
      </c>
      <c r="AH1233" s="43">
        <v>-76.303593922686701</v>
      </c>
      <c r="AI1233" s="122" t="s">
        <v>7286</v>
      </c>
      <c r="AJ1233" s="41">
        <v>0.5</v>
      </c>
    </row>
    <row r="1234" spans="1:36" ht="35.1" hidden="1" customHeight="1" x14ac:dyDescent="0.25">
      <c r="A1234" s="40">
        <v>1828</v>
      </c>
      <c r="B1234" s="40" t="s">
        <v>4129</v>
      </c>
      <c r="C1234" s="90" t="s">
        <v>533</v>
      </c>
      <c r="D1234" s="44">
        <v>2024</v>
      </c>
      <c r="E1234" s="44"/>
      <c r="F1234" s="90" t="s">
        <v>5701</v>
      </c>
      <c r="G1234" s="90" t="s">
        <v>455</v>
      </c>
      <c r="H1234" s="90"/>
      <c r="I1234" s="40" t="s">
        <v>1269</v>
      </c>
      <c r="J1234" s="90" t="s">
        <v>581</v>
      </c>
      <c r="K1234" s="90" t="s">
        <v>578</v>
      </c>
      <c r="L1234" s="90">
        <v>1</v>
      </c>
      <c r="M1234" s="90"/>
      <c r="N1234" s="90"/>
      <c r="O1234" s="90"/>
      <c r="P1234" s="90"/>
      <c r="Q1234" s="90"/>
      <c r="R1234" s="90"/>
      <c r="S1234" s="90"/>
      <c r="T1234" s="90"/>
      <c r="U1234" s="90"/>
      <c r="V1234" s="90"/>
      <c r="W1234" s="90"/>
      <c r="X1234" s="90"/>
      <c r="Y1234" s="90"/>
      <c r="Z1234" s="90" t="s">
        <v>1484</v>
      </c>
      <c r="AA1234" s="91">
        <v>5</v>
      </c>
      <c r="AB1234" s="46">
        <f>IF(H2ProjectDB689571011[[#This Row],[Dummy_1]]="Electrolysis",
AA1234/VLOOKUP(G1234,ElectrolysisConvF,3,FALSE),
AC1234*10^6/(H2dens*HoursInYear))</f>
        <v>961.53846153846155</v>
      </c>
      <c r="AC1234" s="47">
        <f t="shared" si="93"/>
        <v>0.74965384615384612</v>
      </c>
      <c r="AD1234" s="92"/>
      <c r="AE1234" s="92">
        <f t="shared" ref="AE1234:AE1297" si="94">IF(AND(G1234&lt;&gt;"NG w CCUS",G1234&lt;&gt;"Oil w CCUS",G1234&lt;&gt;"Coal w CCUS"),AB1234,AD1234*10^3/(HoursInYear*IF(G1234="NG w CCUS",0.9105,1.9075)))</f>
        <v>961.53846153846155</v>
      </c>
      <c r="AF1234" s="93" t="s">
        <v>4131</v>
      </c>
      <c r="AG1234" s="43">
        <v>45.283641731119602</v>
      </c>
      <c r="AH1234" s="43">
        <v>-66.007314148303095</v>
      </c>
      <c r="AI1234" s="122" t="s">
        <v>7286</v>
      </c>
      <c r="AJ1234" s="41">
        <v>0.5</v>
      </c>
    </row>
    <row r="1235" spans="1:36" ht="35.1" hidden="1" customHeight="1" x14ac:dyDescent="0.25">
      <c r="A1235" s="40">
        <v>1829</v>
      </c>
      <c r="B1235" s="90" t="s">
        <v>4132</v>
      </c>
      <c r="C1235" s="90" t="s">
        <v>548</v>
      </c>
      <c r="D1235" s="44">
        <v>2025</v>
      </c>
      <c r="E1235" s="44"/>
      <c r="F1235" s="90" t="s">
        <v>1331</v>
      </c>
      <c r="G1235" s="90" t="s">
        <v>455</v>
      </c>
      <c r="H1235" s="90"/>
      <c r="I1235" s="40" t="s">
        <v>1269</v>
      </c>
      <c r="J1235" s="90" t="s">
        <v>581</v>
      </c>
      <c r="K1235" s="90" t="s">
        <v>578</v>
      </c>
      <c r="L1235" s="90"/>
      <c r="M1235" s="90"/>
      <c r="N1235" s="90"/>
      <c r="O1235" s="90"/>
      <c r="P1235" s="90">
        <v>1</v>
      </c>
      <c r="Q1235" s="90"/>
      <c r="R1235" s="90"/>
      <c r="S1235" s="90"/>
      <c r="T1235" s="90"/>
      <c r="U1235" s="90"/>
      <c r="V1235" s="90"/>
      <c r="W1235" s="90"/>
      <c r="X1235" s="90"/>
      <c r="Y1235" s="90"/>
      <c r="Z1235" s="90" t="s">
        <v>1485</v>
      </c>
      <c r="AA1235" s="91">
        <v>100</v>
      </c>
      <c r="AB1235" s="46">
        <f>IF(H2ProjectDB689571011[[#This Row],[Dummy_1]]="Electrolysis",
AA1235/VLOOKUP(G1235,ElectrolysisConvF,3,FALSE),
AC1235*10^6/(H2dens*HoursInYear))</f>
        <v>19230.76923076923</v>
      </c>
      <c r="AC1235" s="47">
        <f t="shared" si="93"/>
        <v>14.993076923076922</v>
      </c>
      <c r="AD1235" s="92"/>
      <c r="AE1235" s="92">
        <f t="shared" si="94"/>
        <v>19230.76923076923</v>
      </c>
      <c r="AF1235" s="93" t="s">
        <v>4138</v>
      </c>
      <c r="AG1235" s="43">
        <v>51.2411278926226</v>
      </c>
      <c r="AH1235" s="43">
        <v>4.4088068755073202</v>
      </c>
      <c r="AI1235" s="122" t="s">
        <v>7286</v>
      </c>
      <c r="AJ1235" s="41">
        <v>0.5</v>
      </c>
    </row>
    <row r="1236" spans="1:36" ht="35.1" hidden="1" customHeight="1" x14ac:dyDescent="0.25">
      <c r="A1236" s="40">
        <v>1830</v>
      </c>
      <c r="B1236" s="90" t="s">
        <v>4133</v>
      </c>
      <c r="C1236" s="90" t="s">
        <v>1305</v>
      </c>
      <c r="D1236" s="44">
        <v>2024</v>
      </c>
      <c r="E1236" s="44"/>
      <c r="F1236" s="40" t="s">
        <v>5701</v>
      </c>
      <c r="G1236" s="40" t="s">
        <v>1259</v>
      </c>
      <c r="H1236" s="40" t="s">
        <v>467</v>
      </c>
      <c r="I1236" s="40" t="s">
        <v>1269</v>
      </c>
      <c r="J1236" s="90" t="s">
        <v>581</v>
      </c>
      <c r="K1236" s="90" t="s">
        <v>1267</v>
      </c>
      <c r="L1236" s="90"/>
      <c r="M1236" s="90"/>
      <c r="N1236" s="90"/>
      <c r="O1236" s="90"/>
      <c r="P1236" s="90"/>
      <c r="Q1236" s="90"/>
      <c r="R1236" s="90"/>
      <c r="S1236" s="90"/>
      <c r="T1236" s="90"/>
      <c r="U1236" s="90"/>
      <c r="V1236" s="90"/>
      <c r="W1236" s="90">
        <v>1</v>
      </c>
      <c r="X1236" s="90"/>
      <c r="Y1236" s="90"/>
      <c r="Z1236" s="40" t="s">
        <v>7021</v>
      </c>
      <c r="AA1236" s="47">
        <f>IF(H2ProjectDB689571011[[#This Row],[Dummy_1]]="Electrolysis",
AB1236*VLOOKUP(G1236,ElectrolysisConvF,3,FALSE),
"")</f>
        <v>14.825072056439113</v>
      </c>
      <c r="AB1236" s="46">
        <f>AC1236/(H2dens*HoursInYear/10^6)</f>
        <v>3294.46045698647</v>
      </c>
      <c r="AC1236" s="47">
        <f>2.5*0.045/0.73/0.12/H2ProjectDB689571011[[#This Row],[LOWE_CF]]</f>
        <v>2.5684931506849313</v>
      </c>
      <c r="AD1236" s="92"/>
      <c r="AE1236" s="92">
        <f t="shared" si="94"/>
        <v>3294.46045698647</v>
      </c>
      <c r="AF1236" s="43" t="s">
        <v>6947</v>
      </c>
      <c r="AG1236" s="43">
        <v>50.095117029339796</v>
      </c>
      <c r="AH1236" s="43">
        <v>8.5337827064063401</v>
      </c>
      <c r="AI1236" s="122" t="s">
        <v>7286</v>
      </c>
      <c r="AJ1236" s="41">
        <v>0.5</v>
      </c>
    </row>
    <row r="1237" spans="1:36" ht="35.1" hidden="1" customHeight="1" x14ac:dyDescent="0.25">
      <c r="A1237" s="40">
        <v>1831</v>
      </c>
      <c r="B1237" s="90" t="s">
        <v>4139</v>
      </c>
      <c r="C1237" s="90" t="s">
        <v>536</v>
      </c>
      <c r="D1237" s="44">
        <v>2030</v>
      </c>
      <c r="E1237" s="44"/>
      <c r="F1237" s="40" t="s">
        <v>1331</v>
      </c>
      <c r="G1237" s="40" t="s">
        <v>1259</v>
      </c>
      <c r="H1237" s="40" t="s">
        <v>467</v>
      </c>
      <c r="I1237" s="40" t="s">
        <v>1269</v>
      </c>
      <c r="J1237" s="90" t="s">
        <v>1395</v>
      </c>
      <c r="K1237" s="90" t="s">
        <v>578</v>
      </c>
      <c r="L1237" s="90"/>
      <c r="M1237" s="90">
        <v>1</v>
      </c>
      <c r="N1237" s="90"/>
      <c r="O1237" s="90"/>
      <c r="P1237" s="90"/>
      <c r="Q1237" s="90">
        <v>1</v>
      </c>
      <c r="R1237" s="90">
        <v>1</v>
      </c>
      <c r="S1237" s="90"/>
      <c r="T1237" s="90"/>
      <c r="U1237" s="90"/>
      <c r="V1237" s="90"/>
      <c r="W1237" s="90">
        <v>1</v>
      </c>
      <c r="X1237" s="90"/>
      <c r="Y1237" s="90"/>
      <c r="Z1237" s="90" t="s">
        <v>3233</v>
      </c>
      <c r="AA1237" s="91">
        <v>2000</v>
      </c>
      <c r="AB1237" s="46">
        <f>IF(H2ProjectDB689571011[[#This Row],[Dummy_1]]="Electrolysis",
AA1237/VLOOKUP(G1237,ElectrolysisConvF,3,FALSE),
AC1237*10^6/(H2dens*HoursInYear))</f>
        <v>444444.4444444445</v>
      </c>
      <c r="AC1237" s="47">
        <f>AB1237*H2dens*HoursInYear/10^6</f>
        <v>346.50666666666666</v>
      </c>
      <c r="AD1237" s="92"/>
      <c r="AE1237" s="92">
        <f t="shared" si="94"/>
        <v>444444.4444444445</v>
      </c>
      <c r="AF1237" s="43" t="s">
        <v>7315</v>
      </c>
      <c r="AG1237" s="43">
        <v>27.671189013646401</v>
      </c>
      <c r="AH1237" s="43">
        <v>-98.614024819549797</v>
      </c>
      <c r="AI1237" s="122" t="s">
        <v>7286</v>
      </c>
      <c r="AJ1237" s="41">
        <v>0.5</v>
      </c>
    </row>
    <row r="1238" spans="1:36" ht="35.1" hidden="1" customHeight="1" x14ac:dyDescent="0.25">
      <c r="A1238" s="40">
        <v>1832</v>
      </c>
      <c r="B1238" s="90" t="s">
        <v>4142</v>
      </c>
      <c r="C1238" s="90" t="s">
        <v>536</v>
      </c>
      <c r="D1238" s="44"/>
      <c r="E1238" s="44"/>
      <c r="F1238" s="40" t="s">
        <v>2222</v>
      </c>
      <c r="G1238" s="40" t="s">
        <v>1259</v>
      </c>
      <c r="H1238" s="40" t="s">
        <v>467</v>
      </c>
      <c r="I1238" s="40" t="s">
        <v>1269</v>
      </c>
      <c r="J1238" s="90" t="s">
        <v>1395</v>
      </c>
      <c r="K1238" s="90" t="s">
        <v>578</v>
      </c>
      <c r="L1238" s="90"/>
      <c r="M1238" s="90">
        <v>1</v>
      </c>
      <c r="N1238" s="90"/>
      <c r="O1238" s="90"/>
      <c r="P1238" s="90"/>
      <c r="Q1238" s="90">
        <v>1</v>
      </c>
      <c r="R1238" s="90">
        <v>1</v>
      </c>
      <c r="S1238" s="90"/>
      <c r="T1238" s="90"/>
      <c r="U1238" s="90"/>
      <c r="V1238" s="90"/>
      <c r="W1238" s="90">
        <v>1</v>
      </c>
      <c r="X1238" s="90"/>
      <c r="Y1238" s="90"/>
      <c r="Z1238" s="90" t="s">
        <v>4143</v>
      </c>
      <c r="AA1238" s="47">
        <f>IF(H2ProjectDB689571011[[#This Row],[Dummy_1]]="Electrolysis",
AB1238*VLOOKUP(G1238,ElectrolysisConvF,3,FALSE),
"")</f>
        <v>15315.722641219025</v>
      </c>
      <c r="AB1238" s="46">
        <f>AC1238/(H2dens*HoursInYear/10^6)</f>
        <v>3403493.9202708947</v>
      </c>
      <c r="AC1238" s="47">
        <f>3000-346.5</f>
        <v>2653.5</v>
      </c>
      <c r="AD1238" s="92"/>
      <c r="AE1238" s="92">
        <f t="shared" si="94"/>
        <v>3403493.9202708947</v>
      </c>
      <c r="AF1238" s="93" t="s">
        <v>4140</v>
      </c>
      <c r="AG1238" s="43">
        <v>27.671189013646401</v>
      </c>
      <c r="AH1238" s="43">
        <v>-98.614024819549797</v>
      </c>
      <c r="AI1238" s="122" t="s">
        <v>7286</v>
      </c>
      <c r="AJ1238" s="41">
        <v>0.5</v>
      </c>
    </row>
    <row r="1239" spans="1:36" ht="35.1" hidden="1" customHeight="1" x14ac:dyDescent="0.25">
      <c r="A1239" s="40">
        <v>1833</v>
      </c>
      <c r="B1239" s="40" t="s">
        <v>4144</v>
      </c>
      <c r="C1239" s="90" t="s">
        <v>533</v>
      </c>
      <c r="D1239" s="90"/>
      <c r="E1239" s="90"/>
      <c r="F1239" s="40" t="s">
        <v>2222</v>
      </c>
      <c r="G1239" s="40" t="s">
        <v>1259</v>
      </c>
      <c r="H1239" s="40" t="s">
        <v>467</v>
      </c>
      <c r="I1239" s="40" t="s">
        <v>1269</v>
      </c>
      <c r="J1239" s="90" t="s">
        <v>1393</v>
      </c>
      <c r="K1239" s="90" t="s">
        <v>578</v>
      </c>
      <c r="L1239" s="90"/>
      <c r="M1239" s="90"/>
      <c r="N1239" s="90"/>
      <c r="O1239" s="90"/>
      <c r="P1239" s="90"/>
      <c r="Q1239" s="90"/>
      <c r="R1239" s="90"/>
      <c r="S1239" s="90"/>
      <c r="T1239" s="90"/>
      <c r="U1239" s="90"/>
      <c r="V1239" s="90"/>
      <c r="W1239" s="90"/>
      <c r="X1239" s="90"/>
      <c r="Y1239" s="90"/>
      <c r="Z1239" s="40" t="s">
        <v>5029</v>
      </c>
      <c r="AA1239" s="47">
        <f>IF(H2ProjectDB689571011[[#This Row],[Dummy_1]]="Electrolysis",
AB1239*VLOOKUP(G1239,ElectrolysisConvF,3,FALSE),
"")</f>
        <v>248.19147298753271</v>
      </c>
      <c r="AB1239" s="46">
        <f>AC1239/(H2dens*HoursInYear/10^6)</f>
        <v>55153.66066389616</v>
      </c>
      <c r="AC1239" s="47">
        <f>43</f>
        <v>43</v>
      </c>
      <c r="AD1239" s="92"/>
      <c r="AE1239" s="92">
        <f t="shared" si="94"/>
        <v>55153.66066389616</v>
      </c>
      <c r="AF1239" s="93" t="s">
        <v>4146</v>
      </c>
      <c r="AG1239" s="43">
        <v>44.996828010675102</v>
      </c>
      <c r="AH1239" s="43">
        <v>-63.618333150501698</v>
      </c>
      <c r="AI1239" s="122" t="s">
        <v>7286</v>
      </c>
      <c r="AJ1239" s="41">
        <v>0.55000000000000004</v>
      </c>
    </row>
    <row r="1240" spans="1:36" ht="35.1" hidden="1" customHeight="1" x14ac:dyDescent="0.25">
      <c r="A1240" s="40">
        <v>1834</v>
      </c>
      <c r="B1240" s="90" t="s">
        <v>4147</v>
      </c>
      <c r="C1240" s="90" t="s">
        <v>533</v>
      </c>
      <c r="D1240" s="90"/>
      <c r="E1240" s="90"/>
      <c r="F1240" s="40" t="s">
        <v>2222</v>
      </c>
      <c r="G1240" s="40" t="s">
        <v>1259</v>
      </c>
      <c r="H1240" s="40" t="s">
        <v>467</v>
      </c>
      <c r="I1240" s="40" t="s">
        <v>1269</v>
      </c>
      <c r="J1240" s="90" t="s">
        <v>1393</v>
      </c>
      <c r="K1240" s="90" t="s">
        <v>578</v>
      </c>
      <c r="L1240" s="90"/>
      <c r="M1240" s="90"/>
      <c r="N1240" s="90"/>
      <c r="O1240" s="90"/>
      <c r="P1240" s="90"/>
      <c r="Q1240" s="90"/>
      <c r="R1240" s="90"/>
      <c r="S1240" s="90"/>
      <c r="T1240" s="90"/>
      <c r="U1240" s="90"/>
      <c r="V1240" s="90"/>
      <c r="W1240" s="90"/>
      <c r="X1240" s="90"/>
      <c r="Y1240" s="90"/>
      <c r="Z1240" s="40" t="s">
        <v>5029</v>
      </c>
      <c r="AA1240" s="47">
        <f>IF(H2ProjectDB689571011[[#This Row],[Dummy_1]]="Electrolysis",
AB1240*VLOOKUP(G1240,ElectrolysisConvF,3,FALSE),
"")</f>
        <v>248.19147298753271</v>
      </c>
      <c r="AB1240" s="46">
        <f>AC1240/(H2dens*HoursInYear/10^6)</f>
        <v>55153.66066389616</v>
      </c>
      <c r="AC1240" s="47">
        <f>43</f>
        <v>43</v>
      </c>
      <c r="AD1240" s="92"/>
      <c r="AE1240" s="92">
        <f t="shared" si="94"/>
        <v>55153.66066389616</v>
      </c>
      <c r="AF1240" s="93" t="s">
        <v>4148</v>
      </c>
      <c r="AG1240" s="43">
        <v>49.614104488840098</v>
      </c>
      <c r="AH1240" s="43">
        <v>-66.545340243649704</v>
      </c>
      <c r="AI1240" s="122" t="s">
        <v>7286</v>
      </c>
      <c r="AJ1240" s="41">
        <v>0.55000000000000004</v>
      </c>
    </row>
    <row r="1241" spans="1:36" ht="35.1" hidden="1" customHeight="1" x14ac:dyDescent="0.25">
      <c r="A1241" s="40">
        <v>1835</v>
      </c>
      <c r="B1241" s="90" t="s">
        <v>5977</v>
      </c>
      <c r="C1241" s="90" t="s">
        <v>530</v>
      </c>
      <c r="D1241" s="44">
        <v>2024</v>
      </c>
      <c r="E1241" s="44"/>
      <c r="F1241" s="40" t="s">
        <v>1331</v>
      </c>
      <c r="G1241" s="40" t="s">
        <v>455</v>
      </c>
      <c r="H1241" s="40" t="s">
        <v>467</v>
      </c>
      <c r="I1241" s="40" t="s">
        <v>1269</v>
      </c>
      <c r="J1241" s="90" t="s">
        <v>1395</v>
      </c>
      <c r="K1241" s="90" t="s">
        <v>612</v>
      </c>
      <c r="L1241" s="90"/>
      <c r="M1241" s="90"/>
      <c r="N1241" s="90"/>
      <c r="O1241" s="90"/>
      <c r="P1241" s="90"/>
      <c r="Q1241" s="90"/>
      <c r="R1241" s="90"/>
      <c r="S1241" s="90"/>
      <c r="T1241" s="90"/>
      <c r="U1241" s="90"/>
      <c r="V1241" s="90"/>
      <c r="W1241" s="90"/>
      <c r="X1241" s="90">
        <v>1</v>
      </c>
      <c r="Y1241" s="90"/>
      <c r="Z1241" s="90" t="s">
        <v>5978</v>
      </c>
      <c r="AA1241" s="91">
        <v>1</v>
      </c>
      <c r="AB1241" s="46">
        <f>IF(H2ProjectDB689571011[[#This Row],[Dummy_1]]="Electrolysis",
AA1241/VLOOKUP(G1241,ElectrolysisConvF,3,FALSE),
AC1241*10^6/(H2dens*HoursInYear))</f>
        <v>192.30769230769232</v>
      </c>
      <c r="AC1241" s="47">
        <f>AB1241*H2dens*HoursInYear/10^6</f>
        <v>0.14993076923076926</v>
      </c>
      <c r="AD1241" s="92"/>
      <c r="AE1241" s="92">
        <f t="shared" si="94"/>
        <v>192.30769230769232</v>
      </c>
      <c r="AF1241" s="93" t="s">
        <v>4150</v>
      </c>
      <c r="AG1241" s="43">
        <v>43.334407996688</v>
      </c>
      <c r="AH1241" s="43">
        <v>-0.35496261207114299</v>
      </c>
      <c r="AI1241" s="122" t="s">
        <v>7286</v>
      </c>
      <c r="AJ1241" s="41">
        <v>0.5</v>
      </c>
    </row>
    <row r="1242" spans="1:36" ht="35.1" hidden="1" customHeight="1" x14ac:dyDescent="0.25">
      <c r="A1242" s="40">
        <v>1836</v>
      </c>
      <c r="B1242" s="90" t="s">
        <v>4154</v>
      </c>
      <c r="C1242" s="90" t="s">
        <v>1095</v>
      </c>
      <c r="D1242" s="90"/>
      <c r="E1242" s="90"/>
      <c r="F1242" s="40" t="s">
        <v>2222</v>
      </c>
      <c r="G1242" s="40" t="s">
        <v>1259</v>
      </c>
      <c r="H1242" s="40" t="s">
        <v>467</v>
      </c>
      <c r="I1242" s="40" t="s">
        <v>1269</v>
      </c>
      <c r="J1242" s="90" t="s">
        <v>1395</v>
      </c>
      <c r="K1242" s="90" t="s">
        <v>578</v>
      </c>
      <c r="L1242" s="90"/>
      <c r="M1242" s="90"/>
      <c r="N1242" s="90"/>
      <c r="O1242" s="90"/>
      <c r="P1242" s="90"/>
      <c r="Q1242" s="90"/>
      <c r="R1242" s="90"/>
      <c r="S1242" s="90"/>
      <c r="T1242" s="90"/>
      <c r="U1242" s="90"/>
      <c r="V1242" s="90"/>
      <c r="W1242" s="90"/>
      <c r="X1242" s="90"/>
      <c r="Y1242" s="90"/>
      <c r="Z1242" s="90"/>
      <c r="AA1242" s="91"/>
      <c r="AB1242" s="92"/>
      <c r="AC1242" s="92"/>
      <c r="AD1242" s="92"/>
      <c r="AE1242" s="92">
        <f t="shared" si="94"/>
        <v>0</v>
      </c>
      <c r="AF1242" s="93" t="s">
        <v>4155</v>
      </c>
      <c r="AG1242" s="43">
        <v>7.9229788947661302</v>
      </c>
      <c r="AH1242" s="43">
        <v>79.915234356158294</v>
      </c>
      <c r="AI1242" s="122" t="s">
        <v>7286</v>
      </c>
      <c r="AJ1242" s="41">
        <v>0.5</v>
      </c>
    </row>
    <row r="1243" spans="1:36" ht="35.1" hidden="1" customHeight="1" x14ac:dyDescent="0.25">
      <c r="A1243" s="40">
        <v>1837</v>
      </c>
      <c r="B1243" s="90" t="s">
        <v>4157</v>
      </c>
      <c r="C1243" s="90" t="s">
        <v>541</v>
      </c>
      <c r="D1243" s="44">
        <v>2029</v>
      </c>
      <c r="E1243" s="44"/>
      <c r="F1243" s="40" t="s">
        <v>1331</v>
      </c>
      <c r="G1243" s="40" t="s">
        <v>1259</v>
      </c>
      <c r="H1243" s="40" t="s">
        <v>467</v>
      </c>
      <c r="I1243" s="40" t="s">
        <v>1269</v>
      </c>
      <c r="J1243" s="90" t="s">
        <v>1395</v>
      </c>
      <c r="K1243" s="90" t="s">
        <v>578</v>
      </c>
      <c r="L1243" s="90"/>
      <c r="M1243" s="90"/>
      <c r="N1243" s="90"/>
      <c r="O1243" s="90"/>
      <c r="P1243" s="90"/>
      <c r="Q1243" s="90"/>
      <c r="R1243" s="90">
        <v>1</v>
      </c>
      <c r="S1243" s="90"/>
      <c r="T1243" s="90"/>
      <c r="U1243" s="90"/>
      <c r="V1243" s="90"/>
      <c r="W1243" s="90"/>
      <c r="X1243" s="90"/>
      <c r="Y1243" s="90"/>
      <c r="Z1243" s="40" t="s">
        <v>7383</v>
      </c>
      <c r="AA1243" s="91">
        <v>16</v>
      </c>
      <c r="AB1243" s="46">
        <f>IF(H2ProjectDB689571011[[#This Row],[Dummy_1]]="Electrolysis",
AA1243/VLOOKUP(G1243,ElectrolysisConvF,3,FALSE),
AC1243*10^6/(H2dens*HoursInYear))</f>
        <v>3555.5555555555557</v>
      </c>
      <c r="AC1243" s="47">
        <f>AB1243*H2dens*HoursInYear/10^6</f>
        <v>2.7720533333333335</v>
      </c>
      <c r="AD1243" s="92"/>
      <c r="AE1243" s="92">
        <f t="shared" si="94"/>
        <v>3555.5555555555557</v>
      </c>
      <c r="AF1243" s="43" t="s">
        <v>7209</v>
      </c>
      <c r="AG1243" s="43">
        <v>39.1772879896997</v>
      </c>
      <c r="AH1243" s="43">
        <v>9.3744290219208093</v>
      </c>
      <c r="AI1243" s="122" t="s">
        <v>7286</v>
      </c>
      <c r="AJ1243" s="41">
        <v>0.5</v>
      </c>
    </row>
    <row r="1244" spans="1:36" ht="35.1" hidden="1" customHeight="1" x14ac:dyDescent="0.25">
      <c r="A1244" s="40">
        <v>1838</v>
      </c>
      <c r="B1244" s="90" t="s">
        <v>4159</v>
      </c>
      <c r="C1244" s="90" t="s">
        <v>530</v>
      </c>
      <c r="D1244" s="44"/>
      <c r="E1244" s="44"/>
      <c r="F1244" s="40" t="s">
        <v>2222</v>
      </c>
      <c r="G1244" s="40" t="s">
        <v>1259</v>
      </c>
      <c r="H1244" s="40" t="s">
        <v>467</v>
      </c>
      <c r="I1244" s="40" t="s">
        <v>1269</v>
      </c>
      <c r="J1244" s="90" t="s">
        <v>1391</v>
      </c>
      <c r="K1244" s="90" t="s">
        <v>578</v>
      </c>
      <c r="L1244" s="90"/>
      <c r="M1244" s="90"/>
      <c r="N1244" s="90"/>
      <c r="O1244" s="90"/>
      <c r="P1244" s="90"/>
      <c r="Q1244" s="90"/>
      <c r="R1244" s="90">
        <v>1</v>
      </c>
      <c r="S1244" s="90"/>
      <c r="T1244" s="90"/>
      <c r="U1244" s="90"/>
      <c r="V1244" s="90"/>
      <c r="W1244" s="90"/>
      <c r="X1244" s="90"/>
      <c r="Y1244" s="90"/>
      <c r="Z1244" s="40" t="s">
        <v>7202</v>
      </c>
      <c r="AA1244" s="47">
        <f>IF(H2ProjectDB689571011[[#This Row],[Dummy_1]]="Electrolysis",
AB1244*VLOOKUP(G1244,ElectrolysisConvF,3,FALSE),
"")</f>
        <v>53.871017392642763</v>
      </c>
      <c r="AB1244" s="46">
        <f>AC1244/(H2dens*HoursInYear/10^6)</f>
        <v>11971.33719836506</v>
      </c>
      <c r="AC1244" s="47">
        <f>2.8/H2ProjectDB689571011[[#This Row],[LOWE_CF]]</f>
        <v>9.3333333333333339</v>
      </c>
      <c r="AD1244" s="92"/>
      <c r="AE1244" s="92">
        <f t="shared" si="94"/>
        <v>11971.33719836506</v>
      </c>
      <c r="AF1244" s="43" t="s">
        <v>7204</v>
      </c>
      <c r="AG1244" s="43">
        <v>-21.6968994129309</v>
      </c>
      <c r="AH1244" s="43">
        <v>166.14074701644</v>
      </c>
      <c r="AI1244" s="122" t="s">
        <v>7286</v>
      </c>
      <c r="AJ1244" s="41">
        <v>0.3</v>
      </c>
    </row>
    <row r="1245" spans="1:36" ht="35.1" hidden="1" customHeight="1" x14ac:dyDescent="0.25">
      <c r="A1245" s="40">
        <v>1841</v>
      </c>
      <c r="B1245" s="90" t="s">
        <v>4161</v>
      </c>
      <c r="C1245" s="90" t="s">
        <v>1062</v>
      </c>
      <c r="D1245" s="44">
        <v>2026</v>
      </c>
      <c r="E1245" s="44"/>
      <c r="F1245" s="40" t="s">
        <v>1331</v>
      </c>
      <c r="G1245" s="40" t="s">
        <v>1259</v>
      </c>
      <c r="H1245" s="40" t="s">
        <v>467</v>
      </c>
      <c r="I1245" s="40" t="s">
        <v>1269</v>
      </c>
      <c r="J1245" s="90" t="s">
        <v>1391</v>
      </c>
      <c r="K1245" s="90" t="s">
        <v>578</v>
      </c>
      <c r="L1245" s="90"/>
      <c r="M1245" s="90"/>
      <c r="N1245" s="90"/>
      <c r="O1245" s="90"/>
      <c r="P1245" s="90"/>
      <c r="Q1245" s="90"/>
      <c r="R1245" s="90">
        <v>1</v>
      </c>
      <c r="S1245" s="90"/>
      <c r="T1245" s="90"/>
      <c r="U1245" s="90"/>
      <c r="V1245" s="90"/>
      <c r="W1245" s="90"/>
      <c r="X1245" s="90"/>
      <c r="Y1245" s="90"/>
      <c r="Z1245" s="40" t="s">
        <v>7205</v>
      </c>
      <c r="AA1245" s="47">
        <f>IF(H2ProjectDB689571011[[#This Row],[Dummy_1]]="Electrolysis",
AB1245*VLOOKUP(G1245,ElectrolysisConvF,3,FALSE),
"")</f>
        <v>5.7718947206402955</v>
      </c>
      <c r="AB1245" s="46">
        <f>AC1245/(H2dens*HoursInYear/10^6)</f>
        <v>1282.643271253399</v>
      </c>
      <c r="AC1245" s="47">
        <f>0.3/H2ProjectDB689571011[[#This Row],[LOWE_CF]]</f>
        <v>1</v>
      </c>
      <c r="AD1245" s="92"/>
      <c r="AE1245" s="92">
        <f t="shared" si="94"/>
        <v>1282.643271253399</v>
      </c>
      <c r="AF1245" s="43" t="s">
        <v>7206</v>
      </c>
      <c r="AG1245" s="43">
        <v>-9.7343259992939792</v>
      </c>
      <c r="AH1245" s="43">
        <v>120.049178393703</v>
      </c>
      <c r="AI1245" s="122" t="s">
        <v>7286</v>
      </c>
      <c r="AJ1245" s="41">
        <v>0.3</v>
      </c>
    </row>
    <row r="1246" spans="1:36" ht="35.1" hidden="1" customHeight="1" x14ac:dyDescent="0.25">
      <c r="A1246" s="40">
        <v>1843</v>
      </c>
      <c r="B1246" s="90" t="s">
        <v>4166</v>
      </c>
      <c r="C1246" s="90" t="s">
        <v>542</v>
      </c>
      <c r="D1246" s="44">
        <v>2028</v>
      </c>
      <c r="E1246" s="44"/>
      <c r="F1246" s="40" t="s">
        <v>2222</v>
      </c>
      <c r="G1246" s="40" t="s">
        <v>1259</v>
      </c>
      <c r="H1246" s="40" t="s">
        <v>467</v>
      </c>
      <c r="I1246" s="40" t="s">
        <v>1269</v>
      </c>
      <c r="J1246" s="90" t="s">
        <v>1393</v>
      </c>
      <c r="K1246" s="90" t="s">
        <v>578</v>
      </c>
      <c r="L1246" s="90"/>
      <c r="M1246" s="90"/>
      <c r="N1246" s="90"/>
      <c r="O1246" s="90"/>
      <c r="P1246" s="90"/>
      <c r="Q1246" s="90"/>
      <c r="R1246" s="90"/>
      <c r="S1246" s="90"/>
      <c r="T1246" s="90"/>
      <c r="U1246" s="90"/>
      <c r="V1246" s="90"/>
      <c r="W1246" s="90"/>
      <c r="X1246" s="90"/>
      <c r="Y1246" s="90"/>
      <c r="Z1246" s="90" t="s">
        <v>2024</v>
      </c>
      <c r="AA1246" s="91">
        <v>300</v>
      </c>
      <c r="AB1246" s="46">
        <f>IF(H2ProjectDB689571011[[#This Row],[Dummy_1]]="Electrolysis",
AA1246/VLOOKUP(G1246,ElectrolysisConvF,3,FALSE),
AC1246*10^6/(H2dens*HoursInYear))</f>
        <v>66666.666666666672</v>
      </c>
      <c r="AC1246" s="47">
        <f>AB1246*H2dens*HoursInYear/10^6</f>
        <v>51.975999999999999</v>
      </c>
      <c r="AD1246" s="92"/>
      <c r="AE1246" s="92">
        <f t="shared" si="94"/>
        <v>66666.666666666672</v>
      </c>
      <c r="AF1246" s="93" t="s">
        <v>4170</v>
      </c>
      <c r="AG1246" s="43">
        <v>51.081056896790599</v>
      </c>
      <c r="AH1246" s="43">
        <v>-5.5885342270110998</v>
      </c>
      <c r="AI1246" s="122" t="s">
        <v>7286</v>
      </c>
      <c r="AJ1246" s="41">
        <v>0.55000000000000004</v>
      </c>
    </row>
    <row r="1247" spans="1:36" ht="35.1" hidden="1" customHeight="1" x14ac:dyDescent="0.25">
      <c r="A1247" s="40">
        <v>1844</v>
      </c>
      <c r="B1247" s="90" t="s">
        <v>4167</v>
      </c>
      <c r="C1247" s="90" t="s">
        <v>542</v>
      </c>
      <c r="D1247" s="44">
        <v>2030</v>
      </c>
      <c r="E1247" s="44"/>
      <c r="F1247" s="40" t="s">
        <v>2222</v>
      </c>
      <c r="G1247" s="40" t="s">
        <v>1259</v>
      </c>
      <c r="H1247" s="40" t="s">
        <v>467</v>
      </c>
      <c r="I1247" s="40" t="s">
        <v>1269</v>
      </c>
      <c r="J1247" s="90" t="s">
        <v>1393</v>
      </c>
      <c r="K1247" s="90" t="s">
        <v>578</v>
      </c>
      <c r="L1247" s="90"/>
      <c r="M1247" s="90"/>
      <c r="N1247" s="90"/>
      <c r="O1247" s="90"/>
      <c r="P1247" s="90"/>
      <c r="Q1247" s="90"/>
      <c r="R1247" s="90"/>
      <c r="S1247" s="90"/>
      <c r="T1247" s="90"/>
      <c r="U1247" s="90"/>
      <c r="V1247" s="90"/>
      <c r="W1247" s="90"/>
      <c r="X1247" s="90"/>
      <c r="Y1247" s="90"/>
      <c r="Z1247" s="90" t="s">
        <v>1334</v>
      </c>
      <c r="AA1247" s="91">
        <v>700</v>
      </c>
      <c r="AB1247" s="46">
        <f>IF(H2ProjectDB689571011[[#This Row],[Dummy_1]]="Electrolysis",
AA1247/VLOOKUP(G1247,ElectrolysisConvF,3,FALSE),
AC1247*10^6/(H2dens*HoursInYear))</f>
        <v>155555.55555555556</v>
      </c>
      <c r="AC1247" s="47">
        <f>AB1247*H2dens*HoursInYear/10^6</f>
        <v>121.27733333333335</v>
      </c>
      <c r="AD1247" s="92"/>
      <c r="AE1247" s="92">
        <f t="shared" si="94"/>
        <v>155555.55555555556</v>
      </c>
      <c r="AF1247" s="93" t="s">
        <v>4170</v>
      </c>
      <c r="AG1247" s="43">
        <v>51.081056896790599</v>
      </c>
      <c r="AH1247" s="43">
        <v>-5.5885342270110998</v>
      </c>
      <c r="AI1247" s="122" t="s">
        <v>7286</v>
      </c>
      <c r="AJ1247" s="41">
        <v>0.55000000000000004</v>
      </c>
    </row>
    <row r="1248" spans="1:36" ht="35.1" hidden="1" customHeight="1" x14ac:dyDescent="0.25">
      <c r="A1248" s="40">
        <v>1845</v>
      </c>
      <c r="B1248" s="90" t="s">
        <v>4171</v>
      </c>
      <c r="C1248" s="90" t="s">
        <v>546</v>
      </c>
      <c r="D1248" s="44">
        <v>2023</v>
      </c>
      <c r="E1248" s="44"/>
      <c r="F1248" s="40" t="s">
        <v>1540</v>
      </c>
      <c r="G1248" s="40" t="s">
        <v>1259</v>
      </c>
      <c r="H1248" s="40" t="s">
        <v>467</v>
      </c>
      <c r="I1248" s="40" t="s">
        <v>1269</v>
      </c>
      <c r="J1248" s="90" t="s">
        <v>581</v>
      </c>
      <c r="K1248" s="90" t="s">
        <v>578</v>
      </c>
      <c r="L1248" s="90"/>
      <c r="M1248" s="90"/>
      <c r="N1248" s="90"/>
      <c r="O1248" s="90"/>
      <c r="P1248" s="90"/>
      <c r="Q1248" s="90">
        <v>1</v>
      </c>
      <c r="R1248" s="90"/>
      <c r="S1248" s="90"/>
      <c r="T1248" s="90"/>
      <c r="U1248" s="90"/>
      <c r="V1248" s="90"/>
      <c r="W1248" s="90"/>
      <c r="X1248" s="90"/>
      <c r="Y1248" s="90"/>
      <c r="Z1248" s="90"/>
      <c r="AA1248" s="91">
        <f>IF(OR(G1248="ALK",G1248="PEM",G1248="SOEC",G1248="Other Electrolysis"),
AB1248*VLOOKUP(G1248,ElectrolysisConvF,3,FALSE),
"")</f>
        <v>0</v>
      </c>
      <c r="AB1248" s="92"/>
      <c r="AC1248" s="92"/>
      <c r="AD1248" s="92"/>
      <c r="AE1248" s="92">
        <f t="shared" si="94"/>
        <v>0</v>
      </c>
      <c r="AF1248" s="93" t="s">
        <v>4172</v>
      </c>
      <c r="AG1248" s="43">
        <v>53.126600009815199</v>
      </c>
      <c r="AH1248" s="43">
        <v>6.5880316516693496</v>
      </c>
      <c r="AI1248" s="122" t="s">
        <v>7286</v>
      </c>
      <c r="AJ1248" s="41">
        <v>0.5</v>
      </c>
    </row>
    <row r="1249" spans="1:36" ht="35.1" hidden="1" customHeight="1" x14ac:dyDescent="0.25">
      <c r="A1249" s="40">
        <v>1846</v>
      </c>
      <c r="B1249" s="90" t="s">
        <v>4174</v>
      </c>
      <c r="C1249" s="90" t="s">
        <v>1062</v>
      </c>
      <c r="D1249" s="90"/>
      <c r="E1249" s="90"/>
      <c r="F1249" s="40" t="s">
        <v>2222</v>
      </c>
      <c r="G1249" s="40" t="s">
        <v>1259</v>
      </c>
      <c r="H1249" s="40" t="s">
        <v>467</v>
      </c>
      <c r="I1249" s="40" t="s">
        <v>1269</v>
      </c>
      <c r="J1249" s="90" t="s">
        <v>1395</v>
      </c>
      <c r="K1249" s="90" t="s">
        <v>1243</v>
      </c>
      <c r="L1249" s="90"/>
      <c r="M1249" s="90">
        <v>1</v>
      </c>
      <c r="N1249" s="90"/>
      <c r="O1249" s="90"/>
      <c r="P1249" s="90"/>
      <c r="Q1249" s="90"/>
      <c r="R1249" s="90"/>
      <c r="S1249" s="90"/>
      <c r="T1249" s="90"/>
      <c r="U1249" s="90"/>
      <c r="V1249" s="90"/>
      <c r="W1249" s="90"/>
      <c r="X1249" s="90"/>
      <c r="Y1249" s="90"/>
      <c r="Z1249" s="90"/>
      <c r="AA1249" s="91">
        <f>IF(OR(G1249="ALK",G1249="PEM",G1249="SOEC",G1249="Other Electrolysis"),
AB1249*VLOOKUP(G1249,ElectrolysisConvF,3,FALSE),
"")</f>
        <v>0</v>
      </c>
      <c r="AB1249" s="92"/>
      <c r="AC1249" s="92"/>
      <c r="AD1249" s="92"/>
      <c r="AE1249" s="92">
        <f t="shared" si="94"/>
        <v>0</v>
      </c>
      <c r="AF1249" s="93" t="s">
        <v>4176</v>
      </c>
      <c r="AG1249" s="43">
        <v>1.78217686425388</v>
      </c>
      <c r="AH1249" s="43">
        <v>99.088124536277903</v>
      </c>
      <c r="AI1249" s="122" t="s">
        <v>7286</v>
      </c>
      <c r="AJ1249" s="41">
        <v>0.5</v>
      </c>
    </row>
    <row r="1250" spans="1:36" ht="35.1" hidden="1" customHeight="1" x14ac:dyDescent="0.25">
      <c r="A1250" s="40">
        <v>1847</v>
      </c>
      <c r="B1250" s="90" t="s">
        <v>4177</v>
      </c>
      <c r="C1250" s="90" t="s">
        <v>1947</v>
      </c>
      <c r="D1250" s="90"/>
      <c r="E1250" s="90"/>
      <c r="F1250" s="40" t="s">
        <v>2222</v>
      </c>
      <c r="G1250" s="40" t="s">
        <v>1259</v>
      </c>
      <c r="H1250" s="40" t="s">
        <v>467</v>
      </c>
      <c r="I1250" s="40" t="s">
        <v>1269</v>
      </c>
      <c r="J1250" s="90" t="s">
        <v>581</v>
      </c>
      <c r="K1250" s="90" t="s">
        <v>578</v>
      </c>
      <c r="L1250" s="90"/>
      <c r="M1250" s="90"/>
      <c r="N1250" s="90"/>
      <c r="O1250" s="90"/>
      <c r="P1250" s="90"/>
      <c r="Q1250" s="90"/>
      <c r="R1250" s="90"/>
      <c r="S1250" s="90"/>
      <c r="T1250" s="90"/>
      <c r="U1250" s="90"/>
      <c r="V1250" s="90"/>
      <c r="W1250" s="90"/>
      <c r="X1250" s="90"/>
      <c r="Y1250" s="90"/>
      <c r="Z1250" s="90"/>
      <c r="AA1250" s="91">
        <f>IF(OR(G1250="ALK",G1250="PEM",G1250="SOEC",G1250="Other Electrolysis"),
AB1250*VLOOKUP(G1250,ElectrolysisConvF,3,FALSE),
"")</f>
        <v>0</v>
      </c>
      <c r="AB1250" s="92"/>
      <c r="AC1250" s="92"/>
      <c r="AD1250" s="92"/>
      <c r="AE1250" s="92">
        <f t="shared" si="94"/>
        <v>0</v>
      </c>
      <c r="AF1250" s="93" t="s">
        <v>4178</v>
      </c>
      <c r="AG1250" s="43">
        <v>17.146014215595599</v>
      </c>
      <c r="AH1250" s="43">
        <v>10.541313100122199</v>
      </c>
      <c r="AI1250" s="122" t="s">
        <v>7286</v>
      </c>
      <c r="AJ1250" s="41">
        <v>0.5</v>
      </c>
    </row>
    <row r="1251" spans="1:36" ht="35.1" hidden="1" customHeight="1" x14ac:dyDescent="0.25">
      <c r="A1251" s="40">
        <v>1849</v>
      </c>
      <c r="B1251" s="90" t="s">
        <v>4184</v>
      </c>
      <c r="C1251" s="90" t="s">
        <v>535</v>
      </c>
      <c r="D1251" s="90"/>
      <c r="E1251" s="90"/>
      <c r="F1251" s="40" t="s">
        <v>2222</v>
      </c>
      <c r="G1251" s="40" t="s">
        <v>1259</v>
      </c>
      <c r="H1251" s="40" t="s">
        <v>467</v>
      </c>
      <c r="I1251" s="40" t="s">
        <v>1269</v>
      </c>
      <c r="J1251" s="90" t="s">
        <v>581</v>
      </c>
      <c r="K1251" s="90" t="s">
        <v>578</v>
      </c>
      <c r="L1251" s="90"/>
      <c r="M1251" s="90"/>
      <c r="N1251" s="90"/>
      <c r="O1251" s="90"/>
      <c r="P1251" s="90"/>
      <c r="Q1251" s="90"/>
      <c r="R1251" s="90"/>
      <c r="S1251" s="90"/>
      <c r="T1251" s="90"/>
      <c r="U1251" s="90"/>
      <c r="V1251" s="90"/>
      <c r="W1251" s="90"/>
      <c r="X1251" s="90"/>
      <c r="Y1251" s="90"/>
      <c r="Z1251" s="90"/>
      <c r="AA1251" s="91">
        <f>IF(OR(G1251="ALK",G1251="PEM",G1251="SOEC",G1251="Other Electrolysis"),
AB1251*VLOOKUP(G1251,ElectrolysisConvF,3,FALSE),
"")</f>
        <v>0</v>
      </c>
      <c r="AB1251" s="92"/>
      <c r="AC1251" s="92"/>
      <c r="AD1251" s="92"/>
      <c r="AE1251" s="92">
        <f t="shared" si="94"/>
        <v>0</v>
      </c>
      <c r="AF1251" s="93" t="s">
        <v>4185</v>
      </c>
      <c r="AG1251" s="43">
        <v>-34.805523862072803</v>
      </c>
      <c r="AH1251" s="43">
        <v>138.52276414659201</v>
      </c>
      <c r="AI1251" s="122" t="s">
        <v>7286</v>
      </c>
      <c r="AJ1251" s="41">
        <v>0.5</v>
      </c>
    </row>
    <row r="1252" spans="1:36" ht="35.1" hidden="1" customHeight="1" x14ac:dyDescent="0.25">
      <c r="A1252" s="40">
        <v>1851</v>
      </c>
      <c r="B1252" s="40" t="s">
        <v>6630</v>
      </c>
      <c r="C1252" s="90" t="s">
        <v>1357</v>
      </c>
      <c r="D1252" s="44">
        <v>2030</v>
      </c>
      <c r="E1252" s="44"/>
      <c r="F1252" s="40" t="s">
        <v>1331</v>
      </c>
      <c r="G1252" s="40" t="s">
        <v>1259</v>
      </c>
      <c r="H1252" s="40" t="s">
        <v>467</v>
      </c>
      <c r="I1252" s="90" t="s">
        <v>1269</v>
      </c>
      <c r="J1252" s="90" t="s">
        <v>1395</v>
      </c>
      <c r="K1252" s="90" t="s">
        <v>1242</v>
      </c>
      <c r="L1252" s="90"/>
      <c r="M1252" s="90"/>
      <c r="N1252" s="90">
        <v>1</v>
      </c>
      <c r="O1252" s="90"/>
      <c r="P1252" s="90"/>
      <c r="Q1252" s="90"/>
      <c r="R1252" s="90"/>
      <c r="S1252" s="90"/>
      <c r="T1252" s="90"/>
      <c r="U1252" s="90"/>
      <c r="V1252" s="90"/>
      <c r="W1252" s="90"/>
      <c r="X1252" s="90"/>
      <c r="Y1252" s="90"/>
      <c r="Z1252" s="90" t="s">
        <v>6631</v>
      </c>
      <c r="AA1252" s="47">
        <f>IF(H2ProjectDB689571011[[#This Row],[Dummy_1]]="Electrolysis",
AB1252*VLOOKUP(G1252,ElectrolysisConvF,3,FALSE),
"")</f>
        <v>173.15684161920888</v>
      </c>
      <c r="AB1252" s="46">
        <f>AC1252/(H2dens*HoursInYear/10^6)</f>
        <v>38479.298137601974</v>
      </c>
      <c r="AC1252" s="47">
        <f>15/H2ProjectDB689571011[[#This Row],[LOWE_CF]]</f>
        <v>30</v>
      </c>
      <c r="AD1252" s="92"/>
      <c r="AE1252" s="92">
        <f t="shared" si="94"/>
        <v>38479.298137601974</v>
      </c>
      <c r="AF1252" s="93" t="s">
        <v>4191</v>
      </c>
      <c r="AG1252" s="43">
        <v>-31.685040741841199</v>
      </c>
      <c r="AH1252" s="43">
        <v>-55.866221871187598</v>
      </c>
      <c r="AI1252" s="122" t="s">
        <v>7286</v>
      </c>
      <c r="AJ1252" s="41">
        <v>0.5</v>
      </c>
    </row>
    <row r="1253" spans="1:36" ht="35.1" hidden="1" customHeight="1" x14ac:dyDescent="0.25">
      <c r="A1253" s="40">
        <v>1852</v>
      </c>
      <c r="B1253" s="90" t="s">
        <v>4192</v>
      </c>
      <c r="C1253" s="90" t="s">
        <v>563</v>
      </c>
      <c r="D1253" s="90"/>
      <c r="E1253" s="90"/>
      <c r="F1253" s="40" t="s">
        <v>2222</v>
      </c>
      <c r="G1253" s="40" t="s">
        <v>1259</v>
      </c>
      <c r="H1253" s="40" t="s">
        <v>467</v>
      </c>
      <c r="I1253" s="90" t="s">
        <v>1269</v>
      </c>
      <c r="J1253" s="90" t="s">
        <v>1393</v>
      </c>
      <c r="K1253" s="90" t="s">
        <v>578</v>
      </c>
      <c r="L1253" s="90"/>
      <c r="M1253" s="90"/>
      <c r="N1253" s="90"/>
      <c r="O1253" s="90"/>
      <c r="P1253" s="90">
        <v>1</v>
      </c>
      <c r="Q1253" s="90">
        <v>1</v>
      </c>
      <c r="R1253" s="90"/>
      <c r="S1253" s="90"/>
      <c r="T1253" s="90"/>
      <c r="U1253" s="90"/>
      <c r="V1253" s="90"/>
      <c r="W1253" s="90"/>
      <c r="X1253" s="90"/>
      <c r="Y1253" s="90"/>
      <c r="Z1253" s="90"/>
      <c r="AA1253" s="91">
        <f>IF(OR(G1253="ALK",G1253="PEM",G1253="SOEC",G1253="Other Electrolysis"),
AB1253*VLOOKUP(G1253,ElectrolysisConvF,3,FALSE),
"")</f>
        <v>0</v>
      </c>
      <c r="AB1253" s="92"/>
      <c r="AC1253" s="92"/>
      <c r="AD1253" s="92"/>
      <c r="AE1253" s="92">
        <f t="shared" si="94"/>
        <v>0</v>
      </c>
      <c r="AF1253" s="93" t="s">
        <v>4193</v>
      </c>
      <c r="AG1253" s="43">
        <v>-34.565605110504201</v>
      </c>
      <c r="AH1253" s="43">
        <v>-58.394416836781197</v>
      </c>
      <c r="AI1253" s="122" t="s">
        <v>7286</v>
      </c>
      <c r="AJ1253" s="41">
        <v>0.55000000000000004</v>
      </c>
    </row>
    <row r="1254" spans="1:36" ht="35.1" customHeight="1" x14ac:dyDescent="0.25">
      <c r="A1254" s="40">
        <v>1853</v>
      </c>
      <c r="B1254" s="90" t="s">
        <v>4196</v>
      </c>
      <c r="C1254" s="90" t="s">
        <v>1052</v>
      </c>
      <c r="D1254" s="44">
        <v>2025</v>
      </c>
      <c r="E1254" s="44"/>
      <c r="F1254" s="40" t="s">
        <v>2222</v>
      </c>
      <c r="G1254" s="40" t="s">
        <v>1259</v>
      </c>
      <c r="H1254" s="40" t="s">
        <v>467</v>
      </c>
      <c r="I1254" s="90" t="s">
        <v>1266</v>
      </c>
      <c r="J1254" s="90"/>
      <c r="K1254" s="90" t="s">
        <v>578</v>
      </c>
      <c r="L1254" s="90"/>
      <c r="M1254" s="90">
        <v>1</v>
      </c>
      <c r="N1254" s="90"/>
      <c r="O1254" s="90"/>
      <c r="P1254" s="90"/>
      <c r="Q1254" s="90"/>
      <c r="R1254" s="90"/>
      <c r="S1254" s="90"/>
      <c r="T1254" s="90"/>
      <c r="U1254" s="90"/>
      <c r="V1254" s="90"/>
      <c r="W1254" s="90"/>
      <c r="X1254" s="90"/>
      <c r="Y1254" s="90"/>
      <c r="Z1254" s="90" t="s">
        <v>1348</v>
      </c>
      <c r="AA1254" s="91">
        <v>10</v>
      </c>
      <c r="AB1254" s="46">
        <f>IF(H2ProjectDB689571011[[#This Row],[Dummy_1]]="Electrolysis",
AA1254/VLOOKUP(G1254,ElectrolysisConvF,3,FALSE),
AC1254*10^6/(H2dens*HoursInYear))</f>
        <v>2222.2222222222222</v>
      </c>
      <c r="AC1254" s="47">
        <f>AB1254*H2dens*HoursInYear/10^6</f>
        <v>1.7325333333333333</v>
      </c>
      <c r="AD1254" s="92"/>
      <c r="AE1254" s="92">
        <f t="shared" si="94"/>
        <v>2222.2222222222222</v>
      </c>
      <c r="AF1254" s="93" t="s">
        <v>4198</v>
      </c>
      <c r="AG1254" s="43">
        <v>-21.834349756668999</v>
      </c>
      <c r="AH1254" s="43">
        <v>-41.041326841860801</v>
      </c>
      <c r="AI1254" s="122" t="s">
        <v>7286</v>
      </c>
      <c r="AJ1254" s="41">
        <v>0.56999999999999995</v>
      </c>
    </row>
    <row r="1255" spans="1:36" ht="35.1" customHeight="1" x14ac:dyDescent="0.25">
      <c r="A1255" s="40">
        <v>1854</v>
      </c>
      <c r="B1255" s="40" t="s">
        <v>6468</v>
      </c>
      <c r="C1255" s="90" t="s">
        <v>1052</v>
      </c>
      <c r="D1255" s="44"/>
      <c r="E1255" s="44"/>
      <c r="F1255" s="40" t="s">
        <v>2222</v>
      </c>
      <c r="G1255" s="40" t="s">
        <v>1259</v>
      </c>
      <c r="H1255" s="40" t="s">
        <v>467</v>
      </c>
      <c r="I1255" s="90" t="s">
        <v>1266</v>
      </c>
      <c r="J1255" s="90"/>
      <c r="K1255" s="90" t="s">
        <v>578</v>
      </c>
      <c r="L1255" s="90"/>
      <c r="M1255" s="90"/>
      <c r="N1255" s="90"/>
      <c r="O1255" s="90"/>
      <c r="P1255" s="90"/>
      <c r="Q1255" s="90"/>
      <c r="R1255" s="90"/>
      <c r="S1255" s="90"/>
      <c r="T1255" s="90"/>
      <c r="U1255" s="90"/>
      <c r="V1255" s="90"/>
      <c r="W1255" s="90"/>
      <c r="X1255" s="90"/>
      <c r="Y1255" s="90"/>
      <c r="Z1255" s="90" t="s">
        <v>1487</v>
      </c>
      <c r="AA1255" s="91">
        <v>90</v>
      </c>
      <c r="AB1255" s="46">
        <f>IF(H2ProjectDB689571011[[#This Row],[Dummy_1]]="Electrolysis",
AA1255/VLOOKUP(G1255,ElectrolysisConvF,3,FALSE),
AC1255*10^6/(H2dens*HoursInYear))</f>
        <v>20000</v>
      </c>
      <c r="AC1255" s="47">
        <f>AB1255*H2dens*HoursInYear/10^6</f>
        <v>15.5928</v>
      </c>
      <c r="AD1255" s="92"/>
      <c r="AE1255" s="92">
        <f t="shared" si="94"/>
        <v>20000</v>
      </c>
      <c r="AF1255" s="93" t="s">
        <v>4198</v>
      </c>
      <c r="AG1255" s="43">
        <v>-21.834349756668999</v>
      </c>
      <c r="AH1255" s="43">
        <v>-41.041326841860801</v>
      </c>
      <c r="AI1255" s="122" t="s">
        <v>7286</v>
      </c>
      <c r="AJ1255" s="41">
        <v>0.56999999999999995</v>
      </c>
    </row>
    <row r="1256" spans="1:36" ht="35.1" hidden="1" customHeight="1" x14ac:dyDescent="0.25">
      <c r="A1256" s="40">
        <v>1855</v>
      </c>
      <c r="B1256" s="93" t="s">
        <v>4199</v>
      </c>
      <c r="C1256" s="90" t="s">
        <v>543</v>
      </c>
      <c r="D1256" s="90"/>
      <c r="E1256" s="90"/>
      <c r="F1256" s="40" t="s">
        <v>2222</v>
      </c>
      <c r="G1256" s="40" t="s">
        <v>1259</v>
      </c>
      <c r="H1256" s="40" t="s">
        <v>467</v>
      </c>
      <c r="I1256" s="40" t="s">
        <v>1269</v>
      </c>
      <c r="J1256" s="90" t="s">
        <v>1391</v>
      </c>
      <c r="K1256" s="90" t="s">
        <v>1243</v>
      </c>
      <c r="L1256" s="90"/>
      <c r="M1256" s="90">
        <v>1</v>
      </c>
      <c r="N1256" s="90"/>
      <c r="O1256" s="90"/>
      <c r="P1256" s="90"/>
      <c r="Q1256" s="90">
        <v>1</v>
      </c>
      <c r="R1256" s="90"/>
      <c r="S1256" s="90"/>
      <c r="T1256" s="90"/>
      <c r="U1256" s="90"/>
      <c r="V1256" s="90"/>
      <c r="W1256" s="90"/>
      <c r="X1256" s="90"/>
      <c r="Y1256" s="90"/>
      <c r="Z1256" s="40" t="s">
        <v>5031</v>
      </c>
      <c r="AA1256" s="47">
        <f>IF(H2ProjectDB689571011[[#This Row],[Dummy_1]]="Electrolysis",
AB1256*VLOOKUP(G1256,ElectrolysisConvF,3,FALSE),
"")</f>
        <v>577.18947206402959</v>
      </c>
      <c r="AB1256" s="46">
        <f>AC1256/(H2dens*HoursInYear/10^6)</f>
        <v>128264.32712533991</v>
      </c>
      <c r="AC1256" s="92">
        <v>100</v>
      </c>
      <c r="AD1256" s="92"/>
      <c r="AE1256" s="92">
        <f t="shared" si="94"/>
        <v>128264.32712533991</v>
      </c>
      <c r="AF1256" s="93" t="s">
        <v>4172</v>
      </c>
      <c r="AG1256" s="43">
        <v>24.4852421565258</v>
      </c>
      <c r="AH1256" s="43">
        <v>54.392728038977801</v>
      </c>
      <c r="AI1256" s="122" t="s">
        <v>7286</v>
      </c>
      <c r="AJ1256" s="41">
        <v>0.3</v>
      </c>
    </row>
    <row r="1257" spans="1:36" ht="35.1" hidden="1" customHeight="1" x14ac:dyDescent="0.25">
      <c r="A1257" s="40">
        <v>1856</v>
      </c>
      <c r="B1257" s="90" t="s">
        <v>4202</v>
      </c>
      <c r="C1257" s="90" t="s">
        <v>542</v>
      </c>
      <c r="D1257" s="44">
        <v>2026</v>
      </c>
      <c r="E1257" s="44"/>
      <c r="F1257" s="40" t="s">
        <v>5701</v>
      </c>
      <c r="G1257" s="40" t="s">
        <v>1259</v>
      </c>
      <c r="H1257" s="40" t="s">
        <v>467</v>
      </c>
      <c r="I1257" s="40" t="s">
        <v>1269</v>
      </c>
      <c r="J1257" s="90" t="s">
        <v>581</v>
      </c>
      <c r="K1257" s="90" t="s">
        <v>578</v>
      </c>
      <c r="L1257" s="90"/>
      <c r="M1257" s="90"/>
      <c r="N1257" s="90"/>
      <c r="O1257" s="90"/>
      <c r="P1257" s="90">
        <v>1</v>
      </c>
      <c r="Q1257" s="90"/>
      <c r="R1257" s="90"/>
      <c r="S1257" s="90"/>
      <c r="T1257" s="90"/>
      <c r="U1257" s="90"/>
      <c r="V1257" s="90"/>
      <c r="W1257" s="90"/>
      <c r="X1257" s="90"/>
      <c r="Y1257" s="90"/>
      <c r="Z1257" s="40" t="s">
        <v>3810</v>
      </c>
      <c r="AA1257" s="91">
        <v>35</v>
      </c>
      <c r="AB1257" s="46">
        <f>IF(H2ProjectDB689571011[[#This Row],[Dummy_1]]="Electrolysis",
AA1257/VLOOKUP(G1257,ElectrolysisConvF,3,FALSE),
AC1257*10^6/(H2dens*HoursInYear))</f>
        <v>7777.7777777777783</v>
      </c>
      <c r="AC1257" s="47">
        <f>AB1257*H2dens*HoursInYear/10^6</f>
        <v>6.0638666666666667</v>
      </c>
      <c r="AD1257" s="92"/>
      <c r="AE1257" s="92">
        <f t="shared" si="94"/>
        <v>7777.7777777777783</v>
      </c>
      <c r="AF1257" s="43" t="s">
        <v>7240</v>
      </c>
      <c r="AG1257" s="43">
        <v>54.103398187032901</v>
      </c>
      <c r="AH1257" s="43">
        <v>-3.2327464101004302</v>
      </c>
      <c r="AI1257" s="122" t="s">
        <v>7286</v>
      </c>
      <c r="AJ1257" s="41">
        <v>0.5</v>
      </c>
    </row>
    <row r="1258" spans="1:36" ht="35.1" hidden="1" customHeight="1" x14ac:dyDescent="0.25">
      <c r="A1258" s="40">
        <v>1857</v>
      </c>
      <c r="B1258" s="90" t="s">
        <v>4204</v>
      </c>
      <c r="C1258" s="90" t="s">
        <v>1764</v>
      </c>
      <c r="D1258" s="44">
        <v>2024</v>
      </c>
      <c r="E1258" s="44"/>
      <c r="F1258" s="90" t="s">
        <v>1540</v>
      </c>
      <c r="G1258" s="90" t="s">
        <v>1255</v>
      </c>
      <c r="H1258" s="90" t="s">
        <v>4206</v>
      </c>
      <c r="I1258" s="90"/>
      <c r="J1258" s="90"/>
      <c r="K1258" s="90" t="s">
        <v>1267</v>
      </c>
      <c r="L1258" s="90"/>
      <c r="M1258" s="90"/>
      <c r="N1258" s="90"/>
      <c r="O1258" s="90"/>
      <c r="P1258" s="90"/>
      <c r="Q1258" s="90"/>
      <c r="R1258" s="90"/>
      <c r="S1258" s="90"/>
      <c r="T1258" s="90"/>
      <c r="U1258" s="90"/>
      <c r="V1258" s="90"/>
      <c r="W1258" s="90">
        <v>1</v>
      </c>
      <c r="X1258" s="90"/>
      <c r="Y1258" s="90"/>
      <c r="Z1258" s="90"/>
      <c r="AA1258" s="91" t="str">
        <f>IF(OR(G1258="ALK",G1258="PEM",G1258="SOEC",G1258="Other Electrolysis"),
AB1258*VLOOKUP(G1258,ElectrolysisConvF,3,FALSE),
"")</f>
        <v/>
      </c>
      <c r="AB1258" s="92"/>
      <c r="AC1258" s="92"/>
      <c r="AD1258" s="92"/>
      <c r="AE1258" s="92">
        <f t="shared" si="94"/>
        <v>0</v>
      </c>
      <c r="AF1258" s="93" t="s">
        <v>4208</v>
      </c>
      <c r="AG1258" s="43">
        <v>40.338323027685099</v>
      </c>
      <c r="AH1258" s="43">
        <v>-3.6932695590408602</v>
      </c>
      <c r="AI1258" s="122" t="s">
        <v>1255</v>
      </c>
      <c r="AJ1258" s="41">
        <v>0.9</v>
      </c>
    </row>
    <row r="1259" spans="1:36" ht="35.1" hidden="1" customHeight="1" x14ac:dyDescent="0.25">
      <c r="A1259" s="40">
        <v>1858</v>
      </c>
      <c r="B1259" s="90" t="s">
        <v>4205</v>
      </c>
      <c r="C1259" s="90" t="s">
        <v>1305</v>
      </c>
      <c r="D1259" s="90"/>
      <c r="E1259" s="90"/>
      <c r="F1259" s="90" t="s">
        <v>5701</v>
      </c>
      <c r="G1259" s="90" t="s">
        <v>1255</v>
      </c>
      <c r="H1259" s="40" t="s">
        <v>4206</v>
      </c>
      <c r="I1259" s="90"/>
      <c r="J1259" s="90"/>
      <c r="K1259" s="90" t="s">
        <v>1267</v>
      </c>
      <c r="L1259" s="90"/>
      <c r="M1259" s="90"/>
      <c r="N1259" s="90"/>
      <c r="O1259" s="90"/>
      <c r="P1259" s="90"/>
      <c r="Q1259" s="90"/>
      <c r="R1259" s="90"/>
      <c r="S1259" s="90"/>
      <c r="T1259" s="90"/>
      <c r="U1259" s="90"/>
      <c r="V1259" s="90"/>
      <c r="W1259" s="90">
        <v>1</v>
      </c>
      <c r="X1259" s="90"/>
      <c r="Y1259" s="90"/>
      <c r="Z1259" s="90"/>
      <c r="AA1259" s="91" t="str">
        <f>IF(OR(G1259="ALK",G1259="PEM",G1259="SOEC",G1259="Other Electrolysis"),
AB1259*VLOOKUP(G1259,ElectrolysisConvF,3,FALSE),
"")</f>
        <v/>
      </c>
      <c r="AB1259" s="92"/>
      <c r="AC1259" s="92"/>
      <c r="AD1259" s="92"/>
      <c r="AE1259" s="92">
        <f t="shared" si="94"/>
        <v>0</v>
      </c>
      <c r="AF1259" s="93" t="s">
        <v>4208</v>
      </c>
      <c r="AG1259" s="43">
        <v>50.917282977166799</v>
      </c>
      <c r="AH1259" s="43">
        <v>6.3923288953163198</v>
      </c>
      <c r="AI1259" s="122" t="s">
        <v>1255</v>
      </c>
      <c r="AJ1259" s="41">
        <v>0.9</v>
      </c>
    </row>
    <row r="1260" spans="1:36" ht="35.1" hidden="1" customHeight="1" x14ac:dyDescent="0.25">
      <c r="A1260" s="40">
        <v>1859</v>
      </c>
      <c r="B1260" s="90" t="s">
        <v>4209</v>
      </c>
      <c r="C1260" s="90" t="s">
        <v>1062</v>
      </c>
      <c r="D1260" s="90"/>
      <c r="E1260" s="90"/>
      <c r="F1260" s="40" t="s">
        <v>2222</v>
      </c>
      <c r="G1260" s="40" t="s">
        <v>1259</v>
      </c>
      <c r="H1260" s="40" t="s">
        <v>467</v>
      </c>
      <c r="I1260" s="40" t="s">
        <v>1269</v>
      </c>
      <c r="J1260" s="90" t="s">
        <v>581</v>
      </c>
      <c r="K1260" s="90" t="s">
        <v>1243</v>
      </c>
      <c r="L1260" s="90"/>
      <c r="M1260" s="90">
        <v>1</v>
      </c>
      <c r="N1260" s="90"/>
      <c r="O1260" s="90"/>
      <c r="P1260" s="90"/>
      <c r="Q1260" s="90"/>
      <c r="R1260" s="90"/>
      <c r="S1260" s="90"/>
      <c r="T1260" s="90"/>
      <c r="U1260" s="90"/>
      <c r="V1260" s="90"/>
      <c r="W1260" s="90"/>
      <c r="X1260" s="90"/>
      <c r="Y1260" s="90"/>
      <c r="Z1260" s="90"/>
      <c r="AA1260" s="91"/>
      <c r="AB1260" s="92"/>
      <c r="AC1260" s="92"/>
      <c r="AD1260" s="92"/>
      <c r="AE1260" s="92">
        <f t="shared" si="94"/>
        <v>0</v>
      </c>
      <c r="AF1260" s="93" t="s">
        <v>4211</v>
      </c>
      <c r="AG1260" s="43">
        <v>5.1492004630930799</v>
      </c>
      <c r="AH1260" s="43">
        <v>97.410286038268495</v>
      </c>
      <c r="AI1260" s="122" t="s">
        <v>7286</v>
      </c>
      <c r="AJ1260" s="41">
        <v>0.5</v>
      </c>
    </row>
    <row r="1261" spans="1:36" ht="35.1" hidden="1" customHeight="1" x14ac:dyDescent="0.25">
      <c r="A1261" s="40">
        <v>1860</v>
      </c>
      <c r="B1261" s="40" t="s">
        <v>6386</v>
      </c>
      <c r="C1261" s="90" t="s">
        <v>539</v>
      </c>
      <c r="D1261" s="44">
        <v>2030</v>
      </c>
      <c r="E1261" s="44"/>
      <c r="F1261" s="90" t="s">
        <v>1331</v>
      </c>
      <c r="G1261" s="90" t="s">
        <v>1259</v>
      </c>
      <c r="H1261" s="40" t="s">
        <v>467</v>
      </c>
      <c r="I1261" s="40" t="s">
        <v>1269</v>
      </c>
      <c r="J1261" s="90" t="s">
        <v>1391</v>
      </c>
      <c r="K1261" s="90" t="s">
        <v>1243</v>
      </c>
      <c r="L1261" s="90"/>
      <c r="M1261" s="90">
        <v>1</v>
      </c>
      <c r="N1261" s="90"/>
      <c r="O1261" s="90"/>
      <c r="P1261" s="90"/>
      <c r="Q1261" s="90"/>
      <c r="R1261" s="90"/>
      <c r="S1261" s="90"/>
      <c r="T1261" s="90"/>
      <c r="U1261" s="90"/>
      <c r="V1261" s="90"/>
      <c r="W1261" s="90"/>
      <c r="X1261" s="90"/>
      <c r="Y1261" s="90"/>
      <c r="Z1261" s="90" t="s">
        <v>6160</v>
      </c>
      <c r="AA1261" s="91">
        <v>1500</v>
      </c>
      <c r="AB1261" s="46">
        <f>IF(H2ProjectDB689571011[[#This Row],[Dummy_1]]="Electrolysis",
AA1261/VLOOKUP(G1261,ElectrolysisConvF,3,FALSE),
AC1261*10^6/(H2dens*HoursInYear))</f>
        <v>333333.33333333337</v>
      </c>
      <c r="AC1261" s="47">
        <f>AB1261*H2dens*HoursInYear/10^6</f>
        <v>259.88</v>
      </c>
      <c r="AD1261" s="92"/>
      <c r="AE1261" s="92">
        <f t="shared" si="94"/>
        <v>333333.33333333337</v>
      </c>
      <c r="AF1261" s="43" t="s">
        <v>6385</v>
      </c>
      <c r="AG1261" s="43">
        <v>10.2913897526231</v>
      </c>
      <c r="AH1261" s="43">
        <v>78.826832634401697</v>
      </c>
      <c r="AI1261" s="122" t="s">
        <v>7286</v>
      </c>
      <c r="AJ1261" s="41">
        <v>0.3</v>
      </c>
    </row>
    <row r="1262" spans="1:36" ht="35.1" customHeight="1" x14ac:dyDescent="0.25">
      <c r="A1262" s="40">
        <v>1861</v>
      </c>
      <c r="B1262" s="90" t="s">
        <v>4213</v>
      </c>
      <c r="C1262" s="90" t="s">
        <v>1052</v>
      </c>
      <c r="D1262" s="44">
        <v>2022</v>
      </c>
      <c r="E1262" s="90"/>
      <c r="F1262" s="90" t="s">
        <v>1339</v>
      </c>
      <c r="G1262" s="90" t="s">
        <v>455</v>
      </c>
      <c r="H1262" s="90"/>
      <c r="I1262" s="40" t="s">
        <v>1269</v>
      </c>
      <c r="J1262" s="90" t="s">
        <v>1391</v>
      </c>
      <c r="K1262" s="90" t="s">
        <v>578</v>
      </c>
      <c r="L1262" s="90"/>
      <c r="M1262" s="90"/>
      <c r="N1262" s="90"/>
      <c r="O1262" s="90"/>
      <c r="P1262" s="90">
        <v>1</v>
      </c>
      <c r="Q1262" s="90">
        <v>1</v>
      </c>
      <c r="R1262" s="90"/>
      <c r="S1262" s="90"/>
      <c r="T1262" s="90"/>
      <c r="U1262" s="90"/>
      <c r="V1262" s="90"/>
      <c r="W1262" s="90"/>
      <c r="X1262" s="90"/>
      <c r="Y1262" s="90"/>
      <c r="Z1262" s="90" t="s">
        <v>1509</v>
      </c>
      <c r="AA1262" s="91">
        <v>3</v>
      </c>
      <c r="AB1262" s="46">
        <f>IF(H2ProjectDB689571011[[#This Row],[Dummy_1]]="Electrolysis",
AA1262/VLOOKUP(G1262,ElectrolysisConvF,3,FALSE),
AC1262*10^6/(H2dens*HoursInYear))</f>
        <v>576.92307692307691</v>
      </c>
      <c r="AC1262" s="47">
        <f>AB1262*H2dens*HoursInYear/10^6</f>
        <v>0.4497923076923076</v>
      </c>
      <c r="AD1262" s="92"/>
      <c r="AE1262" s="92">
        <f t="shared" si="94"/>
        <v>576.92307692307691</v>
      </c>
      <c r="AF1262" s="93" t="s">
        <v>4214</v>
      </c>
      <c r="AG1262" s="43">
        <v>-3.5486625227480602</v>
      </c>
      <c r="AH1262" s="43">
        <v>-38.810620223296198</v>
      </c>
      <c r="AI1262" s="122" t="s">
        <v>7286</v>
      </c>
      <c r="AJ1262" s="41">
        <v>0.3</v>
      </c>
    </row>
    <row r="1263" spans="1:36" ht="35.1" hidden="1" customHeight="1" x14ac:dyDescent="0.25">
      <c r="A1263" s="40">
        <v>1862</v>
      </c>
      <c r="B1263" s="90" t="s">
        <v>4216</v>
      </c>
      <c r="C1263" s="90" t="s">
        <v>1305</v>
      </c>
      <c r="D1263" s="90"/>
      <c r="E1263" s="90"/>
      <c r="F1263" s="90" t="s">
        <v>1331</v>
      </c>
      <c r="G1263" s="90" t="s">
        <v>456</v>
      </c>
      <c r="H1263" s="90"/>
      <c r="I1263" s="90" t="s">
        <v>1269</v>
      </c>
      <c r="J1263" s="90" t="s">
        <v>581</v>
      </c>
      <c r="K1263" s="90" t="s">
        <v>1243</v>
      </c>
      <c r="L1263" s="90"/>
      <c r="M1263" s="90">
        <v>1</v>
      </c>
      <c r="N1263" s="90"/>
      <c r="O1263" s="90"/>
      <c r="P1263" s="90"/>
      <c r="Q1263" s="90"/>
      <c r="R1263" s="90"/>
      <c r="S1263" s="90"/>
      <c r="T1263" s="90"/>
      <c r="U1263" s="90"/>
      <c r="V1263" s="90"/>
      <c r="W1263" s="90"/>
      <c r="X1263" s="90"/>
      <c r="Y1263" s="90"/>
      <c r="Z1263" s="90" t="s">
        <v>5162</v>
      </c>
      <c r="AA1263" s="91">
        <v>700</v>
      </c>
      <c r="AB1263" s="46">
        <f>IF(H2ProjectDB689571011[[#This Row],[Dummy_1]]="Electrolysis",
AA1263/VLOOKUP(G1263,ElectrolysisConvF,3,FALSE),
AC1263*10^6/(H2dens*HoursInYear))</f>
        <v>184210.52631578947</v>
      </c>
      <c r="AC1263" s="47">
        <f>AB1263*H2dens*HoursInYear/10^6</f>
        <v>143.61789473684209</v>
      </c>
      <c r="AD1263" s="92"/>
      <c r="AE1263" s="92">
        <f t="shared" si="94"/>
        <v>184210.52631578947</v>
      </c>
      <c r="AF1263" s="93" t="s">
        <v>4217</v>
      </c>
      <c r="AG1263" s="43">
        <v>53.902251119356102</v>
      </c>
      <c r="AH1263" s="43">
        <v>9.0595282502064496</v>
      </c>
      <c r="AI1263" s="122" t="s">
        <v>7286</v>
      </c>
      <c r="AJ1263" s="41">
        <v>0.5</v>
      </c>
    </row>
    <row r="1264" spans="1:36" ht="35.1" hidden="1" customHeight="1" x14ac:dyDescent="0.25">
      <c r="A1264" s="40">
        <v>1864</v>
      </c>
      <c r="B1264" s="90" t="s">
        <v>4222</v>
      </c>
      <c r="C1264" s="90" t="s">
        <v>560</v>
      </c>
      <c r="D1264" s="44">
        <v>2025</v>
      </c>
      <c r="E1264" s="44"/>
      <c r="F1264" s="90" t="s">
        <v>2222</v>
      </c>
      <c r="G1264" s="90" t="s">
        <v>1259</v>
      </c>
      <c r="H1264" s="40" t="s">
        <v>467</v>
      </c>
      <c r="I1264" s="40" t="s">
        <v>1269</v>
      </c>
      <c r="J1264" s="90" t="s">
        <v>1391</v>
      </c>
      <c r="K1264" s="90" t="s">
        <v>578</v>
      </c>
      <c r="L1264" s="90"/>
      <c r="M1264" s="90"/>
      <c r="N1264" s="90"/>
      <c r="O1264" s="90"/>
      <c r="P1264" s="90"/>
      <c r="Q1264" s="90">
        <v>1</v>
      </c>
      <c r="R1264" s="90"/>
      <c r="S1264" s="90"/>
      <c r="T1264" s="90"/>
      <c r="U1264" s="90"/>
      <c r="V1264" s="90"/>
      <c r="W1264" s="90"/>
      <c r="X1264" s="90"/>
      <c r="Y1264" s="90"/>
      <c r="Z1264" s="90"/>
      <c r="AA1264" s="91"/>
      <c r="AB1264" s="92"/>
      <c r="AC1264" s="92"/>
      <c r="AD1264" s="92"/>
      <c r="AE1264" s="92">
        <f t="shared" si="94"/>
        <v>0</v>
      </c>
      <c r="AF1264" s="93" t="s">
        <v>4223</v>
      </c>
      <c r="AG1264" s="43">
        <v>-33.395404026129398</v>
      </c>
      <c r="AH1264" s="43">
        <v>-70.797238141688894</v>
      </c>
      <c r="AI1264" s="122" t="s">
        <v>7286</v>
      </c>
      <c r="AJ1264" s="41">
        <v>0.3</v>
      </c>
    </row>
    <row r="1265" spans="1:36" ht="35.1" hidden="1" customHeight="1" x14ac:dyDescent="0.25">
      <c r="A1265" s="40">
        <v>1865</v>
      </c>
      <c r="B1265" s="90" t="s">
        <v>4225</v>
      </c>
      <c r="C1265" s="90" t="s">
        <v>536</v>
      </c>
      <c r="D1265" s="90">
        <v>2022</v>
      </c>
      <c r="E1265" s="90"/>
      <c r="F1265" s="90" t="s">
        <v>1540</v>
      </c>
      <c r="G1265" s="90" t="s">
        <v>1259</v>
      </c>
      <c r="H1265" s="40" t="s">
        <v>467</v>
      </c>
      <c r="I1265" s="40" t="s">
        <v>1269</v>
      </c>
      <c r="J1265" s="90" t="s">
        <v>581</v>
      </c>
      <c r="K1265" s="90" t="s">
        <v>578</v>
      </c>
      <c r="L1265" s="90"/>
      <c r="M1265" s="90"/>
      <c r="N1265" s="90"/>
      <c r="O1265" s="90"/>
      <c r="P1265" s="90"/>
      <c r="Q1265" s="90"/>
      <c r="R1265" s="90"/>
      <c r="S1265" s="90">
        <v>1</v>
      </c>
      <c r="T1265" s="90"/>
      <c r="U1265" s="90"/>
      <c r="V1265" s="90"/>
      <c r="W1265" s="90"/>
      <c r="X1265" s="90"/>
      <c r="Y1265" s="90"/>
      <c r="Z1265" s="90" t="s">
        <v>1480</v>
      </c>
      <c r="AA1265" s="91">
        <v>1</v>
      </c>
      <c r="AB1265" s="46">
        <f>IF(H2ProjectDB689571011[[#This Row],[Dummy_1]]="Electrolysis",
AA1265/VLOOKUP(G1265,ElectrolysisConvF,3,FALSE),
AC1265*10^6/(H2dens*HoursInYear))</f>
        <v>222.22222222222223</v>
      </c>
      <c r="AC1265" s="47">
        <f>AB1265*H2dens*HoursInYear/10^6</f>
        <v>0.17325333333333334</v>
      </c>
      <c r="AD1265" s="92"/>
      <c r="AE1265" s="92">
        <f t="shared" si="94"/>
        <v>222.22222222222223</v>
      </c>
      <c r="AF1265" s="43" t="s">
        <v>4520</v>
      </c>
      <c r="AG1265" s="43">
        <v>44.899850872106697</v>
      </c>
      <c r="AH1265" s="43">
        <v>-93.180797659384893</v>
      </c>
      <c r="AI1265" s="122" t="s">
        <v>7286</v>
      </c>
      <c r="AJ1265" s="41">
        <v>0.5</v>
      </c>
    </row>
    <row r="1266" spans="1:36" ht="35.1" hidden="1" customHeight="1" x14ac:dyDescent="0.25">
      <c r="A1266" s="40">
        <v>1866</v>
      </c>
      <c r="B1266" s="40" t="s">
        <v>8689</v>
      </c>
      <c r="C1266" s="90" t="s">
        <v>531</v>
      </c>
      <c r="D1266" s="44">
        <v>2027</v>
      </c>
      <c r="E1266" s="44"/>
      <c r="F1266" s="90" t="s">
        <v>1331</v>
      </c>
      <c r="G1266" s="90" t="s">
        <v>1259</v>
      </c>
      <c r="H1266" s="40" t="s">
        <v>467</v>
      </c>
      <c r="I1266" s="40" t="s">
        <v>1269</v>
      </c>
      <c r="J1266" s="90" t="s">
        <v>581</v>
      </c>
      <c r="K1266" s="90" t="s">
        <v>578</v>
      </c>
      <c r="L1266" s="90"/>
      <c r="M1266" s="90"/>
      <c r="N1266" s="90"/>
      <c r="O1266" s="90"/>
      <c r="P1266" s="90"/>
      <c r="Q1266" s="90">
        <v>1</v>
      </c>
      <c r="R1266" s="90"/>
      <c r="S1266" s="90"/>
      <c r="T1266" s="90"/>
      <c r="U1266" s="90"/>
      <c r="V1266" s="90"/>
      <c r="W1266" s="90"/>
      <c r="X1266" s="90"/>
      <c r="Y1266" s="90"/>
      <c r="Z1266" s="90" t="s">
        <v>1485</v>
      </c>
      <c r="AA1266" s="91">
        <v>100</v>
      </c>
      <c r="AB1266" s="46">
        <f>IF(H2ProjectDB689571011[[#This Row],[Dummy_1]]="Electrolysis",
AA1266/VLOOKUP(G1266,ElectrolysisConvF,3,FALSE),
AC1266*10^6/(H2dens*HoursInYear))</f>
        <v>22222.222222222223</v>
      </c>
      <c r="AC1266" s="47">
        <f>AB1266*H2dens*HoursInYear/10^6</f>
        <v>17.325333333333333</v>
      </c>
      <c r="AD1266" s="92"/>
      <c r="AE1266" s="92">
        <f t="shared" si="94"/>
        <v>22222.222222222223</v>
      </c>
      <c r="AF1266" s="93" t="s">
        <v>8844</v>
      </c>
      <c r="AG1266" s="43">
        <v>65.841425579223198</v>
      </c>
      <c r="AH1266" s="43">
        <v>13.1851402125919</v>
      </c>
      <c r="AI1266" s="122" t="s">
        <v>7286</v>
      </c>
      <c r="AJ1266" s="41">
        <v>0.5</v>
      </c>
    </row>
    <row r="1267" spans="1:36" ht="35.1" hidden="1" customHeight="1" x14ac:dyDescent="0.25">
      <c r="A1267" s="40">
        <v>1867</v>
      </c>
      <c r="B1267" s="90" t="s">
        <v>5235</v>
      </c>
      <c r="C1267" s="90" t="s">
        <v>531</v>
      </c>
      <c r="D1267" s="44">
        <v>2028</v>
      </c>
      <c r="E1267" s="44"/>
      <c r="F1267" s="90" t="s">
        <v>1331</v>
      </c>
      <c r="G1267" s="90" t="s">
        <v>1259</v>
      </c>
      <c r="H1267" s="40" t="s">
        <v>467</v>
      </c>
      <c r="I1267" s="40" t="s">
        <v>1269</v>
      </c>
      <c r="J1267" s="90" t="s">
        <v>581</v>
      </c>
      <c r="K1267" s="90" t="s">
        <v>578</v>
      </c>
      <c r="L1267" s="90"/>
      <c r="M1267" s="90"/>
      <c r="N1267" s="90"/>
      <c r="O1267" s="90"/>
      <c r="P1267" s="90"/>
      <c r="Q1267" s="90"/>
      <c r="R1267" s="90"/>
      <c r="S1267" s="90"/>
      <c r="T1267" s="90"/>
      <c r="U1267" s="90"/>
      <c r="V1267" s="90"/>
      <c r="W1267" s="90"/>
      <c r="X1267" s="90"/>
      <c r="Y1267" s="90"/>
      <c r="Z1267" s="90" t="s">
        <v>5420</v>
      </c>
      <c r="AA1267" s="91">
        <v>135</v>
      </c>
      <c r="AB1267" s="167">
        <f>IF(H2ProjectDB689571011[[#This Row],[Dummy_1]]="Electrolysis",
AA1267/VLOOKUP(G1267,ElectrolysisConvF,3,FALSE),
AC1267*10^6/(H2dens*HoursInYear))</f>
        <v>30000.000000000004</v>
      </c>
      <c r="AC1267" s="166">
        <f>AB1267*H2dens*HoursInYear/10^6</f>
        <v>23.389199999999999</v>
      </c>
      <c r="AD1267" s="92"/>
      <c r="AE1267" s="92">
        <f t="shared" si="94"/>
        <v>30000.000000000004</v>
      </c>
      <c r="AF1267" s="93" t="s">
        <v>4230</v>
      </c>
      <c r="AG1267" s="43">
        <v>63.958402659386799</v>
      </c>
      <c r="AH1267" s="43">
        <v>10.249886794486899</v>
      </c>
      <c r="AI1267" s="122" t="s">
        <v>7286</v>
      </c>
      <c r="AJ1267" s="41">
        <v>0.5</v>
      </c>
    </row>
    <row r="1268" spans="1:36" ht="35.1" hidden="1" customHeight="1" x14ac:dyDescent="0.25">
      <c r="A1268" s="40">
        <v>1868</v>
      </c>
      <c r="B1268" s="90" t="s">
        <v>4231</v>
      </c>
      <c r="C1268" s="90" t="s">
        <v>531</v>
      </c>
      <c r="D1268" s="44">
        <v>2026</v>
      </c>
      <c r="E1268" s="44"/>
      <c r="F1268" s="90" t="s">
        <v>1331</v>
      </c>
      <c r="G1268" s="90" t="s">
        <v>1259</v>
      </c>
      <c r="H1268" s="40" t="s">
        <v>467</v>
      </c>
      <c r="I1268" s="40" t="s">
        <v>1269</v>
      </c>
      <c r="J1268" s="90" t="s">
        <v>581</v>
      </c>
      <c r="K1268" s="90" t="s">
        <v>578</v>
      </c>
      <c r="L1268" s="90"/>
      <c r="M1268" s="90"/>
      <c r="N1268" s="90"/>
      <c r="O1268" s="90"/>
      <c r="P1268" s="90"/>
      <c r="Q1268" s="90"/>
      <c r="R1268" s="90"/>
      <c r="S1268" s="90"/>
      <c r="T1268" s="90"/>
      <c r="U1268" s="90"/>
      <c r="V1268" s="90"/>
      <c r="W1268" s="90"/>
      <c r="X1268" s="90"/>
      <c r="Y1268" s="90"/>
      <c r="Z1268" s="90" t="s">
        <v>1495</v>
      </c>
      <c r="AA1268" s="91">
        <v>20</v>
      </c>
      <c r="AB1268" s="46">
        <f>IF(H2ProjectDB689571011[[#This Row],[Dummy_1]]="Electrolysis",
AA1268/VLOOKUP(G1268,ElectrolysisConvF,3,FALSE),
AC1268*10^6/(H2dens*HoursInYear))</f>
        <v>4444.4444444444443</v>
      </c>
      <c r="AC1268" s="47">
        <f>AB1268*H2dens*HoursInYear/10^6</f>
        <v>3.4650666666666665</v>
      </c>
      <c r="AD1268" s="92"/>
      <c r="AE1268" s="92">
        <f t="shared" si="94"/>
        <v>4444.4444444444443</v>
      </c>
      <c r="AF1268" s="93" t="s">
        <v>4230</v>
      </c>
      <c r="AG1268" s="43">
        <v>63.412905440821099</v>
      </c>
      <c r="AH1268" s="43">
        <v>11.740545850857901</v>
      </c>
      <c r="AI1268" s="122" t="s">
        <v>7286</v>
      </c>
      <c r="AJ1268" s="41">
        <v>0.5</v>
      </c>
    </row>
    <row r="1269" spans="1:36" ht="35.1" hidden="1" customHeight="1" x14ac:dyDescent="0.25">
      <c r="A1269" s="40">
        <v>1869</v>
      </c>
      <c r="B1269" s="90" t="s">
        <v>4232</v>
      </c>
      <c r="C1269" s="90" t="s">
        <v>533</v>
      </c>
      <c r="D1269" s="44">
        <v>2024</v>
      </c>
      <c r="E1269" s="44"/>
      <c r="F1269" s="90" t="s">
        <v>5701</v>
      </c>
      <c r="G1269" s="90" t="s">
        <v>1259</v>
      </c>
      <c r="H1269" s="40" t="s">
        <v>467</v>
      </c>
      <c r="I1269" s="40" t="s">
        <v>1266</v>
      </c>
      <c r="J1269" s="90"/>
      <c r="K1269" s="90" t="s">
        <v>578</v>
      </c>
      <c r="L1269" s="90"/>
      <c r="M1269" s="90"/>
      <c r="N1269" s="90"/>
      <c r="O1269" s="90"/>
      <c r="P1269" s="90"/>
      <c r="Q1269" s="90">
        <v>1</v>
      </c>
      <c r="R1269" s="90"/>
      <c r="S1269" s="90"/>
      <c r="T1269" s="90"/>
      <c r="U1269" s="90"/>
      <c r="V1269" s="90"/>
      <c r="W1269" s="90"/>
      <c r="X1269" s="90"/>
      <c r="Y1269" s="90"/>
      <c r="Z1269" s="90" t="s">
        <v>2630</v>
      </c>
      <c r="AA1269" s="47">
        <f>IF(H2ProjectDB689571011[[#This Row],[Dummy_1]]="Electrolysis",
AB1269*VLOOKUP(G1269,ElectrolysisConvF,3,FALSE),
"")</f>
        <v>2.1067415730337076</v>
      </c>
      <c r="AB1269" s="46">
        <f>AC1269/(H2dens*HoursInYear/10^6)</f>
        <v>468.16479400749063</v>
      </c>
      <c r="AC1269" s="92">
        <f>1*0.365</f>
        <v>0.36499999999999999</v>
      </c>
      <c r="AD1269" s="92"/>
      <c r="AE1269" s="92">
        <f t="shared" si="94"/>
        <v>468.16479400749063</v>
      </c>
      <c r="AF1269" s="93" t="s">
        <v>4233</v>
      </c>
      <c r="AG1269" s="43">
        <v>49.285132072178101</v>
      </c>
      <c r="AH1269" s="43">
        <v>-122.960572709082</v>
      </c>
      <c r="AI1269" s="122" t="s">
        <v>7286</v>
      </c>
      <c r="AJ1269" s="41">
        <v>0.56999999999999995</v>
      </c>
    </row>
    <row r="1270" spans="1:36" ht="35.1" hidden="1" customHeight="1" x14ac:dyDescent="0.25">
      <c r="A1270" s="40">
        <v>1870</v>
      </c>
      <c r="B1270" s="90" t="s">
        <v>4234</v>
      </c>
      <c r="C1270" s="90" t="s">
        <v>535</v>
      </c>
      <c r="D1270" s="44">
        <v>2025</v>
      </c>
      <c r="E1270" s="44"/>
      <c r="F1270" s="90" t="s">
        <v>1331</v>
      </c>
      <c r="G1270" s="90" t="s">
        <v>1259</v>
      </c>
      <c r="H1270" s="40" t="s">
        <v>467</v>
      </c>
      <c r="I1270" s="40" t="s">
        <v>1266</v>
      </c>
      <c r="J1270" s="90"/>
      <c r="K1270" s="90" t="s">
        <v>578</v>
      </c>
      <c r="L1270" s="90"/>
      <c r="M1270" s="90"/>
      <c r="N1270" s="90"/>
      <c r="O1270" s="90"/>
      <c r="P1270" s="90"/>
      <c r="Q1270" s="90">
        <v>1</v>
      </c>
      <c r="R1270" s="90"/>
      <c r="S1270" s="90"/>
      <c r="T1270" s="90"/>
      <c r="U1270" s="90"/>
      <c r="V1270" s="90"/>
      <c r="W1270" s="90"/>
      <c r="X1270" s="90"/>
      <c r="Y1270" s="90"/>
      <c r="Z1270" s="90" t="s">
        <v>1493</v>
      </c>
      <c r="AA1270" s="91">
        <v>2</v>
      </c>
      <c r="AB1270" s="46">
        <f>IF(H2ProjectDB689571011[[#This Row],[Dummy_1]]="Electrolysis",
AA1270/VLOOKUP(G1270,ElectrolysisConvF,3,FALSE),
AC1270*10^6/(H2dens*HoursInYear))</f>
        <v>444.44444444444446</v>
      </c>
      <c r="AC1270" s="47">
        <f t="shared" ref="AC1270:AC1276" si="95">AB1270*H2dens*HoursInYear/10^6</f>
        <v>0.34650666666666669</v>
      </c>
      <c r="AD1270" s="92"/>
      <c r="AE1270" s="92">
        <f t="shared" si="94"/>
        <v>444.44444444444446</v>
      </c>
      <c r="AF1270" s="93" t="s">
        <v>7884</v>
      </c>
      <c r="AG1270" s="43">
        <v>-27.396533723657299</v>
      </c>
      <c r="AH1270" s="43">
        <v>153.174766720348</v>
      </c>
      <c r="AI1270" s="122" t="s">
        <v>7286</v>
      </c>
      <c r="AJ1270" s="41">
        <v>0.56999999999999995</v>
      </c>
    </row>
    <row r="1271" spans="1:36" ht="35.1" hidden="1" customHeight="1" x14ac:dyDescent="0.25">
      <c r="A1271" s="40">
        <v>1871</v>
      </c>
      <c r="B1271" s="90" t="s">
        <v>4236</v>
      </c>
      <c r="C1271" s="90" t="s">
        <v>531</v>
      </c>
      <c r="D1271" s="44">
        <v>2024</v>
      </c>
      <c r="E1271" s="44"/>
      <c r="F1271" s="90" t="s">
        <v>5701</v>
      </c>
      <c r="G1271" s="90" t="s">
        <v>455</v>
      </c>
      <c r="H1271" s="90"/>
      <c r="I1271" s="40" t="s">
        <v>1269</v>
      </c>
      <c r="J1271" s="90" t="s">
        <v>1394</v>
      </c>
      <c r="K1271" s="90" t="s">
        <v>578</v>
      </c>
      <c r="L1271" s="90"/>
      <c r="M1271" s="90"/>
      <c r="N1271" s="90"/>
      <c r="O1271" s="90"/>
      <c r="P1271" s="90"/>
      <c r="Q1271" s="90">
        <v>1</v>
      </c>
      <c r="R1271" s="90"/>
      <c r="S1271" s="90"/>
      <c r="T1271" s="90"/>
      <c r="U1271" s="90"/>
      <c r="V1271" s="90"/>
      <c r="W1271" s="90"/>
      <c r="X1271" s="90"/>
      <c r="Y1271" s="90"/>
      <c r="Z1271" s="40" t="s">
        <v>1509</v>
      </c>
      <c r="AA1271" s="91">
        <v>3</v>
      </c>
      <c r="AB1271" s="46">
        <f>IF(H2ProjectDB689571011[[#This Row],[Dummy_1]]="Electrolysis",
AA1271/VLOOKUP(G1271,ElectrolysisConvF,3,FALSE),
AC1271*10^6/(H2dens*HoursInYear))</f>
        <v>576.92307692307691</v>
      </c>
      <c r="AC1271" s="47">
        <f t="shared" si="95"/>
        <v>0.4497923076923076</v>
      </c>
      <c r="AD1271" s="92"/>
      <c r="AE1271" s="92">
        <f t="shared" si="94"/>
        <v>576.92307692307691</v>
      </c>
      <c r="AF1271" s="43" t="s">
        <v>6950</v>
      </c>
      <c r="AG1271" s="43">
        <v>62.087298307451498</v>
      </c>
      <c r="AH1271" s="43">
        <v>6.8810168976778403</v>
      </c>
      <c r="AI1271" s="122" t="s">
        <v>7286</v>
      </c>
      <c r="AJ1271" s="41">
        <v>0.8</v>
      </c>
    </row>
    <row r="1272" spans="1:36" ht="35.1" hidden="1" customHeight="1" x14ac:dyDescent="0.25">
      <c r="A1272" s="40">
        <v>1873</v>
      </c>
      <c r="B1272" s="40" t="s">
        <v>5577</v>
      </c>
      <c r="C1272" s="90" t="s">
        <v>1764</v>
      </c>
      <c r="D1272" s="44">
        <v>2024</v>
      </c>
      <c r="E1272" s="44"/>
      <c r="F1272" s="90" t="s">
        <v>5701</v>
      </c>
      <c r="G1272" s="90" t="s">
        <v>455</v>
      </c>
      <c r="I1272" s="40" t="s">
        <v>1269</v>
      </c>
      <c r="J1272" s="90" t="s">
        <v>1391</v>
      </c>
      <c r="K1272" s="90" t="s">
        <v>578</v>
      </c>
      <c r="L1272" s="90"/>
      <c r="M1272" s="90"/>
      <c r="N1272" s="90"/>
      <c r="O1272" s="90"/>
      <c r="P1272" s="90">
        <v>1</v>
      </c>
      <c r="Q1272" s="90">
        <v>1</v>
      </c>
      <c r="R1272" s="90"/>
      <c r="S1272" s="90">
        <v>1</v>
      </c>
      <c r="T1272" s="90"/>
      <c r="U1272" s="90"/>
      <c r="V1272" s="90"/>
      <c r="W1272" s="90"/>
      <c r="X1272" s="90"/>
      <c r="Y1272" s="90"/>
      <c r="Z1272" s="90" t="s">
        <v>1484</v>
      </c>
      <c r="AA1272" s="91">
        <v>5</v>
      </c>
      <c r="AB1272" s="46">
        <f>IF(H2ProjectDB689571011[[#This Row],[Dummy_1]]="Electrolysis",
AA1272/VLOOKUP(G1272,ElectrolysisConvF,3,FALSE),
AC1272*10^6/(H2dens*HoursInYear))</f>
        <v>961.53846153846155</v>
      </c>
      <c r="AC1272" s="47">
        <f t="shared" si="95"/>
        <v>0.74965384615384612</v>
      </c>
      <c r="AD1272" s="92"/>
      <c r="AE1272" s="92">
        <f t="shared" si="94"/>
        <v>961.53846153846155</v>
      </c>
      <c r="AF1272" s="43" t="s">
        <v>5378</v>
      </c>
      <c r="AG1272" s="43">
        <v>41.618150637937198</v>
      </c>
      <c r="AH1272" s="43">
        <v>-4.8130246079554801</v>
      </c>
      <c r="AI1272" s="122" t="s">
        <v>7286</v>
      </c>
      <c r="AJ1272" s="41">
        <v>0.3</v>
      </c>
    </row>
    <row r="1273" spans="1:36" ht="35.1" hidden="1" customHeight="1" x14ac:dyDescent="0.25">
      <c r="A1273" s="40">
        <v>1874</v>
      </c>
      <c r="B1273" s="40" t="s">
        <v>4240</v>
      </c>
      <c r="C1273" s="90" t="s">
        <v>1764</v>
      </c>
      <c r="D1273" s="90"/>
      <c r="E1273" s="90"/>
      <c r="F1273" s="90" t="s">
        <v>2222</v>
      </c>
      <c r="G1273" s="90" t="s">
        <v>1259</v>
      </c>
      <c r="H1273" s="40" t="s">
        <v>467</v>
      </c>
      <c r="I1273" s="40" t="s">
        <v>1269</v>
      </c>
      <c r="J1273" s="90" t="s">
        <v>1391</v>
      </c>
      <c r="K1273" s="90" t="s">
        <v>578</v>
      </c>
      <c r="L1273" s="90"/>
      <c r="M1273" s="90"/>
      <c r="N1273" s="90"/>
      <c r="O1273" s="90"/>
      <c r="P1273" s="90"/>
      <c r="Q1273" s="90">
        <v>1</v>
      </c>
      <c r="R1273" s="90"/>
      <c r="S1273" s="90"/>
      <c r="T1273" s="90"/>
      <c r="U1273" s="90"/>
      <c r="V1273" s="90"/>
      <c r="W1273" s="90"/>
      <c r="X1273" s="90"/>
      <c r="Y1273" s="90"/>
      <c r="Z1273" s="40" t="s">
        <v>5013</v>
      </c>
      <c r="AA1273" s="91">
        <v>440</v>
      </c>
      <c r="AB1273" s="46">
        <f>IF(H2ProjectDB689571011[[#This Row],[Dummy_1]]="Electrolysis",
AA1273/VLOOKUP(G1273,ElectrolysisConvF,3,FALSE),
AC1273*10^6/(H2dens*HoursInYear))</f>
        <v>97777.777777777781</v>
      </c>
      <c r="AC1273" s="47">
        <f t="shared" si="95"/>
        <v>76.231466666666677</v>
      </c>
      <c r="AD1273" s="92"/>
      <c r="AE1273" s="92">
        <f t="shared" si="94"/>
        <v>97777.777777777781</v>
      </c>
      <c r="AF1273" s="93" t="s">
        <v>4241</v>
      </c>
      <c r="AG1273" s="43">
        <v>41.771252037414399</v>
      </c>
      <c r="AH1273" s="43">
        <v>-4.2724040187423498</v>
      </c>
      <c r="AI1273" s="122" t="s">
        <v>7286</v>
      </c>
      <c r="AJ1273" s="41">
        <v>0.3</v>
      </c>
    </row>
    <row r="1274" spans="1:36" ht="35.1" hidden="1" customHeight="1" x14ac:dyDescent="0.25">
      <c r="A1274" s="40">
        <v>1875</v>
      </c>
      <c r="B1274" s="90" t="s">
        <v>3681</v>
      </c>
      <c r="C1274" s="90" t="s">
        <v>1083</v>
      </c>
      <c r="D1274" s="44">
        <v>2027</v>
      </c>
      <c r="E1274" s="44"/>
      <c r="F1274" s="90" t="s">
        <v>1331</v>
      </c>
      <c r="G1274" s="90" t="s">
        <v>455</v>
      </c>
      <c r="I1274" s="40" t="s">
        <v>1269</v>
      </c>
      <c r="J1274" s="90" t="s">
        <v>581</v>
      </c>
      <c r="K1274" s="90" t="s">
        <v>578</v>
      </c>
      <c r="L1274" s="90">
        <v>1</v>
      </c>
      <c r="M1274" s="90"/>
      <c r="N1274" s="90">
        <v>1</v>
      </c>
      <c r="O1274" s="90"/>
      <c r="P1274" s="90"/>
      <c r="Q1274" s="90"/>
      <c r="R1274" s="90"/>
      <c r="S1274" s="90"/>
      <c r="T1274" s="90"/>
      <c r="U1274" s="90"/>
      <c r="V1274" s="90"/>
      <c r="W1274" s="90"/>
      <c r="X1274" s="90"/>
      <c r="Y1274" s="90"/>
      <c r="Z1274" s="90" t="s">
        <v>4434</v>
      </c>
      <c r="AA1274" s="91">
        <v>60</v>
      </c>
      <c r="AB1274" s="46">
        <f>IF(H2ProjectDB689571011[[#This Row],[Dummy_1]]="Electrolysis",
AA1274/VLOOKUP(G1274,ElectrolysisConvF,3,FALSE),
AC1274*10^6/(H2dens*HoursInYear))</f>
        <v>11538.461538461539</v>
      </c>
      <c r="AC1274" s="47">
        <f t="shared" si="95"/>
        <v>8.9958461538461538</v>
      </c>
      <c r="AD1274" s="92"/>
      <c r="AE1274" s="92">
        <f t="shared" si="94"/>
        <v>11538.461538461539</v>
      </c>
      <c r="AF1274" s="93" t="s">
        <v>7381</v>
      </c>
      <c r="AG1274" s="43">
        <v>10.337798012827299</v>
      </c>
      <c r="AH1274" s="43">
        <v>-75.496129781496293</v>
      </c>
      <c r="AI1274" s="122" t="s">
        <v>7286</v>
      </c>
      <c r="AJ1274" s="41">
        <v>0.5</v>
      </c>
    </row>
    <row r="1275" spans="1:36" ht="35.1" hidden="1" customHeight="1" x14ac:dyDescent="0.25">
      <c r="A1275" s="40">
        <v>1876</v>
      </c>
      <c r="B1275" s="90" t="s">
        <v>4243</v>
      </c>
      <c r="C1275" s="90" t="s">
        <v>1083</v>
      </c>
      <c r="D1275" s="44">
        <v>2027</v>
      </c>
      <c r="E1275" s="44"/>
      <c r="F1275" s="90" t="s">
        <v>1331</v>
      </c>
      <c r="G1275" s="90" t="s">
        <v>455</v>
      </c>
      <c r="I1275" s="40" t="s">
        <v>1269</v>
      </c>
      <c r="J1275" s="90" t="s">
        <v>581</v>
      </c>
      <c r="K1275" s="90" t="s">
        <v>578</v>
      </c>
      <c r="L1275" s="90">
        <v>1</v>
      </c>
      <c r="M1275" s="90"/>
      <c r="N1275" s="90">
        <v>1</v>
      </c>
      <c r="O1275" s="90"/>
      <c r="P1275" s="90"/>
      <c r="Q1275" s="90"/>
      <c r="R1275" s="90"/>
      <c r="S1275" s="90"/>
      <c r="T1275" s="90"/>
      <c r="U1275" s="90"/>
      <c r="V1275" s="90"/>
      <c r="W1275" s="90"/>
      <c r="X1275" s="90"/>
      <c r="Y1275" s="90"/>
      <c r="Z1275" s="90" t="s">
        <v>1577</v>
      </c>
      <c r="AA1275" s="91">
        <v>60</v>
      </c>
      <c r="AB1275" s="46">
        <f>IF(H2ProjectDB689571011[[#This Row],[Dummy_1]]="Electrolysis",
AA1275/VLOOKUP(G1275,ElectrolysisConvF,3,FALSE),
AC1275*10^6/(H2dens*HoursInYear))</f>
        <v>11538.461538461539</v>
      </c>
      <c r="AC1275" s="47">
        <f t="shared" si="95"/>
        <v>8.9958461538461538</v>
      </c>
      <c r="AD1275" s="92"/>
      <c r="AE1275" s="92">
        <f t="shared" si="94"/>
        <v>11538.461538461539</v>
      </c>
      <c r="AF1275" s="93" t="s">
        <v>7381</v>
      </c>
      <c r="AG1275" s="43">
        <v>7.0704312954169302</v>
      </c>
      <c r="AH1275" s="43">
        <v>-73.881980512489605</v>
      </c>
      <c r="AI1275" s="122" t="s">
        <v>7286</v>
      </c>
      <c r="AJ1275" s="41">
        <v>0.5</v>
      </c>
    </row>
    <row r="1276" spans="1:36" ht="35.1" hidden="1" customHeight="1" x14ac:dyDescent="0.25">
      <c r="A1276" s="40">
        <v>1877</v>
      </c>
      <c r="B1276" s="40" t="s">
        <v>8298</v>
      </c>
      <c r="C1276" s="40" t="s">
        <v>1761</v>
      </c>
      <c r="D1276" s="44">
        <v>2025</v>
      </c>
      <c r="E1276" s="44"/>
      <c r="F1276" s="40" t="s">
        <v>5701</v>
      </c>
      <c r="G1276" s="40" t="s">
        <v>455</v>
      </c>
      <c r="I1276" s="40" t="s">
        <v>5700</v>
      </c>
      <c r="K1276" s="40" t="s">
        <v>578</v>
      </c>
      <c r="L1276" s="40">
        <v>1</v>
      </c>
      <c r="Z1276" s="40" t="s">
        <v>1487</v>
      </c>
      <c r="AA1276" s="45">
        <v>100</v>
      </c>
      <c r="AB1276" s="46">
        <f>IF(H2ProjectDB689571011[[#This Row],[Dummy_1]]="Electrolysis",
AA1276/VLOOKUP(G1276,ElectrolysisConvF,3,FALSE),
AC1276*10^6/(H2dens*HoursInYear))</f>
        <v>19230.76923076923</v>
      </c>
      <c r="AC1276" s="47">
        <f t="shared" si="95"/>
        <v>14.993076923076922</v>
      </c>
      <c r="AE1276" s="46">
        <f t="shared" si="94"/>
        <v>19230.76923076923</v>
      </c>
      <c r="AF1276" s="43" t="s">
        <v>2749</v>
      </c>
      <c r="AG1276" s="43">
        <v>37.964032515161797</v>
      </c>
      <c r="AH1276" s="43">
        <v>-8.8101578875968602</v>
      </c>
      <c r="AI1276" s="122" t="s">
        <v>7286</v>
      </c>
      <c r="AJ1276" s="41">
        <v>0.7</v>
      </c>
    </row>
    <row r="1277" spans="1:36" ht="35.1" hidden="1" customHeight="1" x14ac:dyDescent="0.25">
      <c r="A1277" s="40">
        <v>1878</v>
      </c>
      <c r="B1277" s="40" t="s">
        <v>4275</v>
      </c>
      <c r="C1277" s="40" t="s">
        <v>545</v>
      </c>
      <c r="D1277" s="44">
        <v>2030</v>
      </c>
      <c r="E1277" s="44"/>
      <c r="F1277" s="40" t="s">
        <v>2222</v>
      </c>
      <c r="G1277" s="40" t="s">
        <v>1259</v>
      </c>
      <c r="H1277" s="40" t="s">
        <v>467</v>
      </c>
      <c r="I1277" s="40" t="s">
        <v>1269</v>
      </c>
      <c r="J1277" s="90" t="s">
        <v>1393</v>
      </c>
      <c r="K1277" s="90" t="s">
        <v>578</v>
      </c>
      <c r="L1277" s="90"/>
      <c r="M1277" s="90"/>
      <c r="N1277" s="90"/>
      <c r="O1277" s="90"/>
      <c r="P1277" s="90"/>
      <c r="Q1277" s="90"/>
      <c r="R1277" s="90"/>
      <c r="S1277" s="90"/>
      <c r="T1277" s="90"/>
      <c r="U1277" s="90"/>
      <c r="V1277" s="90"/>
      <c r="W1277" s="90"/>
      <c r="X1277" s="90"/>
      <c r="Y1277" s="90"/>
      <c r="Z1277" s="90" t="s">
        <v>4964</v>
      </c>
      <c r="AA1277" s="47">
        <f>IF(H2ProjectDB689571011[[#This Row],[Dummy_1]]="Electrolysis",
AB1277*VLOOKUP(G1277,ElectrolysisConvF,3,FALSE),
"")</f>
        <v>10494.35403752781</v>
      </c>
      <c r="AB1277" s="46">
        <f>AC1277/(H2dens*HoursInYear/10^6)</f>
        <v>2332078.6750061801</v>
      </c>
      <c r="AC1277" s="92">
        <f>1000/H2ProjectDB689571011[[#This Row],[LOWE_CF]]</f>
        <v>1818.181818181818</v>
      </c>
      <c r="AD1277" s="92"/>
      <c r="AE1277" s="92">
        <f t="shared" si="94"/>
        <v>2332078.6750061801</v>
      </c>
      <c r="AF1277" s="93" t="s">
        <v>4246</v>
      </c>
      <c r="AG1277" s="43">
        <v>55.235623710427298</v>
      </c>
      <c r="AH1277" s="43">
        <v>3.03714641627014</v>
      </c>
      <c r="AI1277" s="122" t="s">
        <v>7286</v>
      </c>
      <c r="AJ1277" s="41">
        <v>0.55000000000000004</v>
      </c>
    </row>
    <row r="1278" spans="1:36" ht="35.1" hidden="1" customHeight="1" x14ac:dyDescent="0.25">
      <c r="A1278" s="40">
        <v>1879</v>
      </c>
      <c r="B1278" s="90" t="s">
        <v>4247</v>
      </c>
      <c r="C1278" s="90" t="s">
        <v>535</v>
      </c>
      <c r="D1278" s="90"/>
      <c r="E1278" s="90"/>
      <c r="F1278" s="90" t="s">
        <v>1540</v>
      </c>
      <c r="G1278" s="90" t="s">
        <v>1263</v>
      </c>
      <c r="H1278" s="90"/>
      <c r="I1278" s="90"/>
      <c r="J1278" s="90"/>
      <c r="K1278" s="90" t="s">
        <v>578</v>
      </c>
      <c r="L1278" s="90"/>
      <c r="M1278" s="90"/>
      <c r="N1278" s="90"/>
      <c r="O1278" s="90"/>
      <c r="P1278" s="90"/>
      <c r="Q1278" s="90"/>
      <c r="R1278" s="90"/>
      <c r="S1278" s="90"/>
      <c r="T1278" s="90"/>
      <c r="U1278" s="90"/>
      <c r="V1278" s="90"/>
      <c r="W1278" s="90"/>
      <c r="X1278" s="90"/>
      <c r="Y1278" s="90"/>
      <c r="Z1278" s="90"/>
      <c r="AA1278" s="91" t="str">
        <f>IF(OR(G1278="ALK",G1278="PEM",G1278="SOEC",G1278="Other Electrolysis"),
AB1278*VLOOKUP(G1278,ElectrolysisConvF,3,FALSE),
"")</f>
        <v/>
      </c>
      <c r="AB1278" s="92"/>
      <c r="AC1278" s="92"/>
      <c r="AD1278" s="92"/>
      <c r="AE1278" s="92">
        <f t="shared" si="94"/>
        <v>0</v>
      </c>
      <c r="AF1278" s="93" t="s">
        <v>4249</v>
      </c>
      <c r="AG1278" s="43">
        <v>-33.9115204505473</v>
      </c>
      <c r="AH1278" s="43">
        <v>151.23303096928399</v>
      </c>
      <c r="AI1278" s="122" t="s">
        <v>1255</v>
      </c>
      <c r="AJ1278" s="41">
        <v>0.9</v>
      </c>
    </row>
    <row r="1279" spans="1:36" ht="35.1" hidden="1" customHeight="1" x14ac:dyDescent="0.25">
      <c r="A1279" s="40">
        <v>1880</v>
      </c>
      <c r="B1279" s="90" t="s">
        <v>4252</v>
      </c>
      <c r="C1279" s="90" t="s">
        <v>536</v>
      </c>
      <c r="D1279" s="90"/>
      <c r="E1279" s="90"/>
      <c r="F1279" s="40" t="s">
        <v>2222</v>
      </c>
      <c r="G1279" s="40" t="s">
        <v>1259</v>
      </c>
      <c r="H1279" s="40" t="s">
        <v>467</v>
      </c>
      <c r="I1279" s="40" t="s">
        <v>1269</v>
      </c>
      <c r="J1279" s="40" t="s">
        <v>581</v>
      </c>
      <c r="K1279" s="40" t="s">
        <v>578</v>
      </c>
      <c r="L1279" s="90"/>
      <c r="M1279" s="90"/>
      <c r="N1279" s="90"/>
      <c r="O1279" s="90"/>
      <c r="P1279" s="90"/>
      <c r="Q1279" s="90"/>
      <c r="R1279" s="90"/>
      <c r="S1279" s="90"/>
      <c r="T1279" s="90"/>
      <c r="U1279" s="90"/>
      <c r="V1279" s="90"/>
      <c r="W1279" s="90"/>
      <c r="X1279" s="90"/>
      <c r="Y1279" s="90"/>
      <c r="Z1279" s="90"/>
      <c r="AA1279" s="91">
        <f>IF(OR(G1279="ALK",G1279="PEM",G1279="SOEC",G1279="Other Electrolysis"),
AB1279*VLOOKUP(G1279,ElectrolysisConvF,3,FALSE),
"")</f>
        <v>0</v>
      </c>
      <c r="AB1279" s="92"/>
      <c r="AC1279" s="92"/>
      <c r="AD1279" s="92"/>
      <c r="AE1279" s="92">
        <f t="shared" si="94"/>
        <v>0</v>
      </c>
      <c r="AF1279" s="93" t="s">
        <v>4254</v>
      </c>
      <c r="AG1279" s="43">
        <v>46.755867231545601</v>
      </c>
      <c r="AH1279" s="43">
        <v>-122.85943031591</v>
      </c>
      <c r="AI1279" s="122" t="s">
        <v>7286</v>
      </c>
      <c r="AJ1279" s="41">
        <v>0.5</v>
      </c>
    </row>
    <row r="1280" spans="1:36" ht="35.1" hidden="1" customHeight="1" x14ac:dyDescent="0.25">
      <c r="A1280" s="40">
        <v>1881</v>
      </c>
      <c r="B1280" s="40" t="s">
        <v>6621</v>
      </c>
      <c r="C1280" s="90" t="s">
        <v>1761</v>
      </c>
      <c r="D1280" s="44">
        <v>2028</v>
      </c>
      <c r="E1280" s="44"/>
      <c r="F1280" s="40" t="s">
        <v>1331</v>
      </c>
      <c r="G1280" s="40" t="s">
        <v>457</v>
      </c>
      <c r="I1280" s="40" t="s">
        <v>5700</v>
      </c>
      <c r="J1280" s="40" t="s">
        <v>1391</v>
      </c>
      <c r="K1280" s="90" t="s">
        <v>1243</v>
      </c>
      <c r="L1280" s="90"/>
      <c r="M1280" s="90">
        <v>1</v>
      </c>
      <c r="N1280" s="90"/>
      <c r="O1280" s="90"/>
      <c r="P1280" s="90"/>
      <c r="Q1280" s="90"/>
      <c r="R1280" s="90"/>
      <c r="S1280" s="90"/>
      <c r="T1280" s="90"/>
      <c r="U1280" s="90"/>
      <c r="V1280" s="90"/>
      <c r="W1280" s="90"/>
      <c r="X1280" s="90"/>
      <c r="Y1280" s="90"/>
      <c r="Z1280" s="90" t="s">
        <v>2054</v>
      </c>
      <c r="AA1280" s="91">
        <v>500</v>
      </c>
      <c r="AB1280" s="46">
        <f>IF(H2ProjectDB689571011[[#This Row],[Dummy_1]]="Electrolysis",
AA1280/VLOOKUP(G1280,ElectrolysisConvF,3,FALSE),
AC1280*10^6/(H2dens*HoursInYear))</f>
        <v>108695.65217391304</v>
      </c>
      <c r="AC1280" s="47">
        <f t="shared" ref="AC1280:AC1292" si="96">AB1280*H2dens*HoursInYear/10^6</f>
        <v>84.743478260869566</v>
      </c>
      <c r="AD1280" s="92"/>
      <c r="AE1280" s="92">
        <f t="shared" si="94"/>
        <v>108695.65217391304</v>
      </c>
      <c r="AF1280" s="43" t="s">
        <v>6624</v>
      </c>
      <c r="AG1280" s="43">
        <v>37.958893568872803</v>
      </c>
      <c r="AH1280" s="43">
        <v>-8.8600732888896907</v>
      </c>
      <c r="AI1280" s="122" t="s">
        <v>7286</v>
      </c>
      <c r="AJ1280" s="41">
        <v>0.7</v>
      </c>
    </row>
    <row r="1281" spans="1:36" ht="35.1" hidden="1" customHeight="1" x14ac:dyDescent="0.25">
      <c r="A1281" s="40">
        <v>1883</v>
      </c>
      <c r="B1281" s="90" t="s">
        <v>4259</v>
      </c>
      <c r="C1281" s="90" t="s">
        <v>1048</v>
      </c>
      <c r="D1281" s="90"/>
      <c r="E1281" s="90"/>
      <c r="F1281" s="40" t="s">
        <v>2222</v>
      </c>
      <c r="G1281" s="40" t="s">
        <v>1259</v>
      </c>
      <c r="H1281" s="40" t="s">
        <v>467</v>
      </c>
      <c r="I1281" s="40" t="s">
        <v>1269</v>
      </c>
      <c r="J1281" s="90" t="s">
        <v>1392</v>
      </c>
      <c r="K1281" s="90" t="s">
        <v>578</v>
      </c>
      <c r="L1281" s="90"/>
      <c r="M1281" s="90"/>
      <c r="N1281" s="90"/>
      <c r="O1281" s="90"/>
      <c r="P1281" s="90"/>
      <c r="Q1281" s="90"/>
      <c r="R1281" s="90"/>
      <c r="S1281" s="90"/>
      <c r="T1281" s="90"/>
      <c r="U1281" s="90"/>
      <c r="V1281" s="90"/>
      <c r="W1281" s="90"/>
      <c r="X1281" s="90"/>
      <c r="Y1281" s="90"/>
      <c r="Z1281" s="90" t="s">
        <v>2054</v>
      </c>
      <c r="AA1281" s="91">
        <v>500</v>
      </c>
      <c r="AB1281" s="46">
        <f>IF(H2ProjectDB689571011[[#This Row],[Dummy_1]]="Electrolysis",
AA1281/VLOOKUP(G1281,ElectrolysisConvF,3,FALSE),
AC1281*10^6/(H2dens*HoursInYear))</f>
        <v>111111.11111111112</v>
      </c>
      <c r="AC1281" s="47">
        <f t="shared" si="96"/>
        <v>86.626666666666665</v>
      </c>
      <c r="AD1281" s="92"/>
      <c r="AE1281" s="92">
        <f t="shared" si="94"/>
        <v>111111.11111111112</v>
      </c>
      <c r="AF1281" s="93" t="s">
        <v>4263</v>
      </c>
      <c r="AG1281" s="43">
        <v>47.526587627474697</v>
      </c>
      <c r="AH1281" s="43">
        <v>35.099903433630999</v>
      </c>
      <c r="AI1281" s="122" t="s">
        <v>7286</v>
      </c>
      <c r="AJ1281" s="41">
        <v>0.4</v>
      </c>
    </row>
    <row r="1282" spans="1:36" ht="35.1" hidden="1" customHeight="1" x14ac:dyDescent="0.25">
      <c r="A1282" s="40">
        <v>1884</v>
      </c>
      <c r="B1282" s="90" t="s">
        <v>4260</v>
      </c>
      <c r="C1282" s="90" t="s">
        <v>1048</v>
      </c>
      <c r="D1282" s="90"/>
      <c r="E1282" s="90"/>
      <c r="F1282" s="40" t="s">
        <v>2222</v>
      </c>
      <c r="G1282" s="40" t="s">
        <v>1259</v>
      </c>
      <c r="H1282" s="40" t="s">
        <v>467</v>
      </c>
      <c r="I1282" s="40" t="s">
        <v>1269</v>
      </c>
      <c r="J1282" s="90" t="s">
        <v>1392</v>
      </c>
      <c r="K1282" s="90" t="s">
        <v>578</v>
      </c>
      <c r="L1282" s="90"/>
      <c r="M1282" s="90"/>
      <c r="N1282" s="90"/>
      <c r="O1282" s="90"/>
      <c r="P1282" s="90"/>
      <c r="Q1282" s="90"/>
      <c r="R1282" s="90"/>
      <c r="S1282" s="90"/>
      <c r="T1282" s="90"/>
      <c r="U1282" s="90"/>
      <c r="V1282" s="90"/>
      <c r="W1282" s="90"/>
      <c r="X1282" s="90"/>
      <c r="Y1282" s="90"/>
      <c r="Z1282" s="90" t="s">
        <v>3451</v>
      </c>
      <c r="AA1282" s="91">
        <v>1200</v>
      </c>
      <c r="AB1282" s="46">
        <f>IF(H2ProjectDB689571011[[#This Row],[Dummy_1]]="Electrolysis",
AA1282/VLOOKUP(G1282,ElectrolysisConvF,3,FALSE),
AC1282*10^6/(H2dens*HoursInYear))</f>
        <v>266666.66666666669</v>
      </c>
      <c r="AC1282" s="47">
        <f t="shared" si="96"/>
        <v>207.904</v>
      </c>
      <c r="AD1282" s="92"/>
      <c r="AE1282" s="92">
        <f t="shared" si="94"/>
        <v>266666.66666666669</v>
      </c>
      <c r="AF1282" s="93" t="s">
        <v>4263</v>
      </c>
      <c r="AG1282" s="43">
        <v>47.526587627474697</v>
      </c>
      <c r="AH1282" s="43">
        <v>35.099903433630999</v>
      </c>
      <c r="AI1282" s="122" t="s">
        <v>7286</v>
      </c>
      <c r="AJ1282" s="41">
        <v>0.4</v>
      </c>
    </row>
    <row r="1283" spans="1:36" ht="35.1" hidden="1" customHeight="1" x14ac:dyDescent="0.25">
      <c r="A1283" s="40">
        <v>1885</v>
      </c>
      <c r="B1283" s="90" t="s">
        <v>4261</v>
      </c>
      <c r="C1283" s="90" t="s">
        <v>1048</v>
      </c>
      <c r="D1283" s="90"/>
      <c r="E1283" s="90"/>
      <c r="F1283" s="40" t="s">
        <v>2222</v>
      </c>
      <c r="G1283" s="40" t="s">
        <v>1259</v>
      </c>
      <c r="H1283" s="40" t="s">
        <v>467</v>
      </c>
      <c r="I1283" s="40" t="s">
        <v>1269</v>
      </c>
      <c r="J1283" s="90" t="s">
        <v>1392</v>
      </c>
      <c r="K1283" s="90" t="s">
        <v>578</v>
      </c>
      <c r="L1283" s="90"/>
      <c r="M1283" s="90"/>
      <c r="N1283" s="90"/>
      <c r="O1283" s="90"/>
      <c r="P1283" s="90"/>
      <c r="Q1283" s="90"/>
      <c r="R1283" s="90"/>
      <c r="S1283" s="90"/>
      <c r="T1283" s="90"/>
      <c r="U1283" s="90"/>
      <c r="V1283" s="90"/>
      <c r="W1283" s="90"/>
      <c r="X1283" s="90"/>
      <c r="Y1283" s="90"/>
      <c r="Z1283" s="90" t="s">
        <v>2081</v>
      </c>
      <c r="AA1283" s="91">
        <v>1300</v>
      </c>
      <c r="AB1283" s="46">
        <f>IF(H2ProjectDB689571011[[#This Row],[Dummy_1]]="Electrolysis",
AA1283/VLOOKUP(G1283,ElectrolysisConvF,3,FALSE),
AC1283*10^6/(H2dens*HoursInYear))</f>
        <v>288888.88888888893</v>
      </c>
      <c r="AC1283" s="47">
        <f t="shared" si="96"/>
        <v>225.22933333333333</v>
      </c>
      <c r="AD1283" s="92"/>
      <c r="AE1283" s="92">
        <f t="shared" si="94"/>
        <v>288888.88888888893</v>
      </c>
      <c r="AF1283" s="93" t="s">
        <v>4263</v>
      </c>
      <c r="AG1283" s="43">
        <v>47.526587627474697</v>
      </c>
      <c r="AH1283" s="43">
        <v>35.099903433630999</v>
      </c>
      <c r="AI1283" s="122" t="s">
        <v>7286</v>
      </c>
      <c r="AJ1283" s="41">
        <v>0.4</v>
      </c>
    </row>
    <row r="1284" spans="1:36" ht="35.1" hidden="1" customHeight="1" x14ac:dyDescent="0.25">
      <c r="A1284" s="40">
        <v>1886</v>
      </c>
      <c r="B1284" s="90" t="s">
        <v>4264</v>
      </c>
      <c r="C1284" s="90" t="s">
        <v>1305</v>
      </c>
      <c r="D1284" s="44">
        <v>2027</v>
      </c>
      <c r="E1284" s="44"/>
      <c r="F1284" s="90" t="s">
        <v>1331</v>
      </c>
      <c r="G1284" s="90" t="s">
        <v>455</v>
      </c>
      <c r="H1284" s="90"/>
      <c r="I1284" s="90" t="s">
        <v>1266</v>
      </c>
      <c r="J1284" s="90" t="str">
        <f>IF(I1284&lt;&gt;"Dedicated renewable","N/A",)</f>
        <v>N/A</v>
      </c>
      <c r="K1284" s="90" t="s">
        <v>1267</v>
      </c>
      <c r="L1284" s="90"/>
      <c r="M1284" s="90"/>
      <c r="N1284" s="90"/>
      <c r="O1284" s="90"/>
      <c r="P1284" s="90"/>
      <c r="Q1284" s="90"/>
      <c r="R1284" s="90"/>
      <c r="S1284" s="90"/>
      <c r="T1284" s="90"/>
      <c r="U1284" s="90"/>
      <c r="V1284" s="90"/>
      <c r="W1284" s="90">
        <v>1</v>
      </c>
      <c r="X1284" s="90"/>
      <c r="Y1284" s="90"/>
      <c r="Z1284" s="40" t="s">
        <v>3786</v>
      </c>
      <c r="AA1284" s="91">
        <v>75</v>
      </c>
      <c r="AB1284" s="46">
        <f>IF(H2ProjectDB689571011[[#This Row],[Dummy_1]]="Electrolysis",
AA1284/VLOOKUP(G1284,ElectrolysisConvF,3,FALSE),
AC1284*10^6/(H2dens*HoursInYear))</f>
        <v>14423.076923076924</v>
      </c>
      <c r="AC1284" s="47">
        <f t="shared" si="96"/>
        <v>11.244807692307692</v>
      </c>
      <c r="AD1284" s="92"/>
      <c r="AE1284" s="92">
        <f t="shared" si="94"/>
        <v>14423.076923076924</v>
      </c>
      <c r="AF1284" s="43" t="s">
        <v>7029</v>
      </c>
      <c r="AG1284" s="43">
        <v>51.515782682634999</v>
      </c>
      <c r="AH1284" s="43">
        <v>13.3481793824307</v>
      </c>
      <c r="AI1284" s="122" t="s">
        <v>7286</v>
      </c>
      <c r="AJ1284" s="41">
        <v>0.56999999999999995</v>
      </c>
    </row>
    <row r="1285" spans="1:36" ht="35.1" hidden="1" customHeight="1" x14ac:dyDescent="0.25">
      <c r="A1285" s="40">
        <v>1887</v>
      </c>
      <c r="B1285" s="90" t="s">
        <v>4266</v>
      </c>
      <c r="C1285" s="90" t="s">
        <v>531</v>
      </c>
      <c r="D1285" s="44">
        <v>2028</v>
      </c>
      <c r="E1285" s="44"/>
      <c r="F1285" s="40" t="s">
        <v>1331</v>
      </c>
      <c r="G1285" s="40" t="s">
        <v>1259</v>
      </c>
      <c r="H1285" s="40" t="s">
        <v>467</v>
      </c>
      <c r="I1285" s="40" t="s">
        <v>1269</v>
      </c>
      <c r="J1285" s="40" t="s">
        <v>581</v>
      </c>
      <c r="K1285" s="90" t="s">
        <v>1243</v>
      </c>
      <c r="L1285" s="90"/>
      <c r="M1285" s="90">
        <v>1</v>
      </c>
      <c r="N1285" s="90"/>
      <c r="O1285" s="90"/>
      <c r="P1285" s="90"/>
      <c r="Q1285" s="90"/>
      <c r="R1285" s="90"/>
      <c r="S1285" s="90"/>
      <c r="T1285" s="90"/>
      <c r="U1285" s="90"/>
      <c r="V1285" s="90"/>
      <c r="W1285" s="90"/>
      <c r="X1285" s="90"/>
      <c r="Y1285" s="90"/>
      <c r="Z1285" s="40" t="s">
        <v>1486</v>
      </c>
      <c r="AA1285" s="91">
        <v>250</v>
      </c>
      <c r="AB1285" s="46">
        <f>IF(H2ProjectDB689571011[[#This Row],[Dummy_1]]="Electrolysis",
AA1285/VLOOKUP(G1285,ElectrolysisConvF,3,FALSE),
AC1285*10^6/(H2dens*HoursInYear))</f>
        <v>55555.555555555562</v>
      </c>
      <c r="AC1285" s="47">
        <f t="shared" si="96"/>
        <v>43.313333333333333</v>
      </c>
      <c r="AD1285" s="92"/>
      <c r="AE1285" s="92">
        <f t="shared" si="94"/>
        <v>55555.555555555562</v>
      </c>
      <c r="AF1285" s="93" t="s">
        <v>4265</v>
      </c>
      <c r="AG1285" s="43">
        <v>59.650481547596101</v>
      </c>
      <c r="AH1285" s="43">
        <v>6.3538907743849302</v>
      </c>
      <c r="AI1285" s="122" t="s">
        <v>7286</v>
      </c>
      <c r="AJ1285" s="41">
        <v>0.5</v>
      </c>
    </row>
    <row r="1286" spans="1:36" ht="35.1" hidden="1" customHeight="1" x14ac:dyDescent="0.25">
      <c r="A1286" s="40">
        <v>1888</v>
      </c>
      <c r="B1286" s="90" t="s">
        <v>4268</v>
      </c>
      <c r="C1286" s="90" t="s">
        <v>530</v>
      </c>
      <c r="D1286" s="44">
        <v>2025</v>
      </c>
      <c r="E1286" s="44"/>
      <c r="F1286" s="40" t="s">
        <v>5701</v>
      </c>
      <c r="G1286" s="40" t="s">
        <v>455</v>
      </c>
      <c r="I1286" s="40" t="s">
        <v>1269</v>
      </c>
      <c r="J1286" s="40" t="s">
        <v>1391</v>
      </c>
      <c r="K1286" s="90" t="s">
        <v>578</v>
      </c>
      <c r="L1286" s="90"/>
      <c r="M1286" s="90"/>
      <c r="N1286" s="90"/>
      <c r="O1286" s="90"/>
      <c r="P1286" s="90"/>
      <c r="Q1286" s="90">
        <v>1</v>
      </c>
      <c r="R1286" s="90"/>
      <c r="S1286" s="90">
        <v>1</v>
      </c>
      <c r="T1286" s="90"/>
      <c r="U1286" s="90"/>
      <c r="V1286" s="90"/>
      <c r="W1286" s="90"/>
      <c r="X1286" s="90"/>
      <c r="Y1286" s="90"/>
      <c r="Z1286" s="90" t="s">
        <v>1510</v>
      </c>
      <c r="AA1286" s="91">
        <v>30</v>
      </c>
      <c r="AB1286" s="46">
        <f>IF(H2ProjectDB689571011[[#This Row],[Dummy_1]]="Electrolysis",
AA1286/VLOOKUP(G1286,ElectrolysisConvF,3,FALSE),
AC1286*10^6/(H2dens*HoursInYear))</f>
        <v>5769.2307692307695</v>
      </c>
      <c r="AC1286" s="47">
        <f t="shared" si="96"/>
        <v>4.4979230769230769</v>
      </c>
      <c r="AD1286" s="92"/>
      <c r="AE1286" s="92">
        <f t="shared" si="94"/>
        <v>5769.2307692307695</v>
      </c>
      <c r="AF1286" s="93" t="s">
        <v>4265</v>
      </c>
      <c r="AG1286" s="43">
        <v>43.577246797281497</v>
      </c>
      <c r="AH1286" s="43">
        <v>6.0730632048846802</v>
      </c>
      <c r="AI1286" s="122" t="s">
        <v>7286</v>
      </c>
      <c r="AJ1286" s="41">
        <v>0.3</v>
      </c>
    </row>
    <row r="1287" spans="1:36" ht="35.1" hidden="1" customHeight="1" x14ac:dyDescent="0.25">
      <c r="A1287" s="40">
        <v>1889</v>
      </c>
      <c r="B1287" s="90" t="s">
        <v>5966</v>
      </c>
      <c r="C1287" s="90" t="s">
        <v>530</v>
      </c>
      <c r="D1287" s="44">
        <v>2028</v>
      </c>
      <c r="E1287" s="44"/>
      <c r="F1287" s="40" t="s">
        <v>1331</v>
      </c>
      <c r="G1287" s="40" t="s">
        <v>1259</v>
      </c>
      <c r="H1287" s="40" t="s">
        <v>467</v>
      </c>
      <c r="I1287" s="40" t="s">
        <v>1269</v>
      </c>
      <c r="J1287" s="40" t="s">
        <v>1395</v>
      </c>
      <c r="K1287" s="90" t="s">
        <v>1267</v>
      </c>
      <c r="L1287" s="90"/>
      <c r="M1287" s="90"/>
      <c r="N1287" s="90">
        <v>1</v>
      </c>
      <c r="O1287" s="90"/>
      <c r="P1287" s="90"/>
      <c r="Q1287" s="90">
        <v>1</v>
      </c>
      <c r="R1287" s="90"/>
      <c r="S1287" s="90"/>
      <c r="T1287" s="90"/>
      <c r="U1287" s="90"/>
      <c r="V1287" s="90"/>
      <c r="W1287" s="90">
        <v>1</v>
      </c>
      <c r="X1287" s="90"/>
      <c r="Y1287" s="90"/>
      <c r="Z1287" s="40" t="s">
        <v>3527</v>
      </c>
      <c r="AA1287" s="91">
        <v>120</v>
      </c>
      <c r="AB1287" s="46">
        <f>IF(H2ProjectDB689571011[[#This Row],[Dummy_1]]="Electrolysis",
AA1287/VLOOKUP(G1287,ElectrolysisConvF,3,FALSE),
AC1287*10^6/(H2dens*HoursInYear))</f>
        <v>26666.666666666668</v>
      </c>
      <c r="AC1287" s="47">
        <f t="shared" si="96"/>
        <v>20.790400000000002</v>
      </c>
      <c r="AD1287" s="92"/>
      <c r="AE1287" s="92">
        <f t="shared" si="94"/>
        <v>26666.666666666668</v>
      </c>
      <c r="AF1287" s="43" t="s">
        <v>7095</v>
      </c>
      <c r="AG1287" s="43">
        <v>43.577246797281497</v>
      </c>
      <c r="AH1287" s="43">
        <v>6.0730632048846802</v>
      </c>
      <c r="AI1287" s="122" t="s">
        <v>7286</v>
      </c>
      <c r="AJ1287" s="41">
        <v>0.5</v>
      </c>
    </row>
    <row r="1288" spans="1:36" ht="35.1" hidden="1" customHeight="1" x14ac:dyDescent="0.25">
      <c r="A1288" s="40">
        <v>1892</v>
      </c>
      <c r="B1288" s="90" t="s">
        <v>4272</v>
      </c>
      <c r="C1288" s="90" t="s">
        <v>536</v>
      </c>
      <c r="D1288" s="44">
        <v>2026</v>
      </c>
      <c r="E1288" s="44"/>
      <c r="F1288" s="40" t="s">
        <v>1331</v>
      </c>
      <c r="G1288" s="40" t="s">
        <v>455</v>
      </c>
      <c r="I1288" s="40" t="s">
        <v>1269</v>
      </c>
      <c r="J1288" s="90" t="s">
        <v>1395</v>
      </c>
      <c r="K1288" s="90" t="s">
        <v>1267</v>
      </c>
      <c r="L1288" s="90"/>
      <c r="M1288" s="90"/>
      <c r="N1288" s="90"/>
      <c r="O1288" s="90"/>
      <c r="P1288" s="90"/>
      <c r="Q1288" s="90"/>
      <c r="R1288" s="90"/>
      <c r="S1288" s="90"/>
      <c r="T1288" s="90"/>
      <c r="U1288" s="90"/>
      <c r="V1288" s="90"/>
      <c r="W1288" s="90">
        <v>1</v>
      </c>
      <c r="X1288" s="90"/>
      <c r="Y1288" s="90"/>
      <c r="Z1288" s="90" t="s">
        <v>5576</v>
      </c>
      <c r="AA1288" s="92">
        <v>1800</v>
      </c>
      <c r="AB1288" s="46">
        <f>IF(H2ProjectDB689571011[[#This Row],[Dummy_1]]="Electrolysis",
AA1288/VLOOKUP(G1288,ElectrolysisConvF,3,FALSE),
AC1288*10^6/(H2dens*HoursInYear))</f>
        <v>346153.84615384619</v>
      </c>
      <c r="AC1288" s="47">
        <f t="shared" si="96"/>
        <v>269.87538461538463</v>
      </c>
      <c r="AD1288" s="92"/>
      <c r="AE1288" s="92">
        <f t="shared" si="94"/>
        <v>346153.84615384619</v>
      </c>
      <c r="AF1288" s="93" t="s">
        <v>4273</v>
      </c>
      <c r="AG1288" s="43">
        <v>29.068964441012</v>
      </c>
      <c r="AH1288" s="43">
        <v>-95.704284261389901</v>
      </c>
      <c r="AI1288" s="122" t="s">
        <v>7286</v>
      </c>
      <c r="AJ1288" s="41">
        <v>0.5</v>
      </c>
    </row>
    <row r="1289" spans="1:36" ht="35.1" hidden="1" customHeight="1" x14ac:dyDescent="0.25">
      <c r="A1289" s="40">
        <v>1893</v>
      </c>
      <c r="B1289" s="90" t="s">
        <v>4274</v>
      </c>
      <c r="C1289" s="90" t="s">
        <v>535</v>
      </c>
      <c r="D1289" s="44">
        <v>2028</v>
      </c>
      <c r="E1289" s="44"/>
      <c r="F1289" s="40" t="s">
        <v>1331</v>
      </c>
      <c r="G1289" s="40" t="s">
        <v>1259</v>
      </c>
      <c r="H1289" s="40" t="s">
        <v>467</v>
      </c>
      <c r="I1289" s="40" t="s">
        <v>1266</v>
      </c>
      <c r="J1289" s="90"/>
      <c r="K1289" s="90" t="s">
        <v>1267</v>
      </c>
      <c r="L1289" s="90"/>
      <c r="M1289" s="90"/>
      <c r="N1289" s="90"/>
      <c r="O1289" s="90"/>
      <c r="P1289" s="90"/>
      <c r="Q1289" s="90">
        <v>1</v>
      </c>
      <c r="R1289" s="90"/>
      <c r="S1289" s="90"/>
      <c r="T1289" s="90"/>
      <c r="U1289" s="90"/>
      <c r="V1289" s="90"/>
      <c r="W1289" s="90">
        <v>1</v>
      </c>
      <c r="X1289" s="90"/>
      <c r="Y1289" s="90"/>
      <c r="Z1289" s="40" t="s">
        <v>2773</v>
      </c>
      <c r="AA1289" s="91">
        <v>300</v>
      </c>
      <c r="AB1289" s="46">
        <f>IF(H2ProjectDB689571011[[#This Row],[Dummy_1]]="Electrolysis",
AA1289/VLOOKUP(G1289,ElectrolysisConvF,3,FALSE),
AC1289*10^6/(H2dens*HoursInYear))</f>
        <v>66666.666666666672</v>
      </c>
      <c r="AC1289" s="47">
        <f t="shared" si="96"/>
        <v>51.975999999999999</v>
      </c>
      <c r="AD1289" s="92"/>
      <c r="AE1289" s="92">
        <f t="shared" si="94"/>
        <v>66666.666666666672</v>
      </c>
      <c r="AF1289" s="93" t="s">
        <v>4273</v>
      </c>
      <c r="AG1289" s="43">
        <v>-41.063609999999997</v>
      </c>
      <c r="AH1289" s="43">
        <v>145.87527499999999</v>
      </c>
      <c r="AI1289" s="122" t="s">
        <v>7286</v>
      </c>
      <c r="AJ1289" s="41">
        <v>0.56999999999999995</v>
      </c>
    </row>
    <row r="1290" spans="1:36" ht="35.1" hidden="1" customHeight="1" x14ac:dyDescent="0.25">
      <c r="A1290" s="40">
        <v>1894</v>
      </c>
      <c r="B1290" s="90" t="s">
        <v>4276</v>
      </c>
      <c r="C1290" s="90" t="s">
        <v>535</v>
      </c>
      <c r="D1290" s="44">
        <v>2024</v>
      </c>
      <c r="E1290" s="44"/>
      <c r="F1290" s="40" t="s">
        <v>5701</v>
      </c>
      <c r="G1290" s="40" t="s">
        <v>1259</v>
      </c>
      <c r="H1290" s="40" t="s">
        <v>467</v>
      </c>
      <c r="I1290" s="40" t="s">
        <v>1269</v>
      </c>
      <c r="J1290" s="40" t="s">
        <v>1391</v>
      </c>
      <c r="K1290" s="90" t="s">
        <v>578</v>
      </c>
      <c r="L1290" s="90"/>
      <c r="M1290" s="90"/>
      <c r="N1290" s="90"/>
      <c r="O1290" s="90"/>
      <c r="P1290" s="90"/>
      <c r="Q1290" s="90"/>
      <c r="R1290" s="90"/>
      <c r="S1290" s="90"/>
      <c r="T1290" s="90"/>
      <c r="U1290" s="90"/>
      <c r="V1290" s="90"/>
      <c r="W1290" s="90"/>
      <c r="X1290" s="90"/>
      <c r="Y1290" s="90"/>
      <c r="Z1290" s="90" t="s">
        <v>5225</v>
      </c>
      <c r="AA1290" s="91">
        <v>7.6</v>
      </c>
      <c r="AB1290" s="46">
        <f>IF(H2ProjectDB689571011[[#This Row],[Dummy_1]]="Electrolysis",
AA1290/VLOOKUP(G1290,ElectrolysisConvF,3,FALSE),
AC1290*10^6/(H2dens*HoursInYear))</f>
        <v>1688.8888888888889</v>
      </c>
      <c r="AC1290" s="47">
        <f t="shared" si="96"/>
        <v>1.3167253333333333</v>
      </c>
      <c r="AD1290" s="92"/>
      <c r="AE1290" s="92">
        <f t="shared" si="94"/>
        <v>1688.8888888888889</v>
      </c>
      <c r="AF1290" s="93" t="s">
        <v>4278</v>
      </c>
      <c r="AG1290" s="43">
        <v>-41.089381549230801</v>
      </c>
      <c r="AH1290" s="43">
        <v>146.859557872849</v>
      </c>
      <c r="AI1290" s="122" t="s">
        <v>7286</v>
      </c>
      <c r="AJ1290" s="41">
        <v>0.3</v>
      </c>
    </row>
    <row r="1291" spans="1:36" ht="35.1" hidden="1" customHeight="1" x14ac:dyDescent="0.25">
      <c r="A1291" s="40">
        <v>1895</v>
      </c>
      <c r="B1291" s="90" t="s">
        <v>4279</v>
      </c>
      <c r="C1291" s="90" t="s">
        <v>559</v>
      </c>
      <c r="D1291" s="90"/>
      <c r="E1291" s="90"/>
      <c r="F1291" s="40" t="s">
        <v>2222</v>
      </c>
      <c r="G1291" s="40" t="s">
        <v>1259</v>
      </c>
      <c r="H1291" s="40" t="s">
        <v>467</v>
      </c>
      <c r="I1291" s="40" t="s">
        <v>1269</v>
      </c>
      <c r="J1291" s="90" t="s">
        <v>1393</v>
      </c>
      <c r="K1291" s="90" t="s">
        <v>578</v>
      </c>
      <c r="L1291" s="90"/>
      <c r="M1291" s="90"/>
      <c r="N1291" s="90"/>
      <c r="O1291" s="90"/>
      <c r="P1291" s="90"/>
      <c r="Q1291" s="90"/>
      <c r="R1291" s="90"/>
      <c r="S1291" s="90"/>
      <c r="T1291" s="90"/>
      <c r="U1291" s="90"/>
      <c r="V1291" s="90"/>
      <c r="W1291" s="90"/>
      <c r="X1291" s="90"/>
      <c r="Y1291" s="90"/>
      <c r="Z1291" s="90" t="s">
        <v>2038</v>
      </c>
      <c r="AA1291" s="91">
        <v>600</v>
      </c>
      <c r="AB1291" s="46">
        <f>IF(H2ProjectDB689571011[[#This Row],[Dummy_1]]="Electrolysis",
AA1291/VLOOKUP(G1291,ElectrolysisConvF,3,FALSE),
AC1291*10^6/(H2dens*HoursInYear))</f>
        <v>133333.33333333334</v>
      </c>
      <c r="AC1291" s="47">
        <f t="shared" si="96"/>
        <v>103.952</v>
      </c>
      <c r="AD1291" s="92"/>
      <c r="AE1291" s="92">
        <f t="shared" si="94"/>
        <v>133333.33333333334</v>
      </c>
      <c r="AF1291" s="93" t="s">
        <v>4280</v>
      </c>
      <c r="AG1291" s="43">
        <v>61.308569483841602</v>
      </c>
      <c r="AH1291" s="43">
        <v>17.0764411810074</v>
      </c>
      <c r="AI1291" s="122" t="s">
        <v>7286</v>
      </c>
      <c r="AJ1291" s="41">
        <v>0.55000000000000004</v>
      </c>
    </row>
    <row r="1292" spans="1:36" ht="35.1" hidden="1" customHeight="1" x14ac:dyDescent="0.25">
      <c r="A1292" s="40">
        <v>1896</v>
      </c>
      <c r="B1292" s="90" t="s">
        <v>4282</v>
      </c>
      <c r="C1292" s="90" t="s">
        <v>975</v>
      </c>
      <c r="D1292" s="90"/>
      <c r="E1292" s="90"/>
      <c r="F1292" s="90" t="s">
        <v>1331</v>
      </c>
      <c r="G1292" s="90" t="s">
        <v>455</v>
      </c>
      <c r="H1292" s="90"/>
      <c r="I1292" s="40" t="s">
        <v>1269</v>
      </c>
      <c r="J1292" s="90" t="s">
        <v>1392</v>
      </c>
      <c r="K1292" s="90" t="s">
        <v>578</v>
      </c>
      <c r="L1292" s="90"/>
      <c r="M1292" s="90"/>
      <c r="N1292" s="90"/>
      <c r="O1292" s="90"/>
      <c r="P1292" s="90"/>
      <c r="Q1292" s="90">
        <v>1</v>
      </c>
      <c r="R1292" s="90"/>
      <c r="S1292" s="90"/>
      <c r="T1292" s="90"/>
      <c r="U1292" s="90"/>
      <c r="V1292" s="90"/>
      <c r="W1292" s="90"/>
      <c r="X1292" s="90"/>
      <c r="Y1292" s="90"/>
      <c r="Z1292" s="90" t="s">
        <v>1480</v>
      </c>
      <c r="AA1292" s="91">
        <v>1</v>
      </c>
      <c r="AB1292" s="46">
        <f>IF(H2ProjectDB689571011[[#This Row],[Dummy_1]]="Electrolysis",
AA1292/VLOOKUP(G1292,ElectrolysisConvF,3,FALSE),
AC1292*10^6/(H2dens*HoursInYear))</f>
        <v>192.30769230769232</v>
      </c>
      <c r="AC1292" s="47">
        <f t="shared" si="96"/>
        <v>0.14993076923076926</v>
      </c>
      <c r="AD1292" s="92"/>
      <c r="AE1292" s="92">
        <f t="shared" si="94"/>
        <v>192.30769230769232</v>
      </c>
      <c r="AF1292" s="93" t="s">
        <v>4284</v>
      </c>
      <c r="AG1292" s="43">
        <v>33.396115817826903</v>
      </c>
      <c r="AH1292" s="43">
        <v>126.581269345424</v>
      </c>
      <c r="AI1292" s="122" t="s">
        <v>7286</v>
      </c>
      <c r="AJ1292" s="41">
        <v>0.4</v>
      </c>
    </row>
    <row r="1293" spans="1:36" ht="35.1" hidden="1" customHeight="1" x14ac:dyDescent="0.25">
      <c r="A1293" s="40">
        <v>1897</v>
      </c>
      <c r="B1293" s="90" t="s">
        <v>4285</v>
      </c>
      <c r="C1293" s="90" t="s">
        <v>1975</v>
      </c>
      <c r="D1293" s="90"/>
      <c r="E1293" s="90"/>
      <c r="F1293" s="40" t="s">
        <v>2222</v>
      </c>
      <c r="G1293" s="40" t="s">
        <v>1259</v>
      </c>
      <c r="H1293" s="40" t="s">
        <v>467</v>
      </c>
      <c r="I1293" s="40" t="s">
        <v>1269</v>
      </c>
      <c r="J1293" s="90" t="s">
        <v>1395</v>
      </c>
      <c r="K1293" s="90" t="s">
        <v>578</v>
      </c>
      <c r="L1293" s="90"/>
      <c r="M1293" s="90"/>
      <c r="N1293" s="90"/>
      <c r="O1293" s="90"/>
      <c r="P1293" s="90"/>
      <c r="Q1293" s="90"/>
      <c r="R1293" s="90"/>
      <c r="S1293" s="90"/>
      <c r="T1293" s="90"/>
      <c r="U1293" s="90"/>
      <c r="V1293" s="90"/>
      <c r="W1293" s="90"/>
      <c r="X1293" s="90"/>
      <c r="Y1293" s="90"/>
      <c r="Z1293" s="90"/>
      <c r="AA1293" s="91">
        <f>IF(OR(G1293="ALK",G1293="PEM",G1293="SOEC",G1293="Other Electrolysis"),
AB1293*VLOOKUP(G1293,ElectrolysisConvF,3,FALSE),
"")</f>
        <v>0</v>
      </c>
      <c r="AB1293" s="92"/>
      <c r="AC1293" s="92"/>
      <c r="AD1293" s="92"/>
      <c r="AE1293" s="92">
        <f t="shared" si="94"/>
        <v>0</v>
      </c>
      <c r="AF1293" s="93" t="s">
        <v>4287</v>
      </c>
      <c r="AG1293" s="43">
        <v>11.720559332559599</v>
      </c>
      <c r="AH1293" s="43">
        <v>42.772941835833102</v>
      </c>
      <c r="AI1293" s="122" t="s">
        <v>7286</v>
      </c>
      <c r="AJ1293" s="41">
        <v>0.5</v>
      </c>
    </row>
    <row r="1294" spans="1:36" ht="35.1" hidden="1" customHeight="1" x14ac:dyDescent="0.25">
      <c r="A1294" s="40">
        <v>1898</v>
      </c>
      <c r="B1294" s="90" t="s">
        <v>4288</v>
      </c>
      <c r="C1294" s="90" t="s">
        <v>533</v>
      </c>
      <c r="D1294" s="44">
        <v>2025</v>
      </c>
      <c r="E1294" s="44"/>
      <c r="F1294" s="40" t="s">
        <v>5701</v>
      </c>
      <c r="G1294" s="40" t="s">
        <v>455</v>
      </c>
      <c r="I1294" s="40" t="s">
        <v>1269</v>
      </c>
      <c r="J1294" s="90" t="s">
        <v>1394</v>
      </c>
      <c r="K1294" s="90" t="s">
        <v>578</v>
      </c>
      <c r="L1294" s="90"/>
      <c r="M1294" s="90"/>
      <c r="N1294" s="90"/>
      <c r="O1294" s="90"/>
      <c r="P1294" s="90">
        <v>1</v>
      </c>
      <c r="Q1294" s="90">
        <v>1</v>
      </c>
      <c r="R1294" s="90">
        <v>1</v>
      </c>
      <c r="S1294" s="90"/>
      <c r="T1294" s="90"/>
      <c r="U1294" s="90"/>
      <c r="V1294" s="90"/>
      <c r="W1294" s="90"/>
      <c r="X1294" s="90"/>
      <c r="Y1294" s="90"/>
      <c r="Z1294" s="90" t="s">
        <v>1495</v>
      </c>
      <c r="AA1294" s="91">
        <v>20</v>
      </c>
      <c r="AB1294" s="46">
        <f>IF(H2ProjectDB689571011[[#This Row],[Dummy_1]]="Electrolysis",
AA1294/VLOOKUP(G1294,ElectrolysisConvF,3,FALSE),
AC1294*10^6/(H2dens*HoursInYear))</f>
        <v>3846.1538461538462</v>
      </c>
      <c r="AC1294" s="47">
        <f>AB1294*H2dens*HoursInYear/10^6</f>
        <v>2.9986153846153845</v>
      </c>
      <c r="AD1294" s="92"/>
      <c r="AE1294" s="92">
        <f t="shared" si="94"/>
        <v>3846.1538461538462</v>
      </c>
      <c r="AF1294" s="43" t="s">
        <v>4735</v>
      </c>
      <c r="AG1294" s="43">
        <v>43.098486360047403</v>
      </c>
      <c r="AH1294" s="43">
        <v>-79.061753535532702</v>
      </c>
      <c r="AI1294" s="122" t="s">
        <v>7286</v>
      </c>
      <c r="AJ1294" s="41">
        <v>0.8</v>
      </c>
    </row>
    <row r="1295" spans="1:36" ht="35.1" hidden="1" customHeight="1" x14ac:dyDescent="0.25">
      <c r="A1295" s="40">
        <v>1899</v>
      </c>
      <c r="B1295" s="90" t="s">
        <v>5401</v>
      </c>
      <c r="C1295" s="90" t="s">
        <v>558</v>
      </c>
      <c r="D1295" s="44">
        <v>2026</v>
      </c>
      <c r="E1295" s="44"/>
      <c r="F1295" s="40" t="s">
        <v>1331</v>
      </c>
      <c r="G1295" s="40" t="s">
        <v>1259</v>
      </c>
      <c r="H1295" s="40" t="s">
        <v>467</v>
      </c>
      <c r="I1295" s="90" t="s">
        <v>1269</v>
      </c>
      <c r="J1295" s="90" t="s">
        <v>581</v>
      </c>
      <c r="K1295" s="90" t="s">
        <v>1242</v>
      </c>
      <c r="L1295" s="90"/>
      <c r="M1295" s="90"/>
      <c r="N1295" s="90"/>
      <c r="O1295" s="90"/>
      <c r="P1295" s="90"/>
      <c r="Q1295" s="90">
        <v>1</v>
      </c>
      <c r="R1295" s="90"/>
      <c r="S1295" s="90"/>
      <c r="T1295" s="90"/>
      <c r="U1295" s="90"/>
      <c r="V1295" s="90"/>
      <c r="W1295" s="90"/>
      <c r="X1295" s="90"/>
      <c r="Y1295" s="90"/>
      <c r="Z1295" s="40" t="s">
        <v>5014</v>
      </c>
      <c r="AA1295" s="47">
        <f>IF(H2ProjectDB689571011[[#This Row],[Dummy_1]]="Electrolysis",
AB1295*VLOOKUP(G1295,ElectrolysisConvF,3,FALSE),
"")</f>
        <v>110.43193012159459</v>
      </c>
      <c r="AB1295" s="46">
        <f>AC1295/(H2dens*HoursInYear/10^6)</f>
        <v>24540.42891590991</v>
      </c>
      <c r="AC1295" s="92">
        <f>(50*0.191327)/H2ProjectDB689571011[[#This Row],[LOWE_CF]]</f>
        <v>19.1327</v>
      </c>
      <c r="AD1295" s="92"/>
      <c r="AE1295" s="92">
        <f t="shared" si="94"/>
        <v>24540.42891590991</v>
      </c>
      <c r="AF1295" s="93" t="s">
        <v>4291</v>
      </c>
      <c r="AG1295" s="43">
        <v>1.2783036208195799</v>
      </c>
      <c r="AH1295" s="43">
        <v>103.78588518044501</v>
      </c>
      <c r="AI1295" s="122" t="s">
        <v>7286</v>
      </c>
      <c r="AJ1295" s="41">
        <v>0.5</v>
      </c>
    </row>
    <row r="1296" spans="1:36" ht="35.1" hidden="1" customHeight="1" x14ac:dyDescent="0.25">
      <c r="A1296" s="40">
        <v>1900</v>
      </c>
      <c r="B1296" s="90" t="s">
        <v>4295</v>
      </c>
      <c r="C1296" s="90" t="s">
        <v>535</v>
      </c>
      <c r="D1296" s="44">
        <v>2030</v>
      </c>
      <c r="E1296" s="44"/>
      <c r="F1296" s="40" t="s">
        <v>2222</v>
      </c>
      <c r="G1296" s="40" t="s">
        <v>1259</v>
      </c>
      <c r="H1296" s="40" t="s">
        <v>467</v>
      </c>
      <c r="I1296" s="40" t="s">
        <v>1269</v>
      </c>
      <c r="J1296" s="40" t="s">
        <v>581</v>
      </c>
      <c r="K1296" s="40" t="s">
        <v>578</v>
      </c>
      <c r="L1296" s="90"/>
      <c r="M1296" s="90">
        <v>1</v>
      </c>
      <c r="N1296" s="90"/>
      <c r="O1296" s="90"/>
      <c r="P1296" s="90"/>
      <c r="Q1296" s="90"/>
      <c r="R1296" s="90"/>
      <c r="S1296" s="90"/>
      <c r="T1296" s="90"/>
      <c r="U1296" s="90"/>
      <c r="V1296" s="90"/>
      <c r="W1296" s="90"/>
      <c r="X1296" s="90"/>
      <c r="Y1296" s="90"/>
      <c r="Z1296" s="40" t="s">
        <v>4297</v>
      </c>
      <c r="AA1296" s="91">
        <v>1500</v>
      </c>
      <c r="AB1296" s="46">
        <f>IF(H2ProjectDB689571011[[#This Row],[Dummy_1]]="Electrolysis",
AA1296/VLOOKUP(G1296,ElectrolysisConvF,3,FALSE),
AC1296*10^6/(H2dens*HoursInYear))</f>
        <v>333333.33333333337</v>
      </c>
      <c r="AC1296" s="47">
        <f>AB1296*H2dens*HoursInYear/10^6</f>
        <v>259.88</v>
      </c>
      <c r="AD1296" s="92"/>
      <c r="AE1296" s="92">
        <f t="shared" si="94"/>
        <v>333333.33333333337</v>
      </c>
      <c r="AF1296" s="93" t="s">
        <v>4317</v>
      </c>
      <c r="AG1296" s="43">
        <v>-32.935560000000002</v>
      </c>
      <c r="AH1296" s="43">
        <v>137.573215</v>
      </c>
      <c r="AI1296" s="122" t="s">
        <v>7286</v>
      </c>
      <c r="AJ1296" s="41">
        <v>0.5</v>
      </c>
    </row>
    <row r="1297" spans="1:36" ht="35.1" hidden="1" customHeight="1" x14ac:dyDescent="0.25">
      <c r="A1297" s="40">
        <v>1901</v>
      </c>
      <c r="B1297" s="90" t="s">
        <v>4298</v>
      </c>
      <c r="C1297" s="90" t="s">
        <v>1357</v>
      </c>
      <c r="D1297" s="90"/>
      <c r="E1297" s="90"/>
      <c r="F1297" s="40" t="s">
        <v>2222</v>
      </c>
      <c r="G1297" s="40" t="s">
        <v>1259</v>
      </c>
      <c r="H1297" s="40" t="s">
        <v>467</v>
      </c>
      <c r="I1297" s="90" t="s">
        <v>1269</v>
      </c>
      <c r="J1297" s="90" t="s">
        <v>1393</v>
      </c>
      <c r="K1297" s="90" t="s">
        <v>578</v>
      </c>
      <c r="L1297" s="90"/>
      <c r="M1297" s="90"/>
      <c r="N1297" s="90"/>
      <c r="O1297" s="90"/>
      <c r="P1297" s="90"/>
      <c r="Q1297" s="90"/>
      <c r="R1297" s="90"/>
      <c r="S1297" s="90"/>
      <c r="T1297" s="90"/>
      <c r="U1297" s="90"/>
      <c r="V1297" s="90"/>
      <c r="W1297" s="90"/>
      <c r="X1297" s="90"/>
      <c r="Y1297" s="90"/>
      <c r="Z1297" s="90"/>
      <c r="AA1297" s="91">
        <f>IF(OR(G1297="ALK",G1297="PEM",G1297="SOEC",G1297="Other Electrolysis"),
AB1297*VLOOKUP(G1297,ElectrolysisConvF,3,FALSE),
"")</f>
        <v>0</v>
      </c>
      <c r="AB1297" s="92"/>
      <c r="AC1297" s="92"/>
      <c r="AD1297" s="92"/>
      <c r="AE1297" s="92">
        <f t="shared" si="94"/>
        <v>0</v>
      </c>
      <c r="AF1297" s="93" t="s">
        <v>4299</v>
      </c>
      <c r="AG1297" s="43">
        <v>-34.714170660866799</v>
      </c>
      <c r="AH1297" s="43">
        <v>-54.059791093289697</v>
      </c>
      <c r="AI1297" s="122" t="s">
        <v>7286</v>
      </c>
      <c r="AJ1297" s="41">
        <v>0.55000000000000004</v>
      </c>
    </row>
    <row r="1298" spans="1:36" ht="35.1" hidden="1" customHeight="1" x14ac:dyDescent="0.25">
      <c r="A1298" s="40">
        <v>1902</v>
      </c>
      <c r="B1298" s="90" t="s">
        <v>4301</v>
      </c>
      <c r="C1298" s="90" t="s">
        <v>674</v>
      </c>
      <c r="D1298" s="90"/>
      <c r="E1298" s="90"/>
      <c r="F1298" s="40" t="s">
        <v>2222</v>
      </c>
      <c r="G1298" s="40" t="s">
        <v>1259</v>
      </c>
      <c r="H1298" s="40" t="s">
        <v>467</v>
      </c>
      <c r="I1298" s="40" t="s">
        <v>1269</v>
      </c>
      <c r="J1298" s="40" t="s">
        <v>1395</v>
      </c>
      <c r="K1298" s="40" t="s">
        <v>1243</v>
      </c>
      <c r="L1298" s="90"/>
      <c r="M1298" s="90">
        <v>1</v>
      </c>
      <c r="N1298" s="90"/>
      <c r="O1298" s="90"/>
      <c r="P1298" s="90"/>
      <c r="Q1298" s="90"/>
      <c r="R1298" s="90"/>
      <c r="S1298" s="90"/>
      <c r="T1298" s="90"/>
      <c r="U1298" s="90"/>
      <c r="V1298" s="90"/>
      <c r="W1298" s="90"/>
      <c r="X1298" s="90"/>
      <c r="Y1298" s="90"/>
      <c r="Z1298" s="40" t="s">
        <v>8105</v>
      </c>
      <c r="AA1298" s="91">
        <v>1000</v>
      </c>
      <c r="AB1298" s="46">
        <f>IF(H2ProjectDB689571011[[#This Row],[Dummy_1]]="Electrolysis",
AA1298/VLOOKUP(G1298,ElectrolysisConvF,3,FALSE),
AC1298*10^6/(H2dens*HoursInYear))</f>
        <v>222222.22222222225</v>
      </c>
      <c r="AC1298" s="47">
        <f>AB1298*H2dens*HoursInYear/10^6</f>
        <v>173.25333333333333</v>
      </c>
      <c r="AD1298" s="92"/>
      <c r="AE1298" s="92">
        <f t="shared" ref="AE1298:AE1330" si="97">IF(AND(G1298&lt;&gt;"NG w CCUS",G1298&lt;&gt;"Oil w CCUS",G1298&lt;&gt;"Coal w CCUS"),AB1298,AD1298*10^3/(HoursInYear*IF(G1298="NG w CCUS",0.9105,1.9075)))</f>
        <v>222222.22222222225</v>
      </c>
      <c r="AF1298" s="93" t="s">
        <v>4303</v>
      </c>
      <c r="AG1298" s="43">
        <v>19.666927731033201</v>
      </c>
      <c r="AH1298" s="43">
        <v>57.725445010377797</v>
      </c>
      <c r="AI1298" s="122" t="s">
        <v>7286</v>
      </c>
      <c r="AJ1298" s="41">
        <v>0.5</v>
      </c>
    </row>
    <row r="1299" spans="1:36" ht="35.1" hidden="1" customHeight="1" x14ac:dyDescent="0.25">
      <c r="A1299" s="40">
        <v>1903</v>
      </c>
      <c r="B1299" s="40" t="s">
        <v>8361</v>
      </c>
      <c r="C1299" s="90" t="s">
        <v>536</v>
      </c>
      <c r="D1299" s="44">
        <v>2026</v>
      </c>
      <c r="E1299" s="44"/>
      <c r="F1299" s="90" t="s">
        <v>5701</v>
      </c>
      <c r="G1299" s="90" t="s">
        <v>1261</v>
      </c>
      <c r="H1299" s="40" t="s">
        <v>5709</v>
      </c>
      <c r="I1299" s="90"/>
      <c r="J1299" s="90"/>
      <c r="K1299" s="90" t="s">
        <v>1243</v>
      </c>
      <c r="L1299" s="90"/>
      <c r="M1299" s="90">
        <v>1</v>
      </c>
      <c r="N1299" s="90"/>
      <c r="O1299" s="90"/>
      <c r="P1299" s="90"/>
      <c r="Q1299" s="90"/>
      <c r="R1299" s="90"/>
      <c r="S1299" s="90"/>
      <c r="T1299" s="90"/>
      <c r="U1299" s="90"/>
      <c r="V1299" s="90"/>
      <c r="W1299" s="90"/>
      <c r="X1299" s="90"/>
      <c r="Y1299" s="90"/>
      <c r="Z1299" s="90" t="s">
        <v>4364</v>
      </c>
      <c r="AA1299" s="91" t="str">
        <f>IF(OR(G1299="ALK",G1299="PEM",G1299="SOEC",G1299="Other Electrolysis"),
AB1299*VLOOKUP(G1299,ElectrolysisConvF,3,FALSE),
"")</f>
        <v/>
      </c>
      <c r="AB1299" s="46">
        <f t="shared" ref="AB1299:AB1308" si="98">AC1299/(H2dens*HoursInYear/10^6)</f>
        <v>323355.44653447036</v>
      </c>
      <c r="AC1299" s="47">
        <f>1400*3/17/0.98</f>
        <v>252.10084033613447</v>
      </c>
      <c r="AD1299" s="92">
        <v>2000000</v>
      </c>
      <c r="AE1299" s="92">
        <f t="shared" si="97"/>
        <v>250752.88553883036</v>
      </c>
      <c r="AF1299" s="43" t="s">
        <v>4307</v>
      </c>
      <c r="AG1299" s="43">
        <v>30.098981962701298</v>
      </c>
      <c r="AH1299" s="43">
        <v>-90.954525138623595</v>
      </c>
      <c r="AI1299" s="122" t="s">
        <v>7287</v>
      </c>
      <c r="AJ1299" s="41">
        <v>0.9</v>
      </c>
    </row>
    <row r="1300" spans="1:36" ht="35.1" hidden="1" customHeight="1" x14ac:dyDescent="0.25">
      <c r="A1300" s="40">
        <v>1906</v>
      </c>
      <c r="B1300" s="40" t="s">
        <v>4310</v>
      </c>
      <c r="C1300" s="90" t="s">
        <v>531</v>
      </c>
      <c r="D1300" s="44">
        <v>2026</v>
      </c>
      <c r="E1300" s="44"/>
      <c r="F1300" s="40" t="s">
        <v>1331</v>
      </c>
      <c r="G1300" s="40" t="s">
        <v>1259</v>
      </c>
      <c r="H1300" s="40" t="s">
        <v>467</v>
      </c>
      <c r="I1300" s="90" t="s">
        <v>1269</v>
      </c>
      <c r="J1300" s="90" t="s">
        <v>1395</v>
      </c>
      <c r="K1300" s="90" t="s">
        <v>1267</v>
      </c>
      <c r="L1300" s="90"/>
      <c r="M1300" s="90"/>
      <c r="N1300" s="90"/>
      <c r="O1300" s="90"/>
      <c r="P1300" s="90"/>
      <c r="Q1300" s="90"/>
      <c r="R1300" s="90"/>
      <c r="S1300" s="90"/>
      <c r="T1300" s="90"/>
      <c r="U1300" s="90"/>
      <c r="V1300" s="90"/>
      <c r="W1300" s="90">
        <v>1</v>
      </c>
      <c r="X1300" s="90"/>
      <c r="Y1300" s="90"/>
      <c r="Z1300" s="40" t="s">
        <v>5015</v>
      </c>
      <c r="AA1300" s="47">
        <f>IF(H2ProjectDB689571011[[#This Row],[Dummy_1]]="Electrolysis",
AB1300*VLOOKUP(G1300,ElectrolysisConvF,3,FALSE),
"")</f>
        <v>47.44023058060516</v>
      </c>
      <c r="AB1300" s="46">
        <f t="shared" si="98"/>
        <v>10542.273462356703</v>
      </c>
      <c r="AC1300" s="47">
        <f>(8*0.045/0.73/0.12)/H2ProjectDB689571011[[#This Row],[LOWE_CF]]</f>
        <v>8.2191780821917799</v>
      </c>
      <c r="AD1300" s="92"/>
      <c r="AE1300" s="92">
        <f t="shared" si="97"/>
        <v>10542.273462356703</v>
      </c>
      <c r="AF1300" s="93" t="s">
        <v>4312</v>
      </c>
      <c r="AG1300" s="43">
        <v>59.139908757764701</v>
      </c>
      <c r="AH1300" s="43">
        <v>9.6547768219278201</v>
      </c>
      <c r="AI1300" s="122" t="s">
        <v>7286</v>
      </c>
      <c r="AJ1300" s="41">
        <v>0.5</v>
      </c>
    </row>
    <row r="1301" spans="1:36" ht="35.1" hidden="1" customHeight="1" x14ac:dyDescent="0.25">
      <c r="A1301" s="40">
        <v>1907</v>
      </c>
      <c r="B1301" s="90" t="s">
        <v>4310</v>
      </c>
      <c r="C1301" s="90" t="s">
        <v>531</v>
      </c>
      <c r="D1301" s="44">
        <v>2032</v>
      </c>
      <c r="E1301" s="44"/>
      <c r="F1301" s="40" t="s">
        <v>2222</v>
      </c>
      <c r="G1301" s="40" t="s">
        <v>1259</v>
      </c>
      <c r="H1301" s="40" t="s">
        <v>467</v>
      </c>
      <c r="I1301" s="90" t="s">
        <v>1269</v>
      </c>
      <c r="J1301" s="90" t="s">
        <v>1395</v>
      </c>
      <c r="K1301" s="90" t="s">
        <v>1267</v>
      </c>
      <c r="L1301" s="90"/>
      <c r="M1301" s="90"/>
      <c r="N1301" s="90"/>
      <c r="O1301" s="90"/>
      <c r="P1301" s="90"/>
      <c r="Q1301" s="90"/>
      <c r="R1301" s="90"/>
      <c r="S1301" s="90"/>
      <c r="T1301" s="90"/>
      <c r="U1301" s="90"/>
      <c r="V1301" s="90"/>
      <c r="W1301" s="90">
        <v>1</v>
      </c>
      <c r="X1301" s="90"/>
      <c r="Y1301" s="90"/>
      <c r="Z1301" s="90" t="s">
        <v>4966</v>
      </c>
      <c r="AA1301" s="47">
        <f>IF(H2ProjectDB689571011[[#This Row],[Dummy_1]]="Electrolysis",
AB1301*VLOOKUP(G1301,ElectrolysisConvF,3,FALSE),
"")</f>
        <v>4696.5828274799123</v>
      </c>
      <c r="AB1301" s="46">
        <f t="shared" si="98"/>
        <v>1043685.0727733138</v>
      </c>
      <c r="AC1301" s="47">
        <f>792*0.045/0.73/0.12/H2ProjectDB689571011[[#This Row],[LOWE_CF]]</f>
        <v>813.69863013698637</v>
      </c>
      <c r="AD1301" s="92"/>
      <c r="AE1301" s="92">
        <f t="shared" si="97"/>
        <v>1043685.0727733138</v>
      </c>
      <c r="AF1301" s="93" t="s">
        <v>4312</v>
      </c>
      <c r="AG1301" s="43">
        <v>59.139908757764701</v>
      </c>
      <c r="AH1301" s="43">
        <v>9.6547768219278201</v>
      </c>
      <c r="AI1301" s="122" t="s">
        <v>7286</v>
      </c>
      <c r="AJ1301" s="41">
        <v>0.5</v>
      </c>
    </row>
    <row r="1302" spans="1:36" ht="35.1" hidden="1" customHeight="1" x14ac:dyDescent="0.25">
      <c r="A1302" s="40">
        <v>1908</v>
      </c>
      <c r="B1302" s="40" t="s">
        <v>8106</v>
      </c>
      <c r="C1302" s="90" t="s">
        <v>543</v>
      </c>
      <c r="D1302" s="90"/>
      <c r="E1302" s="90"/>
      <c r="F1302" s="90" t="s">
        <v>2222</v>
      </c>
      <c r="G1302" s="90" t="s">
        <v>1261</v>
      </c>
      <c r="H1302" s="40" t="s">
        <v>4057</v>
      </c>
      <c r="I1302" s="90"/>
      <c r="J1302" s="90"/>
      <c r="K1302" s="90" t="s">
        <v>578</v>
      </c>
      <c r="L1302" s="90"/>
      <c r="M1302" s="90"/>
      <c r="N1302" s="90"/>
      <c r="O1302" s="90"/>
      <c r="P1302" s="90"/>
      <c r="Q1302" s="90"/>
      <c r="R1302" s="90"/>
      <c r="S1302" s="90"/>
      <c r="T1302" s="90"/>
      <c r="U1302" s="90"/>
      <c r="V1302" s="90"/>
      <c r="W1302" s="90"/>
      <c r="X1302" s="90"/>
      <c r="Y1302" s="90"/>
      <c r="Z1302" s="90" t="s">
        <v>3591</v>
      </c>
      <c r="AA1302" s="91"/>
      <c r="AB1302" s="46">
        <f t="shared" si="98"/>
        <v>64132.163562669957</v>
      </c>
      <c r="AC1302" s="92">
        <v>50</v>
      </c>
      <c r="AD1302" s="92"/>
      <c r="AE1302" s="92">
        <f t="shared" si="97"/>
        <v>0</v>
      </c>
      <c r="AF1302" s="93" t="s">
        <v>4314</v>
      </c>
      <c r="AG1302" s="43">
        <v>24.298933860178</v>
      </c>
      <c r="AH1302" s="43">
        <v>54.354000103841102</v>
      </c>
      <c r="AI1302" s="122" t="s">
        <v>7287</v>
      </c>
      <c r="AJ1302" s="41">
        <v>0.9</v>
      </c>
    </row>
    <row r="1303" spans="1:36" ht="35.1" hidden="1" customHeight="1" x14ac:dyDescent="0.25">
      <c r="A1303" s="40">
        <v>1909</v>
      </c>
      <c r="B1303" s="40" t="s">
        <v>8107</v>
      </c>
      <c r="C1303" s="90" t="s">
        <v>543</v>
      </c>
      <c r="D1303" s="90"/>
      <c r="E1303" s="90"/>
      <c r="F1303" s="90" t="s">
        <v>2222</v>
      </c>
      <c r="G1303" s="90" t="s">
        <v>1261</v>
      </c>
      <c r="H1303" s="40" t="s">
        <v>4057</v>
      </c>
      <c r="I1303" s="90"/>
      <c r="J1303" s="90"/>
      <c r="K1303" s="90" t="s">
        <v>578</v>
      </c>
      <c r="L1303" s="90"/>
      <c r="M1303" s="90"/>
      <c r="N1303" s="90"/>
      <c r="O1303" s="90"/>
      <c r="P1303" s="90"/>
      <c r="Q1303" s="90"/>
      <c r="R1303" s="90"/>
      <c r="S1303" s="90"/>
      <c r="T1303" s="90"/>
      <c r="U1303" s="90"/>
      <c r="V1303" s="90"/>
      <c r="W1303" s="90"/>
      <c r="X1303" s="90"/>
      <c r="Y1303" s="90"/>
      <c r="Z1303" s="90" t="s">
        <v>7542</v>
      </c>
      <c r="AA1303" s="91"/>
      <c r="AB1303" s="46">
        <f t="shared" si="98"/>
        <v>192396.49068800986</v>
      </c>
      <c r="AC1303" s="92">
        <v>150</v>
      </c>
      <c r="AD1303" s="92">
        <v>460000</v>
      </c>
      <c r="AE1303" s="92">
        <f t="shared" si="97"/>
        <v>57673.163673930983</v>
      </c>
      <c r="AF1303" s="93" t="s">
        <v>4314</v>
      </c>
      <c r="AG1303" s="43">
        <v>24.298933860178</v>
      </c>
      <c r="AH1303" s="43">
        <v>54.354000103841102</v>
      </c>
      <c r="AI1303" s="122" t="s">
        <v>7287</v>
      </c>
      <c r="AJ1303" s="41">
        <v>0.9</v>
      </c>
    </row>
    <row r="1304" spans="1:36" ht="35.1" hidden="1" customHeight="1" x14ac:dyDescent="0.25">
      <c r="A1304" s="40">
        <v>1910</v>
      </c>
      <c r="B1304" s="90" t="s">
        <v>4318</v>
      </c>
      <c r="C1304" s="90" t="s">
        <v>546</v>
      </c>
      <c r="D1304" s="44">
        <v>2030</v>
      </c>
      <c r="E1304" s="44"/>
      <c r="F1304" s="40" t="s">
        <v>2222</v>
      </c>
      <c r="G1304" s="40" t="s">
        <v>1259</v>
      </c>
      <c r="H1304" s="40" t="s">
        <v>467</v>
      </c>
      <c r="I1304" s="90" t="s">
        <v>1269</v>
      </c>
      <c r="J1304" s="90" t="s">
        <v>1393</v>
      </c>
      <c r="K1304" s="90" t="s">
        <v>1243</v>
      </c>
      <c r="L1304" s="90"/>
      <c r="M1304" s="90">
        <v>1</v>
      </c>
      <c r="N1304" s="90"/>
      <c r="O1304" s="90"/>
      <c r="P1304" s="90"/>
      <c r="Q1304" s="90"/>
      <c r="R1304" s="90"/>
      <c r="S1304" s="90"/>
      <c r="T1304" s="90"/>
      <c r="U1304" s="90"/>
      <c r="V1304" s="90"/>
      <c r="W1304" s="90"/>
      <c r="X1304" s="90"/>
      <c r="Y1304" s="90"/>
      <c r="Z1304" s="90" t="s">
        <v>4965</v>
      </c>
      <c r="AA1304" s="47">
        <f>IF(H2ProjectDB689571011[[#This Row],[Dummy_1]]="Electrolysis",
AB1304*VLOOKUP(G1304,ElectrolysisConvF,3,FALSE),
"")</f>
        <v>4197.7416150111239</v>
      </c>
      <c r="AB1304" s="46">
        <f t="shared" si="98"/>
        <v>932831.47000247205</v>
      </c>
      <c r="AC1304" s="92">
        <f>400/H2ProjectDB689571011[[#This Row],[LOWE_CF]]</f>
        <v>727.27272727272725</v>
      </c>
      <c r="AD1304" s="92"/>
      <c r="AE1304" s="92">
        <f t="shared" si="97"/>
        <v>932831.47000247205</v>
      </c>
      <c r="AF1304" s="93" t="s">
        <v>4321</v>
      </c>
      <c r="AG1304" s="43">
        <v>53.499809609367098</v>
      </c>
      <c r="AH1304" s="43">
        <v>3.9500245152105902</v>
      </c>
      <c r="AI1304" s="122" t="s">
        <v>7286</v>
      </c>
      <c r="AJ1304" s="41">
        <v>0.55000000000000004</v>
      </c>
    </row>
    <row r="1305" spans="1:36" ht="35.1" hidden="1" customHeight="1" x14ac:dyDescent="0.25">
      <c r="A1305" s="40">
        <v>1911</v>
      </c>
      <c r="B1305" s="90" t="s">
        <v>4319</v>
      </c>
      <c r="C1305" s="90" t="s">
        <v>546</v>
      </c>
      <c r="D1305" s="44">
        <v>2043</v>
      </c>
      <c r="E1305" s="44"/>
      <c r="F1305" s="40" t="s">
        <v>2222</v>
      </c>
      <c r="G1305" s="40" t="s">
        <v>1259</v>
      </c>
      <c r="H1305" s="40" t="s">
        <v>467</v>
      </c>
      <c r="I1305" s="90" t="s">
        <v>1269</v>
      </c>
      <c r="J1305" s="90" t="s">
        <v>1393</v>
      </c>
      <c r="K1305" s="90" t="s">
        <v>1243</v>
      </c>
      <c r="L1305" s="90"/>
      <c r="M1305" s="90">
        <v>1</v>
      </c>
      <c r="N1305" s="90"/>
      <c r="O1305" s="90"/>
      <c r="P1305" s="90"/>
      <c r="Q1305" s="90"/>
      <c r="R1305" s="90"/>
      <c r="S1305" s="90"/>
      <c r="T1305" s="90"/>
      <c r="U1305" s="90"/>
      <c r="V1305" s="90"/>
      <c r="W1305" s="90"/>
      <c r="X1305" s="90"/>
      <c r="Y1305" s="90"/>
      <c r="Z1305" s="90" t="s">
        <v>4964</v>
      </c>
      <c r="AA1305" s="47">
        <f>IF(H2ProjectDB689571011[[#This Row],[Dummy_1]]="Electrolysis",
AB1305*VLOOKUP(G1305,ElectrolysisConvF,3,FALSE),
"")</f>
        <v>6296.612422516685</v>
      </c>
      <c r="AB1305" s="46">
        <f t="shared" si="98"/>
        <v>1399247.2050037079</v>
      </c>
      <c r="AC1305" s="92">
        <f>600/H2ProjectDB689571011[[#This Row],[LOWE_CF]]</f>
        <v>1090.9090909090908</v>
      </c>
      <c r="AD1305" s="92"/>
      <c r="AE1305" s="92">
        <f t="shared" si="97"/>
        <v>1399247.2050037079</v>
      </c>
      <c r="AF1305" s="93" t="s">
        <v>4321</v>
      </c>
      <c r="AG1305" s="43">
        <v>53.499809609367098</v>
      </c>
      <c r="AH1305" s="43">
        <v>3.9500245152105902</v>
      </c>
      <c r="AI1305" s="122" t="s">
        <v>7286</v>
      </c>
      <c r="AJ1305" s="41">
        <v>0.55000000000000004</v>
      </c>
    </row>
    <row r="1306" spans="1:36" ht="35.1" hidden="1" customHeight="1" x14ac:dyDescent="0.25">
      <c r="A1306" s="40">
        <v>1912</v>
      </c>
      <c r="B1306" s="90" t="s">
        <v>4322</v>
      </c>
      <c r="C1306" s="90" t="s">
        <v>535</v>
      </c>
      <c r="D1306" s="90"/>
      <c r="E1306" s="90"/>
      <c r="F1306" s="90" t="s">
        <v>2222</v>
      </c>
      <c r="G1306" s="90" t="s">
        <v>1263</v>
      </c>
      <c r="H1306" s="90"/>
      <c r="I1306" s="90"/>
      <c r="J1306" s="90"/>
      <c r="K1306" s="90" t="s">
        <v>1243</v>
      </c>
      <c r="L1306" s="90"/>
      <c r="M1306" s="90">
        <v>1</v>
      </c>
      <c r="N1306" s="90"/>
      <c r="O1306" s="90"/>
      <c r="P1306" s="90"/>
      <c r="Q1306" s="90"/>
      <c r="R1306" s="90"/>
      <c r="S1306" s="90"/>
      <c r="T1306" s="90"/>
      <c r="U1306" s="90"/>
      <c r="V1306" s="90"/>
      <c r="W1306" s="90"/>
      <c r="X1306" s="90"/>
      <c r="Y1306" s="90"/>
      <c r="Z1306" s="90" t="s">
        <v>4122</v>
      </c>
      <c r="AA1306" s="91"/>
      <c r="AB1306" s="46">
        <f t="shared" si="98"/>
        <v>23096.817609605027</v>
      </c>
      <c r="AC1306" s="47">
        <f>100*3/17/0.98</f>
        <v>18.007202881152462</v>
      </c>
      <c r="AD1306" s="92"/>
      <c r="AE1306" s="92">
        <f t="shared" si="97"/>
        <v>23096.817609605027</v>
      </c>
      <c r="AF1306" s="93" t="s">
        <v>4324</v>
      </c>
      <c r="AG1306" s="43">
        <v>-26.298368</v>
      </c>
      <c r="AH1306" s="43">
        <v>117.270077</v>
      </c>
      <c r="AI1306" s="122" t="s">
        <v>1255</v>
      </c>
      <c r="AJ1306" s="41">
        <v>0.9</v>
      </c>
    </row>
    <row r="1307" spans="1:36" ht="35.1" hidden="1" customHeight="1" x14ac:dyDescent="0.25">
      <c r="A1307" s="40">
        <v>1913</v>
      </c>
      <c r="B1307" s="90" t="s">
        <v>5062</v>
      </c>
      <c r="C1307" s="90" t="s">
        <v>535</v>
      </c>
      <c r="D1307" s="44">
        <v>2028</v>
      </c>
      <c r="E1307" s="44"/>
      <c r="F1307" s="90" t="s">
        <v>2222</v>
      </c>
      <c r="G1307" s="90" t="s">
        <v>1261</v>
      </c>
      <c r="H1307" s="40" t="s">
        <v>4057</v>
      </c>
      <c r="I1307" s="90" t="str">
        <f>IF(AND(G1307&lt;&gt;"ALK",G1307&lt;&gt;"PEM",G1307&lt;&gt;"SOEC",G1307&lt;&gt;"Other electrolysis"),"N/A","")</f>
        <v>N/A</v>
      </c>
      <c r="J1307" s="90" t="str">
        <f>IF(I1307&lt;&gt;"Dedicated renewable","N/A",)</f>
        <v>N/A</v>
      </c>
      <c r="K1307" s="90" t="s">
        <v>1243</v>
      </c>
      <c r="L1307" s="90"/>
      <c r="M1307" s="90">
        <v>1</v>
      </c>
      <c r="N1307" s="90"/>
      <c r="O1307" s="90"/>
      <c r="P1307" s="90"/>
      <c r="Q1307" s="90"/>
      <c r="R1307" s="90"/>
      <c r="S1307" s="90"/>
      <c r="T1307" s="90"/>
      <c r="U1307" s="90"/>
      <c r="V1307" s="90"/>
      <c r="W1307" s="90"/>
      <c r="X1307" s="90"/>
      <c r="Y1307" s="90"/>
      <c r="Z1307" s="90" t="s">
        <v>3950</v>
      </c>
      <c r="AA1307" s="91"/>
      <c r="AB1307" s="46">
        <f t="shared" si="98"/>
        <v>230968.17609605024</v>
      </c>
      <c r="AC1307" s="47">
        <f>1000*3/17/0.98</f>
        <v>180.0720288115246</v>
      </c>
      <c r="AD1307" s="92"/>
      <c r="AE1307" s="92">
        <f t="shared" si="97"/>
        <v>0</v>
      </c>
      <c r="AF1307" s="93" t="s">
        <v>4326</v>
      </c>
      <c r="AG1307" s="43">
        <v>-29.463477999999999</v>
      </c>
      <c r="AH1307" s="43">
        <v>115.13970999999999</v>
      </c>
      <c r="AI1307" s="122" t="s">
        <v>7287</v>
      </c>
      <c r="AJ1307" s="41">
        <v>0.9</v>
      </c>
    </row>
    <row r="1308" spans="1:36" ht="35.1" hidden="1" customHeight="1" x14ac:dyDescent="0.25">
      <c r="A1308" s="40">
        <v>1914</v>
      </c>
      <c r="B1308" s="90" t="s">
        <v>4327</v>
      </c>
      <c r="C1308" s="90" t="s">
        <v>674</v>
      </c>
      <c r="D1308" s="90"/>
      <c r="E1308" s="90"/>
      <c r="F1308" s="90" t="s">
        <v>2222</v>
      </c>
      <c r="G1308" s="90" t="s">
        <v>1255</v>
      </c>
      <c r="H1308" s="90" t="s">
        <v>3971</v>
      </c>
      <c r="I1308" s="90"/>
      <c r="J1308" s="90"/>
      <c r="K1308" s="90" t="s">
        <v>578</v>
      </c>
      <c r="L1308" s="90"/>
      <c r="M1308" s="90"/>
      <c r="N1308" s="90"/>
      <c r="O1308" s="90"/>
      <c r="P1308" s="90"/>
      <c r="Q1308" s="90"/>
      <c r="R1308" s="90"/>
      <c r="S1308" s="90"/>
      <c r="T1308" s="90"/>
      <c r="U1308" s="90"/>
      <c r="V1308" s="90"/>
      <c r="W1308" s="90">
        <v>1</v>
      </c>
      <c r="X1308" s="90"/>
      <c r="Y1308" s="90"/>
      <c r="Z1308" s="90" t="s">
        <v>4328</v>
      </c>
      <c r="AA1308" s="91"/>
      <c r="AB1308" s="46">
        <f t="shared" si="98"/>
        <v>85937.099173977738</v>
      </c>
      <c r="AC1308" s="92">
        <v>67</v>
      </c>
      <c r="AD1308" s="92"/>
      <c r="AE1308" s="92">
        <f t="shared" si="97"/>
        <v>85937.099173977738</v>
      </c>
      <c r="AF1308" s="93" t="s">
        <v>4330</v>
      </c>
      <c r="AG1308" s="43">
        <v>23.713640999999999</v>
      </c>
      <c r="AH1308" s="43">
        <v>58.044372000000003</v>
      </c>
      <c r="AI1308" s="122" t="s">
        <v>1255</v>
      </c>
      <c r="AJ1308" s="41">
        <v>0.9</v>
      </c>
    </row>
    <row r="1309" spans="1:36" ht="35.1" hidden="1" customHeight="1" x14ac:dyDescent="0.25">
      <c r="A1309" s="40">
        <v>1915</v>
      </c>
      <c r="B1309" s="90" t="s">
        <v>4755</v>
      </c>
      <c r="C1309" s="90" t="s">
        <v>1097</v>
      </c>
      <c r="D1309" s="90"/>
      <c r="E1309" s="90"/>
      <c r="F1309" s="90" t="s">
        <v>2222</v>
      </c>
      <c r="G1309" s="90" t="s">
        <v>1259</v>
      </c>
      <c r="H1309" s="40" t="s">
        <v>467</v>
      </c>
      <c r="I1309" s="90" t="s">
        <v>1269</v>
      </c>
      <c r="J1309" s="90" t="s">
        <v>1395</v>
      </c>
      <c r="K1309" s="90" t="s">
        <v>578</v>
      </c>
      <c r="L1309" s="90"/>
      <c r="M1309" s="90">
        <v>1</v>
      </c>
      <c r="N1309" s="90"/>
      <c r="O1309" s="90"/>
      <c r="P1309" s="90"/>
      <c r="Q1309" s="90"/>
      <c r="R1309" s="90"/>
      <c r="S1309" s="90"/>
      <c r="T1309" s="90"/>
      <c r="U1309" s="90"/>
      <c r="V1309" s="90"/>
      <c r="W1309" s="90"/>
      <c r="X1309" s="90"/>
      <c r="Y1309" s="90"/>
      <c r="Z1309" s="90"/>
      <c r="AC1309" s="92"/>
      <c r="AD1309" s="92"/>
      <c r="AE1309" s="92">
        <f t="shared" si="97"/>
        <v>0</v>
      </c>
      <c r="AF1309" s="93" t="s">
        <v>4332</v>
      </c>
      <c r="AG1309" s="43">
        <v>31.051877999999999</v>
      </c>
      <c r="AH1309" s="43">
        <v>-9.7452550000000002</v>
      </c>
      <c r="AI1309" s="122" t="s">
        <v>7286</v>
      </c>
      <c r="AJ1309" s="41">
        <v>0.5</v>
      </c>
    </row>
    <row r="1310" spans="1:36" ht="35.1" hidden="1" customHeight="1" x14ac:dyDescent="0.25">
      <c r="A1310" s="40">
        <v>1916</v>
      </c>
      <c r="B1310" s="90" t="s">
        <v>4334</v>
      </c>
      <c r="C1310" s="90" t="s">
        <v>542</v>
      </c>
      <c r="D1310" s="44">
        <v>2035</v>
      </c>
      <c r="E1310" s="44"/>
      <c r="F1310" s="90" t="s">
        <v>2222</v>
      </c>
      <c r="G1310" s="90" t="s">
        <v>1259</v>
      </c>
      <c r="H1310" s="40" t="s">
        <v>467</v>
      </c>
      <c r="I1310" s="90" t="s">
        <v>1257</v>
      </c>
      <c r="J1310" s="90" t="str">
        <f>IF(I1310&lt;&gt;"Dedicated renewable","N/A",)</f>
        <v>N/A</v>
      </c>
      <c r="K1310" s="90" t="s">
        <v>578</v>
      </c>
      <c r="L1310" s="90"/>
      <c r="M1310" s="90"/>
      <c r="N1310" s="90"/>
      <c r="O1310" s="90"/>
      <c r="P1310" s="90"/>
      <c r="Q1310" s="90">
        <v>1</v>
      </c>
      <c r="R1310" s="90"/>
      <c r="S1310" s="90"/>
      <c r="T1310" s="90"/>
      <c r="U1310" s="90"/>
      <c r="V1310" s="90"/>
      <c r="W1310" s="90"/>
      <c r="X1310" s="90"/>
      <c r="Y1310" s="90"/>
      <c r="Z1310" s="90" t="s">
        <v>3922</v>
      </c>
      <c r="AA1310" s="91">
        <v>40</v>
      </c>
      <c r="AB1310" s="46">
        <f>IF(H2ProjectDB689571011[[#This Row],[Dummy_1]]="Electrolysis",
AA1310/VLOOKUP(G1310,ElectrolysisConvF,3,FALSE),
AC1310*10^6/(H2dens*HoursInYear))</f>
        <v>8888.8888888888887</v>
      </c>
      <c r="AC1310" s="47">
        <f t="shared" ref="AC1310:AC1316" si="99">AB1310*H2dens*HoursInYear/10^6</f>
        <v>6.930133333333333</v>
      </c>
      <c r="AD1310" s="92"/>
      <c r="AE1310" s="92">
        <f t="shared" si="97"/>
        <v>8888.8888888888887</v>
      </c>
      <c r="AF1310" s="93" t="s">
        <v>4339</v>
      </c>
      <c r="AG1310" s="43">
        <v>53.400002000000001</v>
      </c>
      <c r="AH1310" s="43">
        <v>-2.983333</v>
      </c>
      <c r="AI1310" s="122" t="s">
        <v>7286</v>
      </c>
      <c r="AJ1310" s="41">
        <v>0.56999999999999995</v>
      </c>
    </row>
    <row r="1311" spans="1:36" ht="35.1" hidden="1" customHeight="1" x14ac:dyDescent="0.25">
      <c r="A1311" s="40">
        <v>1917</v>
      </c>
      <c r="B1311" s="90" t="s">
        <v>4335</v>
      </c>
      <c r="C1311" s="90" t="s">
        <v>542</v>
      </c>
      <c r="D1311" s="44">
        <v>2030</v>
      </c>
      <c r="E1311" s="44"/>
      <c r="F1311" s="90" t="s">
        <v>2222</v>
      </c>
      <c r="G1311" s="90" t="s">
        <v>1259</v>
      </c>
      <c r="H1311" s="40" t="s">
        <v>467</v>
      </c>
      <c r="I1311" s="90" t="s">
        <v>1257</v>
      </c>
      <c r="J1311" s="90" t="str">
        <f>IF(I1311&lt;&gt;"Dedicated renewable","N/A",)</f>
        <v>N/A</v>
      </c>
      <c r="K1311" s="90" t="s">
        <v>578</v>
      </c>
      <c r="L1311" s="90"/>
      <c r="M1311" s="90"/>
      <c r="N1311" s="90"/>
      <c r="O1311" s="90"/>
      <c r="P1311" s="90"/>
      <c r="Q1311" s="90">
        <v>1</v>
      </c>
      <c r="R1311" s="90"/>
      <c r="S1311" s="90"/>
      <c r="T1311" s="90"/>
      <c r="U1311" s="90"/>
      <c r="V1311" s="90"/>
      <c r="W1311" s="90"/>
      <c r="X1311" s="90"/>
      <c r="Y1311" s="90"/>
      <c r="Z1311" s="90" t="s">
        <v>3922</v>
      </c>
      <c r="AA1311" s="91">
        <v>40</v>
      </c>
      <c r="AB1311" s="46">
        <f>IF(H2ProjectDB689571011[[#This Row],[Dummy_1]]="Electrolysis",
AA1311/VLOOKUP(G1311,ElectrolysisConvF,3,FALSE),
AC1311*10^6/(H2dens*HoursInYear))</f>
        <v>8888.8888888888887</v>
      </c>
      <c r="AC1311" s="47">
        <f t="shared" si="99"/>
        <v>6.930133333333333</v>
      </c>
      <c r="AD1311" s="92"/>
      <c r="AE1311" s="92">
        <f t="shared" si="97"/>
        <v>8888.8888888888887</v>
      </c>
      <c r="AF1311" s="93" t="s">
        <v>4341</v>
      </c>
      <c r="AG1311" s="43">
        <v>53.483958999999999</v>
      </c>
      <c r="AH1311" s="43">
        <v>-2.2446440000000001</v>
      </c>
      <c r="AI1311" s="122" t="s">
        <v>7286</v>
      </c>
      <c r="AJ1311" s="41">
        <v>0.56999999999999995</v>
      </c>
    </row>
    <row r="1312" spans="1:36" ht="35.1" hidden="1" customHeight="1" x14ac:dyDescent="0.25">
      <c r="A1312" s="40">
        <v>1918</v>
      </c>
      <c r="B1312" s="90" t="s">
        <v>4336</v>
      </c>
      <c r="C1312" s="90" t="s">
        <v>542</v>
      </c>
      <c r="D1312" s="44">
        <v>2035</v>
      </c>
      <c r="E1312" s="44"/>
      <c r="F1312" s="90" t="s">
        <v>2222</v>
      </c>
      <c r="G1312" s="90" t="s">
        <v>1259</v>
      </c>
      <c r="H1312" s="40" t="s">
        <v>467</v>
      </c>
      <c r="I1312" s="90" t="s">
        <v>1257</v>
      </c>
      <c r="J1312" s="90" t="str">
        <f>IF(I1312&lt;&gt;"Dedicated renewable","N/A",)</f>
        <v>N/A</v>
      </c>
      <c r="K1312" s="90" t="s">
        <v>578</v>
      </c>
      <c r="L1312" s="90"/>
      <c r="M1312" s="90"/>
      <c r="N1312" s="90"/>
      <c r="O1312" s="90"/>
      <c r="P1312" s="90"/>
      <c r="Q1312" s="90">
        <v>1</v>
      </c>
      <c r="R1312" s="90"/>
      <c r="S1312" s="90"/>
      <c r="T1312" s="90"/>
      <c r="U1312" s="90"/>
      <c r="V1312" s="90"/>
      <c r="W1312" s="90"/>
      <c r="X1312" s="90"/>
      <c r="Y1312" s="90"/>
      <c r="Z1312" s="90" t="s">
        <v>3922</v>
      </c>
      <c r="AA1312" s="91">
        <v>40</v>
      </c>
      <c r="AB1312" s="46">
        <f>IF(H2ProjectDB689571011[[#This Row],[Dummy_1]]="Electrolysis",
AA1312/VLOOKUP(G1312,ElectrolysisConvF,3,FALSE),
AC1312*10^6/(H2dens*HoursInYear))</f>
        <v>8888.8888888888887</v>
      </c>
      <c r="AC1312" s="47">
        <f t="shared" si="99"/>
        <v>6.930133333333333</v>
      </c>
      <c r="AD1312" s="92"/>
      <c r="AE1312" s="92">
        <f t="shared" si="97"/>
        <v>8888.8888888888887</v>
      </c>
      <c r="AF1312" s="93" t="s">
        <v>4339</v>
      </c>
      <c r="AG1312" s="43">
        <v>51.509864999999998</v>
      </c>
      <c r="AH1312" s="43">
        <v>-0.118092</v>
      </c>
      <c r="AI1312" s="122" t="s">
        <v>7286</v>
      </c>
      <c r="AJ1312" s="41">
        <v>0.56999999999999995</v>
      </c>
    </row>
    <row r="1313" spans="1:36" ht="35.1" hidden="1" customHeight="1" x14ac:dyDescent="0.25">
      <c r="A1313" s="40">
        <v>1919</v>
      </c>
      <c r="B1313" s="90" t="s">
        <v>4337</v>
      </c>
      <c r="C1313" s="90" t="s">
        <v>542</v>
      </c>
      <c r="D1313" s="44">
        <v>2030</v>
      </c>
      <c r="E1313" s="44"/>
      <c r="F1313" s="90" t="s">
        <v>2222</v>
      </c>
      <c r="G1313" s="90" t="s">
        <v>1259</v>
      </c>
      <c r="H1313" s="40" t="s">
        <v>467</v>
      </c>
      <c r="I1313" s="90" t="s">
        <v>1257</v>
      </c>
      <c r="J1313" s="90" t="str">
        <f>IF(I1313&lt;&gt;"Dedicated renewable","N/A",)</f>
        <v>N/A</v>
      </c>
      <c r="K1313" s="90" t="s">
        <v>578</v>
      </c>
      <c r="L1313" s="90"/>
      <c r="M1313" s="90"/>
      <c r="N1313" s="90"/>
      <c r="O1313" s="90"/>
      <c r="P1313" s="90"/>
      <c r="Q1313" s="90">
        <v>1</v>
      </c>
      <c r="R1313" s="90"/>
      <c r="S1313" s="90"/>
      <c r="T1313" s="90"/>
      <c r="U1313" s="90"/>
      <c r="V1313" s="90"/>
      <c r="W1313" s="90"/>
      <c r="X1313" s="90"/>
      <c r="Y1313" s="90"/>
      <c r="Z1313" s="90" t="s">
        <v>3922</v>
      </c>
      <c r="AA1313" s="91">
        <v>40</v>
      </c>
      <c r="AB1313" s="46">
        <f>IF(H2ProjectDB689571011[[#This Row],[Dummy_1]]="Electrolysis",
AA1313/VLOOKUP(G1313,ElectrolysisConvF,3,FALSE),
AC1313*10^6/(H2dens*HoursInYear))</f>
        <v>8888.8888888888887</v>
      </c>
      <c r="AC1313" s="47">
        <f t="shared" si="99"/>
        <v>6.930133333333333</v>
      </c>
      <c r="AD1313" s="92"/>
      <c r="AE1313" s="92">
        <f t="shared" si="97"/>
        <v>8888.8888888888887</v>
      </c>
      <c r="AF1313" s="93" t="s">
        <v>4341</v>
      </c>
      <c r="AG1313" s="43">
        <v>51.499997999999998</v>
      </c>
      <c r="AH1313" s="43">
        <v>0.58333100000000004</v>
      </c>
      <c r="AI1313" s="122" t="s">
        <v>7286</v>
      </c>
      <c r="AJ1313" s="41">
        <v>0.56999999999999995</v>
      </c>
    </row>
    <row r="1314" spans="1:36" ht="35.1" hidden="1" customHeight="1" x14ac:dyDescent="0.25">
      <c r="A1314" s="40">
        <v>1920</v>
      </c>
      <c r="B1314" s="90" t="s">
        <v>4342</v>
      </c>
      <c r="C1314" s="90" t="s">
        <v>535</v>
      </c>
      <c r="D1314" s="90"/>
      <c r="E1314" s="90"/>
      <c r="F1314" s="90" t="s">
        <v>1331</v>
      </c>
      <c r="G1314" s="90" t="s">
        <v>1259</v>
      </c>
      <c r="H1314" s="40" t="s">
        <v>467</v>
      </c>
      <c r="I1314" s="90" t="s">
        <v>1269</v>
      </c>
      <c r="J1314" s="90" t="s">
        <v>1391</v>
      </c>
      <c r="K1314" s="90" t="s">
        <v>578</v>
      </c>
      <c r="L1314" s="90"/>
      <c r="M1314" s="90"/>
      <c r="N1314" s="90"/>
      <c r="O1314" s="90"/>
      <c r="P1314" s="90"/>
      <c r="Q1314" s="90"/>
      <c r="R1314" s="90"/>
      <c r="S1314" s="90"/>
      <c r="T1314" s="90"/>
      <c r="U1314" s="90"/>
      <c r="V1314" s="90"/>
      <c r="W1314" s="90"/>
      <c r="X1314" s="90"/>
      <c r="Y1314" s="90"/>
      <c r="Z1314" s="90" t="s">
        <v>3994</v>
      </c>
      <c r="AA1314" s="91">
        <v>1000</v>
      </c>
      <c r="AB1314" s="46">
        <f>IF(H2ProjectDB689571011[[#This Row],[Dummy_1]]="Electrolysis",
AA1314/VLOOKUP(G1314,ElectrolysisConvF,3,FALSE),
AC1314*10^6/(H2dens*HoursInYear))</f>
        <v>222222.22222222225</v>
      </c>
      <c r="AC1314" s="47">
        <f t="shared" si="99"/>
        <v>173.25333333333333</v>
      </c>
      <c r="AD1314" s="92"/>
      <c r="AE1314" s="92">
        <f t="shared" si="97"/>
        <v>222222.22222222225</v>
      </c>
      <c r="AF1314" s="93" t="s">
        <v>4344</v>
      </c>
      <c r="AG1314" s="43">
        <v>-12.462827000000001</v>
      </c>
      <c r="AH1314" s="43">
        <v>130.84178199999999</v>
      </c>
      <c r="AI1314" s="122" t="s">
        <v>7286</v>
      </c>
      <c r="AJ1314" s="41">
        <v>0.3</v>
      </c>
    </row>
    <row r="1315" spans="1:36" ht="35.1" hidden="1" customHeight="1" x14ac:dyDescent="0.25">
      <c r="A1315" s="40">
        <v>1921</v>
      </c>
      <c r="B1315" s="90" t="s">
        <v>4347</v>
      </c>
      <c r="C1315" s="90" t="s">
        <v>537</v>
      </c>
      <c r="D1315" s="44">
        <v>2028</v>
      </c>
      <c r="E1315" s="44"/>
      <c r="F1315" s="90" t="s">
        <v>1331</v>
      </c>
      <c r="G1315" s="90" t="s">
        <v>1259</v>
      </c>
      <c r="H1315" s="40" t="s">
        <v>467</v>
      </c>
      <c r="I1315" s="90" t="s">
        <v>1269</v>
      </c>
      <c r="J1315" s="90" t="s">
        <v>1395</v>
      </c>
      <c r="K1315" s="90" t="s">
        <v>1243</v>
      </c>
      <c r="L1315" s="90"/>
      <c r="M1315" s="90">
        <v>1</v>
      </c>
      <c r="N1315" s="90"/>
      <c r="O1315" s="90">
        <v>1</v>
      </c>
      <c r="P1315" s="90"/>
      <c r="Q1315" s="90"/>
      <c r="R1315" s="90"/>
      <c r="S1315" s="90"/>
      <c r="T1315" s="90"/>
      <c r="U1315" s="90"/>
      <c r="V1315" s="90"/>
      <c r="W1315" s="90"/>
      <c r="X1315" s="90"/>
      <c r="Y1315" s="90"/>
      <c r="Z1315" s="44" t="s">
        <v>6993</v>
      </c>
      <c r="AA1315" s="47">
        <f>IF(H2ProjectDB689571011[[#This Row],[Dummy_1]]="Electrolysis",
AB1315*VLOOKUP(G1315,ElectrolysisConvF,3,FALSE),
"")</f>
        <v>1215</v>
      </c>
      <c r="AB1315" s="46">
        <v>270000</v>
      </c>
      <c r="AC1315" s="92">
        <f t="shared" si="99"/>
        <v>210.50280000000001</v>
      </c>
      <c r="AD1315" s="92"/>
      <c r="AE1315" s="92">
        <f t="shared" si="97"/>
        <v>270000</v>
      </c>
      <c r="AF1315" s="93" t="s">
        <v>4346</v>
      </c>
      <c r="AG1315" s="43">
        <v>40.650002000000001</v>
      </c>
      <c r="AH1315" s="43">
        <v>109.833336</v>
      </c>
      <c r="AI1315" s="122" t="s">
        <v>7286</v>
      </c>
      <c r="AJ1315" s="41">
        <v>0.5</v>
      </c>
    </row>
    <row r="1316" spans="1:36" ht="35.1" hidden="1" customHeight="1" x14ac:dyDescent="0.25">
      <c r="A1316" s="40">
        <v>1922</v>
      </c>
      <c r="B1316" s="90" t="s">
        <v>4348</v>
      </c>
      <c r="C1316" s="90" t="s">
        <v>537</v>
      </c>
      <c r="D1316" s="44">
        <v>2025</v>
      </c>
      <c r="E1316" s="44"/>
      <c r="F1316" s="90" t="s">
        <v>5701</v>
      </c>
      <c r="G1316" s="90" t="s">
        <v>1259</v>
      </c>
      <c r="H1316" s="40" t="s">
        <v>467</v>
      </c>
      <c r="I1316" s="90" t="s">
        <v>1269</v>
      </c>
      <c r="J1316" s="90" t="s">
        <v>1392</v>
      </c>
      <c r="K1316" s="90" t="s">
        <v>1243</v>
      </c>
      <c r="L1316" s="90"/>
      <c r="M1316" s="90">
        <v>1</v>
      </c>
      <c r="N1316" s="90"/>
      <c r="O1316" s="90">
        <v>1</v>
      </c>
      <c r="P1316" s="90"/>
      <c r="Q1316" s="90"/>
      <c r="R1316" s="90"/>
      <c r="S1316" s="90"/>
      <c r="T1316" s="90"/>
      <c r="U1316" s="90"/>
      <c r="V1316" s="90"/>
      <c r="W1316" s="90"/>
      <c r="X1316" s="90"/>
      <c r="Y1316" s="90"/>
      <c r="Z1316" s="44" t="s">
        <v>6992</v>
      </c>
      <c r="AA1316" s="47">
        <f>IF(H2ProjectDB689571011[[#This Row],[Dummy_1]]="Electrolysis",
AB1316*VLOOKUP(G1316,ElectrolysisConvF,3,FALSE),
"")</f>
        <v>135</v>
      </c>
      <c r="AB1316" s="46">
        <v>30000</v>
      </c>
      <c r="AC1316" s="92">
        <f t="shared" si="99"/>
        <v>23.389199999999999</v>
      </c>
      <c r="AD1316" s="92"/>
      <c r="AE1316" s="92">
        <f t="shared" si="97"/>
        <v>30000</v>
      </c>
      <c r="AF1316" s="93" t="s">
        <v>4791</v>
      </c>
      <c r="AG1316" s="43">
        <v>40.650002000000001</v>
      </c>
      <c r="AH1316" s="43">
        <v>109.833336</v>
      </c>
      <c r="AI1316" s="122" t="s">
        <v>7286</v>
      </c>
      <c r="AJ1316" s="41">
        <v>0.4</v>
      </c>
    </row>
    <row r="1317" spans="1:36" ht="35.1" hidden="1" customHeight="1" x14ac:dyDescent="0.25">
      <c r="A1317" s="40">
        <v>1923</v>
      </c>
      <c r="B1317" s="90" t="s">
        <v>4350</v>
      </c>
      <c r="C1317" s="90" t="s">
        <v>866</v>
      </c>
      <c r="D1317" s="44">
        <v>2025</v>
      </c>
      <c r="E1317" s="44"/>
      <c r="F1317" s="90" t="s">
        <v>1331</v>
      </c>
      <c r="G1317" s="90" t="s">
        <v>1259</v>
      </c>
      <c r="H1317" s="40" t="s">
        <v>467</v>
      </c>
      <c r="I1317" s="90" t="s">
        <v>1269</v>
      </c>
      <c r="J1317" s="90" t="s">
        <v>1395</v>
      </c>
      <c r="K1317" s="90" t="s">
        <v>1243</v>
      </c>
      <c r="L1317" s="90"/>
      <c r="M1317" s="90">
        <v>1</v>
      </c>
      <c r="N1317" s="90"/>
      <c r="O1317" s="90"/>
      <c r="P1317" s="90"/>
      <c r="Q1317" s="90"/>
      <c r="R1317" s="90"/>
      <c r="S1317" s="90"/>
      <c r="T1317" s="90"/>
      <c r="U1317" s="90"/>
      <c r="V1317" s="90"/>
      <c r="W1317" s="90"/>
      <c r="X1317" s="90"/>
      <c r="Y1317" s="90"/>
      <c r="Z1317" s="40" t="s">
        <v>5016</v>
      </c>
      <c r="AA1317" s="47">
        <f>IF(H2ProjectDB689571011[[#This Row],[Dummy_1]]="Electrolysis",
AB1317*VLOOKUP(G1317,ElectrolysisConvF,3,FALSE),
"")</f>
        <v>148.91488379251965</v>
      </c>
      <c r="AB1317" s="46">
        <f>AC1317/(H2dens*HoursInYear/10^6)</f>
        <v>33092.196398337699</v>
      </c>
      <c r="AC1317" s="92">
        <f>12.9/H2ProjectDB689571011[[#This Row],[LOWE_CF]]</f>
        <v>25.8</v>
      </c>
      <c r="AD1317" s="92"/>
      <c r="AE1317" s="92">
        <f t="shared" si="97"/>
        <v>33092.196398337699</v>
      </c>
      <c r="AF1317" s="93" t="s">
        <v>4349</v>
      </c>
      <c r="AG1317" s="43">
        <v>-30.647853999999999</v>
      </c>
      <c r="AH1317" s="43">
        <v>24.011476999999999</v>
      </c>
      <c r="AI1317" s="122" t="s">
        <v>7286</v>
      </c>
      <c r="AJ1317" s="41">
        <v>0.5</v>
      </c>
    </row>
    <row r="1318" spans="1:36" ht="35.1" hidden="1" customHeight="1" x14ac:dyDescent="0.25">
      <c r="A1318" s="40">
        <v>1924</v>
      </c>
      <c r="B1318" s="90" t="s">
        <v>4351</v>
      </c>
      <c r="C1318" s="90" t="s">
        <v>866</v>
      </c>
      <c r="D1318" s="44">
        <v>2030</v>
      </c>
      <c r="E1318" s="44"/>
      <c r="F1318" s="90" t="s">
        <v>2222</v>
      </c>
      <c r="G1318" s="90" t="s">
        <v>1259</v>
      </c>
      <c r="H1318" s="40" t="s">
        <v>467</v>
      </c>
      <c r="I1318" s="90" t="s">
        <v>1269</v>
      </c>
      <c r="J1318" s="90" t="s">
        <v>1395</v>
      </c>
      <c r="K1318" s="90" t="s">
        <v>1243</v>
      </c>
      <c r="L1318" s="90"/>
      <c r="M1318" s="90">
        <v>1</v>
      </c>
      <c r="N1318" s="90"/>
      <c r="O1318" s="90"/>
      <c r="P1318" s="90"/>
      <c r="Q1318" s="90"/>
      <c r="R1318" s="90"/>
      <c r="S1318" s="90"/>
      <c r="T1318" s="90"/>
      <c r="U1318" s="90"/>
      <c r="V1318" s="90"/>
      <c r="W1318" s="90"/>
      <c r="X1318" s="90"/>
      <c r="Y1318" s="90"/>
      <c r="Z1318" s="40" t="s">
        <v>5018</v>
      </c>
      <c r="AA1318" s="47">
        <f>IF(H2ProjectDB689571011[[#This Row],[Dummy_1]]="Electrolysis",
AB1318*VLOOKUP(G1318,ElectrolysisConvF,3,FALSE),
"")</f>
        <v>5622.9798368477759</v>
      </c>
      <c r="AB1318" s="46">
        <f>AC1318/(H2dens*HoursInYear/10^6)</f>
        <v>1249551.0748550615</v>
      </c>
      <c r="AC1318" s="92">
        <f>500/H2ProjectDB689571011[[#This Row],[LOWE_CF]]-AC1317</f>
        <v>974.2</v>
      </c>
      <c r="AD1318" s="92"/>
      <c r="AE1318" s="92">
        <f t="shared" si="97"/>
        <v>1249551.0748550615</v>
      </c>
      <c r="AF1318" s="93" t="s">
        <v>4349</v>
      </c>
      <c r="AG1318" s="43">
        <v>-30.647853999999999</v>
      </c>
      <c r="AH1318" s="43">
        <v>24.011476999999999</v>
      </c>
      <c r="AI1318" s="122" t="s">
        <v>7286</v>
      </c>
      <c r="AJ1318" s="41">
        <v>0.5</v>
      </c>
    </row>
    <row r="1319" spans="1:36" ht="35.1" hidden="1" customHeight="1" x14ac:dyDescent="0.25">
      <c r="A1319" s="40">
        <v>1925</v>
      </c>
      <c r="B1319" s="90" t="s">
        <v>4353</v>
      </c>
      <c r="C1319" s="90" t="s">
        <v>536</v>
      </c>
      <c r="D1319" s="44">
        <v>2026</v>
      </c>
      <c r="E1319" s="44"/>
      <c r="F1319" s="90" t="s">
        <v>1331</v>
      </c>
      <c r="G1319" s="90" t="s">
        <v>1259</v>
      </c>
      <c r="H1319" s="40" t="s">
        <v>467</v>
      </c>
      <c r="I1319" s="90" t="s">
        <v>1269</v>
      </c>
      <c r="J1319" s="90" t="s">
        <v>1392</v>
      </c>
      <c r="K1319" s="90" t="s">
        <v>1243</v>
      </c>
      <c r="L1319" s="90"/>
      <c r="M1319" s="90">
        <v>1</v>
      </c>
      <c r="N1319" s="90"/>
      <c r="O1319" s="90"/>
      <c r="P1319" s="90"/>
      <c r="Q1319" s="90"/>
      <c r="R1319" s="90"/>
      <c r="S1319" s="90"/>
      <c r="T1319" s="90"/>
      <c r="U1319" s="90"/>
      <c r="V1319" s="90"/>
      <c r="W1319" s="90"/>
      <c r="X1319" s="90"/>
      <c r="Y1319" s="90"/>
      <c r="Z1319" s="40" t="s">
        <v>5017</v>
      </c>
      <c r="AA1319" s="47">
        <f>IF(H2ProjectDB689571011[[#This Row],[Dummy_1]]="Electrolysis",
AB1319*VLOOKUP(G1319,ElectrolysisConvF,3,FALSE),
"")</f>
        <v>426.78588289248279</v>
      </c>
      <c r="AB1319" s="46">
        <f>AC1319/(H2dens*HoursInYear/10^6)</f>
        <v>94841.307309440628</v>
      </c>
      <c r="AC1319" s="92">
        <f>(0.45*365*3/17/0.98)/H2ProjectDB689571011[[#This Row],[LOWE_CF]]</f>
        <v>73.94207683073229</v>
      </c>
      <c r="AD1319" s="92"/>
      <c r="AE1319" s="92">
        <f t="shared" si="97"/>
        <v>94841.307309440628</v>
      </c>
      <c r="AF1319" s="93" t="s">
        <v>4355</v>
      </c>
      <c r="AG1319" s="43">
        <v>42.983823999999998</v>
      </c>
      <c r="AH1319" s="43">
        <v>-93.966579999999993</v>
      </c>
      <c r="AI1319" s="122" t="s">
        <v>7286</v>
      </c>
      <c r="AJ1319" s="41">
        <v>0.4</v>
      </c>
    </row>
    <row r="1320" spans="1:36" ht="35.1" hidden="1" customHeight="1" x14ac:dyDescent="0.25">
      <c r="A1320" s="40">
        <v>1926</v>
      </c>
      <c r="B1320" s="40" t="s">
        <v>8525</v>
      </c>
      <c r="C1320" s="90" t="s">
        <v>542</v>
      </c>
      <c r="D1320" s="44">
        <v>2025</v>
      </c>
      <c r="E1320" s="44"/>
      <c r="F1320" s="90" t="s">
        <v>5701</v>
      </c>
      <c r="G1320" s="90" t="s">
        <v>457</v>
      </c>
      <c r="I1320" s="90" t="s">
        <v>1257</v>
      </c>
      <c r="J1320" s="90"/>
      <c r="K1320" s="90" t="s">
        <v>578</v>
      </c>
      <c r="L1320" s="90"/>
      <c r="M1320" s="90"/>
      <c r="N1320" s="90"/>
      <c r="O1320" s="90"/>
      <c r="P1320" s="90"/>
      <c r="Q1320" s="90">
        <v>1</v>
      </c>
      <c r="R1320" s="90"/>
      <c r="S1320" s="90"/>
      <c r="T1320" s="90"/>
      <c r="U1320" s="90"/>
      <c r="V1320" s="90"/>
      <c r="W1320" s="90"/>
      <c r="X1320" s="90"/>
      <c r="Y1320" s="90"/>
      <c r="Z1320" s="40" t="s">
        <v>1376</v>
      </c>
      <c r="AA1320" s="91">
        <v>6</v>
      </c>
      <c r="AB1320" s="46">
        <f>IF(H2ProjectDB689571011[[#This Row],[Dummy_1]]="Electrolysis",
AA1320/VLOOKUP(G1320,ElectrolysisConvF,3,FALSE),
AC1320*10^6/(H2dens*HoursInYear))</f>
        <v>1304.3478260869565</v>
      </c>
      <c r="AC1320" s="47">
        <f>AB1320*H2dens*HoursInYear/10^6</f>
        <v>1.0169217391304346</v>
      </c>
      <c r="AD1320" s="92"/>
      <c r="AE1320" s="92">
        <f t="shared" si="97"/>
        <v>1304.3478260869565</v>
      </c>
      <c r="AF1320" s="93" t="s">
        <v>4356</v>
      </c>
      <c r="AG1320" s="43">
        <v>57.477772000000002</v>
      </c>
      <c r="AH1320" s="43">
        <v>-4.2247209999999997</v>
      </c>
      <c r="AI1320" s="122" t="s">
        <v>7286</v>
      </c>
      <c r="AJ1320" s="41">
        <v>0.56999999999999995</v>
      </c>
    </row>
    <row r="1321" spans="1:36" ht="35.1" hidden="1" customHeight="1" x14ac:dyDescent="0.25">
      <c r="A1321" s="40">
        <v>1928</v>
      </c>
      <c r="B1321" s="40" t="s">
        <v>8108</v>
      </c>
      <c r="C1321" s="90" t="s">
        <v>674</v>
      </c>
      <c r="D1321" s="44">
        <v>2026</v>
      </c>
      <c r="E1321" s="44"/>
      <c r="F1321" s="90" t="s">
        <v>2222</v>
      </c>
      <c r="G1321" s="90" t="s">
        <v>1259</v>
      </c>
      <c r="H1321" s="40" t="s">
        <v>467</v>
      </c>
      <c r="I1321" s="90" t="s">
        <v>1269</v>
      </c>
      <c r="J1321" s="40" t="s">
        <v>581</v>
      </c>
      <c r="K1321" s="90" t="s">
        <v>578</v>
      </c>
      <c r="L1321" s="90"/>
      <c r="M1321" s="90"/>
      <c r="N1321" s="90"/>
      <c r="O1321" s="90">
        <v>1</v>
      </c>
      <c r="P1321" s="90"/>
      <c r="Q1321" s="90"/>
      <c r="R1321" s="90"/>
      <c r="S1321" s="90"/>
      <c r="T1321" s="90"/>
      <c r="U1321" s="90"/>
      <c r="V1321" s="90"/>
      <c r="W1321" s="90"/>
      <c r="X1321" s="90"/>
      <c r="Y1321" s="90"/>
      <c r="Z1321" s="90" t="s">
        <v>1673</v>
      </c>
      <c r="AA1321" s="91">
        <v>35</v>
      </c>
      <c r="AB1321" s="46">
        <f>IF(H2ProjectDB689571011[[#This Row],[Dummy_1]]="Electrolysis",
AA1321/VLOOKUP(G1321,ElectrolysisConvF,3,FALSE),
AC1321*10^6/(H2dens*HoursInYear))</f>
        <v>7777.7777777777783</v>
      </c>
      <c r="AC1321" s="47">
        <f>AB1321*H2dens*HoursInYear/10^6</f>
        <v>6.0638666666666667</v>
      </c>
      <c r="AD1321" s="92"/>
      <c r="AE1321" s="92">
        <f t="shared" si="97"/>
        <v>7777.7777777777783</v>
      </c>
      <c r="AF1321" s="93" t="s">
        <v>4359</v>
      </c>
      <c r="AG1321" s="43">
        <v>24.5010816828439</v>
      </c>
      <c r="AH1321" s="43">
        <v>56.628190828416997</v>
      </c>
      <c r="AI1321" s="122" t="s">
        <v>7286</v>
      </c>
      <c r="AJ1321" s="41">
        <v>0.5</v>
      </c>
    </row>
    <row r="1322" spans="1:36" ht="35.1" hidden="1" customHeight="1" x14ac:dyDescent="0.25">
      <c r="A1322" s="40">
        <v>1929</v>
      </c>
      <c r="B1322" s="40" t="s">
        <v>8109</v>
      </c>
      <c r="C1322" s="90" t="s">
        <v>674</v>
      </c>
      <c r="D1322" s="90"/>
      <c r="E1322" s="90"/>
      <c r="F1322" s="90" t="s">
        <v>2222</v>
      </c>
      <c r="G1322" s="90" t="s">
        <v>1259</v>
      </c>
      <c r="H1322" s="40" t="s">
        <v>467</v>
      </c>
      <c r="I1322" s="90" t="s">
        <v>1269</v>
      </c>
      <c r="J1322" s="40" t="s">
        <v>581</v>
      </c>
      <c r="K1322" s="90" t="s">
        <v>578</v>
      </c>
      <c r="L1322" s="90"/>
      <c r="M1322" s="90"/>
      <c r="N1322" s="90"/>
      <c r="O1322" s="90">
        <v>1</v>
      </c>
      <c r="P1322" s="90"/>
      <c r="Q1322" s="90"/>
      <c r="R1322" s="90"/>
      <c r="S1322" s="90"/>
      <c r="T1322" s="90"/>
      <c r="U1322" s="90"/>
      <c r="V1322" s="90"/>
      <c r="W1322" s="90"/>
      <c r="X1322" s="90"/>
      <c r="Y1322" s="90"/>
      <c r="Z1322" s="90" t="s">
        <v>3475</v>
      </c>
      <c r="AA1322" s="91">
        <v>315</v>
      </c>
      <c r="AB1322" s="46">
        <f>IF(H2ProjectDB689571011[[#This Row],[Dummy_1]]="Electrolysis",
AA1322/VLOOKUP(G1322,ElectrolysisConvF,3,FALSE),
AC1322*10^6/(H2dens*HoursInYear))</f>
        <v>70000</v>
      </c>
      <c r="AC1322" s="47">
        <f>AB1322*H2dens*HoursInYear/10^6</f>
        <v>54.574800000000003</v>
      </c>
      <c r="AD1322" s="92"/>
      <c r="AE1322" s="92">
        <f t="shared" si="97"/>
        <v>70000</v>
      </c>
      <c r="AF1322" s="93" t="s">
        <v>4359</v>
      </c>
      <c r="AG1322" s="43">
        <v>24.5010816828439</v>
      </c>
      <c r="AH1322" s="43">
        <v>56.628190828416997</v>
      </c>
      <c r="AI1322" s="122" t="s">
        <v>7286</v>
      </c>
      <c r="AJ1322" s="41">
        <v>0.5</v>
      </c>
    </row>
    <row r="1323" spans="1:36" ht="35.1" hidden="1" customHeight="1" x14ac:dyDescent="0.25">
      <c r="A1323" s="40">
        <v>1930</v>
      </c>
      <c r="B1323" s="90" t="s">
        <v>6159</v>
      </c>
      <c r="C1323" s="90" t="s">
        <v>539</v>
      </c>
      <c r="D1323" s="44">
        <v>2028</v>
      </c>
      <c r="E1323" s="44"/>
      <c r="F1323" s="90" t="s">
        <v>1331</v>
      </c>
      <c r="G1323" s="90" t="s">
        <v>1259</v>
      </c>
      <c r="H1323" s="40" t="s">
        <v>467</v>
      </c>
      <c r="I1323" s="90" t="s">
        <v>1269</v>
      </c>
      <c r="J1323" s="90" t="s">
        <v>1391</v>
      </c>
      <c r="K1323" s="90" t="s">
        <v>1243</v>
      </c>
      <c r="L1323" s="90"/>
      <c r="M1323" s="90">
        <v>1</v>
      </c>
      <c r="N1323" s="90"/>
      <c r="O1323" s="90"/>
      <c r="P1323" s="90"/>
      <c r="Q1323" s="90"/>
      <c r="R1323" s="90"/>
      <c r="S1323" s="90"/>
      <c r="T1323" s="90"/>
      <c r="U1323" s="90"/>
      <c r="V1323" s="90"/>
      <c r="W1323" s="90"/>
      <c r="X1323" s="90"/>
      <c r="Y1323" s="90"/>
      <c r="Z1323" s="90" t="s">
        <v>6160</v>
      </c>
      <c r="AA1323" s="91">
        <v>1500</v>
      </c>
      <c r="AB1323" s="46">
        <f>IF(H2ProjectDB689571011[[#This Row],[Dummy_1]]="Electrolysis",
AA1323/VLOOKUP(G1323,ElectrolysisConvF,3,FALSE),
AC1323*10^6/(H2dens*HoursInYear))</f>
        <v>333333.33333333337</v>
      </c>
      <c r="AC1323" s="47">
        <f>AB1323*H2dens*HoursInYear/10^6</f>
        <v>259.88</v>
      </c>
      <c r="AD1323" s="92"/>
      <c r="AE1323" s="92">
        <f t="shared" si="97"/>
        <v>333333.33333333337</v>
      </c>
      <c r="AF1323" s="93" t="s">
        <v>7814</v>
      </c>
      <c r="AG1323" s="43">
        <v>13.9908834901355</v>
      </c>
      <c r="AH1323" s="43">
        <v>75.318052321825306</v>
      </c>
      <c r="AI1323" s="122" t="s">
        <v>7286</v>
      </c>
      <c r="AJ1323" s="41">
        <v>0.3</v>
      </c>
    </row>
    <row r="1324" spans="1:36" ht="35.1" hidden="1" customHeight="1" x14ac:dyDescent="0.25">
      <c r="A1324" s="40">
        <v>1931</v>
      </c>
      <c r="B1324" s="90" t="s">
        <v>4361</v>
      </c>
      <c r="C1324" s="90" t="s">
        <v>542</v>
      </c>
      <c r="D1324" s="44">
        <v>2023</v>
      </c>
      <c r="E1324" s="44"/>
      <c r="F1324" s="90" t="s">
        <v>1339</v>
      </c>
      <c r="G1324" s="90" t="s">
        <v>1259</v>
      </c>
      <c r="H1324" s="40" t="s">
        <v>467</v>
      </c>
      <c r="I1324" s="90" t="s">
        <v>1257</v>
      </c>
      <c r="J1324" s="90"/>
      <c r="K1324" s="90" t="s">
        <v>578</v>
      </c>
      <c r="L1324" s="90"/>
      <c r="M1324" s="90"/>
      <c r="N1324" s="90"/>
      <c r="O1324" s="90"/>
      <c r="P1324" s="90">
        <v>1</v>
      </c>
      <c r="Q1324" s="90"/>
      <c r="R1324" s="90"/>
      <c r="S1324" s="90"/>
      <c r="T1324" s="90"/>
      <c r="U1324" s="90"/>
      <c r="V1324" s="90"/>
      <c r="W1324" s="90"/>
      <c r="X1324" s="90"/>
      <c r="Y1324" s="90"/>
      <c r="Z1324" s="40" t="s">
        <v>1480</v>
      </c>
      <c r="AA1324" s="91">
        <v>1</v>
      </c>
      <c r="AB1324" s="46">
        <f>IF(H2ProjectDB689571011[[#This Row],[Dummy_1]]="Electrolysis",
AA1324/VLOOKUP(G1324,ElectrolysisConvF,3,FALSE),
AC1324*10^6/(H2dens*HoursInYear))</f>
        <v>222.22222222222223</v>
      </c>
      <c r="AC1324" s="47">
        <f>AB1324*H2dens*HoursInYear/10^6</f>
        <v>0.17325333333333334</v>
      </c>
      <c r="AD1324" s="92"/>
      <c r="AE1324" s="92">
        <f t="shared" si="97"/>
        <v>222.22222222222223</v>
      </c>
      <c r="AF1324" s="43" t="s">
        <v>4362</v>
      </c>
      <c r="AG1324" s="43">
        <v>52.553907432687403</v>
      </c>
      <c r="AH1324" s="43">
        <v>-1.4598065323921501</v>
      </c>
      <c r="AI1324" s="122" t="s">
        <v>7286</v>
      </c>
      <c r="AJ1324" s="41">
        <v>0.56999999999999995</v>
      </c>
    </row>
    <row r="1325" spans="1:36" ht="35.1" hidden="1" customHeight="1" x14ac:dyDescent="0.25">
      <c r="A1325" s="40">
        <v>1932</v>
      </c>
      <c r="B1325" s="40" t="s">
        <v>5090</v>
      </c>
      <c r="C1325" s="40" t="s">
        <v>536</v>
      </c>
      <c r="D1325" s="44">
        <v>2028</v>
      </c>
      <c r="E1325" s="44"/>
      <c r="F1325" s="40" t="s">
        <v>1331</v>
      </c>
      <c r="G1325" s="40" t="s">
        <v>1261</v>
      </c>
      <c r="H1325" s="40" t="s">
        <v>4567</v>
      </c>
      <c r="K1325" s="40" t="s">
        <v>1243</v>
      </c>
      <c r="M1325" s="40">
        <v>1</v>
      </c>
      <c r="Z1325" s="40" t="s">
        <v>4365</v>
      </c>
      <c r="AA1325" s="47"/>
      <c r="AB1325" s="46">
        <f>AC1325/(H2dens*HoursInYear/10^6)</f>
        <v>323355.44653447036</v>
      </c>
      <c r="AC1325" s="46">
        <f>1400*3/17/0.98</f>
        <v>252.10084033613447</v>
      </c>
      <c r="AE1325" s="46">
        <f t="shared" si="97"/>
        <v>0</v>
      </c>
      <c r="AF1325" s="43" t="s">
        <v>4501</v>
      </c>
      <c r="AG1325" s="43">
        <v>29.581869999999999</v>
      </c>
      <c r="AH1325" s="43">
        <v>-92.294867999999994</v>
      </c>
      <c r="AI1325" s="122" t="s">
        <v>7287</v>
      </c>
      <c r="AJ1325" s="41">
        <v>0.9</v>
      </c>
    </row>
    <row r="1326" spans="1:36" ht="35.1" hidden="1" customHeight="1" x14ac:dyDescent="0.25">
      <c r="A1326" s="40">
        <v>1933</v>
      </c>
      <c r="B1326" s="90" t="s">
        <v>4424</v>
      </c>
      <c r="C1326" s="90" t="s">
        <v>538</v>
      </c>
      <c r="D1326" s="44">
        <v>2024</v>
      </c>
      <c r="E1326" s="44"/>
      <c r="F1326" s="90" t="s">
        <v>1540</v>
      </c>
      <c r="G1326" s="90" t="s">
        <v>457</v>
      </c>
      <c r="H1326" s="90"/>
      <c r="I1326" s="90" t="s">
        <v>1266</v>
      </c>
      <c r="J1326" s="90" t="str">
        <f>IF(I1326&lt;&gt;"Dedicated renewable","N/A",)</f>
        <v>N/A</v>
      </c>
      <c r="K1326" s="90" t="s">
        <v>578</v>
      </c>
      <c r="L1326" s="90"/>
      <c r="M1326" s="90"/>
      <c r="N1326" s="90"/>
      <c r="O1326" s="90"/>
      <c r="P1326" s="90"/>
      <c r="Q1326" s="90"/>
      <c r="R1326" s="90"/>
      <c r="S1326" s="90"/>
      <c r="T1326" s="90"/>
      <c r="U1326" s="90"/>
      <c r="V1326" s="90"/>
      <c r="W1326" s="90"/>
      <c r="X1326" s="90"/>
      <c r="Y1326" s="90"/>
      <c r="Z1326" s="90" t="s">
        <v>3509</v>
      </c>
      <c r="AA1326" s="91">
        <v>3.2</v>
      </c>
      <c r="AB1326" s="46">
        <f>IF(H2ProjectDB689571011[[#This Row],[Dummy_1]]="Electrolysis",
AA1326/VLOOKUP(G1326,ElectrolysisConvF,3,FALSE),
AC1326*10^6/(H2dens*HoursInYear))</f>
        <v>695.6521739130435</v>
      </c>
      <c r="AC1326" s="47">
        <f>AB1326*H2dens*HoursInYear/10^6</f>
        <v>0.54235826086956518</v>
      </c>
      <c r="AD1326" s="92"/>
      <c r="AE1326" s="92">
        <f t="shared" si="97"/>
        <v>695.6521739130435</v>
      </c>
      <c r="AF1326" s="93" t="s">
        <v>4426</v>
      </c>
      <c r="AG1326" s="43">
        <v>35.558255319386198</v>
      </c>
      <c r="AH1326" s="43">
        <v>139.70392510973099</v>
      </c>
      <c r="AI1326" s="122" t="s">
        <v>7286</v>
      </c>
      <c r="AJ1326" s="41">
        <v>0.56999999999999995</v>
      </c>
    </row>
    <row r="1327" spans="1:36" ht="35.1" hidden="1" customHeight="1" x14ac:dyDescent="0.25">
      <c r="A1327" s="40">
        <v>1934</v>
      </c>
      <c r="B1327" s="90" t="s">
        <v>4430</v>
      </c>
      <c r="C1327" s="90" t="s">
        <v>554</v>
      </c>
      <c r="D1327" s="90">
        <v>2022</v>
      </c>
      <c r="E1327" s="90"/>
      <c r="F1327" s="90" t="s">
        <v>1339</v>
      </c>
      <c r="G1327" s="90" t="s">
        <v>1259</v>
      </c>
      <c r="H1327" s="40" t="s">
        <v>467</v>
      </c>
      <c r="I1327" s="90" t="s">
        <v>1269</v>
      </c>
      <c r="J1327" s="90" t="s">
        <v>581</v>
      </c>
      <c r="K1327" s="90" t="s">
        <v>578</v>
      </c>
      <c r="L1327" s="90"/>
      <c r="M1327" s="90"/>
      <c r="N1327" s="90"/>
      <c r="O1327" s="90"/>
      <c r="P1327" s="90">
        <v>1</v>
      </c>
      <c r="Q1327" s="90"/>
      <c r="R1327" s="90"/>
      <c r="S1327" s="90"/>
      <c r="T1327" s="90"/>
      <c r="U1327" s="90"/>
      <c r="V1327" s="90"/>
      <c r="W1327" s="90"/>
      <c r="X1327" s="90"/>
      <c r="Y1327" s="90"/>
      <c r="Z1327" s="90" t="s">
        <v>1480</v>
      </c>
      <c r="AA1327" s="91">
        <v>1</v>
      </c>
      <c r="AB1327" s="46">
        <f>IF(H2ProjectDB689571011[[#This Row],[Dummy_1]]="Electrolysis",
AA1327/VLOOKUP(G1327,ElectrolysisConvF,3,FALSE),
AC1327*10^6/(H2dens*HoursInYear))</f>
        <v>222.22222222222223</v>
      </c>
      <c r="AC1327" s="47">
        <f>AB1327*H2dens*HoursInYear/10^6</f>
        <v>0.17325333333333334</v>
      </c>
      <c r="AD1327" s="92"/>
      <c r="AE1327" s="92">
        <f t="shared" si="97"/>
        <v>222.22222222222223</v>
      </c>
      <c r="AF1327" s="93" t="s">
        <v>4432</v>
      </c>
      <c r="AG1327" s="43">
        <v>38.067652982977698</v>
      </c>
      <c r="AH1327" s="43">
        <v>23.5060129854451</v>
      </c>
      <c r="AI1327" s="122" t="s">
        <v>7286</v>
      </c>
      <c r="AJ1327" s="41">
        <v>0.5</v>
      </c>
    </row>
    <row r="1328" spans="1:36" ht="35.1" customHeight="1" x14ac:dyDescent="0.25">
      <c r="A1328" s="40">
        <v>1935</v>
      </c>
      <c r="B1328" s="90" t="s">
        <v>4433</v>
      </c>
      <c r="C1328" s="90" t="s">
        <v>1052</v>
      </c>
      <c r="D1328" s="90">
        <v>2022</v>
      </c>
      <c r="E1328" s="90"/>
      <c r="F1328" s="90" t="s">
        <v>1339</v>
      </c>
      <c r="G1328" s="90" t="s">
        <v>1259</v>
      </c>
      <c r="H1328" s="40" t="s">
        <v>467</v>
      </c>
      <c r="I1328" s="90" t="s">
        <v>1269</v>
      </c>
      <c r="J1328" s="90" t="s">
        <v>1391</v>
      </c>
      <c r="K1328" s="90" t="s">
        <v>578</v>
      </c>
      <c r="L1328" s="90"/>
      <c r="M1328" s="90"/>
      <c r="N1328" s="90"/>
      <c r="O1328" s="90"/>
      <c r="P1328" s="90"/>
      <c r="Q1328" s="90"/>
      <c r="R1328" s="90"/>
      <c r="S1328" s="90"/>
      <c r="T1328" s="90"/>
      <c r="U1328" s="90"/>
      <c r="V1328" s="90"/>
      <c r="W1328" s="90"/>
      <c r="X1328" s="90"/>
      <c r="Y1328" s="90"/>
      <c r="Z1328" s="90" t="s">
        <v>4452</v>
      </c>
      <c r="AA1328" s="47">
        <f>IF(H2ProjectDB689571011[[#This Row],[Dummy_1]]="Electrolysis",
AB1328*VLOOKUP(G1328,ElectrolysisConvF,3,FALSE),
"")</f>
        <v>0.90041557641988612</v>
      </c>
      <c r="AB1328" s="92">
        <f>AC1328/(H2dens*HoursInYear/10^6)</f>
        <v>200.09235031553027</v>
      </c>
      <c r="AC1328" s="92">
        <v>0.156</v>
      </c>
      <c r="AD1328" s="92"/>
      <c r="AE1328" s="92">
        <f t="shared" si="97"/>
        <v>200.09235031553027</v>
      </c>
      <c r="AF1328" s="93" t="s">
        <v>4454</v>
      </c>
      <c r="AG1328" s="43">
        <v>-8.3934681977897299</v>
      </c>
      <c r="AH1328" s="43">
        <v>-34.967697047493303</v>
      </c>
      <c r="AI1328" s="122" t="s">
        <v>7286</v>
      </c>
      <c r="AJ1328" s="41">
        <v>0.3</v>
      </c>
    </row>
    <row r="1329" spans="1:36" ht="35.1" hidden="1" customHeight="1" x14ac:dyDescent="0.25">
      <c r="A1329" s="40">
        <v>1936</v>
      </c>
      <c r="B1329" s="90" t="s">
        <v>4455</v>
      </c>
      <c r="C1329" s="90" t="s">
        <v>535</v>
      </c>
      <c r="D1329" s="90">
        <v>2022</v>
      </c>
      <c r="E1329" s="90"/>
      <c r="F1329" s="90" t="s">
        <v>1339</v>
      </c>
      <c r="G1329" s="90" t="s">
        <v>1259</v>
      </c>
      <c r="H1329" s="40" t="s">
        <v>467</v>
      </c>
      <c r="I1329" s="90" t="s">
        <v>1269</v>
      </c>
      <c r="J1329" s="90" t="s">
        <v>1391</v>
      </c>
      <c r="K1329" s="90" t="s">
        <v>578</v>
      </c>
      <c r="L1329" s="90"/>
      <c r="M1329" s="90"/>
      <c r="N1329" s="90"/>
      <c r="O1329" s="90"/>
      <c r="P1329" s="90"/>
      <c r="Q1329" s="90"/>
      <c r="R1329" s="90">
        <v>1</v>
      </c>
      <c r="S1329" s="90"/>
      <c r="T1329" s="90"/>
      <c r="U1329" s="90"/>
      <c r="V1329" s="90"/>
      <c r="W1329" s="90"/>
      <c r="X1329" s="90"/>
      <c r="Y1329" s="90"/>
      <c r="Z1329" s="40" t="s">
        <v>6904</v>
      </c>
      <c r="AA1329" s="91">
        <v>0.34799999999999998</v>
      </c>
      <c r="AB1329" s="46">
        <f>IF(H2ProjectDB689571011[[#This Row],[Dummy_1]]="Electrolysis",
AA1329/VLOOKUP(G1329,ElectrolysisConvF,3,FALSE),
AC1329*10^6/(H2dens*HoursInYear))</f>
        <v>77.333333333333329</v>
      </c>
      <c r="AC1329" s="47">
        <f>AB1329*H2dens*HoursInYear/10^6</f>
        <v>6.0292159999999997E-2</v>
      </c>
      <c r="AD1329" s="92"/>
      <c r="AE1329" s="92">
        <f t="shared" si="97"/>
        <v>77.333333333333329</v>
      </c>
      <c r="AF1329" s="93" t="s">
        <v>4457</v>
      </c>
      <c r="AG1329" s="43">
        <v>-25.918298340969699</v>
      </c>
      <c r="AH1329" s="43">
        <v>113.55230587314399</v>
      </c>
      <c r="AI1329" s="122" t="s">
        <v>7286</v>
      </c>
      <c r="AJ1329" s="41">
        <v>0.3</v>
      </c>
    </row>
    <row r="1330" spans="1:36" ht="35.1" hidden="1" customHeight="1" x14ac:dyDescent="0.25">
      <c r="A1330" s="40">
        <v>1937</v>
      </c>
      <c r="B1330" s="40" t="s">
        <v>4495</v>
      </c>
      <c r="C1330" s="40" t="s">
        <v>1083</v>
      </c>
      <c r="D1330" s="90">
        <v>2022</v>
      </c>
      <c r="E1330" s="90"/>
      <c r="F1330" s="90" t="s">
        <v>1339</v>
      </c>
      <c r="G1330" s="90" t="s">
        <v>1259</v>
      </c>
      <c r="H1330" s="40" t="s">
        <v>467</v>
      </c>
      <c r="I1330" s="90" t="s">
        <v>1269</v>
      </c>
      <c r="J1330" s="90" t="s">
        <v>581</v>
      </c>
      <c r="K1330" s="90" t="s">
        <v>578</v>
      </c>
      <c r="L1330" s="90"/>
      <c r="M1330" s="90"/>
      <c r="N1330" s="90"/>
      <c r="O1330" s="90"/>
      <c r="P1330" s="90"/>
      <c r="Q1330" s="90">
        <v>1</v>
      </c>
      <c r="R1330" s="90"/>
      <c r="S1330" s="90"/>
      <c r="T1330" s="90"/>
      <c r="U1330" s="90"/>
      <c r="V1330" s="90"/>
      <c r="W1330" s="90"/>
      <c r="X1330" s="90"/>
      <c r="Y1330" s="90"/>
      <c r="Z1330" s="40" t="s">
        <v>4496</v>
      </c>
      <c r="AA1330" s="47">
        <f>IF(H2ProjectDB689571011[[#This Row],[Dummy_1]]="Electrolysis",
AB1330*VLOOKUP(G1330,ElectrolysisConvF,3,FALSE),
"")</f>
        <v>8.4269662921348312E-3</v>
      </c>
      <c r="AB1330" s="92">
        <f>AC1330/(H2dens*HoursInYear/10^6)</f>
        <v>1.8726591760299625</v>
      </c>
      <c r="AC1330" s="97">
        <f>4/1000*0.365</f>
        <v>1.4599999999999999E-3</v>
      </c>
      <c r="AD1330" s="92"/>
      <c r="AE1330" s="92">
        <f t="shared" si="97"/>
        <v>1.8726591760299625</v>
      </c>
      <c r="AF1330" s="43" t="s">
        <v>4499</v>
      </c>
      <c r="AG1330" s="43">
        <v>6.1681671739308399</v>
      </c>
      <c r="AH1330" s="43">
        <v>-75.619938319611606</v>
      </c>
      <c r="AI1330" s="122" t="s">
        <v>7286</v>
      </c>
      <c r="AJ1330" s="41">
        <v>0.5</v>
      </c>
    </row>
    <row r="1331" spans="1:36" ht="35.1" hidden="1" customHeight="1" x14ac:dyDescent="0.25">
      <c r="A1331" s="40">
        <v>1938</v>
      </c>
      <c r="B1331" s="40" t="s">
        <v>5988</v>
      </c>
      <c r="C1331" s="40" t="s">
        <v>530</v>
      </c>
      <c r="D1331" s="44">
        <v>2024</v>
      </c>
      <c r="E1331" s="44"/>
      <c r="F1331" s="40" t="s">
        <v>1339</v>
      </c>
      <c r="G1331" s="40" t="s">
        <v>457</v>
      </c>
      <c r="I1331" s="40" t="s">
        <v>1269</v>
      </c>
      <c r="J1331" s="40" t="s">
        <v>581</v>
      </c>
      <c r="K1331" s="40" t="s">
        <v>578</v>
      </c>
      <c r="Q1331" s="40">
        <v>1</v>
      </c>
      <c r="Z1331" s="40" t="s">
        <v>1336</v>
      </c>
      <c r="AA1331" s="45">
        <f>2.5-0.75</f>
        <v>1.75</v>
      </c>
      <c r="AB1331" s="46">
        <f>IF(H2ProjectDB689571011[[#This Row],[Dummy_1]]="Electrolysis",
AA1331/VLOOKUP(G1331,ElectrolysisConvF,3,FALSE),
AC1331*10^6/(H2dens*HoursInYear))</f>
        <v>380.43478260869568</v>
      </c>
      <c r="AC1331" s="47">
        <f>AB1331*H2dens*HoursInYear/10^6</f>
        <v>0.29660217391304344</v>
      </c>
      <c r="AE1331" s="46">
        <f>AB1331</f>
        <v>380.43478260869568</v>
      </c>
      <c r="AF1331" s="43" t="s">
        <v>4535</v>
      </c>
      <c r="AG1331" s="43">
        <v>46.936315922942804</v>
      </c>
      <c r="AH1331" s="43">
        <v>-2.0699270767275899</v>
      </c>
      <c r="AI1331" s="122" t="s">
        <v>7286</v>
      </c>
      <c r="AJ1331" s="41">
        <v>0.5</v>
      </c>
    </row>
    <row r="1332" spans="1:36" ht="35.1" hidden="1" customHeight="1" x14ac:dyDescent="0.25">
      <c r="A1332" s="40">
        <v>1939</v>
      </c>
      <c r="B1332" s="90" t="s">
        <v>4601</v>
      </c>
      <c r="C1332" s="90" t="s">
        <v>530</v>
      </c>
      <c r="D1332" s="44">
        <v>2023</v>
      </c>
      <c r="F1332" s="90" t="s">
        <v>1339</v>
      </c>
      <c r="G1332" s="90" t="s">
        <v>1259</v>
      </c>
      <c r="H1332" s="40" t="s">
        <v>467</v>
      </c>
      <c r="I1332" s="90" t="s">
        <v>1269</v>
      </c>
      <c r="J1332" s="90" t="s">
        <v>581</v>
      </c>
      <c r="K1332" s="90" t="s">
        <v>578</v>
      </c>
      <c r="L1332" s="90"/>
      <c r="M1332" s="90"/>
      <c r="N1332" s="90"/>
      <c r="O1332" s="90"/>
      <c r="P1332" s="90"/>
      <c r="Q1332" s="90"/>
      <c r="R1332" s="90"/>
      <c r="S1332" s="90"/>
      <c r="T1332" s="90"/>
      <c r="U1332" s="90"/>
      <c r="V1332" s="90"/>
      <c r="W1332" s="90"/>
      <c r="X1332" s="90"/>
      <c r="Y1332" s="90"/>
      <c r="Z1332" s="40" t="s">
        <v>5969</v>
      </c>
      <c r="AA1332" s="91">
        <v>5</v>
      </c>
      <c r="AB1332" s="46">
        <f>IF(H2ProjectDB689571011[[#This Row],[Dummy_1]]="Electrolysis",
AA1332/VLOOKUP(G1332,ElectrolysisConvF,3,FALSE),
AC1332*10^6/(H2dens*HoursInYear))</f>
        <v>1111.1111111111111</v>
      </c>
      <c r="AC1332" s="47">
        <f>AB1332*H2dens*HoursInYear/10^6</f>
        <v>0.86626666666666663</v>
      </c>
      <c r="AD1332" s="92"/>
      <c r="AE1332" s="92">
        <f t="shared" ref="AE1332:AE1337" si="100">IF(AND(G1332&lt;&gt;"NG w CCUS",G1332&lt;&gt;"Oil w CCUS",G1332&lt;&gt;"Coal w CCUS"),AB1332,AD1332*10^3/(HoursInYear*IF(G1332="NG w CCUS",0.9105,1.9075)))</f>
        <v>1111.1111111111111</v>
      </c>
      <c r="AF1332" s="43" t="s">
        <v>4535</v>
      </c>
      <c r="AG1332" s="43">
        <v>47.933654450655901</v>
      </c>
      <c r="AH1332" s="43">
        <v>-2.67658575681505</v>
      </c>
      <c r="AI1332" s="122" t="s">
        <v>7286</v>
      </c>
      <c r="AJ1332" s="41">
        <v>0.5</v>
      </c>
    </row>
    <row r="1333" spans="1:36" ht="35.1" hidden="1" customHeight="1" x14ac:dyDescent="0.25">
      <c r="A1333" s="40">
        <v>1940</v>
      </c>
      <c r="B1333" s="40" t="s">
        <v>4543</v>
      </c>
      <c r="C1333" s="40" t="s">
        <v>537</v>
      </c>
      <c r="D1333" s="44">
        <v>2024</v>
      </c>
      <c r="E1333" s="44"/>
      <c r="F1333" s="40" t="s">
        <v>5701</v>
      </c>
      <c r="G1333" s="40" t="s">
        <v>457</v>
      </c>
      <c r="H1333" s="90"/>
      <c r="I1333" s="90" t="s">
        <v>1269</v>
      </c>
      <c r="J1333" s="90" t="s">
        <v>1391</v>
      </c>
      <c r="K1333" s="40" t="s">
        <v>578</v>
      </c>
      <c r="L1333" s="90"/>
      <c r="M1333" s="90"/>
      <c r="N1333" s="90"/>
      <c r="O1333" s="90"/>
      <c r="P1333" s="40">
        <v>1</v>
      </c>
      <c r="Q1333" s="90"/>
      <c r="R1333" s="90"/>
      <c r="S1333" s="90"/>
      <c r="T1333" s="90"/>
      <c r="U1333" s="90"/>
      <c r="V1333" s="90"/>
      <c r="W1333" s="90"/>
      <c r="X1333" s="90"/>
      <c r="Y1333" s="90"/>
      <c r="Z1333" s="40" t="s">
        <v>7483</v>
      </c>
      <c r="AA1333" s="47">
        <f>IF(H2ProjectDB689571011[[#This Row],[Dummy_1]]="Electrolysis",
AB1333*VLOOKUP(G1333,ElectrolysisConvF,3,FALSE),
"")</f>
        <v>28.910779334051615</v>
      </c>
      <c r="AB1333" s="46">
        <f>AC1333/(H2dens*HoursInYear/10^6)</f>
        <v>6284.9520291416557</v>
      </c>
      <c r="AC1333" s="46">
        <f>7-AC1197</f>
        <v>4.9000000000000004</v>
      </c>
      <c r="AD1333" s="92"/>
      <c r="AE1333" s="92">
        <f t="shared" si="100"/>
        <v>6284.9520291416557</v>
      </c>
      <c r="AF1333" s="43" t="s">
        <v>4542</v>
      </c>
      <c r="AG1333" s="43">
        <v>40.2369739874703</v>
      </c>
      <c r="AH1333" s="43">
        <v>97.542628572963295</v>
      </c>
      <c r="AI1333" s="122" t="s">
        <v>7286</v>
      </c>
      <c r="AJ1333" s="41">
        <v>0.3</v>
      </c>
    </row>
    <row r="1334" spans="1:36" ht="35.1" hidden="1" customHeight="1" x14ac:dyDescent="0.25">
      <c r="A1334" s="40">
        <v>1942</v>
      </c>
      <c r="B1334" s="90" t="s">
        <v>4544</v>
      </c>
      <c r="C1334" s="90" t="s">
        <v>536</v>
      </c>
      <c r="D1334" s="90">
        <v>2023</v>
      </c>
      <c r="E1334" s="90"/>
      <c r="F1334" s="90" t="s">
        <v>1540</v>
      </c>
      <c r="G1334" s="90" t="s">
        <v>1263</v>
      </c>
      <c r="H1334" s="90" t="s">
        <v>4545</v>
      </c>
      <c r="I1334" s="90"/>
      <c r="J1334" s="90"/>
      <c r="K1334" s="90" t="s">
        <v>578</v>
      </c>
      <c r="L1334" s="90"/>
      <c r="M1334" s="90"/>
      <c r="N1334" s="90"/>
      <c r="O1334" s="90"/>
      <c r="P1334" s="90"/>
      <c r="Q1334" s="90">
        <v>1</v>
      </c>
      <c r="R1334" s="90"/>
      <c r="S1334" s="90"/>
      <c r="T1334" s="90"/>
      <c r="U1334" s="90"/>
      <c r="V1334" s="90"/>
      <c r="W1334" s="90"/>
      <c r="X1334" s="90"/>
      <c r="Y1334" s="90"/>
      <c r="Z1334" s="90" t="s">
        <v>4546</v>
      </c>
      <c r="AA1334" s="91"/>
      <c r="AB1334" s="46">
        <f>AC1334/(0.089*24*365/10^6)</f>
        <v>105.33707865168539</v>
      </c>
      <c r="AC1334" s="92">
        <f>225*365/1000000</f>
        <v>8.2125000000000004E-2</v>
      </c>
      <c r="AD1334" s="92"/>
      <c r="AE1334" s="92">
        <f t="shared" si="100"/>
        <v>105.33707865168539</v>
      </c>
      <c r="AF1334" s="93" t="s">
        <v>4548</v>
      </c>
      <c r="AG1334" s="43">
        <v>34.066791791702599</v>
      </c>
      <c r="AH1334" s="43">
        <v>-118.16547558465901</v>
      </c>
      <c r="AI1334" s="122" t="s">
        <v>1255</v>
      </c>
      <c r="AJ1334" s="41">
        <v>0.9</v>
      </c>
    </row>
    <row r="1335" spans="1:36" ht="35.1" hidden="1" customHeight="1" x14ac:dyDescent="0.25">
      <c r="A1335" s="40">
        <v>1943</v>
      </c>
      <c r="B1335" s="90" t="s">
        <v>4551</v>
      </c>
      <c r="C1335" s="90" t="s">
        <v>1764</v>
      </c>
      <c r="D1335" s="44">
        <v>2024</v>
      </c>
      <c r="E1335" s="44"/>
      <c r="F1335" s="90" t="s">
        <v>5701</v>
      </c>
      <c r="G1335" s="90" t="s">
        <v>455</v>
      </c>
      <c r="H1335" s="90"/>
      <c r="I1335" s="90" t="s">
        <v>1269</v>
      </c>
      <c r="J1335" s="90" t="s">
        <v>1391</v>
      </c>
      <c r="K1335" s="90" t="s">
        <v>578</v>
      </c>
      <c r="L1335" s="90"/>
      <c r="M1335" s="90"/>
      <c r="N1335" s="90"/>
      <c r="O1335" s="90"/>
      <c r="P1335" s="90">
        <v>1</v>
      </c>
      <c r="Q1335" s="90">
        <v>1</v>
      </c>
      <c r="R1335" s="90"/>
      <c r="S1335" s="90"/>
      <c r="T1335" s="90"/>
      <c r="U1335" s="90"/>
      <c r="V1335" s="90"/>
      <c r="W1335" s="90"/>
      <c r="X1335" s="90"/>
      <c r="Y1335" s="90"/>
      <c r="Z1335" s="90" t="s">
        <v>1480</v>
      </c>
      <c r="AA1335" s="91">
        <v>1</v>
      </c>
      <c r="AB1335" s="46">
        <f>IF(H2ProjectDB689571011[[#This Row],[Dummy_1]]="Electrolysis",
AA1335/VLOOKUP(G1335,ElectrolysisConvF,3,FALSE),
AC1335*10^6/(H2dens*HoursInYear))</f>
        <v>192.30769230769232</v>
      </c>
      <c r="AC1335" s="47">
        <f>AB1335*H2dens*HoursInYear/10^6</f>
        <v>0.14993076923076926</v>
      </c>
      <c r="AD1335" s="92"/>
      <c r="AE1335" s="92">
        <f t="shared" si="100"/>
        <v>192.30769230769232</v>
      </c>
      <c r="AF1335" s="93" t="s">
        <v>4550</v>
      </c>
      <c r="AG1335" s="43">
        <v>37.361736252451102</v>
      </c>
      <c r="AH1335" s="43">
        <v>-5.9936561384175402</v>
      </c>
      <c r="AI1335" s="122" t="s">
        <v>7286</v>
      </c>
      <c r="AJ1335" s="41">
        <v>0.3</v>
      </c>
    </row>
    <row r="1336" spans="1:36" ht="35.1" hidden="1" customHeight="1" x14ac:dyDescent="0.25">
      <c r="A1336" s="40">
        <v>1944</v>
      </c>
      <c r="B1336" s="90" t="s">
        <v>4552</v>
      </c>
      <c r="C1336" s="90" t="s">
        <v>1764</v>
      </c>
      <c r="D1336" s="90"/>
      <c r="E1336" s="90"/>
      <c r="F1336" s="90" t="s">
        <v>2222</v>
      </c>
      <c r="G1336" s="90" t="s">
        <v>1259</v>
      </c>
      <c r="H1336" s="90" t="s">
        <v>467</v>
      </c>
      <c r="I1336" s="90" t="s">
        <v>1269</v>
      </c>
      <c r="J1336" s="90" t="s">
        <v>1391</v>
      </c>
      <c r="K1336" s="90" t="s">
        <v>578</v>
      </c>
      <c r="L1336" s="90"/>
      <c r="M1336" s="90"/>
      <c r="N1336" s="90"/>
      <c r="O1336" s="90"/>
      <c r="P1336" s="90">
        <v>1</v>
      </c>
      <c r="Q1336" s="90">
        <v>1</v>
      </c>
      <c r="R1336" s="90"/>
      <c r="S1336" s="90">
        <v>1</v>
      </c>
      <c r="T1336" s="90"/>
      <c r="U1336" s="90">
        <v>1</v>
      </c>
      <c r="V1336" s="90"/>
      <c r="W1336" s="90"/>
      <c r="X1336" s="90"/>
      <c r="Y1336" s="90"/>
      <c r="Z1336" s="90" t="s">
        <v>1483</v>
      </c>
      <c r="AA1336" s="91">
        <v>49</v>
      </c>
      <c r="AB1336" s="46">
        <f>IF(H2ProjectDB689571011[[#This Row],[Dummy_1]]="Electrolysis",
AA1336/VLOOKUP(G1336,ElectrolysisConvF,3,FALSE),
AC1336*10^6/(H2dens*HoursInYear))</f>
        <v>10888.888888888891</v>
      </c>
      <c r="AC1336" s="47">
        <f>AB1336*H2dens*HoursInYear/10^6</f>
        <v>8.4894133333333333</v>
      </c>
      <c r="AD1336" s="92"/>
      <c r="AE1336" s="92">
        <f t="shared" si="100"/>
        <v>10888.888888888891</v>
      </c>
      <c r="AF1336" s="93" t="s">
        <v>4550</v>
      </c>
      <c r="AG1336" s="43">
        <v>37.361736252451102</v>
      </c>
      <c r="AH1336" s="43">
        <v>-5.9936561384175402</v>
      </c>
      <c r="AI1336" s="122" t="s">
        <v>7286</v>
      </c>
      <c r="AJ1336" s="41">
        <v>0.3</v>
      </c>
    </row>
    <row r="1337" spans="1:36" ht="35.1" hidden="1" customHeight="1" x14ac:dyDescent="0.25">
      <c r="A1337" s="40">
        <v>1945</v>
      </c>
      <c r="B1337" s="90" t="s">
        <v>4553</v>
      </c>
      <c r="C1337" s="90" t="s">
        <v>975</v>
      </c>
      <c r="D1337" s="44">
        <v>2025</v>
      </c>
      <c r="E1337" s="44"/>
      <c r="F1337" s="90" t="s">
        <v>1540</v>
      </c>
      <c r="G1337" s="90" t="s">
        <v>3239</v>
      </c>
      <c r="H1337" s="90"/>
      <c r="I1337" s="90" t="s">
        <v>1257</v>
      </c>
      <c r="J1337" s="90" t="s">
        <v>581</v>
      </c>
      <c r="K1337" s="90" t="s">
        <v>578</v>
      </c>
      <c r="L1337" s="90"/>
      <c r="M1337" s="90"/>
      <c r="N1337" s="90"/>
      <c r="O1337" s="90"/>
      <c r="P1337" s="90"/>
      <c r="Q1337" s="90"/>
      <c r="R1337" s="90"/>
      <c r="S1337" s="90"/>
      <c r="T1337" s="90"/>
      <c r="U1337" s="90"/>
      <c r="V1337" s="90"/>
      <c r="W1337" s="90"/>
      <c r="X1337" s="90"/>
      <c r="Y1337" s="90"/>
      <c r="Z1337" s="40" t="s">
        <v>1493</v>
      </c>
      <c r="AA1337" s="91">
        <v>2</v>
      </c>
      <c r="AB1337" s="46">
        <f>IF(H2ProjectDB689571011[[#This Row],[Dummy_1]]="Electrolysis",
AA1337/VLOOKUP(G1337,ElectrolysisConvF,3,FALSE),
AC1337*10^6/(H2dens*HoursInYear))</f>
        <v>444.44444444444446</v>
      </c>
      <c r="AC1337" s="47">
        <f>AB1337*H2dens*HoursInYear/10^6</f>
        <v>0.34650666666666669</v>
      </c>
      <c r="AD1337" s="92"/>
      <c r="AE1337" s="92">
        <f t="shared" si="100"/>
        <v>444.44444444444446</v>
      </c>
      <c r="AF1337" s="93" t="s">
        <v>4554</v>
      </c>
      <c r="AG1337" s="43">
        <v>33.396115817826903</v>
      </c>
      <c r="AH1337" s="43">
        <v>126.581269345424</v>
      </c>
      <c r="AI1337" s="122" t="s">
        <v>7286</v>
      </c>
      <c r="AJ1337" s="41">
        <v>0.56999999999999995</v>
      </c>
    </row>
    <row r="1338" spans="1:36" ht="35.1" hidden="1" customHeight="1" x14ac:dyDescent="0.25">
      <c r="A1338" s="40">
        <v>1946</v>
      </c>
      <c r="B1338" s="40" t="s">
        <v>2397</v>
      </c>
      <c r="C1338" s="40" t="s">
        <v>536</v>
      </c>
      <c r="D1338" s="44">
        <v>2025</v>
      </c>
      <c r="E1338" s="44"/>
      <c r="F1338" s="90" t="s">
        <v>5701</v>
      </c>
      <c r="G1338" s="90" t="s">
        <v>1259</v>
      </c>
      <c r="H1338" s="90" t="s">
        <v>467</v>
      </c>
      <c r="I1338" s="40" t="s">
        <v>1266</v>
      </c>
      <c r="K1338" s="40" t="s">
        <v>578</v>
      </c>
      <c r="R1338" s="40">
        <v>1</v>
      </c>
      <c r="Z1338" s="40" t="s">
        <v>1484</v>
      </c>
      <c r="AA1338" s="45">
        <v>5</v>
      </c>
      <c r="AB1338" s="46">
        <f>IF(H2ProjectDB689571011[[#This Row],[Dummy_1]]="Electrolysis",
AA1338/VLOOKUP(G1338,ElectrolysisConvF,3,FALSE),
AC1338*10^6/(H2dens*HoursInYear))</f>
        <v>1111.1111111111111</v>
      </c>
      <c r="AC1338" s="47">
        <f>AB1338*H2dens*HoursInYear/10^6</f>
        <v>0.86626666666666663</v>
      </c>
      <c r="AE1338" s="46">
        <f>AB1338</f>
        <v>1111.1111111111111</v>
      </c>
      <c r="AF1338" s="43" t="s">
        <v>4565</v>
      </c>
      <c r="AG1338" s="43">
        <v>47.493448473082204</v>
      </c>
      <c r="AH1338" s="43">
        <v>-120.303227967588</v>
      </c>
      <c r="AI1338" s="122" t="s">
        <v>7286</v>
      </c>
      <c r="AJ1338" s="41">
        <v>0.56999999999999995</v>
      </c>
    </row>
    <row r="1339" spans="1:36" ht="35.1" hidden="1" customHeight="1" x14ac:dyDescent="0.25">
      <c r="A1339" s="40">
        <v>1947</v>
      </c>
      <c r="B1339" s="90" t="s">
        <v>4566</v>
      </c>
      <c r="C1339" s="90" t="s">
        <v>538</v>
      </c>
      <c r="D1339" s="44">
        <v>2025</v>
      </c>
      <c r="E1339" s="44"/>
      <c r="F1339" s="90" t="s">
        <v>5701</v>
      </c>
      <c r="G1339" s="90" t="s">
        <v>1261</v>
      </c>
      <c r="H1339" s="90" t="s">
        <v>4567</v>
      </c>
      <c r="I1339" s="90"/>
      <c r="J1339" s="90"/>
      <c r="K1339" s="90" t="s">
        <v>1243</v>
      </c>
      <c r="L1339" s="90"/>
      <c r="M1339" s="90">
        <v>1</v>
      </c>
      <c r="N1339" s="90"/>
      <c r="O1339" s="90"/>
      <c r="P1339" s="90"/>
      <c r="Q1339" s="90"/>
      <c r="R1339" s="90"/>
      <c r="S1339" s="90"/>
      <c r="T1339" s="90"/>
      <c r="U1339" s="90"/>
      <c r="V1339" s="90"/>
      <c r="W1339" s="90"/>
      <c r="X1339" s="90"/>
      <c r="Y1339" s="90"/>
      <c r="Z1339" s="90" t="s">
        <v>4568</v>
      </c>
      <c r="AA1339" s="91" t="str">
        <f>IF(OR(G1339="ALK",G1339="PEM",G1339="SOEC",G1339="Other Electrolysis"),
AB1339*VLOOKUP(G1339,ElectrolysisConvF,3,FALSE),
"")</f>
        <v/>
      </c>
      <c r="AB1339" s="92"/>
      <c r="AC1339" s="92">
        <v>0.7</v>
      </c>
      <c r="AD1339" s="92"/>
      <c r="AE1339" s="92">
        <f t="shared" ref="AE1339:AE1402" si="101">IF(AND(G1339&lt;&gt;"NG w CCUS",G1339&lt;&gt;"Oil w CCUS",G1339&lt;&gt;"Coal w CCUS"),AB1339,AD1339*10^3/(HoursInYear*IF(G1339="NG w CCUS",0.9105,1.9075)))</f>
        <v>0</v>
      </c>
      <c r="AF1339" s="93" t="s">
        <v>4570</v>
      </c>
      <c r="AG1339" s="43">
        <v>37.365420772269502</v>
      </c>
      <c r="AH1339" s="43">
        <v>138.58366517819999</v>
      </c>
      <c r="AI1339" s="122" t="s">
        <v>7287</v>
      </c>
      <c r="AJ1339" s="41">
        <v>0.9</v>
      </c>
    </row>
    <row r="1340" spans="1:36" ht="35.1" hidden="1" customHeight="1" x14ac:dyDescent="0.25">
      <c r="A1340" s="40">
        <v>1949</v>
      </c>
      <c r="B1340" s="90" t="s">
        <v>4571</v>
      </c>
      <c r="C1340" s="90" t="s">
        <v>530</v>
      </c>
      <c r="D1340" s="44">
        <v>2025</v>
      </c>
      <c r="E1340" s="44"/>
      <c r="F1340" s="90" t="s">
        <v>5701</v>
      </c>
      <c r="G1340" s="90" t="s">
        <v>1261</v>
      </c>
      <c r="H1340" s="90" t="s">
        <v>4572</v>
      </c>
      <c r="I1340" s="90"/>
      <c r="J1340" s="90"/>
      <c r="K1340" s="90" t="s">
        <v>578</v>
      </c>
      <c r="L1340" s="90"/>
      <c r="M1340" s="90"/>
      <c r="N1340" s="90"/>
      <c r="O1340" s="90"/>
      <c r="P1340" s="90"/>
      <c r="Q1340" s="90"/>
      <c r="R1340" s="90"/>
      <c r="S1340" s="90"/>
      <c r="T1340" s="90"/>
      <c r="U1340" s="90"/>
      <c r="V1340" s="90">
        <v>1</v>
      </c>
      <c r="W1340" s="90"/>
      <c r="X1340" s="90"/>
      <c r="Y1340" s="90"/>
      <c r="Z1340" s="90" t="s">
        <v>4573</v>
      </c>
      <c r="AA1340" s="91" t="str">
        <f>IF(OR(G1340="ALK",G1340="PEM",G1340="SOEC",G1340="Other Electrolysis"),
AB1340*VLOOKUP(G1340,ElectrolysisConvF,3,FALSE),
"")</f>
        <v/>
      </c>
      <c r="AB1340" s="92"/>
      <c r="AC1340" s="92">
        <v>20</v>
      </c>
      <c r="AD1340" s="92">
        <v>110000</v>
      </c>
      <c r="AE1340" s="92">
        <f t="shared" si="101"/>
        <v>13791.408704635669</v>
      </c>
      <c r="AF1340" s="93" t="s">
        <v>4575</v>
      </c>
      <c r="AG1340" s="43">
        <v>48.589751714927303</v>
      </c>
      <c r="AH1340" s="43">
        <v>2.9480052982893499</v>
      </c>
      <c r="AI1340" s="122" t="s">
        <v>7287</v>
      </c>
      <c r="AJ1340" s="41">
        <v>0.9</v>
      </c>
    </row>
    <row r="1341" spans="1:36" ht="35.1" hidden="1" customHeight="1" x14ac:dyDescent="0.25">
      <c r="A1341" s="40">
        <v>1950</v>
      </c>
      <c r="B1341" s="90" t="s">
        <v>4576</v>
      </c>
      <c r="C1341" s="90" t="s">
        <v>674</v>
      </c>
      <c r="D1341" s="44">
        <v>2030</v>
      </c>
      <c r="E1341" s="44"/>
      <c r="F1341" s="90" t="s">
        <v>1331</v>
      </c>
      <c r="G1341" s="90" t="s">
        <v>1259</v>
      </c>
      <c r="H1341" s="40" t="s">
        <v>467</v>
      </c>
      <c r="I1341" s="90" t="s">
        <v>1269</v>
      </c>
      <c r="J1341" s="90" t="s">
        <v>1395</v>
      </c>
      <c r="K1341" s="90" t="s">
        <v>578</v>
      </c>
      <c r="L1341" s="90"/>
      <c r="M1341" s="90">
        <v>1</v>
      </c>
      <c r="N1341" s="90">
        <v>1</v>
      </c>
      <c r="O1341" s="90"/>
      <c r="P1341" s="90"/>
      <c r="Q1341" s="90"/>
      <c r="R1341" s="90"/>
      <c r="S1341" s="90"/>
      <c r="T1341" s="90"/>
      <c r="U1341" s="90"/>
      <c r="V1341" s="90"/>
      <c r="W1341" s="90">
        <v>1</v>
      </c>
      <c r="X1341" s="90">
        <v>1</v>
      </c>
      <c r="Y1341" s="90"/>
      <c r="Z1341" s="90" t="s">
        <v>4180</v>
      </c>
      <c r="AA1341" s="91">
        <v>1300</v>
      </c>
      <c r="AB1341" s="46">
        <f>IF(H2ProjectDB689571011[[#This Row],[Dummy_1]]="Electrolysis",
AA1341/VLOOKUP(G1341,ElectrolysisConvF,3,FALSE),
AC1341*10^6/(H2dens*HoursInYear))</f>
        <v>288888.88888888893</v>
      </c>
      <c r="AC1341" s="47">
        <f>AB1341*H2dens*HoursInYear/10^6</f>
        <v>225.22933333333333</v>
      </c>
      <c r="AD1341" s="92"/>
      <c r="AE1341" s="92">
        <f t="shared" si="101"/>
        <v>288888.88888888893</v>
      </c>
      <c r="AF1341" s="93" t="s">
        <v>4578</v>
      </c>
      <c r="AG1341" s="43">
        <v>22.566957435474102</v>
      </c>
      <c r="AH1341" s="43">
        <v>59.507276859123401</v>
      </c>
      <c r="AI1341" s="122" t="s">
        <v>7286</v>
      </c>
      <c r="AJ1341" s="41">
        <v>0.5</v>
      </c>
    </row>
    <row r="1342" spans="1:36" ht="35.1" hidden="1" customHeight="1" x14ac:dyDescent="0.25">
      <c r="A1342" s="40">
        <v>1954</v>
      </c>
      <c r="B1342" s="90" t="s">
        <v>4587</v>
      </c>
      <c r="C1342" s="90" t="s">
        <v>674</v>
      </c>
      <c r="D1342" s="44"/>
      <c r="E1342" s="44"/>
      <c r="F1342" s="90" t="s">
        <v>2222</v>
      </c>
      <c r="G1342" s="90" t="s">
        <v>1259</v>
      </c>
      <c r="H1342" s="40" t="s">
        <v>467</v>
      </c>
      <c r="I1342" s="90" t="s">
        <v>1269</v>
      </c>
      <c r="J1342" s="90" t="s">
        <v>581</v>
      </c>
      <c r="K1342" s="90" t="s">
        <v>578</v>
      </c>
      <c r="L1342" s="90"/>
      <c r="M1342" s="90"/>
      <c r="N1342" s="90"/>
      <c r="O1342" s="90"/>
      <c r="P1342" s="90"/>
      <c r="Q1342" s="90"/>
      <c r="R1342" s="90"/>
      <c r="S1342" s="90"/>
      <c r="T1342" s="90"/>
      <c r="U1342" s="90"/>
      <c r="V1342" s="90"/>
      <c r="W1342" s="90"/>
      <c r="X1342" s="90"/>
      <c r="Y1342" s="90"/>
      <c r="Z1342" s="90" t="s">
        <v>5032</v>
      </c>
      <c r="AA1342" s="47">
        <f>IF(H2ProjectDB689571011[[#This Row],[Dummy_1]]="Electrolysis",
AB1342*VLOOKUP(G1342,ElectrolysisConvF,3,FALSE),
"")</f>
        <v>1731.5684161920885</v>
      </c>
      <c r="AB1342" s="46">
        <f t="shared" ref="AB1342:AB1355" si="102">AC1342/(H2dens*HoursInYear/10^6)</f>
        <v>384792.98137601971</v>
      </c>
      <c r="AC1342" s="92">
        <f>150/H2ProjectDB689571011[[#This Row],[LOWE_CF]]</f>
        <v>300</v>
      </c>
      <c r="AD1342" s="92"/>
      <c r="AE1342" s="92">
        <f t="shared" si="101"/>
        <v>384792.98137601971</v>
      </c>
      <c r="AF1342" s="93"/>
      <c r="AG1342" s="43">
        <v>19.666927731033201</v>
      </c>
      <c r="AH1342" s="43">
        <v>57.725445010377797</v>
      </c>
      <c r="AI1342" s="122" t="s">
        <v>7286</v>
      </c>
      <c r="AJ1342" s="41">
        <v>0.5</v>
      </c>
    </row>
    <row r="1343" spans="1:36" ht="35.1" hidden="1" customHeight="1" x14ac:dyDescent="0.25">
      <c r="A1343" s="40">
        <v>1955</v>
      </c>
      <c r="B1343" s="90" t="s">
        <v>4586</v>
      </c>
      <c r="C1343" s="90" t="s">
        <v>674</v>
      </c>
      <c r="D1343" s="44"/>
      <c r="E1343" s="44"/>
      <c r="F1343" s="90" t="s">
        <v>1331</v>
      </c>
      <c r="G1343" s="90" t="s">
        <v>1259</v>
      </c>
      <c r="H1343" s="40" t="s">
        <v>467</v>
      </c>
      <c r="I1343" s="90" t="s">
        <v>1269</v>
      </c>
      <c r="J1343" s="90" t="s">
        <v>581</v>
      </c>
      <c r="K1343" s="90" t="s">
        <v>578</v>
      </c>
      <c r="L1343" s="90"/>
      <c r="M1343" s="90"/>
      <c r="N1343" s="90"/>
      <c r="O1343" s="90"/>
      <c r="P1343" s="90"/>
      <c r="Q1343" s="90"/>
      <c r="R1343" s="90"/>
      <c r="S1343" s="90"/>
      <c r="T1343" s="90"/>
      <c r="U1343" s="90"/>
      <c r="V1343" s="90"/>
      <c r="W1343" s="90"/>
      <c r="X1343" s="90"/>
      <c r="Y1343" s="90"/>
      <c r="Z1343" s="90" t="s">
        <v>5032</v>
      </c>
      <c r="AA1343" s="47">
        <f>IF(H2ProjectDB689571011[[#This Row],[Dummy_1]]="Electrolysis",
AB1343*VLOOKUP(G1343,ElectrolysisConvF,3,FALSE),
"")</f>
        <v>1731.5684161920885</v>
      </c>
      <c r="AB1343" s="46">
        <f t="shared" si="102"/>
        <v>384792.98137601971</v>
      </c>
      <c r="AC1343" s="92">
        <f>150/H2ProjectDB689571011[[#This Row],[LOWE_CF]]</f>
        <v>300</v>
      </c>
      <c r="AD1343" s="92"/>
      <c r="AE1343" s="92">
        <f t="shared" si="101"/>
        <v>384792.98137601971</v>
      </c>
      <c r="AF1343" s="93"/>
      <c r="AG1343" s="43">
        <v>18.632508497259</v>
      </c>
      <c r="AH1343" s="43">
        <v>53.955881271768099</v>
      </c>
      <c r="AI1343" s="122" t="s">
        <v>7286</v>
      </c>
      <c r="AJ1343" s="41">
        <v>0.5</v>
      </c>
    </row>
    <row r="1344" spans="1:36" ht="35.1" hidden="1" customHeight="1" x14ac:dyDescent="0.25">
      <c r="A1344" s="40">
        <v>1956</v>
      </c>
      <c r="B1344" s="90" t="s">
        <v>4593</v>
      </c>
      <c r="C1344" s="90" t="s">
        <v>536</v>
      </c>
      <c r="D1344" s="90">
        <v>2008</v>
      </c>
      <c r="E1344" s="90"/>
      <c r="F1344" s="90" t="s">
        <v>1339</v>
      </c>
      <c r="G1344" s="90" t="s">
        <v>455</v>
      </c>
      <c r="H1344" s="90"/>
      <c r="I1344" s="90" t="s">
        <v>1257</v>
      </c>
      <c r="J1344" s="90"/>
      <c r="K1344" s="90" t="s">
        <v>578</v>
      </c>
      <c r="L1344" s="90"/>
      <c r="M1344" s="90"/>
      <c r="N1344" s="90"/>
      <c r="O1344" s="90"/>
      <c r="P1344" s="90"/>
      <c r="Q1344" s="90"/>
      <c r="R1344" s="90"/>
      <c r="S1344" s="90"/>
      <c r="T1344" s="90"/>
      <c r="U1344" s="90"/>
      <c r="V1344" s="90"/>
      <c r="W1344" s="90"/>
      <c r="X1344" s="90"/>
      <c r="Y1344" s="90"/>
      <c r="Z1344" s="90" t="s">
        <v>4596</v>
      </c>
      <c r="AA1344" s="47">
        <f>IF(H2ProjectDB689571011[[#This Row],[Dummy_1]]="Electrolysis",
AB1344*VLOOKUP(G1344,ElectrolysisConvF,3,FALSE),
"")</f>
        <v>15.823970037453183</v>
      </c>
      <c r="AB1344" s="46">
        <f t="shared" si="102"/>
        <v>3043.0711610486892</v>
      </c>
      <c r="AC1344" s="92">
        <f>6.5*365/1000</f>
        <v>2.3725000000000001</v>
      </c>
      <c r="AD1344" s="92"/>
      <c r="AE1344" s="92">
        <f t="shared" si="101"/>
        <v>3043.0711610486892</v>
      </c>
      <c r="AF1344" s="93" t="s">
        <v>4600</v>
      </c>
      <c r="AG1344" s="43">
        <v>35.287361832905802</v>
      </c>
      <c r="AH1344" s="43">
        <v>-84.757845360236303</v>
      </c>
      <c r="AI1344" s="122" t="s">
        <v>7286</v>
      </c>
      <c r="AJ1344" s="41">
        <v>0.56999999999999995</v>
      </c>
    </row>
    <row r="1345" spans="1:36" ht="35.1" hidden="1" customHeight="1" x14ac:dyDescent="0.25">
      <c r="A1345" s="40">
        <v>1957</v>
      </c>
      <c r="B1345" s="40" t="s">
        <v>4594</v>
      </c>
      <c r="C1345" s="90" t="s">
        <v>536</v>
      </c>
      <c r="D1345" s="90">
        <v>2021</v>
      </c>
      <c r="E1345" s="90"/>
      <c r="F1345" s="90" t="s">
        <v>1339</v>
      </c>
      <c r="G1345" s="90" t="s">
        <v>455</v>
      </c>
      <c r="H1345" s="90"/>
      <c r="I1345" s="90" t="s">
        <v>1257</v>
      </c>
      <c r="J1345" s="90"/>
      <c r="K1345" s="90" t="s">
        <v>578</v>
      </c>
      <c r="L1345" s="90"/>
      <c r="M1345" s="90"/>
      <c r="N1345" s="90"/>
      <c r="O1345" s="90"/>
      <c r="P1345" s="90"/>
      <c r="Q1345" s="126"/>
      <c r="R1345" s="126"/>
      <c r="S1345" s="90"/>
      <c r="T1345" s="90"/>
      <c r="U1345" s="90"/>
      <c r="V1345" s="90"/>
      <c r="W1345" s="90"/>
      <c r="X1345" s="90"/>
      <c r="Y1345" s="90"/>
      <c r="Z1345" s="90" t="s">
        <v>3699</v>
      </c>
      <c r="AA1345" s="47">
        <f>IF(H2ProjectDB689571011[[#This Row],[Dummy_1]]="Electrolysis",
AB1345*VLOOKUP(G1345,ElectrolysisConvF,3,FALSE),
"")</f>
        <v>8.5205992509363302</v>
      </c>
      <c r="AB1345" s="46">
        <f t="shared" si="102"/>
        <v>1638.5767790262175</v>
      </c>
      <c r="AC1345" s="92">
        <f>3.5*365/1000</f>
        <v>1.2775000000000001</v>
      </c>
      <c r="AD1345" s="92"/>
      <c r="AE1345" s="92">
        <f t="shared" si="101"/>
        <v>1638.5767790262175</v>
      </c>
      <c r="AF1345" s="93" t="s">
        <v>4599</v>
      </c>
      <c r="AG1345" s="43">
        <v>35.287361832905802</v>
      </c>
      <c r="AH1345" s="43">
        <v>-84.757845360236303</v>
      </c>
      <c r="AI1345" s="122" t="s">
        <v>7286</v>
      </c>
      <c r="AJ1345" s="41">
        <v>0.56999999999999995</v>
      </c>
    </row>
    <row r="1346" spans="1:36" ht="35.1" hidden="1" customHeight="1" x14ac:dyDescent="0.25">
      <c r="A1346" s="40">
        <v>1958</v>
      </c>
      <c r="B1346" s="40" t="s">
        <v>4595</v>
      </c>
      <c r="C1346" s="90" t="s">
        <v>536</v>
      </c>
      <c r="D1346" s="44">
        <v>2024</v>
      </c>
      <c r="E1346" s="44"/>
      <c r="F1346" s="90" t="s">
        <v>5701</v>
      </c>
      <c r="G1346" s="90" t="s">
        <v>455</v>
      </c>
      <c r="H1346" s="90"/>
      <c r="I1346" s="90" t="s">
        <v>1257</v>
      </c>
      <c r="J1346" s="90"/>
      <c r="K1346" s="90" t="s">
        <v>578</v>
      </c>
      <c r="L1346" s="90"/>
      <c r="M1346" s="90"/>
      <c r="N1346" s="90"/>
      <c r="O1346" s="90"/>
      <c r="P1346" s="90"/>
      <c r="Q1346" s="90">
        <v>1</v>
      </c>
      <c r="R1346" s="90">
        <v>1</v>
      </c>
      <c r="S1346" s="90"/>
      <c r="T1346" s="90"/>
      <c r="U1346" s="90"/>
      <c r="V1346" s="90"/>
      <c r="W1346" s="90"/>
      <c r="X1346" s="90"/>
      <c r="Y1346" s="90"/>
      <c r="Z1346" s="40" t="s">
        <v>4984</v>
      </c>
      <c r="AA1346" s="47">
        <f>IF(H2ProjectDB689571011[[#This Row],[Dummy_1]]="Electrolysis",
AB1346*VLOOKUP(G1346,ElectrolysisConvF,3,FALSE),
"")</f>
        <v>21.354885340692558</v>
      </c>
      <c r="AB1346" s="46">
        <f t="shared" si="102"/>
        <v>4106.7087193639536</v>
      </c>
      <c r="AC1346" s="92">
        <f>(5*365/1000)/H2ProjectDB689571011[[#This Row],[LOWE_CF]]</f>
        <v>3.2017543859649127</v>
      </c>
      <c r="AD1346" s="92"/>
      <c r="AE1346" s="92">
        <f t="shared" si="101"/>
        <v>4106.7087193639536</v>
      </c>
      <c r="AF1346" s="43" t="s">
        <v>6794</v>
      </c>
      <c r="AG1346" s="43">
        <v>35.287361832905802</v>
      </c>
      <c r="AH1346" s="43">
        <v>-84.757845360236303</v>
      </c>
      <c r="AI1346" s="122" t="s">
        <v>7286</v>
      </c>
      <c r="AJ1346" s="41">
        <v>0.56999999999999995</v>
      </c>
    </row>
    <row r="1347" spans="1:36" ht="35.1" hidden="1" customHeight="1" x14ac:dyDescent="0.25">
      <c r="A1347" s="40">
        <v>1959</v>
      </c>
      <c r="B1347" s="43" t="s">
        <v>5236</v>
      </c>
      <c r="C1347" s="40" t="s">
        <v>537</v>
      </c>
      <c r="D1347" s="44">
        <v>2024</v>
      </c>
      <c r="E1347" s="44"/>
      <c r="F1347" s="40" t="s">
        <v>5701</v>
      </c>
      <c r="G1347" s="40" t="s">
        <v>1259</v>
      </c>
      <c r="H1347" s="40" t="s">
        <v>467</v>
      </c>
      <c r="I1347" s="40" t="s">
        <v>1269</v>
      </c>
      <c r="J1347" s="40" t="s">
        <v>1395</v>
      </c>
      <c r="K1347" s="40" t="s">
        <v>1243</v>
      </c>
      <c r="M1347" s="40">
        <v>1</v>
      </c>
      <c r="Z1347" s="40" t="s">
        <v>4604</v>
      </c>
      <c r="AA1347" s="47">
        <f>IF(H2ProjectDB689571011[[#This Row],[Dummy_1]]="Electrolysis",
AB1347*VLOOKUP(G1347,ElectrolysisConvF,3,FALSE),
"")</f>
        <v>207.78820994305062</v>
      </c>
      <c r="AB1347" s="46">
        <f t="shared" si="102"/>
        <v>46175.157765122363</v>
      </c>
      <c r="AC1347" s="46">
        <v>36</v>
      </c>
      <c r="AE1347" s="46">
        <f t="shared" si="101"/>
        <v>46175.157765122363</v>
      </c>
      <c r="AF1347" s="43" t="s">
        <v>5227</v>
      </c>
      <c r="AG1347" s="43">
        <v>43.096434944150197</v>
      </c>
      <c r="AH1347" s="43">
        <v>109.713001314363</v>
      </c>
      <c r="AI1347" s="122" t="s">
        <v>7286</v>
      </c>
      <c r="AJ1347" s="41">
        <v>0.5</v>
      </c>
    </row>
    <row r="1348" spans="1:36" ht="35.1" hidden="1" customHeight="1" x14ac:dyDescent="0.25">
      <c r="A1348" s="40">
        <v>1961</v>
      </c>
      <c r="B1348" s="40" t="s">
        <v>5241</v>
      </c>
      <c r="C1348" s="40" t="s">
        <v>537</v>
      </c>
      <c r="D1348" s="44">
        <v>2024</v>
      </c>
      <c r="E1348" s="44"/>
      <c r="F1348" s="40" t="s">
        <v>5701</v>
      </c>
      <c r="G1348" s="40" t="s">
        <v>1259</v>
      </c>
      <c r="H1348" s="90" t="s">
        <v>467</v>
      </c>
      <c r="I1348" s="90" t="s">
        <v>1269</v>
      </c>
      <c r="J1348" s="90" t="s">
        <v>1392</v>
      </c>
      <c r="K1348" s="40" t="s">
        <v>1243</v>
      </c>
      <c r="L1348" s="90"/>
      <c r="M1348" s="90">
        <v>1</v>
      </c>
      <c r="N1348" s="90"/>
      <c r="O1348" s="90"/>
      <c r="Q1348" s="90"/>
      <c r="R1348" s="90"/>
      <c r="S1348" s="90"/>
      <c r="T1348" s="90"/>
      <c r="U1348" s="90"/>
      <c r="V1348" s="90"/>
      <c r="W1348" s="90"/>
      <c r="X1348" s="90"/>
      <c r="Y1348" s="90"/>
      <c r="Z1348" s="40" t="s">
        <v>4605</v>
      </c>
      <c r="AA1348" s="47">
        <f>IF(H2ProjectDB689571011[[#This Row],[Dummy_1]]="Electrolysis",
AB1348*VLOOKUP(G1348,ElectrolysisConvF,3,FALSE),
"")</f>
        <v>124.67292596583039</v>
      </c>
      <c r="AB1348" s="46">
        <f t="shared" si="102"/>
        <v>27705.09465907342</v>
      </c>
      <c r="AC1348" s="47">
        <v>21.6</v>
      </c>
      <c r="AD1348" s="92"/>
      <c r="AE1348" s="92">
        <f t="shared" si="101"/>
        <v>27705.09465907342</v>
      </c>
      <c r="AF1348" s="43" t="s">
        <v>5227</v>
      </c>
      <c r="AG1348" s="43">
        <v>46.377237845205102</v>
      </c>
      <c r="AH1348" s="43">
        <v>121.438703192164</v>
      </c>
      <c r="AI1348" s="122" t="s">
        <v>7286</v>
      </c>
      <c r="AJ1348" s="41">
        <v>0.4</v>
      </c>
    </row>
    <row r="1349" spans="1:36" ht="35.1" hidden="1" customHeight="1" x14ac:dyDescent="0.25">
      <c r="A1349" s="40">
        <v>1962</v>
      </c>
      <c r="B1349" s="43" t="s">
        <v>7484</v>
      </c>
      <c r="C1349" s="40" t="s">
        <v>537</v>
      </c>
      <c r="D1349" s="44">
        <v>2024</v>
      </c>
      <c r="E1349" s="44"/>
      <c r="F1349" s="40" t="s">
        <v>5701</v>
      </c>
      <c r="G1349" s="40" t="s">
        <v>457</v>
      </c>
      <c r="H1349" s="90"/>
      <c r="I1349" s="90" t="s">
        <v>1269</v>
      </c>
      <c r="J1349" s="90" t="s">
        <v>1395</v>
      </c>
      <c r="K1349" s="40" t="s">
        <v>1243</v>
      </c>
      <c r="L1349" s="90"/>
      <c r="M1349" s="90">
        <v>1</v>
      </c>
      <c r="N1349" s="90"/>
      <c r="O1349" s="90"/>
      <c r="Q1349" s="90"/>
      <c r="R1349" s="90"/>
      <c r="S1349" s="90"/>
      <c r="T1349" s="90"/>
      <c r="U1349" s="90"/>
      <c r="V1349" s="90"/>
      <c r="W1349" s="90"/>
      <c r="X1349" s="90"/>
      <c r="Y1349" s="90"/>
      <c r="Z1349" s="40" t="s">
        <v>8303</v>
      </c>
      <c r="AA1349" s="47">
        <f>IF(H2ProjectDB689571011[[#This Row],[Dummy_1]]="Electrolysis",
AB1349*VLOOKUP(G1349,ElectrolysisConvF,3,FALSE),
"")</f>
        <v>679.9703104267719</v>
      </c>
      <c r="AB1349" s="46">
        <f t="shared" si="102"/>
        <v>147819.63270147215</v>
      </c>
      <c r="AC1349" s="46">
        <f>(320*3/17/0.98)/H2ProjectDB689571011[[#This Row],[LOWE_CF]]</f>
        <v>115.24609843937574</v>
      </c>
      <c r="AD1349" s="92"/>
      <c r="AE1349" s="92">
        <f t="shared" si="101"/>
        <v>147819.63270147215</v>
      </c>
      <c r="AF1349" s="43" t="s">
        <v>8308</v>
      </c>
      <c r="AG1349" s="43">
        <v>42.272090526296303</v>
      </c>
      <c r="AH1349" s="43">
        <v>118.890974193958</v>
      </c>
      <c r="AI1349" s="122" t="s">
        <v>7286</v>
      </c>
      <c r="AJ1349" s="41">
        <v>0.5</v>
      </c>
    </row>
    <row r="1350" spans="1:36" ht="35.1" hidden="1" customHeight="1" x14ac:dyDescent="0.25">
      <c r="A1350" s="40">
        <v>1963</v>
      </c>
      <c r="B1350" s="40" t="s">
        <v>5243</v>
      </c>
      <c r="C1350" s="40" t="s">
        <v>537</v>
      </c>
      <c r="D1350" s="44">
        <v>2024</v>
      </c>
      <c r="E1350" s="44"/>
      <c r="F1350" s="40" t="s">
        <v>5701</v>
      </c>
      <c r="G1350" s="40" t="s">
        <v>1259</v>
      </c>
      <c r="H1350" s="90" t="s">
        <v>467</v>
      </c>
      <c r="I1350" s="90" t="s">
        <v>1269</v>
      </c>
      <c r="J1350" s="90" t="s">
        <v>1395</v>
      </c>
      <c r="K1350" s="40" t="s">
        <v>1243</v>
      </c>
      <c r="L1350" s="90"/>
      <c r="M1350" s="90">
        <v>1</v>
      </c>
      <c r="N1350" s="90"/>
      <c r="O1350" s="90"/>
      <c r="Q1350" s="90"/>
      <c r="R1350" s="90"/>
      <c r="S1350" s="90"/>
      <c r="T1350" s="90"/>
      <c r="U1350" s="90"/>
      <c r="V1350" s="90"/>
      <c r="W1350" s="90"/>
      <c r="X1350" s="90"/>
      <c r="Y1350" s="90"/>
      <c r="Z1350" s="40" t="s">
        <v>4606</v>
      </c>
      <c r="AA1350" s="47">
        <f>IF(H2ProjectDB689571011[[#This Row],[Dummy_1]]="Electrolysis",
AB1350*VLOOKUP(G1350,ElectrolysisConvF,3,FALSE),
"")</f>
        <v>107.3572418039095</v>
      </c>
      <c r="AB1350" s="46">
        <f t="shared" si="102"/>
        <v>23857.164845313226</v>
      </c>
      <c r="AC1350" s="47">
        <v>18.600000000000001</v>
      </c>
      <c r="AD1350" s="92"/>
      <c r="AE1350" s="92">
        <f t="shared" si="101"/>
        <v>23857.164845313226</v>
      </c>
      <c r="AF1350" s="43" t="s">
        <v>5227</v>
      </c>
      <c r="AG1350" s="43">
        <v>42.272090526296303</v>
      </c>
      <c r="AH1350" s="43">
        <v>118.890974193958</v>
      </c>
      <c r="AI1350" s="122" t="s">
        <v>7286</v>
      </c>
      <c r="AJ1350" s="41">
        <v>0.5</v>
      </c>
    </row>
    <row r="1351" spans="1:36" ht="35.1" hidden="1" customHeight="1" x14ac:dyDescent="0.25">
      <c r="A1351" s="40">
        <v>1964</v>
      </c>
      <c r="B1351" s="40" t="s">
        <v>5244</v>
      </c>
      <c r="C1351" s="40" t="s">
        <v>537</v>
      </c>
      <c r="D1351" s="44">
        <v>2024</v>
      </c>
      <c r="E1351" s="44"/>
      <c r="F1351" s="40" t="s">
        <v>5701</v>
      </c>
      <c r="G1351" s="40" t="s">
        <v>1259</v>
      </c>
      <c r="H1351" s="90" t="s">
        <v>467</v>
      </c>
      <c r="I1351" s="90" t="s">
        <v>1269</v>
      </c>
      <c r="J1351" s="90" t="s">
        <v>1395</v>
      </c>
      <c r="K1351" s="40" t="s">
        <v>578</v>
      </c>
      <c r="L1351" s="90"/>
      <c r="M1351" s="90"/>
      <c r="N1351" s="90"/>
      <c r="O1351" s="90"/>
      <c r="Q1351" s="90">
        <v>1</v>
      </c>
      <c r="R1351" s="90"/>
      <c r="S1351" s="90"/>
      <c r="T1351" s="90"/>
      <c r="U1351" s="90"/>
      <c r="V1351" s="90"/>
      <c r="W1351" s="90"/>
      <c r="X1351" s="90"/>
      <c r="Y1351" s="90"/>
      <c r="Z1351" s="40" t="s">
        <v>4607</v>
      </c>
      <c r="AA1351" s="47">
        <f>IF(H2ProjectDB689571011[[#This Row],[Dummy_1]]="Electrolysis",
AB1351*VLOOKUP(G1351,ElectrolysisConvF,3,FALSE),
"")</f>
        <v>31.427966753886409</v>
      </c>
      <c r="AB1351" s="46">
        <f t="shared" si="102"/>
        <v>6983.9926119747579</v>
      </c>
      <c r="AC1351" s="47">
        <v>5.4450000000000003</v>
      </c>
      <c r="AD1351" s="92"/>
      <c r="AE1351" s="92">
        <f t="shared" si="101"/>
        <v>6983.9926119747579</v>
      </c>
      <c r="AF1351" s="43" t="s">
        <v>5227</v>
      </c>
      <c r="AG1351" s="43">
        <v>39.410810742683502</v>
      </c>
      <c r="AH1351" s="43">
        <v>109.750163403933</v>
      </c>
      <c r="AI1351" s="122" t="s">
        <v>7286</v>
      </c>
      <c r="AJ1351" s="41">
        <v>0.5</v>
      </c>
    </row>
    <row r="1352" spans="1:36" ht="35.1" hidden="1" customHeight="1" x14ac:dyDescent="0.25">
      <c r="A1352" s="40">
        <v>1965</v>
      </c>
      <c r="B1352" s="40" t="s">
        <v>5246</v>
      </c>
      <c r="C1352" s="40" t="s">
        <v>537</v>
      </c>
      <c r="D1352" s="44">
        <v>2025</v>
      </c>
      <c r="E1352" s="44"/>
      <c r="F1352" s="40" t="s">
        <v>5701</v>
      </c>
      <c r="G1352" s="40" t="s">
        <v>457</v>
      </c>
      <c r="H1352" s="90"/>
      <c r="I1352" s="90" t="s">
        <v>1269</v>
      </c>
      <c r="J1352" s="90" t="s">
        <v>1395</v>
      </c>
      <c r="K1352" s="40" t="s">
        <v>1243</v>
      </c>
      <c r="L1352" s="90"/>
      <c r="M1352" s="90">
        <v>1</v>
      </c>
      <c r="N1352" s="90"/>
      <c r="O1352" s="90"/>
      <c r="P1352" s="40">
        <v>1</v>
      </c>
      <c r="Q1352" s="90"/>
      <c r="R1352" s="90"/>
      <c r="S1352" s="90"/>
      <c r="T1352" s="90"/>
      <c r="U1352" s="90"/>
      <c r="V1352" s="90"/>
      <c r="W1352" s="90"/>
      <c r="X1352" s="90"/>
      <c r="Y1352" s="90"/>
      <c r="Z1352" s="40" t="s">
        <v>4608</v>
      </c>
      <c r="AA1352" s="47">
        <f>IF(H2ProjectDB689571011[[#This Row],[Dummy_1]]="Electrolysis",
AB1352*VLOOKUP(G1352,ElectrolysisConvF,3,FALSE),
"")</f>
        <v>122.8826124878149</v>
      </c>
      <c r="AB1352" s="46">
        <f t="shared" si="102"/>
        <v>26713.611410394544</v>
      </c>
      <c r="AC1352" s="47">
        <v>20.827000000000002</v>
      </c>
      <c r="AD1352" s="92"/>
      <c r="AE1352" s="92">
        <f t="shared" si="101"/>
        <v>26713.611410394544</v>
      </c>
      <c r="AF1352" s="43" t="s">
        <v>5227</v>
      </c>
      <c r="AG1352" s="43">
        <v>39.476147446778199</v>
      </c>
      <c r="AH1352" s="43">
        <v>107.611079769583</v>
      </c>
      <c r="AI1352" s="122" t="s">
        <v>7286</v>
      </c>
      <c r="AJ1352" s="41">
        <v>0.5</v>
      </c>
    </row>
    <row r="1353" spans="1:36" ht="35.1" hidden="1" customHeight="1" x14ac:dyDescent="0.25">
      <c r="A1353" s="40">
        <v>1966</v>
      </c>
      <c r="B1353" s="40" t="s">
        <v>5245</v>
      </c>
      <c r="C1353" s="40" t="s">
        <v>537</v>
      </c>
      <c r="D1353" s="44">
        <v>2024</v>
      </c>
      <c r="E1353" s="44"/>
      <c r="F1353" s="40" t="s">
        <v>5701</v>
      </c>
      <c r="G1353" s="40" t="s">
        <v>457</v>
      </c>
      <c r="H1353" s="90"/>
      <c r="I1353" s="90" t="s">
        <v>1269</v>
      </c>
      <c r="J1353" s="90" t="s">
        <v>1395</v>
      </c>
      <c r="K1353" s="40" t="s">
        <v>1243</v>
      </c>
      <c r="L1353" s="90"/>
      <c r="M1353" s="90">
        <v>1</v>
      </c>
      <c r="N1353" s="90"/>
      <c r="O1353" s="90"/>
      <c r="Q1353" s="90"/>
      <c r="R1353" s="90"/>
      <c r="S1353" s="90"/>
      <c r="T1353" s="90"/>
      <c r="U1353" s="90"/>
      <c r="V1353" s="90"/>
      <c r="W1353" s="90"/>
      <c r="X1353" s="90"/>
      <c r="Y1353" s="90"/>
      <c r="Z1353" s="40" t="s">
        <v>4609</v>
      </c>
      <c r="AA1353" s="47">
        <f>IF(H2ProjectDB689571011[[#This Row],[Dummy_1]]="Electrolysis",
AB1353*VLOOKUP(G1353,ElectrolysisConvF,3,FALSE),
"")</f>
        <v>91.216458878456734</v>
      </c>
      <c r="AB1353" s="46">
        <f t="shared" si="102"/>
        <v>19829.66497357755</v>
      </c>
      <c r="AC1353" s="47">
        <v>15.46</v>
      </c>
      <c r="AD1353" s="92"/>
      <c r="AE1353" s="92">
        <f t="shared" si="101"/>
        <v>19829.66497357755</v>
      </c>
      <c r="AF1353" s="43" t="s">
        <v>5227</v>
      </c>
      <c r="AG1353" s="43">
        <v>40.2251654855244</v>
      </c>
      <c r="AH1353" s="43">
        <v>109.69556349788201</v>
      </c>
      <c r="AI1353" s="122" t="s">
        <v>7286</v>
      </c>
      <c r="AJ1353" s="41">
        <v>0.5</v>
      </c>
    </row>
    <row r="1354" spans="1:36" ht="35.1" hidden="1" customHeight="1" x14ac:dyDescent="0.25">
      <c r="A1354" s="40">
        <v>1967</v>
      </c>
      <c r="B1354" s="40" t="s">
        <v>5248</v>
      </c>
      <c r="C1354" s="40" t="s">
        <v>537</v>
      </c>
      <c r="D1354" s="44">
        <v>2024</v>
      </c>
      <c r="E1354" s="44"/>
      <c r="F1354" s="40" t="s">
        <v>5701</v>
      </c>
      <c r="G1354" s="40" t="s">
        <v>1259</v>
      </c>
      <c r="H1354" s="90" t="s">
        <v>467</v>
      </c>
      <c r="I1354" s="90" t="s">
        <v>1269</v>
      </c>
      <c r="J1354" s="90" t="s">
        <v>1392</v>
      </c>
      <c r="K1354" s="40" t="s">
        <v>1243</v>
      </c>
      <c r="L1354" s="90"/>
      <c r="M1354" s="90">
        <v>1</v>
      </c>
      <c r="N1354" s="90"/>
      <c r="O1354" s="90"/>
      <c r="Q1354" s="90"/>
      <c r="R1354" s="90"/>
      <c r="S1354" s="90"/>
      <c r="T1354" s="90"/>
      <c r="U1354" s="90"/>
      <c r="V1354" s="90"/>
      <c r="W1354" s="90"/>
      <c r="X1354" s="90"/>
      <c r="Y1354" s="90"/>
      <c r="Z1354" s="40" t="s">
        <v>4610</v>
      </c>
      <c r="AA1354" s="47">
        <f>IF(H2ProjectDB689571011[[#This Row],[Dummy_1]]="Electrolysis",
AB1354*VLOOKUP(G1354,ElectrolysisConvF,3,FALSE),
"")</f>
        <v>161.61305217792827</v>
      </c>
      <c r="AB1354" s="46">
        <f t="shared" si="102"/>
        <v>35914.011595095173</v>
      </c>
      <c r="AC1354" s="47">
        <v>28</v>
      </c>
      <c r="AD1354" s="92"/>
      <c r="AE1354" s="92">
        <f t="shared" si="101"/>
        <v>35914.011595095173</v>
      </c>
      <c r="AF1354" s="43" t="s">
        <v>5227</v>
      </c>
      <c r="AG1354" s="43">
        <v>40.660346770216599</v>
      </c>
      <c r="AH1354" s="43">
        <v>109.843022495452</v>
      </c>
      <c r="AI1354" s="122" t="s">
        <v>7286</v>
      </c>
      <c r="AJ1354" s="41">
        <v>0.4</v>
      </c>
    </row>
    <row r="1355" spans="1:36" ht="35.1" hidden="1" customHeight="1" x14ac:dyDescent="0.25">
      <c r="A1355" s="40">
        <v>1968</v>
      </c>
      <c r="B1355" s="40" t="s">
        <v>5247</v>
      </c>
      <c r="C1355" s="40" t="s">
        <v>537</v>
      </c>
      <c r="D1355" s="44">
        <v>2024</v>
      </c>
      <c r="E1355" s="44"/>
      <c r="F1355" s="40" t="s">
        <v>5701</v>
      </c>
      <c r="G1355" s="40" t="s">
        <v>1259</v>
      </c>
      <c r="H1355" s="90" t="s">
        <v>467</v>
      </c>
      <c r="I1355" s="90" t="s">
        <v>1269</v>
      </c>
      <c r="J1355" s="90" t="s">
        <v>1395</v>
      </c>
      <c r="K1355" s="40" t="s">
        <v>1243</v>
      </c>
      <c r="L1355" s="90"/>
      <c r="M1355" s="90">
        <v>1</v>
      </c>
      <c r="N1355" s="90"/>
      <c r="O1355" s="90"/>
      <c r="Q1355" s="90"/>
      <c r="R1355" s="90"/>
      <c r="S1355" s="90"/>
      <c r="T1355" s="90"/>
      <c r="U1355" s="90"/>
      <c r="V1355" s="90"/>
      <c r="W1355" s="90"/>
      <c r="X1355" s="90"/>
      <c r="Y1355" s="90"/>
      <c r="Z1355" s="40" t="s">
        <v>4611</v>
      </c>
      <c r="AA1355" s="47">
        <f>IF(H2ProjectDB689571011[[#This Row],[Dummy_1]]="Electrolysis",
AB1355*VLOOKUP(G1355,ElectrolysisConvF,3,FALSE),
"")</f>
        <v>148.3376943204556</v>
      </c>
      <c r="AB1355" s="46">
        <f t="shared" si="102"/>
        <v>32963.932071212359</v>
      </c>
      <c r="AC1355" s="47">
        <v>25.7</v>
      </c>
      <c r="AD1355" s="92"/>
      <c r="AE1355" s="92">
        <f t="shared" si="101"/>
        <v>32963.932071212359</v>
      </c>
      <c r="AF1355" s="43" t="s">
        <v>5227</v>
      </c>
      <c r="AG1355" s="43">
        <v>41.068060203698799</v>
      </c>
      <c r="AH1355" s="43">
        <v>113.312184413567</v>
      </c>
      <c r="AI1355" s="122" t="s">
        <v>7286</v>
      </c>
      <c r="AJ1355" s="41">
        <v>0.5</v>
      </c>
    </row>
    <row r="1356" spans="1:36" ht="35.1" hidden="1" customHeight="1" x14ac:dyDescent="0.25">
      <c r="A1356" s="40">
        <v>1969</v>
      </c>
      <c r="B1356" s="43" t="s">
        <v>4613</v>
      </c>
      <c r="C1356" s="40" t="s">
        <v>542</v>
      </c>
      <c r="D1356" s="44">
        <v>2030</v>
      </c>
      <c r="E1356" s="44"/>
      <c r="F1356" s="40" t="s">
        <v>2222</v>
      </c>
      <c r="G1356" s="40" t="s">
        <v>1259</v>
      </c>
      <c r="H1356" s="40" t="s">
        <v>467</v>
      </c>
      <c r="I1356" s="40" t="s">
        <v>1269</v>
      </c>
      <c r="J1356" s="40" t="s">
        <v>1395</v>
      </c>
      <c r="K1356" s="40" t="s">
        <v>578</v>
      </c>
      <c r="L1356" s="90"/>
      <c r="M1356" s="90"/>
      <c r="N1356" s="90"/>
      <c r="O1356" s="90"/>
      <c r="P1356" s="90">
        <v>1</v>
      </c>
      <c r="Q1356" s="90">
        <v>1</v>
      </c>
      <c r="R1356" s="90"/>
      <c r="S1356" s="90"/>
      <c r="T1356" s="90"/>
      <c r="U1356" s="90"/>
      <c r="V1356" s="90"/>
      <c r="W1356" s="90"/>
      <c r="X1356" s="90"/>
      <c r="Y1356" s="90"/>
      <c r="Z1356" s="40" t="s">
        <v>8528</v>
      </c>
      <c r="AA1356" s="91">
        <f>190.5-AA824</f>
        <v>180</v>
      </c>
      <c r="AB1356" s="46">
        <f>IF(H2ProjectDB689571011[[#This Row],[Dummy_1]]="Electrolysis",
AA1356/VLOOKUP(G1356,ElectrolysisConvF,3,FALSE),
AC1356*10^6/(H2dens*HoursInYear))</f>
        <v>40000</v>
      </c>
      <c r="AC1356" s="47">
        <f>AB1356*H2dens*HoursInYear/10^6</f>
        <v>31.185600000000001</v>
      </c>
      <c r="AD1356" s="92"/>
      <c r="AE1356" s="92">
        <f t="shared" si="101"/>
        <v>40000</v>
      </c>
      <c r="AF1356" s="43" t="s">
        <v>7241</v>
      </c>
      <c r="AG1356" s="43">
        <v>53.436944257023399</v>
      </c>
      <c r="AH1356" s="43">
        <v>-2.40825504586318</v>
      </c>
      <c r="AI1356" s="122" t="s">
        <v>7286</v>
      </c>
      <c r="AJ1356" s="41">
        <v>0.5</v>
      </c>
    </row>
    <row r="1357" spans="1:36" ht="35.1" hidden="1" customHeight="1" x14ac:dyDescent="0.25">
      <c r="A1357" s="40">
        <v>1970</v>
      </c>
      <c r="B1357" s="40" t="s">
        <v>4625</v>
      </c>
      <c r="C1357" s="40" t="s">
        <v>539</v>
      </c>
      <c r="D1357" s="90">
        <v>2023</v>
      </c>
      <c r="E1357" s="90"/>
      <c r="F1357" s="40" t="s">
        <v>1339</v>
      </c>
      <c r="G1357" s="40" t="s">
        <v>455</v>
      </c>
      <c r="H1357" s="90"/>
      <c r="I1357" s="90" t="s">
        <v>5700</v>
      </c>
      <c r="J1357" s="40" t="s">
        <v>581</v>
      </c>
      <c r="K1357" s="90" t="s">
        <v>578</v>
      </c>
      <c r="L1357" s="90"/>
      <c r="M1357" s="90"/>
      <c r="N1357" s="90"/>
      <c r="O1357" s="90"/>
      <c r="P1357" s="90"/>
      <c r="Q1357" s="90"/>
      <c r="R1357" s="90"/>
      <c r="S1357" s="90">
        <v>1</v>
      </c>
      <c r="T1357" s="90"/>
      <c r="U1357" s="90"/>
      <c r="V1357" s="90"/>
      <c r="W1357" s="90"/>
      <c r="X1357" s="90"/>
      <c r="Y1357" s="90"/>
      <c r="Z1357" s="40" t="s">
        <v>4627</v>
      </c>
      <c r="AA1357" s="91">
        <v>6.4999999999999997E-3</v>
      </c>
      <c r="AB1357" s="46">
        <f>IF(H2ProjectDB689571011[[#This Row],[Dummy_1]]="Electrolysis",
AA1357/VLOOKUP(G1357,ElectrolysisConvF,3,FALSE),
AC1357*10^6/(H2dens*HoursInYear))</f>
        <v>1.25</v>
      </c>
      <c r="AC1357" s="47">
        <f>AB1357*H2dens*HoursInYear/10^6</f>
        <v>9.7454999999999981E-4</v>
      </c>
      <c r="AD1357" s="92"/>
      <c r="AE1357" s="92">
        <f t="shared" si="101"/>
        <v>1.25</v>
      </c>
      <c r="AF1357" s="93"/>
      <c r="AG1357" s="43">
        <v>21.180901520884401</v>
      </c>
      <c r="AH1357" s="43">
        <v>72.719308747920095</v>
      </c>
      <c r="AI1357" s="122" t="s">
        <v>7286</v>
      </c>
      <c r="AJ1357" s="41">
        <v>0.7</v>
      </c>
    </row>
    <row r="1358" spans="1:36" ht="35.1" hidden="1" customHeight="1" x14ac:dyDescent="0.25">
      <c r="A1358" s="40">
        <v>1971</v>
      </c>
      <c r="B1358" s="40" t="s">
        <v>4626</v>
      </c>
      <c r="C1358" s="40" t="s">
        <v>539</v>
      </c>
      <c r="D1358" s="44">
        <v>2024</v>
      </c>
      <c r="E1358" s="44"/>
      <c r="F1358" s="40" t="s">
        <v>5701</v>
      </c>
      <c r="G1358" s="40" t="s">
        <v>457</v>
      </c>
      <c r="H1358" s="90"/>
      <c r="I1358" s="90" t="s">
        <v>5700</v>
      </c>
      <c r="J1358" s="40" t="s">
        <v>581</v>
      </c>
      <c r="K1358" s="90" t="s">
        <v>578</v>
      </c>
      <c r="L1358" s="90"/>
      <c r="M1358" s="90"/>
      <c r="N1358" s="90"/>
      <c r="O1358" s="90"/>
      <c r="P1358" s="90"/>
      <c r="Q1358" s="90">
        <v>1</v>
      </c>
      <c r="R1358" s="90"/>
      <c r="S1358" s="90"/>
      <c r="T1358" s="90"/>
      <c r="U1358" s="90"/>
      <c r="V1358" s="90"/>
      <c r="W1358" s="90"/>
      <c r="X1358" s="90"/>
      <c r="Y1358" s="90"/>
      <c r="Z1358" s="40" t="s">
        <v>4628</v>
      </c>
      <c r="AA1358" s="91">
        <v>1.6</v>
      </c>
      <c r="AB1358" s="46">
        <f>IF(H2ProjectDB689571011[[#This Row],[Dummy_1]]="Electrolysis",
AA1358/VLOOKUP(G1358,ElectrolysisConvF,3,FALSE),
AC1358*10^6/(H2dens*HoursInYear))</f>
        <v>347.82608695652175</v>
      </c>
      <c r="AC1358" s="47">
        <f>AB1358*H2dens*HoursInYear/10^6</f>
        <v>0.27117913043478259</v>
      </c>
      <c r="AD1358" s="92"/>
      <c r="AE1358" s="92">
        <f t="shared" si="101"/>
        <v>347.82608695652175</v>
      </c>
      <c r="AF1358" s="93"/>
      <c r="AG1358" s="43">
        <v>28.525758964506299</v>
      </c>
      <c r="AH1358" s="43">
        <v>77.506955905605807</v>
      </c>
      <c r="AI1358" s="122" t="s">
        <v>7286</v>
      </c>
      <c r="AJ1358" s="41">
        <v>0.7</v>
      </c>
    </row>
    <row r="1359" spans="1:36" ht="35.1" hidden="1" customHeight="1" x14ac:dyDescent="0.25">
      <c r="A1359" s="40">
        <v>1972</v>
      </c>
      <c r="B1359" s="40" t="s">
        <v>4630</v>
      </c>
      <c r="C1359" s="31" t="s">
        <v>1305</v>
      </c>
      <c r="D1359" s="44">
        <v>2025</v>
      </c>
      <c r="E1359" s="44"/>
      <c r="F1359" s="40" t="s">
        <v>5701</v>
      </c>
      <c r="G1359" s="40" t="s">
        <v>457</v>
      </c>
      <c r="I1359" s="40" t="s">
        <v>1269</v>
      </c>
      <c r="J1359" s="40" t="s">
        <v>1394</v>
      </c>
      <c r="K1359" s="40" t="s">
        <v>578</v>
      </c>
      <c r="L1359" s="90"/>
      <c r="M1359" s="90"/>
      <c r="N1359" s="90"/>
      <c r="O1359" s="90"/>
      <c r="P1359" s="90"/>
      <c r="Q1359" s="90"/>
      <c r="R1359" s="90"/>
      <c r="S1359" s="90"/>
      <c r="T1359" s="90"/>
      <c r="U1359" s="90"/>
      <c r="V1359" s="90"/>
      <c r="W1359" s="90"/>
      <c r="X1359" s="90"/>
      <c r="Y1359" s="90"/>
      <c r="Z1359" s="90" t="s">
        <v>4633</v>
      </c>
      <c r="AA1359" s="47">
        <f>IF(H2ProjectDB689571011[[#This Row],[Dummy_1]]="Electrolysis",
AB1359*VLOOKUP(G1359,ElectrolysisConvF,3,FALSE),
"")</f>
        <v>4.2481145143912578</v>
      </c>
      <c r="AB1359" s="46">
        <f>AC1359/(H2dens*HoursInYear/10^6)</f>
        <v>923.50315530244734</v>
      </c>
      <c r="AC1359" s="92">
        <v>0.72</v>
      </c>
      <c r="AD1359" s="92"/>
      <c r="AE1359" s="92">
        <f t="shared" si="101"/>
        <v>923.50315530244734</v>
      </c>
      <c r="AF1359" s="93" t="s">
        <v>4632</v>
      </c>
      <c r="AG1359" s="43">
        <v>47.539892415871002</v>
      </c>
      <c r="AH1359" s="43">
        <v>7.7123535161505901</v>
      </c>
      <c r="AI1359" s="122" t="s">
        <v>7286</v>
      </c>
      <c r="AJ1359" s="41">
        <v>0.8</v>
      </c>
    </row>
    <row r="1360" spans="1:36" ht="35.1" hidden="1" customHeight="1" x14ac:dyDescent="0.25">
      <c r="A1360" s="40">
        <v>1973</v>
      </c>
      <c r="B1360" s="40" t="s">
        <v>4637</v>
      </c>
      <c r="C1360" s="40" t="s">
        <v>1305</v>
      </c>
      <c r="D1360" s="44">
        <v>2027</v>
      </c>
      <c r="E1360" s="44"/>
      <c r="F1360" s="40" t="s">
        <v>1331</v>
      </c>
      <c r="G1360" s="40" t="s">
        <v>1259</v>
      </c>
      <c r="H1360" s="40" t="s">
        <v>467</v>
      </c>
      <c r="I1360" s="40" t="s">
        <v>1269</v>
      </c>
      <c r="J1360" s="40" t="s">
        <v>1393</v>
      </c>
      <c r="K1360" s="40" t="s">
        <v>578</v>
      </c>
      <c r="L1360" s="90"/>
      <c r="M1360" s="90"/>
      <c r="N1360" s="90"/>
      <c r="O1360" s="90"/>
      <c r="P1360" s="90"/>
      <c r="Q1360" s="90"/>
      <c r="R1360" s="90"/>
      <c r="S1360" s="90"/>
      <c r="T1360" s="90"/>
      <c r="U1360" s="90"/>
      <c r="V1360" s="90"/>
      <c r="W1360" s="90"/>
      <c r="X1360" s="90"/>
      <c r="Y1360" s="90"/>
      <c r="Z1360" s="40" t="s">
        <v>1485</v>
      </c>
      <c r="AA1360" s="91">
        <v>100</v>
      </c>
      <c r="AB1360" s="46">
        <f>IF(H2ProjectDB689571011[[#This Row],[Dummy_1]]="Electrolysis",
AA1360/VLOOKUP(G1360,ElectrolysisConvF,3,FALSE),
AC1360*10^6/(H2dens*HoursInYear))</f>
        <v>22222.222222222223</v>
      </c>
      <c r="AC1360" s="47">
        <f>AB1360*H2dens*HoursInYear/10^6</f>
        <v>17.325333333333333</v>
      </c>
      <c r="AE1360" s="46">
        <f t="shared" si="101"/>
        <v>22222.222222222223</v>
      </c>
      <c r="AF1360" s="43" t="s">
        <v>4638</v>
      </c>
      <c r="AG1360" s="43">
        <v>53.5295406441506</v>
      </c>
      <c r="AH1360" s="43">
        <v>8.1296932004386608</v>
      </c>
      <c r="AI1360" s="122" t="s">
        <v>7286</v>
      </c>
      <c r="AJ1360" s="41">
        <v>0.55000000000000004</v>
      </c>
    </row>
    <row r="1361" spans="1:36" ht="35.1" hidden="1" customHeight="1" x14ac:dyDescent="0.25">
      <c r="A1361" s="40">
        <v>1974</v>
      </c>
      <c r="B1361" s="40" t="s">
        <v>4678</v>
      </c>
      <c r="C1361" s="40" t="s">
        <v>533</v>
      </c>
      <c r="D1361" s="44">
        <v>2024</v>
      </c>
      <c r="E1361" s="44"/>
      <c r="F1361" s="90" t="s">
        <v>5701</v>
      </c>
      <c r="G1361" s="90" t="s">
        <v>1259</v>
      </c>
      <c r="H1361" s="40" t="s">
        <v>467</v>
      </c>
      <c r="I1361" s="90" t="s">
        <v>1269</v>
      </c>
      <c r="J1361" s="90" t="s">
        <v>1394</v>
      </c>
      <c r="K1361" s="40" t="s">
        <v>578</v>
      </c>
      <c r="L1361" s="90"/>
      <c r="M1361" s="90"/>
      <c r="N1361" s="90"/>
      <c r="O1361" s="90"/>
      <c r="P1361" s="90"/>
      <c r="Q1361" s="90">
        <v>1</v>
      </c>
      <c r="R1361" s="90"/>
      <c r="S1361" s="90"/>
      <c r="T1361" s="90"/>
      <c r="U1361" s="90"/>
      <c r="V1361" s="90"/>
      <c r="W1361" s="90"/>
      <c r="X1361" s="90"/>
      <c r="Y1361" s="90"/>
      <c r="Z1361" s="40" t="s">
        <v>4679</v>
      </c>
      <c r="AA1361" s="91">
        <f>2*5</f>
        <v>10</v>
      </c>
      <c r="AB1361" s="46">
        <f>IF(H2ProjectDB689571011[[#This Row],[Dummy_1]]="Electrolysis",
AA1361/VLOOKUP(G1361,ElectrolysisConvF,3,FALSE),
AC1361*10^6/(H2dens*HoursInYear))</f>
        <v>2222.2222222222222</v>
      </c>
      <c r="AC1361" s="47">
        <f>AB1361*H2dens*HoursInYear/10^6</f>
        <v>1.7325333333333333</v>
      </c>
      <c r="AD1361" s="92"/>
      <c r="AE1361" s="92">
        <f t="shared" si="101"/>
        <v>2222.2222222222222</v>
      </c>
      <c r="AF1361" s="43" t="s">
        <v>4682</v>
      </c>
      <c r="AG1361" s="43">
        <v>53.915463454119497</v>
      </c>
      <c r="AH1361" s="43">
        <v>-122.75380066116701</v>
      </c>
      <c r="AI1361" s="122" t="s">
        <v>7286</v>
      </c>
      <c r="AJ1361" s="41">
        <v>0.8</v>
      </c>
    </row>
    <row r="1362" spans="1:36" ht="35.1" hidden="1" customHeight="1" x14ac:dyDescent="0.25">
      <c r="A1362" s="40">
        <v>1975</v>
      </c>
      <c r="B1362" s="40" t="s">
        <v>4691</v>
      </c>
      <c r="C1362" s="40" t="s">
        <v>530</v>
      </c>
      <c r="D1362" s="44">
        <v>2024</v>
      </c>
      <c r="E1362" s="44"/>
      <c r="F1362" s="90" t="s">
        <v>1339</v>
      </c>
      <c r="G1362" s="90" t="s">
        <v>455</v>
      </c>
      <c r="H1362" s="90"/>
      <c r="I1362" s="40" t="s">
        <v>1257</v>
      </c>
      <c r="K1362" s="90" t="s">
        <v>578</v>
      </c>
      <c r="L1362" s="90"/>
      <c r="M1362" s="90"/>
      <c r="N1362" s="90"/>
      <c r="O1362" s="90"/>
      <c r="P1362" s="90"/>
      <c r="Q1362" s="90">
        <v>1</v>
      </c>
      <c r="R1362" s="90"/>
      <c r="S1362" s="90"/>
      <c r="T1362" s="90"/>
      <c r="U1362" s="90"/>
      <c r="V1362" s="90"/>
      <c r="W1362" s="90"/>
      <c r="X1362" s="90"/>
      <c r="Y1362" s="90"/>
      <c r="Z1362" s="40" t="s">
        <v>1480</v>
      </c>
      <c r="AA1362" s="91">
        <v>1</v>
      </c>
      <c r="AB1362" s="46">
        <f>IF(H2ProjectDB689571011[[#This Row],[Dummy_1]]="Electrolysis",
AA1362/VLOOKUP(G1362,ElectrolysisConvF,3,FALSE),
AC1362*10^6/(H2dens*HoursInYear))</f>
        <v>192.30769230769232</v>
      </c>
      <c r="AC1362" s="47">
        <f>AB1362*H2dens*HoursInYear/10^6</f>
        <v>0.14993076923076926</v>
      </c>
      <c r="AD1362" s="92"/>
      <c r="AE1362" s="92">
        <f t="shared" si="101"/>
        <v>192.30769230769232</v>
      </c>
      <c r="AF1362" s="43" t="s">
        <v>4693</v>
      </c>
      <c r="AG1362" s="43">
        <v>48.9640917434348</v>
      </c>
      <c r="AH1362" s="43">
        <v>1.8682839113077701</v>
      </c>
      <c r="AI1362" s="122" t="s">
        <v>7286</v>
      </c>
      <c r="AJ1362" s="41">
        <v>0.56999999999999995</v>
      </c>
    </row>
    <row r="1363" spans="1:36" ht="35.1" hidden="1" customHeight="1" x14ac:dyDescent="0.25">
      <c r="A1363" s="40">
        <v>1976</v>
      </c>
      <c r="B1363" s="90" t="s">
        <v>4710</v>
      </c>
      <c r="C1363" s="40" t="s">
        <v>546</v>
      </c>
      <c r="D1363" s="44">
        <v>2023</v>
      </c>
      <c r="E1363" s="44"/>
      <c r="F1363" s="40" t="s">
        <v>1540</v>
      </c>
      <c r="G1363" s="40" t="s">
        <v>1263</v>
      </c>
      <c r="H1363" s="40" t="s">
        <v>990</v>
      </c>
      <c r="K1363" s="40" t="s">
        <v>578</v>
      </c>
      <c r="R1363" s="90"/>
      <c r="S1363" s="90"/>
      <c r="T1363" s="90"/>
      <c r="U1363" s="90"/>
      <c r="V1363" s="90"/>
      <c r="W1363" s="90"/>
      <c r="X1363" s="90"/>
      <c r="Y1363" s="90"/>
      <c r="Z1363" s="40" t="s">
        <v>4711</v>
      </c>
      <c r="AA1363" s="91"/>
      <c r="AB1363" s="46">
        <f>AC1363/(H2dens*HoursInYear/10^6)</f>
        <v>1628.9569544918168</v>
      </c>
      <c r="AC1363" s="92">
        <f>AVERAGE(240,2300)/1000</f>
        <v>1.27</v>
      </c>
      <c r="AD1363" s="92"/>
      <c r="AE1363" s="92">
        <f t="shared" si="101"/>
        <v>1628.9569544918168</v>
      </c>
      <c r="AF1363" s="43" t="s">
        <v>4702</v>
      </c>
      <c r="AG1363" s="43">
        <v>52.635994993993002</v>
      </c>
      <c r="AH1363" s="43">
        <v>4.7407857526693196</v>
      </c>
      <c r="AI1363" s="122" t="s">
        <v>1255</v>
      </c>
      <c r="AJ1363" s="41">
        <v>0.9</v>
      </c>
    </row>
    <row r="1364" spans="1:36" ht="35.1" hidden="1" customHeight="1" x14ac:dyDescent="0.25">
      <c r="A1364" s="40">
        <v>1977</v>
      </c>
      <c r="B1364" s="40" t="s">
        <v>4712</v>
      </c>
      <c r="C1364" s="40" t="s">
        <v>546</v>
      </c>
      <c r="D1364" s="44">
        <v>2025</v>
      </c>
      <c r="E1364" s="44"/>
      <c r="F1364" s="40" t="s">
        <v>1331</v>
      </c>
      <c r="G1364" s="40" t="s">
        <v>1263</v>
      </c>
      <c r="H1364" s="40" t="s">
        <v>607</v>
      </c>
      <c r="K1364" s="40" t="s">
        <v>578</v>
      </c>
      <c r="L1364" s="90"/>
      <c r="M1364" s="90"/>
      <c r="N1364" s="90"/>
      <c r="O1364" s="90"/>
      <c r="P1364" s="90"/>
      <c r="Q1364" s="90"/>
      <c r="R1364" s="90"/>
      <c r="S1364" s="90"/>
      <c r="T1364" s="90"/>
      <c r="U1364" s="90"/>
      <c r="V1364" s="90"/>
      <c r="W1364" s="90"/>
      <c r="X1364" s="90"/>
      <c r="Y1364" s="90"/>
      <c r="Z1364" s="40" t="s">
        <v>4713</v>
      </c>
      <c r="AA1364" s="91"/>
      <c r="AB1364" s="46">
        <f>AC1364/(H2dens*HoursInYear/10^6)</f>
        <v>168.53932584269663</v>
      </c>
      <c r="AC1364" s="98">
        <f>15*HoursInYear/10^6</f>
        <v>0.13139999999999999</v>
      </c>
      <c r="AD1364" s="92"/>
      <c r="AE1364" s="92">
        <f t="shared" si="101"/>
        <v>168.53932584269663</v>
      </c>
      <c r="AF1364" s="43" t="s">
        <v>4702</v>
      </c>
      <c r="AG1364" s="43">
        <v>52.2487711295556</v>
      </c>
      <c r="AH1364" s="43">
        <v>5.2189047916145297</v>
      </c>
      <c r="AI1364" s="122" t="s">
        <v>1255</v>
      </c>
      <c r="AJ1364" s="41">
        <v>0.9</v>
      </c>
    </row>
    <row r="1365" spans="1:36" ht="35.1" hidden="1" customHeight="1" x14ac:dyDescent="0.25">
      <c r="A1365" s="40">
        <v>1978</v>
      </c>
      <c r="B1365" s="40" t="s">
        <v>4715</v>
      </c>
      <c r="C1365" s="40" t="s">
        <v>546</v>
      </c>
      <c r="D1365" s="90"/>
      <c r="E1365" s="90"/>
      <c r="F1365" s="40" t="s">
        <v>1540</v>
      </c>
      <c r="G1365" s="40" t="s">
        <v>1263</v>
      </c>
      <c r="H1365" s="40" t="s">
        <v>4717</v>
      </c>
      <c r="I1365" s="90"/>
      <c r="J1365" s="90"/>
      <c r="K1365" s="40" t="s">
        <v>578</v>
      </c>
      <c r="L1365" s="90"/>
      <c r="M1365" s="90"/>
      <c r="N1365" s="90"/>
      <c r="O1365" s="90"/>
      <c r="P1365" s="90"/>
      <c r="Q1365" s="90"/>
      <c r="R1365" s="90"/>
      <c r="S1365" s="90"/>
      <c r="T1365" s="90"/>
      <c r="U1365" s="90"/>
      <c r="V1365" s="90"/>
      <c r="W1365" s="90"/>
      <c r="X1365" s="90"/>
      <c r="Y1365" s="90"/>
      <c r="Z1365" s="40" t="s">
        <v>4716</v>
      </c>
      <c r="AA1365" s="91"/>
      <c r="AB1365" s="46">
        <f>AC1365/(H2dens*HoursInYear/10^6)</f>
        <v>5956.179775280898</v>
      </c>
      <c r="AC1365" s="92">
        <f>18.6*HoursInYear*0.95*3600/120/10^6</f>
        <v>4.6436759999999992</v>
      </c>
      <c r="AD1365" s="92"/>
      <c r="AE1365" s="92">
        <f t="shared" si="101"/>
        <v>5956.179775280898</v>
      </c>
      <c r="AF1365" s="43" t="s">
        <v>4719</v>
      </c>
      <c r="AG1365" s="43">
        <v>0</v>
      </c>
      <c r="AH1365" s="43">
        <v>0</v>
      </c>
      <c r="AI1365" s="122" t="s">
        <v>1255</v>
      </c>
      <c r="AJ1365" s="41">
        <v>0.9</v>
      </c>
    </row>
    <row r="1366" spans="1:36" ht="35.1" hidden="1" customHeight="1" x14ac:dyDescent="0.25">
      <c r="A1366" s="40">
        <v>1979</v>
      </c>
      <c r="B1366" s="40" t="s">
        <v>4723</v>
      </c>
      <c r="C1366" s="40" t="s">
        <v>546</v>
      </c>
      <c r="D1366" s="44">
        <v>2023</v>
      </c>
      <c r="E1366" s="90"/>
      <c r="F1366" s="90" t="s">
        <v>1339</v>
      </c>
      <c r="G1366" s="90" t="s">
        <v>1259</v>
      </c>
      <c r="H1366" s="40" t="s">
        <v>467</v>
      </c>
      <c r="I1366" s="40" t="s">
        <v>1269</v>
      </c>
      <c r="J1366" s="90" t="s">
        <v>581</v>
      </c>
      <c r="K1366" s="90" t="s">
        <v>578</v>
      </c>
      <c r="L1366" s="90"/>
      <c r="M1366" s="90"/>
      <c r="N1366" s="90"/>
      <c r="O1366" s="90"/>
      <c r="P1366" s="90">
        <v>1</v>
      </c>
      <c r="Q1366" s="90"/>
      <c r="R1366" s="90"/>
      <c r="S1366" s="90"/>
      <c r="T1366" s="90"/>
      <c r="U1366" s="90"/>
      <c r="V1366" s="90"/>
      <c r="W1366" s="90"/>
      <c r="X1366" s="90"/>
      <c r="Y1366" s="90"/>
      <c r="Z1366" s="40" t="s">
        <v>2759</v>
      </c>
      <c r="AA1366" s="91">
        <v>0.5</v>
      </c>
      <c r="AB1366" s="46">
        <f>IF(H2ProjectDB689571011[[#This Row],[Dummy_1]]="Electrolysis",
AA1366/VLOOKUP(G1366,ElectrolysisConvF,3,FALSE),
AC1366*10^6/(H2dens*HoursInYear))</f>
        <v>111.11111111111111</v>
      </c>
      <c r="AC1366" s="47">
        <f>AB1366*H2dens*HoursInYear/10^6</f>
        <v>8.6626666666666671E-2</v>
      </c>
      <c r="AD1366" s="92"/>
      <c r="AE1366" s="92">
        <f t="shared" si="101"/>
        <v>111.11111111111111</v>
      </c>
      <c r="AF1366" s="43" t="s">
        <v>4702</v>
      </c>
      <c r="AG1366" s="43">
        <v>52.257205236178102</v>
      </c>
      <c r="AH1366" s="43">
        <v>6.2087563061523001</v>
      </c>
      <c r="AI1366" s="122" t="s">
        <v>7286</v>
      </c>
      <c r="AJ1366" s="41">
        <v>0.5</v>
      </c>
    </row>
    <row r="1367" spans="1:36" ht="35.1" hidden="1" customHeight="1" x14ac:dyDescent="0.25">
      <c r="A1367" s="40">
        <v>1980</v>
      </c>
      <c r="B1367" s="90" t="s">
        <v>4724</v>
      </c>
      <c r="C1367" s="40" t="s">
        <v>536</v>
      </c>
      <c r="D1367" s="44">
        <v>2023</v>
      </c>
      <c r="E1367" s="90"/>
      <c r="F1367" s="90" t="s">
        <v>1540</v>
      </c>
      <c r="G1367" s="90" t="s">
        <v>456</v>
      </c>
      <c r="H1367" s="90"/>
      <c r="I1367" s="90" t="s">
        <v>1257</v>
      </c>
      <c r="J1367" s="90"/>
      <c r="K1367" s="90" t="s">
        <v>578</v>
      </c>
      <c r="L1367" s="90"/>
      <c r="M1367" s="90"/>
      <c r="N1367" s="90"/>
      <c r="O1367" s="90"/>
      <c r="P1367" s="90"/>
      <c r="Q1367" s="90"/>
      <c r="R1367" s="90"/>
      <c r="S1367" s="90"/>
      <c r="T1367" s="90"/>
      <c r="U1367" s="90"/>
      <c r="V1367" s="90"/>
      <c r="W1367" s="90"/>
      <c r="X1367" s="90"/>
      <c r="Y1367" s="90"/>
      <c r="Z1367" s="90" t="s">
        <v>1648</v>
      </c>
      <c r="AA1367" s="91">
        <v>4</v>
      </c>
      <c r="AB1367" s="46">
        <f>IF(H2ProjectDB689571011[[#This Row],[Dummy_1]]="Electrolysis",
AA1367/VLOOKUP(G1367,ElectrolysisConvF,3,FALSE),
AC1367*10^6/(H2dens*HoursInYear))</f>
        <v>1052.6315789473683</v>
      </c>
      <c r="AC1367" s="47">
        <f>AB1367*H2dens*HoursInYear/10^6</f>
        <v>0.82067368421052633</v>
      </c>
      <c r="AD1367" s="92"/>
      <c r="AE1367" s="92">
        <f t="shared" si="101"/>
        <v>1052.6315789473683</v>
      </c>
      <c r="AF1367" s="93" t="s">
        <v>4726</v>
      </c>
      <c r="AG1367" s="43">
        <v>37.4178804183599</v>
      </c>
      <c r="AH1367" s="43">
        <v>-122.06713761648599</v>
      </c>
      <c r="AI1367" s="122" t="s">
        <v>7286</v>
      </c>
      <c r="AJ1367" s="41">
        <v>0.56999999999999995</v>
      </c>
    </row>
    <row r="1368" spans="1:36" ht="35.1" hidden="1" customHeight="1" x14ac:dyDescent="0.25">
      <c r="A1368" s="40">
        <v>1981</v>
      </c>
      <c r="B1368" s="40" t="s">
        <v>4727</v>
      </c>
      <c r="C1368" s="40" t="s">
        <v>546</v>
      </c>
      <c r="D1368" s="44"/>
      <c r="E1368" s="44"/>
      <c r="F1368" s="90" t="s">
        <v>1331</v>
      </c>
      <c r="G1368" s="90" t="s">
        <v>1259</v>
      </c>
      <c r="H1368" s="40" t="s">
        <v>467</v>
      </c>
      <c r="I1368" s="90" t="s">
        <v>1257</v>
      </c>
      <c r="J1368" s="90" t="s">
        <v>581</v>
      </c>
      <c r="K1368" s="90" t="s">
        <v>578</v>
      </c>
      <c r="L1368" s="90"/>
      <c r="M1368" s="90"/>
      <c r="N1368" s="90"/>
      <c r="O1368" s="90"/>
      <c r="P1368" s="90"/>
      <c r="Q1368" s="90">
        <v>1</v>
      </c>
      <c r="R1368" s="90"/>
      <c r="S1368" s="90"/>
      <c r="T1368" s="90"/>
      <c r="U1368" s="90"/>
      <c r="V1368" s="90"/>
      <c r="W1368" s="90"/>
      <c r="X1368" s="90"/>
      <c r="Y1368" s="90"/>
      <c r="Z1368" s="90"/>
      <c r="AA1368" s="91">
        <f>IF(OR(G1368="ALK",G1368="PEM",G1368="SOEC",G1368="Other Electrolysis"),
AB1368*VLOOKUP(G1368,ElectrolysisConvF,3,FALSE),
"")</f>
        <v>0</v>
      </c>
      <c r="AB1368" s="92"/>
      <c r="AC1368" s="92"/>
      <c r="AD1368" s="92"/>
      <c r="AE1368" s="92">
        <f t="shared" si="101"/>
        <v>0</v>
      </c>
      <c r="AF1368" s="43" t="s">
        <v>4702</v>
      </c>
      <c r="AG1368" s="43">
        <v>0</v>
      </c>
      <c r="AH1368" s="43">
        <v>0</v>
      </c>
      <c r="AI1368" s="122" t="s">
        <v>7286</v>
      </c>
      <c r="AJ1368" s="41">
        <v>0.56999999999999995</v>
      </c>
    </row>
    <row r="1369" spans="1:36" ht="35.1" hidden="1" customHeight="1" x14ac:dyDescent="0.25">
      <c r="A1369" s="40">
        <v>1982</v>
      </c>
      <c r="B1369" s="90" t="s">
        <v>4728</v>
      </c>
      <c r="C1369" s="40" t="s">
        <v>546</v>
      </c>
      <c r="D1369" s="44">
        <v>2023</v>
      </c>
      <c r="E1369" s="90"/>
      <c r="F1369" s="90" t="s">
        <v>1540</v>
      </c>
      <c r="G1369" s="90" t="s">
        <v>1259</v>
      </c>
      <c r="H1369" s="40" t="s">
        <v>467</v>
      </c>
      <c r="I1369" s="90" t="s">
        <v>1257</v>
      </c>
      <c r="J1369" s="90" t="s">
        <v>581</v>
      </c>
      <c r="K1369" s="90" t="s">
        <v>578</v>
      </c>
      <c r="L1369" s="90"/>
      <c r="M1369" s="90"/>
      <c r="N1369" s="90"/>
      <c r="O1369" s="90"/>
      <c r="P1369" s="90"/>
      <c r="Q1369" s="90"/>
      <c r="R1369" s="90"/>
      <c r="S1369" s="90">
        <v>1</v>
      </c>
      <c r="T1369" s="90"/>
      <c r="U1369" s="90"/>
      <c r="V1369" s="90"/>
      <c r="W1369" s="90"/>
      <c r="X1369" s="90"/>
      <c r="Y1369" s="90"/>
      <c r="Z1369" s="90"/>
      <c r="AA1369" s="91">
        <f>IF(OR(G1369="ALK",G1369="PEM",G1369="SOEC",G1369="Other Electrolysis"),
AB1369*VLOOKUP(G1369,ElectrolysisConvF,3,FALSE),
"")</f>
        <v>0</v>
      </c>
      <c r="AB1369" s="92"/>
      <c r="AC1369" s="92"/>
      <c r="AD1369" s="92"/>
      <c r="AE1369" s="92">
        <f t="shared" si="101"/>
        <v>0</v>
      </c>
      <c r="AF1369" s="43" t="s">
        <v>4702</v>
      </c>
      <c r="AG1369" s="43">
        <v>0</v>
      </c>
      <c r="AH1369" s="43">
        <v>0</v>
      </c>
      <c r="AI1369" s="122" t="s">
        <v>7286</v>
      </c>
      <c r="AJ1369" s="41">
        <v>0.56999999999999995</v>
      </c>
    </row>
    <row r="1370" spans="1:36" ht="35.1" hidden="1" customHeight="1" x14ac:dyDescent="0.25">
      <c r="A1370" s="40">
        <v>1983</v>
      </c>
      <c r="B1370" s="90" t="s">
        <v>4729</v>
      </c>
      <c r="C1370" s="40" t="s">
        <v>546</v>
      </c>
      <c r="D1370" s="44">
        <v>2025</v>
      </c>
      <c r="E1370" s="44"/>
      <c r="F1370" s="90" t="s">
        <v>1331</v>
      </c>
      <c r="G1370" s="90" t="s">
        <v>1259</v>
      </c>
      <c r="H1370" s="40" t="s">
        <v>467</v>
      </c>
      <c r="I1370" s="90" t="s">
        <v>1257</v>
      </c>
      <c r="J1370" s="90" t="s">
        <v>1391</v>
      </c>
      <c r="K1370" s="90" t="s">
        <v>578</v>
      </c>
      <c r="L1370" s="90"/>
      <c r="M1370" s="90"/>
      <c r="N1370" s="90"/>
      <c r="O1370" s="90"/>
      <c r="P1370" s="90"/>
      <c r="Q1370" s="90"/>
      <c r="R1370" s="90"/>
      <c r="S1370" s="90">
        <v>1</v>
      </c>
      <c r="T1370" s="90"/>
      <c r="U1370" s="90"/>
      <c r="V1370" s="90"/>
      <c r="W1370" s="90"/>
      <c r="X1370" s="90"/>
      <c r="Y1370" s="90"/>
      <c r="Z1370" s="90"/>
      <c r="AA1370" s="91">
        <f>IF(OR(G1370="ALK",G1370="PEM",G1370="SOEC",G1370="Other Electrolysis"),
AB1370*VLOOKUP(G1370,ElectrolysisConvF,3,FALSE),
"")</f>
        <v>0</v>
      </c>
      <c r="AB1370" s="92"/>
      <c r="AC1370" s="92"/>
      <c r="AD1370" s="92"/>
      <c r="AE1370" s="92">
        <f t="shared" si="101"/>
        <v>0</v>
      </c>
      <c r="AF1370" s="43" t="s">
        <v>4702</v>
      </c>
      <c r="AG1370" s="43">
        <v>0</v>
      </c>
      <c r="AH1370" s="43">
        <v>0</v>
      </c>
      <c r="AI1370" s="122" t="s">
        <v>7286</v>
      </c>
      <c r="AJ1370" s="41">
        <v>0.56999999999999995</v>
      </c>
    </row>
    <row r="1371" spans="1:36" ht="35.1" hidden="1" customHeight="1" x14ac:dyDescent="0.25">
      <c r="A1371" s="40">
        <v>1985</v>
      </c>
      <c r="B1371" s="40" t="s">
        <v>8477</v>
      </c>
      <c r="C1371" s="40" t="s">
        <v>531</v>
      </c>
      <c r="D1371" s="44">
        <v>2028</v>
      </c>
      <c r="E1371" s="44"/>
      <c r="F1371" s="90" t="s">
        <v>1331</v>
      </c>
      <c r="G1371" s="90" t="s">
        <v>1259</v>
      </c>
      <c r="H1371" s="40" t="s">
        <v>467</v>
      </c>
      <c r="I1371" s="40" t="s">
        <v>5700</v>
      </c>
      <c r="J1371" s="90" t="s">
        <v>581</v>
      </c>
      <c r="K1371" s="90" t="s">
        <v>1243</v>
      </c>
      <c r="L1371" s="90"/>
      <c r="M1371" s="90"/>
      <c r="N1371" s="90"/>
      <c r="O1371" s="90"/>
      <c r="P1371" s="90"/>
      <c r="Q1371" s="90"/>
      <c r="R1371" s="90"/>
      <c r="S1371" s="90"/>
      <c r="T1371" s="90"/>
      <c r="U1371" s="90"/>
      <c r="V1371" s="90"/>
      <c r="W1371" s="90"/>
      <c r="X1371" s="90"/>
      <c r="Y1371" s="90"/>
      <c r="Z1371" s="40" t="s">
        <v>3919</v>
      </c>
      <c r="AA1371" s="91">
        <v>250</v>
      </c>
      <c r="AB1371" s="46">
        <f>IF(H2ProjectDB689571011[[#This Row],[Dummy_1]]="Electrolysis",
AA1371/VLOOKUP(G1371,ElectrolysisConvF,3,FALSE),
AC1371*10^6/(H2dens*HoursInYear))</f>
        <v>55555.555555555562</v>
      </c>
      <c r="AC1371" s="47">
        <f>AB1371*H2dens*HoursInYear/10^6</f>
        <v>43.313333333333333</v>
      </c>
      <c r="AD1371" s="92"/>
      <c r="AE1371" s="92">
        <f t="shared" si="101"/>
        <v>55555.555555555562</v>
      </c>
      <c r="AF1371" s="43" t="s">
        <v>6693</v>
      </c>
      <c r="AG1371" s="43">
        <v>68.439028458493496</v>
      </c>
      <c r="AH1371" s="43">
        <v>17.4231920549209</v>
      </c>
      <c r="AI1371" s="122" t="s">
        <v>7286</v>
      </c>
      <c r="AJ1371" s="41">
        <v>0.7</v>
      </c>
    </row>
    <row r="1372" spans="1:36" ht="35.1" hidden="1" customHeight="1" x14ac:dyDescent="0.25">
      <c r="A1372" s="40">
        <v>1986</v>
      </c>
      <c r="B1372" s="40" t="s">
        <v>4739</v>
      </c>
      <c r="C1372" s="40" t="s">
        <v>536</v>
      </c>
      <c r="D1372" s="44">
        <v>2023</v>
      </c>
      <c r="E1372" s="44"/>
      <c r="F1372" s="90" t="s">
        <v>1339</v>
      </c>
      <c r="G1372" s="90" t="s">
        <v>455</v>
      </c>
      <c r="H1372" s="90"/>
      <c r="I1372" s="90" t="s">
        <v>1680</v>
      </c>
      <c r="J1372" s="90"/>
      <c r="K1372" s="90" t="s">
        <v>578</v>
      </c>
      <c r="L1372" s="90"/>
      <c r="M1372" s="90"/>
      <c r="N1372" s="90"/>
      <c r="O1372" s="90"/>
      <c r="P1372" s="90">
        <v>1</v>
      </c>
      <c r="Q1372" s="90">
        <v>1</v>
      </c>
      <c r="R1372" s="90"/>
      <c r="S1372" s="90"/>
      <c r="T1372" s="90"/>
      <c r="U1372" s="90"/>
      <c r="V1372" s="90"/>
      <c r="W1372" s="90"/>
      <c r="X1372" s="90"/>
      <c r="Y1372" s="90"/>
      <c r="Z1372" s="40" t="s">
        <v>1372</v>
      </c>
      <c r="AA1372" s="91">
        <v>1</v>
      </c>
      <c r="AB1372" s="46">
        <f>IF(H2ProjectDB689571011[[#This Row],[Dummy_1]]="Electrolysis",
AA1372/VLOOKUP(G1372,ElectrolysisConvF,3,FALSE),
AC1372*10^6/(H2dens*HoursInYear))</f>
        <v>192.30769230769232</v>
      </c>
      <c r="AC1372" s="47">
        <f>AB1372*H2dens*HoursInYear/10^6</f>
        <v>0.14993076923076926</v>
      </c>
      <c r="AD1372" s="92"/>
      <c r="AE1372" s="92">
        <f t="shared" si="101"/>
        <v>192.30769230769232</v>
      </c>
      <c r="AF1372" s="43" t="s">
        <v>4738</v>
      </c>
      <c r="AG1372" s="43">
        <v>43.440709037251203</v>
      </c>
      <c r="AH1372" s="43">
        <v>-76.413025688440797</v>
      </c>
      <c r="AI1372" s="122" t="s">
        <v>7286</v>
      </c>
      <c r="AJ1372" s="41">
        <v>0.8</v>
      </c>
    </row>
    <row r="1373" spans="1:36" ht="35.1" hidden="1" customHeight="1" x14ac:dyDescent="0.25">
      <c r="A1373" s="40">
        <v>1987</v>
      </c>
      <c r="B1373" s="90" t="s">
        <v>4748</v>
      </c>
      <c r="C1373" s="90" t="s">
        <v>1756</v>
      </c>
      <c r="D1373" s="44">
        <v>2026</v>
      </c>
      <c r="E1373" s="44"/>
      <c r="F1373" s="90" t="s">
        <v>1331</v>
      </c>
      <c r="G1373" s="90" t="s">
        <v>1259</v>
      </c>
      <c r="H1373" s="40" t="s">
        <v>467</v>
      </c>
      <c r="I1373" s="90" t="s">
        <v>1269</v>
      </c>
      <c r="J1373" s="90" t="s">
        <v>1393</v>
      </c>
      <c r="K1373" s="90" t="s">
        <v>1243</v>
      </c>
      <c r="L1373" s="90"/>
      <c r="M1373" s="90">
        <v>1</v>
      </c>
      <c r="N1373" s="90"/>
      <c r="O1373" s="90"/>
      <c r="P1373" s="90"/>
      <c r="Q1373" s="90"/>
      <c r="R1373" s="90"/>
      <c r="S1373" s="90"/>
      <c r="T1373" s="90"/>
      <c r="U1373" s="90"/>
      <c r="V1373" s="90"/>
      <c r="W1373" s="90"/>
      <c r="X1373" s="90"/>
      <c r="Y1373" s="90"/>
      <c r="Z1373" s="90" t="s">
        <v>4752</v>
      </c>
      <c r="AA1373" s="91">
        <v>3200</v>
      </c>
      <c r="AB1373" s="46">
        <f>IF(H2ProjectDB689571011[[#This Row],[Dummy_1]]="Electrolysis",
AA1373/VLOOKUP(G1373,ElectrolysisConvF,3,FALSE),
AC1373*10^6/(H2dens*HoursInYear))</f>
        <v>711111.11111111112</v>
      </c>
      <c r="AC1373" s="47">
        <f>AB1373*H2dens*HoursInYear/10^6</f>
        <v>554.41066666666666</v>
      </c>
      <c r="AD1373" s="92"/>
      <c r="AE1373" s="92">
        <f t="shared" si="101"/>
        <v>711111.11111111112</v>
      </c>
      <c r="AF1373" s="93" t="s">
        <v>4751</v>
      </c>
      <c r="AG1373" s="43">
        <v>51.649997399999997</v>
      </c>
      <c r="AH1373" s="43">
        <v>-9.7166637999999992</v>
      </c>
      <c r="AI1373" s="122" t="s">
        <v>7286</v>
      </c>
      <c r="AJ1373" s="41">
        <v>0.55000000000000004</v>
      </c>
    </row>
    <row r="1374" spans="1:36" ht="35.1" customHeight="1" x14ac:dyDescent="0.25">
      <c r="A1374" s="40">
        <v>1988</v>
      </c>
      <c r="B1374" s="40" t="s">
        <v>7975</v>
      </c>
      <c r="C1374" s="90" t="s">
        <v>1052</v>
      </c>
      <c r="D1374" s="44">
        <v>2026</v>
      </c>
      <c r="E1374" s="44"/>
      <c r="F1374" s="90" t="s">
        <v>1331</v>
      </c>
      <c r="G1374" s="90" t="s">
        <v>1259</v>
      </c>
      <c r="H1374" s="40" t="s">
        <v>467</v>
      </c>
      <c r="I1374" s="90" t="s">
        <v>1257</v>
      </c>
      <c r="J1374" s="90" t="s">
        <v>581</v>
      </c>
      <c r="K1374" s="90" t="s">
        <v>1243</v>
      </c>
      <c r="L1374" s="90"/>
      <c r="M1374" s="90">
        <v>1</v>
      </c>
      <c r="N1374" s="90"/>
      <c r="O1374" s="90"/>
      <c r="P1374" s="90"/>
      <c r="Q1374" s="90"/>
      <c r="R1374" s="90"/>
      <c r="S1374" s="90"/>
      <c r="T1374" s="90"/>
      <c r="U1374" s="90"/>
      <c r="V1374" s="90"/>
      <c r="W1374" s="90"/>
      <c r="X1374" s="90"/>
      <c r="Y1374" s="90"/>
      <c r="Z1374" s="90" t="s">
        <v>4753</v>
      </c>
      <c r="AA1374" s="91">
        <v>2400</v>
      </c>
      <c r="AB1374" s="46">
        <f>IF(H2ProjectDB689571011[[#This Row],[Dummy_1]]="Electrolysis",
AA1374/VLOOKUP(G1374,ElectrolysisConvF,3,FALSE),
AC1374*10^6/(H2dens*HoursInYear))</f>
        <v>533333.33333333337</v>
      </c>
      <c r="AC1374" s="47">
        <f>AB1374*H2dens*HoursInYear/10^6</f>
        <v>415.80799999999999</v>
      </c>
      <c r="AD1374" s="92"/>
      <c r="AE1374" s="92">
        <f t="shared" si="101"/>
        <v>533333.33333333337</v>
      </c>
      <c r="AF1374" s="43" t="s">
        <v>7976</v>
      </c>
      <c r="AG1374" s="43">
        <v>-3.53092803394662</v>
      </c>
      <c r="AH1374" s="43">
        <v>-38.792377458297302</v>
      </c>
      <c r="AI1374" s="122" t="s">
        <v>7286</v>
      </c>
      <c r="AJ1374" s="41">
        <v>0.56999999999999995</v>
      </c>
    </row>
    <row r="1375" spans="1:36" ht="35.1" hidden="1" customHeight="1" x14ac:dyDescent="0.25">
      <c r="A1375" s="40">
        <v>1989</v>
      </c>
      <c r="B1375" s="90" t="s">
        <v>4756</v>
      </c>
      <c r="C1375" s="90" t="s">
        <v>1097</v>
      </c>
      <c r="D1375" s="90"/>
      <c r="E1375" s="90"/>
      <c r="F1375" s="90" t="s">
        <v>2222</v>
      </c>
      <c r="G1375" s="90" t="s">
        <v>1259</v>
      </c>
      <c r="H1375" s="40" t="s">
        <v>467</v>
      </c>
      <c r="I1375" s="90" t="s">
        <v>1269</v>
      </c>
      <c r="J1375" s="90" t="s">
        <v>1395</v>
      </c>
      <c r="K1375" s="90" t="s">
        <v>578</v>
      </c>
      <c r="L1375" s="90"/>
      <c r="M1375" s="90">
        <v>1</v>
      </c>
      <c r="N1375" s="90"/>
      <c r="O1375" s="90"/>
      <c r="P1375" s="90"/>
      <c r="Q1375" s="90"/>
      <c r="R1375" s="90"/>
      <c r="S1375" s="90"/>
      <c r="T1375" s="90"/>
      <c r="U1375" s="90"/>
      <c r="V1375" s="90"/>
      <c r="W1375" s="90"/>
      <c r="X1375" s="90"/>
      <c r="Y1375" s="90"/>
      <c r="Z1375" s="90"/>
      <c r="AA1375" s="91"/>
      <c r="AB1375" s="92"/>
      <c r="AC1375" s="92"/>
      <c r="AD1375" s="92"/>
      <c r="AE1375" s="92">
        <f t="shared" si="101"/>
        <v>0</v>
      </c>
      <c r="AF1375" s="93" t="s">
        <v>4332</v>
      </c>
      <c r="AG1375" s="43">
        <v>31.051877999999999</v>
      </c>
      <c r="AH1375" s="43">
        <v>-9.7452550000000002</v>
      </c>
      <c r="AI1375" s="122" t="s">
        <v>7286</v>
      </c>
      <c r="AJ1375" s="41">
        <v>0.5</v>
      </c>
    </row>
    <row r="1376" spans="1:36" ht="35.1" hidden="1" customHeight="1" x14ac:dyDescent="0.25">
      <c r="A1376" s="40">
        <v>1990</v>
      </c>
      <c r="B1376" s="90" t="s">
        <v>6173</v>
      </c>
      <c r="C1376" s="90" t="s">
        <v>535</v>
      </c>
      <c r="D1376" s="44">
        <v>2032</v>
      </c>
      <c r="E1376" s="44"/>
      <c r="F1376" s="90" t="s">
        <v>2222</v>
      </c>
      <c r="G1376" s="90" t="s">
        <v>1259</v>
      </c>
      <c r="H1376" s="40" t="s">
        <v>467</v>
      </c>
      <c r="I1376" s="90" t="s">
        <v>1269</v>
      </c>
      <c r="J1376" s="90" t="s">
        <v>1395</v>
      </c>
      <c r="K1376" s="90" t="s">
        <v>1243</v>
      </c>
      <c r="L1376" s="90"/>
      <c r="M1376" s="90"/>
      <c r="N1376" s="90"/>
      <c r="O1376" s="90"/>
      <c r="P1376" s="90"/>
      <c r="Q1376" s="90"/>
      <c r="R1376" s="90"/>
      <c r="S1376" s="90"/>
      <c r="T1376" s="90"/>
      <c r="U1376" s="90"/>
      <c r="V1376" s="90"/>
      <c r="W1376" s="90"/>
      <c r="X1376" s="90"/>
      <c r="Y1376" s="90"/>
      <c r="Z1376" s="90" t="s">
        <v>6174</v>
      </c>
      <c r="AA1376" s="47">
        <f>IF(H2ProjectDB689571011[[#This Row],[Dummy_1]]="Electrolysis",
AB1376*VLOOKUP(G1376,ElectrolysisConvF,3,FALSE),
"")</f>
        <v>3741.6844527560133</v>
      </c>
      <c r="AB1376" s="46">
        <f>AC1376/(H2dens*HoursInYear/10^6)</f>
        <v>831485.43394578085</v>
      </c>
      <c r="AC1376" s="46">
        <f>(1800*3/17/0.98)/H2ProjectDB689571011[[#This Row],[LOWE_CF]]</f>
        <v>648.25930372148855</v>
      </c>
      <c r="AD1376" s="92"/>
      <c r="AE1376" s="92">
        <f t="shared" si="101"/>
        <v>831485.43394578085</v>
      </c>
      <c r="AF1376" s="93" t="s">
        <v>4757</v>
      </c>
      <c r="AG1376" s="43">
        <v>-20.522676229569299</v>
      </c>
      <c r="AH1376" s="43">
        <v>147.81862106955401</v>
      </c>
      <c r="AI1376" s="122" t="s">
        <v>7286</v>
      </c>
      <c r="AJ1376" s="41">
        <v>0.5</v>
      </c>
    </row>
    <row r="1377" spans="1:36" ht="35.1" hidden="1" customHeight="1" x14ac:dyDescent="0.25">
      <c r="A1377" s="40">
        <v>1994</v>
      </c>
      <c r="B1377" s="90" t="s">
        <v>4763</v>
      </c>
      <c r="C1377" s="90" t="s">
        <v>536</v>
      </c>
      <c r="D1377" s="44">
        <v>2030</v>
      </c>
      <c r="E1377" s="44"/>
      <c r="F1377" s="40" t="s">
        <v>2222</v>
      </c>
      <c r="G1377" s="40" t="s">
        <v>1259</v>
      </c>
      <c r="H1377" s="40" t="s">
        <v>467</v>
      </c>
      <c r="I1377" s="90" t="s">
        <v>1257</v>
      </c>
      <c r="J1377" s="40" t="s">
        <v>581</v>
      </c>
      <c r="K1377" s="90" t="s">
        <v>612</v>
      </c>
      <c r="L1377" s="90"/>
      <c r="M1377" s="90"/>
      <c r="N1377" s="90"/>
      <c r="O1377" s="90"/>
      <c r="P1377" s="90"/>
      <c r="Q1377" s="90"/>
      <c r="R1377" s="90"/>
      <c r="S1377" s="90"/>
      <c r="T1377" s="90"/>
      <c r="U1377" s="90"/>
      <c r="V1377" s="90"/>
      <c r="W1377" s="90"/>
      <c r="X1377" s="90"/>
      <c r="Y1377" s="90"/>
      <c r="Z1377" s="90" t="s">
        <v>4764</v>
      </c>
      <c r="AA1377" s="47">
        <f>IF(H2ProjectDB689571011[[#This Row],[Dummy_1]]="Electrolysis",
AB1377*VLOOKUP(G1377,ElectrolysisConvF,3,FALSE),
"")</f>
        <v>335.81557182386251</v>
      </c>
      <c r="AB1377" s="46">
        <f>AC1377/(H2dens*HoursInYear/10^6)</f>
        <v>74625.682627525006</v>
      </c>
      <c r="AC1377" s="46">
        <f>(130*4/16/0.98)/H2ProjectDB689571011[[#This Row],[LOWE_CF]]</f>
        <v>58.181167203723597</v>
      </c>
      <c r="AD1377" s="92"/>
      <c r="AE1377" s="92">
        <f t="shared" si="101"/>
        <v>74625.682627525006</v>
      </c>
      <c r="AF1377" s="93" t="s">
        <v>4762</v>
      </c>
      <c r="AG1377" s="43">
        <v>30.035508</v>
      </c>
      <c r="AH1377" s="43">
        <v>-93.337624000000005</v>
      </c>
      <c r="AI1377" s="122" t="s">
        <v>7286</v>
      </c>
      <c r="AJ1377" s="41">
        <v>0.56999999999999995</v>
      </c>
    </row>
    <row r="1378" spans="1:36" ht="35.1" hidden="1" customHeight="1" x14ac:dyDescent="0.25">
      <c r="A1378" s="40">
        <v>1995</v>
      </c>
      <c r="B1378" s="40" t="s">
        <v>6905</v>
      </c>
      <c r="C1378" s="90" t="s">
        <v>560</v>
      </c>
      <c r="D1378" s="44">
        <v>2025</v>
      </c>
      <c r="E1378" s="44"/>
      <c r="F1378" s="40" t="s">
        <v>1331</v>
      </c>
      <c r="G1378" s="40" t="s">
        <v>1259</v>
      </c>
      <c r="H1378" s="40" t="s">
        <v>467</v>
      </c>
      <c r="I1378" s="40" t="s">
        <v>1269</v>
      </c>
      <c r="J1378" s="90" t="s">
        <v>1391</v>
      </c>
      <c r="K1378" s="90" t="s">
        <v>1243</v>
      </c>
      <c r="L1378" s="90"/>
      <c r="M1378" s="90"/>
      <c r="N1378" s="90"/>
      <c r="O1378" s="90"/>
      <c r="P1378" s="90"/>
      <c r="Q1378" s="90"/>
      <c r="R1378" s="90"/>
      <c r="S1378" s="90"/>
      <c r="T1378" s="90"/>
      <c r="U1378" s="90"/>
      <c r="V1378" s="90"/>
      <c r="W1378" s="90"/>
      <c r="X1378" s="90"/>
      <c r="Y1378" s="90"/>
      <c r="Z1378" s="40" t="s">
        <v>3748</v>
      </c>
      <c r="AA1378" s="91">
        <f>400-100</f>
        <v>300</v>
      </c>
      <c r="AB1378" s="46">
        <f>IF(H2ProjectDB689571011[[#This Row],[Dummy_1]]="Electrolysis",
AA1378/VLOOKUP(G1378,ElectrolysisConvF,3,FALSE),
AC1378*10^6/(H2dens*HoursInYear))</f>
        <v>66666.666666666672</v>
      </c>
      <c r="AC1378" s="47">
        <f t="shared" ref="AC1378:AC1384" si="103">AB1378*H2dens*HoursInYear/10^6</f>
        <v>51.975999999999999</v>
      </c>
      <c r="AD1378" s="92"/>
      <c r="AE1378" s="92">
        <f t="shared" si="101"/>
        <v>66666.666666666672</v>
      </c>
      <c r="AF1378" s="93" t="s">
        <v>4766</v>
      </c>
      <c r="AG1378" s="43">
        <v>-22.339334999999998</v>
      </c>
      <c r="AH1378" s="43">
        <v>-69.662195999999994</v>
      </c>
      <c r="AI1378" s="122" t="s">
        <v>7286</v>
      </c>
      <c r="AJ1378" s="41">
        <v>0.3</v>
      </c>
    </row>
    <row r="1379" spans="1:36" ht="51" hidden="1" customHeight="1" x14ac:dyDescent="0.25">
      <c r="A1379" s="40">
        <v>1996</v>
      </c>
      <c r="B1379" s="43" t="s">
        <v>8331</v>
      </c>
      <c r="C1379" s="90" t="s">
        <v>1764</v>
      </c>
      <c r="D1379" s="44">
        <v>2028</v>
      </c>
      <c r="E1379" s="44"/>
      <c r="F1379" s="40" t="s">
        <v>1331</v>
      </c>
      <c r="G1379" s="40" t="s">
        <v>1259</v>
      </c>
      <c r="H1379" s="40" t="s">
        <v>467</v>
      </c>
      <c r="I1379" s="90" t="s">
        <v>1257</v>
      </c>
      <c r="J1379" s="40" t="s">
        <v>581</v>
      </c>
      <c r="K1379" s="90" t="s">
        <v>1268</v>
      </c>
      <c r="L1379" s="90">
        <v>1</v>
      </c>
      <c r="M1379" s="90">
        <v>1</v>
      </c>
      <c r="N1379" s="90"/>
      <c r="O1379" s="90"/>
      <c r="P1379" s="90"/>
      <c r="Q1379" s="90">
        <v>1</v>
      </c>
      <c r="R1379" s="90"/>
      <c r="S1379" s="90"/>
      <c r="T1379" s="90"/>
      <c r="U1379" s="90"/>
      <c r="V1379" s="90"/>
      <c r="W1379" s="90">
        <v>1</v>
      </c>
      <c r="X1379" s="90"/>
      <c r="Y1379" s="90"/>
      <c r="Z1379" s="40" t="s">
        <v>8330</v>
      </c>
      <c r="AA1379" s="91">
        <v>500</v>
      </c>
      <c r="AB1379" s="46">
        <f>IF(H2ProjectDB689571011[[#This Row],[Dummy_1]]="Electrolysis",
AA1379/VLOOKUP(G1379,ElectrolysisConvF,3,FALSE),
AC1379*10^6/(H2dens*HoursInYear))</f>
        <v>111111.11111111112</v>
      </c>
      <c r="AC1379" s="47">
        <f t="shared" si="103"/>
        <v>86.626666666666665</v>
      </c>
      <c r="AD1379" s="92"/>
      <c r="AE1379" s="92">
        <f t="shared" si="101"/>
        <v>111111.11111111112</v>
      </c>
      <c r="AF1379" s="43" t="s">
        <v>4928</v>
      </c>
      <c r="AG1379" s="43">
        <v>36.205350000000003</v>
      </c>
      <c r="AH1379" s="43">
        <v>-5.3825859999999999</v>
      </c>
      <c r="AI1379" s="122" t="s">
        <v>7286</v>
      </c>
      <c r="AJ1379" s="41">
        <v>0.56999999999999995</v>
      </c>
    </row>
    <row r="1380" spans="1:36" ht="37.9" hidden="1" customHeight="1" x14ac:dyDescent="0.25">
      <c r="A1380" s="40">
        <v>1997</v>
      </c>
      <c r="B1380" s="43" t="s">
        <v>8335</v>
      </c>
      <c r="C1380" s="90" t="s">
        <v>1764</v>
      </c>
      <c r="D1380" s="44">
        <v>2026</v>
      </c>
      <c r="E1380" s="44"/>
      <c r="F1380" s="40" t="s">
        <v>1331</v>
      </c>
      <c r="G1380" s="40" t="s">
        <v>1259</v>
      </c>
      <c r="H1380" s="40" t="s">
        <v>1666</v>
      </c>
      <c r="I1380" s="90" t="s">
        <v>5700</v>
      </c>
      <c r="J1380" s="40" t="s">
        <v>1391</v>
      </c>
      <c r="K1380" s="90" t="s">
        <v>1268</v>
      </c>
      <c r="L1380" s="90">
        <v>1</v>
      </c>
      <c r="M1380" s="90">
        <v>1</v>
      </c>
      <c r="N1380" s="90"/>
      <c r="O1380" s="90"/>
      <c r="P1380" s="90">
        <v>1</v>
      </c>
      <c r="Q1380" s="90">
        <v>1</v>
      </c>
      <c r="R1380" s="90"/>
      <c r="S1380" s="90"/>
      <c r="T1380" s="90"/>
      <c r="U1380" s="90"/>
      <c r="V1380" s="90"/>
      <c r="W1380" s="90"/>
      <c r="X1380" s="90"/>
      <c r="Y1380" s="90"/>
      <c r="Z1380" s="40" t="s">
        <v>3748</v>
      </c>
      <c r="AA1380" s="91">
        <v>400</v>
      </c>
      <c r="AB1380" s="46">
        <f>IF(H2ProjectDB689571011[[#This Row],[Dummy_1]]="Electrolysis",
AA1380/VLOOKUP(G1380,ElectrolysisConvF,3,FALSE),
AC1380*10^6/(H2dens*HoursInYear))</f>
        <v>88888.888888888891</v>
      </c>
      <c r="AC1380" s="47">
        <f t="shared" si="103"/>
        <v>69.301333333333332</v>
      </c>
      <c r="AD1380" s="92"/>
      <c r="AE1380" s="92">
        <f t="shared" si="101"/>
        <v>88888.888888888891</v>
      </c>
      <c r="AF1380" s="43" t="s">
        <v>8064</v>
      </c>
      <c r="AG1380" s="43">
        <v>37.261963881012697</v>
      </c>
      <c r="AH1380" s="43">
        <v>-6.9412846461681603</v>
      </c>
      <c r="AI1380" s="122" t="s">
        <v>7286</v>
      </c>
      <c r="AJ1380" s="41">
        <v>0.7</v>
      </c>
    </row>
    <row r="1381" spans="1:36" ht="35.1" hidden="1" customHeight="1" x14ac:dyDescent="0.25">
      <c r="A1381" s="40">
        <v>1998</v>
      </c>
      <c r="B1381" s="40" t="s">
        <v>6789</v>
      </c>
      <c r="C1381" s="90" t="s">
        <v>1045</v>
      </c>
      <c r="D1381" s="90"/>
      <c r="E1381" s="90"/>
      <c r="F1381" s="40" t="s">
        <v>2222</v>
      </c>
      <c r="G1381" s="40" t="s">
        <v>1259</v>
      </c>
      <c r="H1381" s="40" t="s">
        <v>467</v>
      </c>
      <c r="I1381" s="90" t="s">
        <v>1269</v>
      </c>
      <c r="J1381" s="40" t="s">
        <v>1395</v>
      </c>
      <c r="K1381" s="90" t="s">
        <v>1242</v>
      </c>
      <c r="L1381" s="90"/>
      <c r="M1381" s="90"/>
      <c r="N1381" s="90">
        <v>1</v>
      </c>
      <c r="O1381" s="90"/>
      <c r="P1381" s="90"/>
      <c r="Q1381" s="90"/>
      <c r="R1381" s="90"/>
      <c r="S1381" s="90"/>
      <c r="T1381" s="90"/>
      <c r="U1381" s="90"/>
      <c r="V1381" s="90"/>
      <c r="W1381" s="90"/>
      <c r="X1381" s="90"/>
      <c r="Y1381" s="90"/>
      <c r="Z1381" s="40" t="s">
        <v>4770</v>
      </c>
      <c r="AA1381" s="91">
        <v>60</v>
      </c>
      <c r="AB1381" s="46">
        <f>IF(H2ProjectDB689571011[[#This Row],[Dummy_1]]="Electrolysis",
AA1381/VLOOKUP(G1381,ElectrolysisConvF,3,FALSE),
AC1381*10^6/(H2dens*HoursInYear))</f>
        <v>13333.333333333334</v>
      </c>
      <c r="AC1381" s="47">
        <f t="shared" si="103"/>
        <v>10.395200000000001</v>
      </c>
      <c r="AD1381" s="92"/>
      <c r="AE1381" s="92">
        <f t="shared" si="101"/>
        <v>13333.333333333334</v>
      </c>
      <c r="AF1381" s="93" t="s">
        <v>4772</v>
      </c>
      <c r="AG1381" s="43">
        <v>31.437276000000001</v>
      </c>
      <c r="AH1381" s="43">
        <v>31.754646000000001</v>
      </c>
      <c r="AI1381" s="122" t="s">
        <v>7286</v>
      </c>
      <c r="AJ1381" s="41">
        <v>0.5</v>
      </c>
    </row>
    <row r="1382" spans="1:36" ht="35.1" hidden="1" customHeight="1" x14ac:dyDescent="0.25">
      <c r="A1382" s="40">
        <v>2000</v>
      </c>
      <c r="B1382" s="40" t="s">
        <v>4776</v>
      </c>
      <c r="C1382" s="40" t="s">
        <v>1062</v>
      </c>
      <c r="D1382" s="44">
        <v>2028</v>
      </c>
      <c r="E1382" s="44"/>
      <c r="F1382" s="90" t="s">
        <v>2222</v>
      </c>
      <c r="G1382" s="90" t="s">
        <v>456</v>
      </c>
      <c r="I1382" s="90" t="s">
        <v>1680</v>
      </c>
      <c r="J1382" s="90"/>
      <c r="K1382" s="90" t="s">
        <v>578</v>
      </c>
      <c r="L1382" s="90"/>
      <c r="M1382" s="90">
        <v>1</v>
      </c>
      <c r="N1382" s="90"/>
      <c r="O1382" s="90"/>
      <c r="P1382" s="90"/>
      <c r="Q1382" s="90"/>
      <c r="R1382" s="90"/>
      <c r="S1382" s="90"/>
      <c r="T1382" s="90"/>
      <c r="U1382" s="90"/>
      <c r="V1382" s="90"/>
      <c r="W1382" s="90"/>
      <c r="X1382" s="90"/>
      <c r="Y1382" s="90"/>
      <c r="Z1382" s="40" t="s">
        <v>3209</v>
      </c>
      <c r="AA1382" s="91">
        <v>1000</v>
      </c>
      <c r="AB1382" s="46">
        <f>IF(H2ProjectDB689571011[[#This Row],[Dummy_1]]="Electrolysis",
AA1382/VLOOKUP(G1382,ElectrolysisConvF,3,FALSE),
AC1382*10^6/(H2dens*HoursInYear))</f>
        <v>263157.89473684208</v>
      </c>
      <c r="AC1382" s="47">
        <f t="shared" si="103"/>
        <v>205.16842105263152</v>
      </c>
      <c r="AD1382" s="92"/>
      <c r="AE1382" s="92">
        <f t="shared" si="101"/>
        <v>263157.89473684208</v>
      </c>
      <c r="AF1382" s="43" t="s">
        <v>4778</v>
      </c>
      <c r="AG1382" s="43">
        <v>0.55377226491003495</v>
      </c>
      <c r="AH1382" s="43">
        <v>117.571991411868</v>
      </c>
      <c r="AI1382" s="122" t="s">
        <v>7286</v>
      </c>
      <c r="AJ1382" s="41">
        <v>0.8</v>
      </c>
    </row>
    <row r="1383" spans="1:36" ht="35.1" hidden="1" customHeight="1" x14ac:dyDescent="0.25">
      <c r="A1383" s="40">
        <v>2001</v>
      </c>
      <c r="B1383" s="40" t="s">
        <v>4780</v>
      </c>
      <c r="C1383" s="40" t="s">
        <v>1074</v>
      </c>
      <c r="D1383" s="44">
        <v>2028</v>
      </c>
      <c r="E1383" s="44"/>
      <c r="F1383" s="90" t="s">
        <v>5701</v>
      </c>
      <c r="G1383" s="90" t="s">
        <v>1259</v>
      </c>
      <c r="H1383" s="90" t="s">
        <v>467</v>
      </c>
      <c r="I1383" s="90" t="s">
        <v>1269</v>
      </c>
      <c r="J1383" s="90" t="s">
        <v>581</v>
      </c>
      <c r="K1383" s="90" t="s">
        <v>578</v>
      </c>
      <c r="L1383" s="90"/>
      <c r="M1383" s="90"/>
      <c r="N1383" s="90"/>
      <c r="O1383" s="90"/>
      <c r="P1383" s="90"/>
      <c r="Q1383" s="90"/>
      <c r="R1383" s="90"/>
      <c r="S1383" s="90"/>
      <c r="T1383" s="90"/>
      <c r="U1383" s="90"/>
      <c r="V1383" s="90">
        <v>1</v>
      </c>
      <c r="W1383" s="90"/>
      <c r="X1383" s="90"/>
      <c r="Y1383" s="90"/>
      <c r="Z1383" s="40" t="s">
        <v>3721</v>
      </c>
      <c r="AA1383" s="91">
        <v>55</v>
      </c>
      <c r="AB1383" s="46">
        <f>IF(H2ProjectDB689571011[[#This Row],[Dummy_1]]="Electrolysis",
AA1383/VLOOKUP(G1383,ElectrolysisConvF,3,FALSE),
AC1383*10^6/(H2dens*HoursInYear))</f>
        <v>12222.222222222223</v>
      </c>
      <c r="AC1383" s="47">
        <f t="shared" si="103"/>
        <v>9.5289333333333346</v>
      </c>
      <c r="AD1383" s="92"/>
      <c r="AE1383" s="92">
        <f t="shared" si="101"/>
        <v>12222.222222222223</v>
      </c>
      <c r="AF1383" s="43" t="s">
        <v>7916</v>
      </c>
      <c r="AG1383" s="43">
        <v>44.9387734232469</v>
      </c>
      <c r="AH1383" s="43">
        <v>25.995987575297601</v>
      </c>
      <c r="AI1383" s="122" t="s">
        <v>7286</v>
      </c>
      <c r="AJ1383" s="41">
        <v>0.5</v>
      </c>
    </row>
    <row r="1384" spans="1:36" ht="35.1" hidden="1" customHeight="1" x14ac:dyDescent="0.25">
      <c r="A1384" s="40">
        <v>2002</v>
      </c>
      <c r="B1384" s="40" t="s">
        <v>4781</v>
      </c>
      <c r="C1384" s="40" t="s">
        <v>1063</v>
      </c>
      <c r="D1384" s="44">
        <v>2024</v>
      </c>
      <c r="E1384" s="44"/>
      <c r="F1384" s="90" t="s">
        <v>5701</v>
      </c>
      <c r="G1384" s="90" t="s">
        <v>457</v>
      </c>
      <c r="H1384" s="90"/>
      <c r="I1384" s="90" t="s">
        <v>1269</v>
      </c>
      <c r="J1384" s="90" t="s">
        <v>1392</v>
      </c>
      <c r="K1384" s="90" t="s">
        <v>1243</v>
      </c>
      <c r="L1384" s="90"/>
      <c r="M1384" s="90">
        <v>1</v>
      </c>
      <c r="N1384" s="90"/>
      <c r="O1384" s="90"/>
      <c r="P1384" s="90"/>
      <c r="Q1384" s="90"/>
      <c r="R1384" s="90"/>
      <c r="S1384" s="90"/>
      <c r="T1384" s="90"/>
      <c r="U1384" s="90"/>
      <c r="V1384" s="90"/>
      <c r="W1384" s="90"/>
      <c r="X1384" s="90"/>
      <c r="Y1384" s="90"/>
      <c r="Z1384" s="40" t="s">
        <v>1495</v>
      </c>
      <c r="AA1384" s="91">
        <v>20</v>
      </c>
      <c r="AB1384" s="46">
        <f>IF(H2ProjectDB689571011[[#This Row],[Dummy_1]]="Electrolysis",
AA1384/VLOOKUP(G1384,ElectrolysisConvF,3,FALSE),
AC1384*10^6/(H2dens*HoursInYear))</f>
        <v>4347.826086956522</v>
      </c>
      <c r="AC1384" s="47">
        <f t="shared" si="103"/>
        <v>3.3897391304347826</v>
      </c>
      <c r="AD1384" s="92"/>
      <c r="AE1384" s="92">
        <f t="shared" si="101"/>
        <v>4347.826086956522</v>
      </c>
      <c r="AF1384" s="43" t="s">
        <v>6843</v>
      </c>
      <c r="AG1384" s="43">
        <v>41.488021124262097</v>
      </c>
      <c r="AH1384" s="43">
        <v>69.583512155069997</v>
      </c>
      <c r="AI1384" s="122" t="s">
        <v>7286</v>
      </c>
      <c r="AJ1384" s="41">
        <v>0.4</v>
      </c>
    </row>
    <row r="1385" spans="1:36" ht="35.1" hidden="1" customHeight="1" x14ac:dyDescent="0.25">
      <c r="A1385" s="40">
        <v>2003</v>
      </c>
      <c r="B1385" s="40" t="s">
        <v>4782</v>
      </c>
      <c r="C1385" s="40" t="s">
        <v>1063</v>
      </c>
      <c r="D1385" s="44"/>
      <c r="E1385" s="44"/>
      <c r="F1385" s="90" t="s">
        <v>2222</v>
      </c>
      <c r="G1385" s="90" t="s">
        <v>1259</v>
      </c>
      <c r="H1385" s="90" t="s">
        <v>467</v>
      </c>
      <c r="I1385" s="90" t="s">
        <v>1269</v>
      </c>
      <c r="J1385" s="90" t="s">
        <v>1392</v>
      </c>
      <c r="K1385" s="90" t="s">
        <v>1243</v>
      </c>
      <c r="L1385" s="90"/>
      <c r="M1385" s="90">
        <v>1</v>
      </c>
      <c r="N1385" s="90"/>
      <c r="O1385" s="90"/>
      <c r="P1385" s="90"/>
      <c r="Q1385" s="90"/>
      <c r="R1385" s="90"/>
      <c r="S1385" s="90"/>
      <c r="T1385" s="90"/>
      <c r="U1385" s="90"/>
      <c r="V1385" s="90"/>
      <c r="W1385" s="90"/>
      <c r="X1385" s="90"/>
      <c r="Y1385" s="90"/>
      <c r="Z1385" s="40" t="s">
        <v>5019</v>
      </c>
      <c r="AA1385" s="47">
        <f>IF(H2ProjectDB689571011[[#This Row],[Dummy_1]]="Electrolysis",
AB1385*VLOOKUP(G1385,ElectrolysisConvF,3,FALSE),
"")</f>
        <v>1299.1959905402823</v>
      </c>
      <c r="AB1385" s="46">
        <f>AC1385/(H2dens*HoursInYear/10^6)</f>
        <v>288710.22012006276</v>
      </c>
      <c r="AC1385" s="46">
        <f>(500*3/17/0.98)/H2ProjectDB689571011[[#This Row],[LOWE_CF]]</f>
        <v>225.09003601440574</v>
      </c>
      <c r="AD1385" s="92"/>
      <c r="AE1385" s="92">
        <f t="shared" si="101"/>
        <v>288710.22012006276</v>
      </c>
      <c r="AF1385" s="43" t="s">
        <v>6843</v>
      </c>
      <c r="AG1385" s="43">
        <v>41.488021124262097</v>
      </c>
      <c r="AH1385" s="43">
        <v>69.583512155069997</v>
      </c>
      <c r="AI1385" s="122" t="s">
        <v>7286</v>
      </c>
      <c r="AJ1385" s="41">
        <v>0.4</v>
      </c>
    </row>
    <row r="1386" spans="1:36" ht="35.1" hidden="1" customHeight="1" x14ac:dyDescent="0.25">
      <c r="A1386" s="40">
        <v>2004</v>
      </c>
      <c r="B1386" s="90" t="s">
        <v>4784</v>
      </c>
      <c r="C1386" s="90" t="s">
        <v>554</v>
      </c>
      <c r="D1386" s="44">
        <v>2027</v>
      </c>
      <c r="E1386" s="44"/>
      <c r="F1386" s="90" t="s">
        <v>1331</v>
      </c>
      <c r="G1386" s="90" t="s">
        <v>1259</v>
      </c>
      <c r="H1386" s="90" t="s">
        <v>467</v>
      </c>
      <c r="I1386" s="90" t="s">
        <v>1269</v>
      </c>
      <c r="J1386" s="90" t="s">
        <v>581</v>
      </c>
      <c r="K1386" s="90" t="s">
        <v>578</v>
      </c>
      <c r="L1386" s="90"/>
      <c r="M1386" s="90"/>
      <c r="N1386" s="90"/>
      <c r="O1386" s="90"/>
      <c r="P1386" s="90"/>
      <c r="Q1386" s="90">
        <v>1</v>
      </c>
      <c r="R1386" s="90">
        <v>1</v>
      </c>
      <c r="S1386" s="90"/>
      <c r="T1386" s="90"/>
      <c r="U1386" s="90"/>
      <c r="V1386" s="90"/>
      <c r="W1386" s="90"/>
      <c r="X1386" s="90"/>
      <c r="Y1386" s="90"/>
      <c r="Z1386" s="90" t="s">
        <v>1485</v>
      </c>
      <c r="AA1386" s="91">
        <v>100</v>
      </c>
      <c r="AB1386" s="46">
        <f>IF(H2ProjectDB689571011[[#This Row],[Dummy_1]]="Electrolysis",
AA1386/VLOOKUP(G1386,ElectrolysisConvF,3,FALSE),
AC1386*10^6/(H2dens*HoursInYear))</f>
        <v>22222.222222222223</v>
      </c>
      <c r="AC1386" s="47">
        <f>AB1386*H2dens*HoursInYear/10^6</f>
        <v>17.325333333333333</v>
      </c>
      <c r="AD1386" s="92"/>
      <c r="AE1386" s="92">
        <f t="shared" si="101"/>
        <v>22222.222222222223</v>
      </c>
      <c r="AF1386" s="93" t="s">
        <v>4786</v>
      </c>
      <c r="AG1386" s="43">
        <v>40.384982013509003</v>
      </c>
      <c r="AH1386" s="43">
        <v>21.4394375301537</v>
      </c>
      <c r="AI1386" s="122" t="s">
        <v>7286</v>
      </c>
      <c r="AJ1386" s="41">
        <v>0.5</v>
      </c>
    </row>
    <row r="1387" spans="1:36" ht="35.1" hidden="1" customHeight="1" x14ac:dyDescent="0.25">
      <c r="A1387" s="40">
        <v>2005</v>
      </c>
      <c r="B1387" s="90" t="s">
        <v>4787</v>
      </c>
      <c r="C1387" s="90" t="s">
        <v>532</v>
      </c>
      <c r="D1387" s="44">
        <v>2024</v>
      </c>
      <c r="E1387" s="90"/>
      <c r="F1387" s="40" t="s">
        <v>1339</v>
      </c>
      <c r="G1387" s="40" t="s">
        <v>1255</v>
      </c>
      <c r="H1387" s="90" t="s">
        <v>2727</v>
      </c>
      <c r="I1387" s="90"/>
      <c r="J1387" s="90"/>
      <c r="K1387" s="90" t="s">
        <v>578</v>
      </c>
      <c r="L1387" s="90"/>
      <c r="M1387" s="90"/>
      <c r="N1387" s="90"/>
      <c r="O1387" s="90"/>
      <c r="P1387" s="90"/>
      <c r="Q1387" s="90"/>
      <c r="R1387" s="90"/>
      <c r="S1387" s="90"/>
      <c r="T1387" s="90"/>
      <c r="U1387" s="90"/>
      <c r="V1387" s="90"/>
      <c r="W1387" s="90"/>
      <c r="X1387" s="90"/>
      <c r="Y1387" s="90"/>
      <c r="Z1387" s="90" t="s">
        <v>3273</v>
      </c>
      <c r="AA1387" s="91"/>
      <c r="AB1387" s="46">
        <f>AC1387/(H2dens*HoursInYear/10^6)</f>
        <v>2565.286542506798</v>
      </c>
      <c r="AC1387" s="92">
        <v>2</v>
      </c>
      <c r="AD1387" s="92"/>
      <c r="AE1387" s="92">
        <f t="shared" si="101"/>
        <v>2565.286542506798</v>
      </c>
      <c r="AF1387" s="43" t="s">
        <v>6958</v>
      </c>
      <c r="AG1387" s="43">
        <v>63.841330804875199</v>
      </c>
      <c r="AH1387" s="43">
        <v>23.126960394244701</v>
      </c>
      <c r="AI1387" s="122" t="s">
        <v>1255</v>
      </c>
      <c r="AJ1387" s="41">
        <v>0.9</v>
      </c>
    </row>
    <row r="1388" spans="1:36" ht="35.1" hidden="1" customHeight="1" x14ac:dyDescent="0.25">
      <c r="A1388" s="40">
        <v>2007</v>
      </c>
      <c r="B1388" s="90" t="s">
        <v>4792</v>
      </c>
      <c r="C1388" s="90" t="s">
        <v>535</v>
      </c>
      <c r="D1388" s="44">
        <v>2024</v>
      </c>
      <c r="E1388" s="44"/>
      <c r="F1388" s="40" t="s">
        <v>5701</v>
      </c>
      <c r="G1388" s="40" t="s">
        <v>455</v>
      </c>
      <c r="I1388" s="90" t="s">
        <v>1269</v>
      </c>
      <c r="J1388" s="90" t="s">
        <v>1391</v>
      </c>
      <c r="K1388" s="90" t="s">
        <v>578</v>
      </c>
      <c r="L1388" s="90"/>
      <c r="M1388" s="90"/>
      <c r="N1388" s="90"/>
      <c r="O1388" s="90"/>
      <c r="P1388" s="90"/>
      <c r="Q1388" s="90">
        <v>1</v>
      </c>
      <c r="R1388" s="90"/>
      <c r="S1388" s="90"/>
      <c r="T1388" s="90"/>
      <c r="U1388" s="90"/>
      <c r="V1388" s="90"/>
      <c r="W1388" s="90"/>
      <c r="X1388" s="90"/>
      <c r="Y1388" s="90"/>
      <c r="Z1388" s="90" t="s">
        <v>4135</v>
      </c>
      <c r="AA1388" s="91">
        <v>10</v>
      </c>
      <c r="AB1388" s="46">
        <f>IF(H2ProjectDB689571011[[#This Row],[Dummy_1]]="Electrolysis",
AA1388/VLOOKUP(G1388,ElectrolysisConvF,3,FALSE),
AC1388*10^6/(H2dens*HoursInYear))</f>
        <v>1923.0769230769231</v>
      </c>
      <c r="AC1388" s="47">
        <f>AB1388*H2dens*HoursInYear/10^6</f>
        <v>1.4993076923076922</v>
      </c>
      <c r="AD1388" s="92"/>
      <c r="AE1388" s="92">
        <f t="shared" si="101"/>
        <v>1923.0769230769231</v>
      </c>
      <c r="AF1388" s="93" t="s">
        <v>4794</v>
      </c>
      <c r="AG1388" s="43">
        <v>-31.654441308849101</v>
      </c>
      <c r="AH1388" s="43">
        <v>116.65037572731499</v>
      </c>
      <c r="AI1388" s="122" t="s">
        <v>7286</v>
      </c>
      <c r="AJ1388" s="41">
        <v>0.3</v>
      </c>
    </row>
    <row r="1389" spans="1:36" ht="35.1" hidden="1" customHeight="1" x14ac:dyDescent="0.25">
      <c r="A1389" s="40">
        <v>2008</v>
      </c>
      <c r="B1389" s="40" t="s">
        <v>4795</v>
      </c>
      <c r="C1389" s="40" t="s">
        <v>535</v>
      </c>
      <c r="D1389" s="44">
        <v>2028</v>
      </c>
      <c r="E1389" s="44"/>
      <c r="F1389" s="90" t="s">
        <v>2222</v>
      </c>
      <c r="G1389" s="90" t="s">
        <v>457</v>
      </c>
      <c r="H1389" s="90"/>
      <c r="I1389" s="40" t="s">
        <v>1269</v>
      </c>
      <c r="J1389" s="40" t="s">
        <v>1395</v>
      </c>
      <c r="K1389" s="40" t="s">
        <v>578</v>
      </c>
      <c r="L1389" s="90"/>
      <c r="M1389" s="90"/>
      <c r="N1389" s="90"/>
      <c r="O1389" s="90"/>
      <c r="P1389" s="90"/>
      <c r="Q1389" s="90"/>
      <c r="R1389" s="90"/>
      <c r="S1389" s="90"/>
      <c r="T1389" s="90"/>
      <c r="U1389" s="90"/>
      <c r="V1389" s="90"/>
      <c r="W1389" s="90"/>
      <c r="X1389" s="90"/>
      <c r="Y1389" s="90"/>
      <c r="Z1389" s="40" t="s">
        <v>6891</v>
      </c>
      <c r="AA1389" s="45">
        <v>300</v>
      </c>
      <c r="AB1389" s="46">
        <f>IF(H2ProjectDB689571011[[#This Row],[Dummy_1]]="Electrolysis",
AA1389/VLOOKUP(G1389,ElectrolysisConvF,3,FALSE),
AC1389*10^6/(H2dens*HoursInYear))</f>
        <v>65217.391304347824</v>
      </c>
      <c r="AC1389" s="47">
        <f>AB1389*H2dens*HoursInYear/10^6</f>
        <v>50.846086956521738</v>
      </c>
      <c r="AD1389" s="92"/>
      <c r="AE1389" s="92">
        <f t="shared" si="101"/>
        <v>65217.391304347824</v>
      </c>
      <c r="AF1389" s="93" t="s">
        <v>4794</v>
      </c>
      <c r="AG1389" s="43">
        <v>-29.245342804981799</v>
      </c>
      <c r="AH1389" s="43">
        <v>114.93415911585301</v>
      </c>
      <c r="AI1389" s="122" t="s">
        <v>7286</v>
      </c>
      <c r="AJ1389" s="41">
        <v>0.5</v>
      </c>
    </row>
    <row r="1390" spans="1:36" ht="35.1" hidden="1" customHeight="1" x14ac:dyDescent="0.25">
      <c r="A1390" s="40">
        <v>2009</v>
      </c>
      <c r="B1390" s="40" t="s">
        <v>4796</v>
      </c>
      <c r="C1390" s="40" t="s">
        <v>535</v>
      </c>
      <c r="D1390" s="44">
        <v>2028</v>
      </c>
      <c r="E1390" s="44"/>
      <c r="F1390" s="90" t="s">
        <v>2222</v>
      </c>
      <c r="G1390" s="90" t="s">
        <v>457</v>
      </c>
      <c r="H1390" s="90"/>
      <c r="I1390" s="40" t="s">
        <v>1269</v>
      </c>
      <c r="J1390" s="40" t="s">
        <v>1395</v>
      </c>
      <c r="K1390" s="40" t="s">
        <v>578</v>
      </c>
      <c r="L1390" s="90"/>
      <c r="M1390" s="90"/>
      <c r="N1390" s="90"/>
      <c r="O1390" s="90"/>
      <c r="P1390" s="90"/>
      <c r="Q1390" s="90"/>
      <c r="R1390" s="90"/>
      <c r="S1390" s="90"/>
      <c r="T1390" s="90"/>
      <c r="U1390" s="90"/>
      <c r="V1390" s="90"/>
      <c r="W1390" s="90"/>
      <c r="X1390" s="90"/>
      <c r="Y1390" s="90"/>
      <c r="Z1390" s="40" t="s">
        <v>6891</v>
      </c>
      <c r="AA1390" s="45">
        <v>300</v>
      </c>
      <c r="AB1390" s="46">
        <f>IF(H2ProjectDB689571011[[#This Row],[Dummy_1]]="Electrolysis",
AA1390/VLOOKUP(G1390,ElectrolysisConvF,3,FALSE),
AC1390*10^6/(H2dens*HoursInYear))</f>
        <v>65217.391304347824</v>
      </c>
      <c r="AC1390" s="47">
        <f>AB1390*H2dens*HoursInYear/10^6</f>
        <v>50.846086956521738</v>
      </c>
      <c r="AD1390" s="92"/>
      <c r="AE1390" s="92">
        <f t="shared" si="101"/>
        <v>65217.391304347824</v>
      </c>
      <c r="AF1390" s="93" t="s">
        <v>4794</v>
      </c>
      <c r="AG1390" s="43">
        <v>-29.245342804981799</v>
      </c>
      <c r="AH1390" s="43">
        <v>114.93415911585301</v>
      </c>
      <c r="AI1390" s="122" t="s">
        <v>7286</v>
      </c>
      <c r="AJ1390" s="41">
        <v>0.5</v>
      </c>
    </row>
    <row r="1391" spans="1:36" ht="35.1" hidden="1" customHeight="1" x14ac:dyDescent="0.25">
      <c r="A1391" s="40">
        <v>2010</v>
      </c>
      <c r="B1391" s="40" t="s">
        <v>4798</v>
      </c>
      <c r="C1391" s="40" t="s">
        <v>541</v>
      </c>
      <c r="D1391" s="44">
        <v>2025</v>
      </c>
      <c r="E1391" s="44"/>
      <c r="F1391" s="90" t="s">
        <v>1331</v>
      </c>
      <c r="G1391" s="90" t="s">
        <v>455</v>
      </c>
      <c r="H1391" s="90"/>
      <c r="I1391" s="40" t="s">
        <v>1269</v>
      </c>
      <c r="J1391" s="40" t="s">
        <v>1395</v>
      </c>
      <c r="K1391" s="40" t="s">
        <v>578</v>
      </c>
      <c r="L1391" s="90"/>
      <c r="M1391" s="90"/>
      <c r="N1391" s="90"/>
      <c r="O1391" s="90"/>
      <c r="P1391" s="90">
        <v>1</v>
      </c>
      <c r="Q1391" s="90">
        <v>1</v>
      </c>
      <c r="R1391" s="90"/>
      <c r="S1391" s="90"/>
      <c r="T1391" s="90"/>
      <c r="U1391" s="90"/>
      <c r="V1391" s="90"/>
      <c r="W1391" s="90"/>
      <c r="X1391" s="90"/>
      <c r="Y1391" s="90"/>
      <c r="Z1391" s="40" t="s">
        <v>1510</v>
      </c>
      <c r="AA1391" s="91">
        <v>30</v>
      </c>
      <c r="AB1391" s="46">
        <f>IF(H2ProjectDB689571011[[#This Row],[Dummy_1]]="Electrolysis",
AA1391/VLOOKUP(G1391,ElectrolysisConvF,3,FALSE),
AC1391*10^6/(H2dens*HoursInYear))</f>
        <v>5769.2307692307695</v>
      </c>
      <c r="AC1391" s="47">
        <f>AB1391*H2dens*HoursInYear/10^6</f>
        <v>4.4979230769230769</v>
      </c>
      <c r="AD1391" s="92"/>
      <c r="AE1391" s="92">
        <f t="shared" si="101"/>
        <v>5769.2307692307695</v>
      </c>
      <c r="AF1391" s="43" t="s">
        <v>6613</v>
      </c>
      <c r="AG1391" s="43">
        <v>42.122845031968502</v>
      </c>
      <c r="AH1391" s="43">
        <v>13.767228454952001</v>
      </c>
      <c r="AI1391" s="122" t="s">
        <v>7286</v>
      </c>
      <c r="AJ1391" s="41">
        <v>0.5</v>
      </c>
    </row>
    <row r="1392" spans="1:36" ht="35.1" hidden="1" customHeight="1" x14ac:dyDescent="0.25">
      <c r="A1392" s="40">
        <v>2011</v>
      </c>
      <c r="B1392" s="90" t="s">
        <v>4799</v>
      </c>
      <c r="C1392" s="90" t="s">
        <v>549</v>
      </c>
      <c r="D1392" s="90"/>
      <c r="E1392" s="90"/>
      <c r="F1392" s="90" t="s">
        <v>1331</v>
      </c>
      <c r="G1392" s="90" t="s">
        <v>457</v>
      </c>
      <c r="H1392" s="90"/>
      <c r="I1392" s="90" t="s">
        <v>1269</v>
      </c>
      <c r="J1392" s="90" t="s">
        <v>1395</v>
      </c>
      <c r="K1392" s="90" t="s">
        <v>578</v>
      </c>
      <c r="L1392" s="90"/>
      <c r="M1392" s="90"/>
      <c r="N1392" s="90"/>
      <c r="O1392" s="90"/>
      <c r="P1392" s="90"/>
      <c r="Q1392" s="90"/>
      <c r="R1392" s="90"/>
      <c r="S1392" s="90"/>
      <c r="T1392" s="90"/>
      <c r="U1392" s="90"/>
      <c r="V1392" s="90"/>
      <c r="W1392" s="90"/>
      <c r="X1392" s="90"/>
      <c r="Y1392" s="90"/>
      <c r="Z1392" s="40" t="s">
        <v>6892</v>
      </c>
      <c r="AA1392" s="91">
        <v>600</v>
      </c>
      <c r="AB1392" s="46">
        <f>IF(H2ProjectDB689571011[[#This Row],[Dummy_1]]="Electrolysis",
AA1392/VLOOKUP(G1392,ElectrolysisConvF,3,FALSE),
AC1392*10^6/(H2dens*HoursInYear))</f>
        <v>130434.78260869565</v>
      </c>
      <c r="AC1392" s="47">
        <f>AB1392*H2dens*HoursInYear/10^6</f>
        <v>101.69217391304348</v>
      </c>
      <c r="AD1392" s="92"/>
      <c r="AE1392" s="92">
        <f t="shared" si="101"/>
        <v>130434.78260869565</v>
      </c>
      <c r="AF1392" s="93"/>
      <c r="AG1392" s="43">
        <v>-39.0578289833498</v>
      </c>
      <c r="AH1392" s="43">
        <v>174.031581219722</v>
      </c>
      <c r="AI1392" s="122" t="s">
        <v>7286</v>
      </c>
      <c r="AJ1392" s="41">
        <v>0.5</v>
      </c>
    </row>
    <row r="1393" spans="1:36" ht="35.1" hidden="1" customHeight="1" x14ac:dyDescent="0.25">
      <c r="A1393" s="40">
        <v>2012</v>
      </c>
      <c r="B1393" s="90" t="s">
        <v>4804</v>
      </c>
      <c r="C1393" s="90" t="s">
        <v>1045</v>
      </c>
      <c r="D1393" s="90"/>
      <c r="E1393" s="90"/>
      <c r="F1393" s="90" t="s">
        <v>1331</v>
      </c>
      <c r="G1393" s="90" t="s">
        <v>1259</v>
      </c>
      <c r="H1393" s="40" t="s">
        <v>467</v>
      </c>
      <c r="I1393" s="90" t="s">
        <v>1269</v>
      </c>
      <c r="J1393" s="90" t="s">
        <v>1395</v>
      </c>
      <c r="K1393" s="90" t="s">
        <v>1243</v>
      </c>
      <c r="L1393" s="90"/>
      <c r="M1393" s="90">
        <v>1</v>
      </c>
      <c r="N1393" s="90"/>
      <c r="O1393" s="90"/>
      <c r="P1393" s="90"/>
      <c r="Q1393" s="90"/>
      <c r="R1393" s="90"/>
      <c r="S1393" s="90"/>
      <c r="T1393" s="90"/>
      <c r="U1393" s="90"/>
      <c r="V1393" s="90"/>
      <c r="W1393" s="90"/>
      <c r="X1393" s="90"/>
      <c r="Y1393" s="90"/>
      <c r="Z1393" s="40" t="s">
        <v>5020</v>
      </c>
      <c r="AA1393" s="47">
        <f>IF(H2ProjectDB689571011[[#This Row],[Dummy_1]]="Electrolysis",
AB1393*VLOOKUP(G1393,ElectrolysisConvF,3,FALSE),
"")</f>
        <v>259.83919810805651</v>
      </c>
      <c r="AB1393" s="46">
        <f>AC1393/(H2dens*HoursInYear/10^6)</f>
        <v>57742.044024012561</v>
      </c>
      <c r="AC1393" s="46">
        <f>(125*3/17/0.98)/H2ProjectDB689571011[[#This Row],[LOWE_CF]]</f>
        <v>45.018007202881151</v>
      </c>
      <c r="AD1393" s="92"/>
      <c r="AE1393" s="92">
        <f t="shared" si="101"/>
        <v>57742.044024012561</v>
      </c>
      <c r="AF1393" s="93" t="s">
        <v>4803</v>
      </c>
      <c r="AG1393" s="43">
        <v>29.659369000000002</v>
      </c>
      <c r="AH1393" s="43">
        <v>32.344810000000003</v>
      </c>
      <c r="AI1393" s="122" t="s">
        <v>7286</v>
      </c>
      <c r="AJ1393" s="41">
        <v>0.5</v>
      </c>
    </row>
    <row r="1394" spans="1:36" ht="35.1" hidden="1" customHeight="1" x14ac:dyDescent="0.25">
      <c r="A1394" s="40">
        <v>2013</v>
      </c>
      <c r="B1394" s="90" t="s">
        <v>4813</v>
      </c>
      <c r="C1394" s="90" t="s">
        <v>533</v>
      </c>
      <c r="D1394" s="90"/>
      <c r="E1394" s="90"/>
      <c r="F1394" s="90" t="s">
        <v>1540</v>
      </c>
      <c r="G1394" s="90" t="s">
        <v>1255</v>
      </c>
      <c r="H1394" s="90" t="s">
        <v>4809</v>
      </c>
      <c r="I1394" s="90"/>
      <c r="J1394" s="90"/>
      <c r="K1394" s="90" t="s">
        <v>578</v>
      </c>
      <c r="L1394" s="90"/>
      <c r="M1394" s="90"/>
      <c r="N1394" s="90"/>
      <c r="O1394" s="90"/>
      <c r="P1394" s="90"/>
      <c r="Q1394" s="90"/>
      <c r="R1394" s="90"/>
      <c r="S1394" s="90"/>
      <c r="T1394" s="90"/>
      <c r="U1394" s="90"/>
      <c r="V1394" s="90"/>
      <c r="W1394" s="90"/>
      <c r="X1394" s="90"/>
      <c r="Y1394" s="90"/>
      <c r="Z1394" s="90"/>
      <c r="AA1394" s="91" t="str">
        <f>IF(OR(G1394="ALK",G1394="PEM",G1394="SOEC",G1394="Other Electrolysis"),
AB1394*VLOOKUP(G1394,ElectrolysisConvF,3,FALSE),
"")</f>
        <v/>
      </c>
      <c r="AC1394" s="92"/>
      <c r="AD1394" s="92"/>
      <c r="AE1394" s="92">
        <f t="shared" si="101"/>
        <v>0</v>
      </c>
      <c r="AF1394" s="93" t="s">
        <v>4812</v>
      </c>
      <c r="AG1394" s="43">
        <v>51.9188006880279</v>
      </c>
      <c r="AH1394" s="43">
        <v>-109.13559670853699</v>
      </c>
      <c r="AI1394" s="122" t="s">
        <v>1255</v>
      </c>
      <c r="AJ1394" s="41">
        <v>0.9</v>
      </c>
    </row>
    <row r="1395" spans="1:36" ht="35.1" hidden="1" customHeight="1" x14ac:dyDescent="0.25">
      <c r="A1395" s="40">
        <v>2014</v>
      </c>
      <c r="B1395" s="90" t="s">
        <v>4814</v>
      </c>
      <c r="C1395" s="90" t="s">
        <v>533</v>
      </c>
      <c r="D1395" s="90"/>
      <c r="E1395" s="90"/>
      <c r="F1395" s="90" t="s">
        <v>1331</v>
      </c>
      <c r="G1395" s="90" t="s">
        <v>1255</v>
      </c>
      <c r="H1395" s="40" t="s">
        <v>4809</v>
      </c>
      <c r="I1395" s="90"/>
      <c r="J1395" s="90"/>
      <c r="K1395" s="90" t="s">
        <v>578</v>
      </c>
      <c r="L1395" s="90"/>
      <c r="M1395" s="90"/>
      <c r="N1395" s="90"/>
      <c r="O1395" s="90"/>
      <c r="P1395" s="90"/>
      <c r="Q1395" s="90"/>
      <c r="R1395" s="90"/>
      <c r="S1395" s="90"/>
      <c r="T1395" s="90"/>
      <c r="U1395" s="90"/>
      <c r="V1395" s="90"/>
      <c r="W1395" s="90"/>
      <c r="X1395" s="90"/>
      <c r="Y1395" s="90"/>
      <c r="Z1395" s="90" t="s">
        <v>4810</v>
      </c>
      <c r="AA1395" s="91"/>
      <c r="AB1395" s="46">
        <f>AC1395/(H2dens*HoursInYear/10^6)</f>
        <v>234082.39700374534</v>
      </c>
      <c r="AC1395" s="92">
        <f>0.5*365</f>
        <v>182.5</v>
      </c>
      <c r="AD1395" s="92"/>
      <c r="AE1395" s="92">
        <f t="shared" si="101"/>
        <v>234082.39700374534</v>
      </c>
      <c r="AF1395" s="93" t="s">
        <v>4812</v>
      </c>
      <c r="AG1395" s="43">
        <v>51.9188006880279</v>
      </c>
      <c r="AH1395" s="43">
        <v>-109.13559670853699</v>
      </c>
      <c r="AI1395" s="122" t="s">
        <v>1255</v>
      </c>
      <c r="AJ1395" s="41">
        <v>0.9</v>
      </c>
    </row>
    <row r="1396" spans="1:36" ht="35.1" hidden="1" customHeight="1" x14ac:dyDescent="0.25">
      <c r="A1396" s="40">
        <v>2015</v>
      </c>
      <c r="B1396" s="90" t="s">
        <v>4818</v>
      </c>
      <c r="C1396" s="90" t="s">
        <v>532</v>
      </c>
      <c r="D1396" s="44">
        <v>2030</v>
      </c>
      <c r="E1396" s="44"/>
      <c r="F1396" s="90" t="s">
        <v>1331</v>
      </c>
      <c r="G1396" s="90" t="s">
        <v>455</v>
      </c>
      <c r="H1396" s="90"/>
      <c r="I1396" s="90" t="s">
        <v>1266</v>
      </c>
      <c r="J1396" s="90"/>
      <c r="K1396" s="90" t="s">
        <v>1243</v>
      </c>
      <c r="L1396" s="90"/>
      <c r="M1396" s="90">
        <v>1</v>
      </c>
      <c r="N1396" s="90"/>
      <c r="O1396" s="90"/>
      <c r="P1396" s="90"/>
      <c r="Q1396" s="90"/>
      <c r="R1396" s="90"/>
      <c r="S1396" s="90"/>
      <c r="T1396" s="90"/>
      <c r="U1396" s="90"/>
      <c r="V1396" s="90"/>
      <c r="W1396" s="90"/>
      <c r="X1396" s="90"/>
      <c r="Y1396" s="90"/>
      <c r="Z1396" s="90" t="s">
        <v>1334</v>
      </c>
      <c r="AA1396" s="91">
        <v>1000</v>
      </c>
      <c r="AB1396" s="46">
        <f>IF(H2ProjectDB689571011[[#This Row],[Dummy_1]]="Electrolysis",
AA1396/VLOOKUP(G1396,ElectrolysisConvF,3,FALSE),
AC1396*10^6/(H2dens*HoursInYear))</f>
        <v>192307.69230769231</v>
      </c>
      <c r="AC1396" s="47">
        <f t="shared" ref="AC1396:AC1409" si="104">AB1396*H2dens*HoursInYear/10^6</f>
        <v>149.93076923076922</v>
      </c>
      <c r="AD1396" s="92"/>
      <c r="AE1396" s="92">
        <f t="shared" si="101"/>
        <v>192307.69230769231</v>
      </c>
      <c r="AF1396" s="93" t="s">
        <v>4820</v>
      </c>
      <c r="AG1396" s="43">
        <v>63.841330804875199</v>
      </c>
      <c r="AH1396" s="43">
        <v>23.126960394244701</v>
      </c>
      <c r="AI1396" s="122" t="s">
        <v>7286</v>
      </c>
      <c r="AJ1396" s="41">
        <v>0.56999999999999995</v>
      </c>
    </row>
    <row r="1397" spans="1:36" ht="35.1" hidden="1" customHeight="1" x14ac:dyDescent="0.25">
      <c r="A1397" s="40">
        <v>2016</v>
      </c>
      <c r="B1397" s="40" t="s">
        <v>4821</v>
      </c>
      <c r="C1397" s="90" t="s">
        <v>532</v>
      </c>
      <c r="D1397" s="44">
        <v>2030</v>
      </c>
      <c r="E1397" s="44"/>
      <c r="F1397" s="90" t="s">
        <v>1331</v>
      </c>
      <c r="G1397" s="90" t="s">
        <v>455</v>
      </c>
      <c r="H1397" s="90"/>
      <c r="I1397" s="90" t="s">
        <v>1266</v>
      </c>
      <c r="J1397" s="90"/>
      <c r="K1397" s="90" t="s">
        <v>578</v>
      </c>
      <c r="L1397" s="90"/>
      <c r="M1397" s="90"/>
      <c r="N1397" s="90"/>
      <c r="O1397" s="90">
        <v>1</v>
      </c>
      <c r="P1397" s="90"/>
      <c r="Q1397" s="90"/>
      <c r="R1397" s="90"/>
      <c r="S1397" s="90"/>
      <c r="T1397" s="90"/>
      <c r="U1397" s="90"/>
      <c r="V1397" s="90"/>
      <c r="W1397" s="90"/>
      <c r="X1397" s="90"/>
      <c r="Y1397" s="90"/>
      <c r="Z1397" s="90" t="s">
        <v>1334</v>
      </c>
      <c r="AA1397" s="91">
        <v>1000</v>
      </c>
      <c r="AB1397" s="46">
        <f>IF(H2ProjectDB689571011[[#This Row],[Dummy_1]]="Electrolysis",
AA1397/VLOOKUP(G1397,ElectrolysisConvF,3,FALSE),
AC1397*10^6/(H2dens*HoursInYear))</f>
        <v>192307.69230769231</v>
      </c>
      <c r="AC1397" s="47">
        <f t="shared" si="104"/>
        <v>149.93076923076922</v>
      </c>
      <c r="AD1397" s="92"/>
      <c r="AE1397" s="92">
        <f t="shared" si="101"/>
        <v>192307.69230769231</v>
      </c>
      <c r="AF1397" s="93" t="s">
        <v>4820</v>
      </c>
      <c r="AG1397" s="43">
        <v>62.275428390234197</v>
      </c>
      <c r="AH1397" s="43">
        <v>21.381376903063501</v>
      </c>
      <c r="AI1397" s="122" t="s">
        <v>7286</v>
      </c>
      <c r="AJ1397" s="41">
        <v>0.56999999999999995</v>
      </c>
    </row>
    <row r="1398" spans="1:36" ht="35.1" hidden="1" customHeight="1" x14ac:dyDescent="0.25">
      <c r="A1398" s="40">
        <v>2017</v>
      </c>
      <c r="B1398" s="90" t="s">
        <v>4822</v>
      </c>
      <c r="C1398" s="90" t="s">
        <v>532</v>
      </c>
      <c r="D1398" s="44">
        <v>2030</v>
      </c>
      <c r="E1398" s="44"/>
      <c r="F1398" s="90" t="s">
        <v>1331</v>
      </c>
      <c r="G1398" s="90" t="s">
        <v>455</v>
      </c>
      <c r="H1398" s="90"/>
      <c r="I1398" s="90" t="s">
        <v>1266</v>
      </c>
      <c r="J1398" s="90"/>
      <c r="K1398" s="90" t="s">
        <v>578</v>
      </c>
      <c r="L1398" s="90"/>
      <c r="M1398" s="90"/>
      <c r="N1398" s="90"/>
      <c r="O1398" s="90"/>
      <c r="P1398" s="90"/>
      <c r="Q1398" s="90">
        <v>1</v>
      </c>
      <c r="R1398" s="90"/>
      <c r="S1398" s="90"/>
      <c r="T1398" s="90"/>
      <c r="U1398" s="90"/>
      <c r="V1398" s="90"/>
      <c r="W1398" s="90"/>
      <c r="X1398" s="90"/>
      <c r="Y1398" s="90"/>
      <c r="Z1398" s="90" t="s">
        <v>1574</v>
      </c>
      <c r="AA1398" s="91">
        <v>200</v>
      </c>
      <c r="AB1398" s="46">
        <f>IF(H2ProjectDB689571011[[#This Row],[Dummy_1]]="Electrolysis",
AA1398/VLOOKUP(G1398,ElectrolysisConvF,3,FALSE),
AC1398*10^6/(H2dens*HoursInYear))</f>
        <v>38461.538461538461</v>
      </c>
      <c r="AC1398" s="47">
        <f t="shared" si="104"/>
        <v>29.986153846153844</v>
      </c>
      <c r="AD1398" s="92"/>
      <c r="AE1398" s="92">
        <f t="shared" si="101"/>
        <v>38461.538461538461</v>
      </c>
      <c r="AF1398" s="93" t="s">
        <v>4820</v>
      </c>
      <c r="AG1398" s="43">
        <v>60.392299999999999</v>
      </c>
      <c r="AH1398" s="43">
        <v>25.665099999999999</v>
      </c>
      <c r="AI1398" s="122" t="s">
        <v>7286</v>
      </c>
      <c r="AJ1398" s="41">
        <v>0.56999999999999995</v>
      </c>
    </row>
    <row r="1399" spans="1:36" ht="35.1" hidden="1" customHeight="1" x14ac:dyDescent="0.25">
      <c r="A1399" s="40">
        <v>2018</v>
      </c>
      <c r="B1399" s="90" t="s">
        <v>4823</v>
      </c>
      <c r="C1399" s="90" t="s">
        <v>1764</v>
      </c>
      <c r="D1399" s="90"/>
      <c r="E1399" s="90"/>
      <c r="F1399" s="90" t="s">
        <v>1331</v>
      </c>
      <c r="G1399" s="90" t="s">
        <v>1259</v>
      </c>
      <c r="H1399" s="40" t="s">
        <v>467</v>
      </c>
      <c r="I1399" s="90" t="s">
        <v>1269</v>
      </c>
      <c r="J1399" s="90" t="s">
        <v>581</v>
      </c>
      <c r="K1399" s="90" t="s">
        <v>578</v>
      </c>
      <c r="L1399" s="90"/>
      <c r="M1399" s="90"/>
      <c r="N1399" s="90"/>
      <c r="O1399" s="90"/>
      <c r="P1399" s="90"/>
      <c r="Q1399" s="90"/>
      <c r="R1399" s="90"/>
      <c r="S1399" s="90"/>
      <c r="T1399" s="90"/>
      <c r="U1399" s="90"/>
      <c r="V1399" s="90"/>
      <c r="W1399" s="90"/>
      <c r="X1399" s="90"/>
      <c r="Y1399" s="90"/>
      <c r="Z1399" s="90" t="s">
        <v>1484</v>
      </c>
      <c r="AA1399" s="91">
        <v>5</v>
      </c>
      <c r="AB1399" s="46">
        <f>IF(H2ProjectDB689571011[[#This Row],[Dummy_1]]="Electrolysis",
AA1399/VLOOKUP(G1399,ElectrolysisConvF,3,FALSE),
AC1399*10^6/(H2dens*HoursInYear))</f>
        <v>1111.1111111111111</v>
      </c>
      <c r="AC1399" s="47">
        <f t="shared" si="104"/>
        <v>0.86626666666666663</v>
      </c>
      <c r="AD1399" s="92"/>
      <c r="AE1399" s="92">
        <f t="shared" si="101"/>
        <v>1111.1111111111111</v>
      </c>
      <c r="AF1399" s="93" t="s">
        <v>4836</v>
      </c>
      <c r="AG1399" s="43">
        <v>43.314182194567699</v>
      </c>
      <c r="AH1399" s="43">
        <v>-5.8720726335325804</v>
      </c>
      <c r="AI1399" s="122" t="s">
        <v>7286</v>
      </c>
      <c r="AJ1399" s="41">
        <v>0.5</v>
      </c>
    </row>
    <row r="1400" spans="1:36" ht="35.1" hidden="1" customHeight="1" x14ac:dyDescent="0.25">
      <c r="A1400" s="40">
        <v>2019</v>
      </c>
      <c r="B1400" s="90" t="s">
        <v>4824</v>
      </c>
      <c r="C1400" s="90" t="s">
        <v>1764</v>
      </c>
      <c r="D1400" s="90"/>
      <c r="E1400" s="90"/>
      <c r="F1400" s="90" t="s">
        <v>2222</v>
      </c>
      <c r="G1400" s="90" t="s">
        <v>1259</v>
      </c>
      <c r="H1400" s="40" t="s">
        <v>467</v>
      </c>
      <c r="I1400" s="90" t="s">
        <v>1269</v>
      </c>
      <c r="J1400" s="90" t="s">
        <v>581</v>
      </c>
      <c r="K1400" s="90" t="s">
        <v>578</v>
      </c>
      <c r="L1400" s="90"/>
      <c r="M1400" s="90"/>
      <c r="N1400" s="90"/>
      <c r="O1400" s="90"/>
      <c r="P1400" s="90"/>
      <c r="Q1400" s="90"/>
      <c r="R1400" s="90"/>
      <c r="S1400" s="90"/>
      <c r="T1400" s="90"/>
      <c r="U1400" s="90"/>
      <c r="V1400" s="90"/>
      <c r="W1400" s="90"/>
      <c r="X1400" s="90"/>
      <c r="Y1400" s="90"/>
      <c r="Z1400" s="90" t="s">
        <v>1495</v>
      </c>
      <c r="AA1400" s="91">
        <v>15</v>
      </c>
      <c r="AB1400" s="46">
        <f>IF(H2ProjectDB689571011[[#This Row],[Dummy_1]]="Electrolysis",
AA1400/VLOOKUP(G1400,ElectrolysisConvF,3,FALSE),
AC1400*10^6/(H2dens*HoursInYear))</f>
        <v>3333.3333333333335</v>
      </c>
      <c r="AC1400" s="47">
        <f t="shared" si="104"/>
        <v>2.5988000000000002</v>
      </c>
      <c r="AD1400" s="92"/>
      <c r="AE1400" s="92">
        <f t="shared" si="101"/>
        <v>3333.3333333333335</v>
      </c>
      <c r="AF1400" s="93" t="s">
        <v>4836</v>
      </c>
      <c r="AG1400" s="43">
        <v>43.314182194567699</v>
      </c>
      <c r="AH1400" s="43">
        <v>-5.8720726335325804</v>
      </c>
      <c r="AI1400" s="122" t="s">
        <v>7286</v>
      </c>
      <c r="AJ1400" s="41">
        <v>0.5</v>
      </c>
    </row>
    <row r="1401" spans="1:36" ht="35.1" hidden="1" customHeight="1" x14ac:dyDescent="0.25">
      <c r="A1401" s="40">
        <v>2020</v>
      </c>
      <c r="B1401" s="90" t="s">
        <v>4825</v>
      </c>
      <c r="C1401" s="90" t="s">
        <v>1764</v>
      </c>
      <c r="D1401" s="90"/>
      <c r="E1401" s="90"/>
      <c r="F1401" s="90" t="s">
        <v>1331</v>
      </c>
      <c r="G1401" s="90" t="s">
        <v>1259</v>
      </c>
      <c r="H1401" s="40" t="s">
        <v>467</v>
      </c>
      <c r="I1401" s="90" t="s">
        <v>1269</v>
      </c>
      <c r="J1401" s="90" t="s">
        <v>581</v>
      </c>
      <c r="K1401" s="90" t="s">
        <v>578</v>
      </c>
      <c r="L1401" s="90"/>
      <c r="M1401" s="90"/>
      <c r="N1401" s="90"/>
      <c r="O1401" s="90"/>
      <c r="P1401" s="90">
        <v>1</v>
      </c>
      <c r="Q1401" s="90">
        <v>1</v>
      </c>
      <c r="R1401" s="90"/>
      <c r="S1401" s="90"/>
      <c r="T1401" s="90"/>
      <c r="U1401" s="90"/>
      <c r="V1401" s="90"/>
      <c r="W1401" s="90"/>
      <c r="X1401" s="90"/>
      <c r="Y1401" s="90"/>
      <c r="Z1401" s="90" t="s">
        <v>1333</v>
      </c>
      <c r="AA1401" s="91">
        <v>10</v>
      </c>
      <c r="AB1401" s="46">
        <f>IF(H2ProjectDB689571011[[#This Row],[Dummy_1]]="Electrolysis",
AA1401/VLOOKUP(G1401,ElectrolysisConvF,3,FALSE),
AC1401*10^6/(H2dens*HoursInYear))</f>
        <v>2222.2222222222222</v>
      </c>
      <c r="AC1401" s="47">
        <f t="shared" si="104"/>
        <v>1.7325333333333333</v>
      </c>
      <c r="AD1401" s="92"/>
      <c r="AE1401" s="92">
        <f t="shared" si="101"/>
        <v>2222.2222222222222</v>
      </c>
      <c r="AF1401" s="93" t="s">
        <v>4836</v>
      </c>
      <c r="AG1401" s="43">
        <v>37.339610883752698</v>
      </c>
      <c r="AH1401" s="43">
        <v>-5.8417937761335397</v>
      </c>
      <c r="AI1401" s="122" t="s">
        <v>7286</v>
      </c>
      <c r="AJ1401" s="41">
        <v>0.5</v>
      </c>
    </row>
    <row r="1402" spans="1:36" ht="35.1" hidden="1" customHeight="1" x14ac:dyDescent="0.25">
      <c r="A1402" s="40">
        <v>2021</v>
      </c>
      <c r="B1402" s="90" t="s">
        <v>4826</v>
      </c>
      <c r="C1402" s="90" t="s">
        <v>1764</v>
      </c>
      <c r="D1402" s="90"/>
      <c r="E1402" s="90"/>
      <c r="F1402" s="90" t="s">
        <v>1331</v>
      </c>
      <c r="G1402" s="90" t="s">
        <v>1259</v>
      </c>
      <c r="H1402" s="40" t="s">
        <v>467</v>
      </c>
      <c r="I1402" s="90" t="s">
        <v>1269</v>
      </c>
      <c r="J1402" s="90" t="s">
        <v>581</v>
      </c>
      <c r="K1402" s="90" t="s">
        <v>578</v>
      </c>
      <c r="L1402" s="90"/>
      <c r="M1402" s="90"/>
      <c r="N1402" s="90"/>
      <c r="O1402" s="90"/>
      <c r="P1402" s="90"/>
      <c r="Q1402" s="90">
        <v>1</v>
      </c>
      <c r="R1402" s="90"/>
      <c r="S1402" s="90"/>
      <c r="T1402" s="90"/>
      <c r="U1402" s="90"/>
      <c r="V1402" s="90"/>
      <c r="W1402" s="90"/>
      <c r="X1402" s="90"/>
      <c r="Y1402" s="90"/>
      <c r="Z1402" s="90" t="s">
        <v>1495</v>
      </c>
      <c r="AA1402" s="91">
        <v>20</v>
      </c>
      <c r="AB1402" s="46">
        <f>IF(H2ProjectDB689571011[[#This Row],[Dummy_1]]="Electrolysis",
AA1402/VLOOKUP(G1402,ElectrolysisConvF,3,FALSE),
AC1402*10^6/(H2dens*HoursInYear))</f>
        <v>4444.4444444444443</v>
      </c>
      <c r="AC1402" s="47">
        <f t="shared" si="104"/>
        <v>3.4650666666666665</v>
      </c>
      <c r="AD1402" s="92"/>
      <c r="AE1402" s="92">
        <f t="shared" si="101"/>
        <v>4444.4444444444443</v>
      </c>
      <c r="AF1402" s="93" t="s">
        <v>4828</v>
      </c>
      <c r="AG1402" s="43">
        <v>41.390468304758699</v>
      </c>
      <c r="AH1402" s="43">
        <v>2.16988385449095</v>
      </c>
      <c r="AI1402" s="122" t="s">
        <v>7286</v>
      </c>
      <c r="AJ1402" s="41">
        <v>0.5</v>
      </c>
    </row>
    <row r="1403" spans="1:36" ht="35.1" hidden="1" customHeight="1" x14ac:dyDescent="0.25">
      <c r="A1403" s="40">
        <v>2022</v>
      </c>
      <c r="B1403" s="90" t="s">
        <v>4829</v>
      </c>
      <c r="C1403" s="90" t="s">
        <v>1764</v>
      </c>
      <c r="D1403" s="90"/>
      <c r="E1403" s="90"/>
      <c r="F1403" s="90" t="s">
        <v>1331</v>
      </c>
      <c r="G1403" s="90" t="s">
        <v>1259</v>
      </c>
      <c r="H1403" s="40" t="s">
        <v>467</v>
      </c>
      <c r="I1403" s="90" t="s">
        <v>1269</v>
      </c>
      <c r="J1403" s="90" t="s">
        <v>581</v>
      </c>
      <c r="K1403" s="90" t="s">
        <v>578</v>
      </c>
      <c r="L1403" s="90"/>
      <c r="M1403" s="90"/>
      <c r="N1403" s="90"/>
      <c r="O1403" s="90"/>
      <c r="P1403" s="90">
        <v>1</v>
      </c>
      <c r="Q1403" s="90"/>
      <c r="R1403" s="90"/>
      <c r="S1403" s="90"/>
      <c r="T1403" s="90"/>
      <c r="U1403" s="90"/>
      <c r="V1403" s="90"/>
      <c r="W1403" s="90"/>
      <c r="X1403" s="90"/>
      <c r="Y1403" s="90"/>
      <c r="Z1403" s="90" t="s">
        <v>1582</v>
      </c>
      <c r="AA1403" s="91">
        <v>15</v>
      </c>
      <c r="AB1403" s="46">
        <f>IF(H2ProjectDB689571011[[#This Row],[Dummy_1]]="Electrolysis",
AA1403/VLOOKUP(G1403,ElectrolysisConvF,3,FALSE),
AC1403*10^6/(H2dens*HoursInYear))</f>
        <v>3333.3333333333335</v>
      </c>
      <c r="AC1403" s="47">
        <f t="shared" si="104"/>
        <v>2.5988000000000002</v>
      </c>
      <c r="AD1403" s="92"/>
      <c r="AE1403" s="92">
        <f t="shared" ref="AE1403:AE1418" si="105">IF(AND(G1403&lt;&gt;"NG w CCUS",G1403&lt;&gt;"Oil w CCUS",G1403&lt;&gt;"Coal w CCUS"),AB1403,AD1403*10^3/(HoursInYear*IF(G1403="NG w CCUS",0.9105,1.9075)))</f>
        <v>3333.3333333333335</v>
      </c>
      <c r="AF1403" s="93" t="s">
        <v>4836</v>
      </c>
      <c r="AG1403" s="43">
        <v>41.118945875490603</v>
      </c>
      <c r="AH1403" s="43">
        <v>1.24338923261384</v>
      </c>
      <c r="AI1403" s="122" t="s">
        <v>7286</v>
      </c>
      <c r="AJ1403" s="41">
        <v>0.5</v>
      </c>
    </row>
    <row r="1404" spans="1:36" ht="35.1" hidden="1" customHeight="1" x14ac:dyDescent="0.25">
      <c r="A1404" s="40">
        <v>2023</v>
      </c>
      <c r="B1404" s="90" t="s">
        <v>4832</v>
      </c>
      <c r="C1404" s="90" t="s">
        <v>1764</v>
      </c>
      <c r="D1404" s="90"/>
      <c r="E1404" s="90"/>
      <c r="F1404" s="90" t="s">
        <v>1331</v>
      </c>
      <c r="G1404" s="90" t="s">
        <v>1259</v>
      </c>
      <c r="H1404" s="40" t="s">
        <v>467</v>
      </c>
      <c r="I1404" s="90" t="s">
        <v>1269</v>
      </c>
      <c r="J1404" s="90" t="s">
        <v>581</v>
      </c>
      <c r="K1404" s="90" t="s">
        <v>578</v>
      </c>
      <c r="L1404" s="90"/>
      <c r="M1404" s="90"/>
      <c r="N1404" s="90"/>
      <c r="O1404" s="90"/>
      <c r="P1404" s="90">
        <v>1</v>
      </c>
      <c r="Q1404" s="90"/>
      <c r="R1404" s="90"/>
      <c r="S1404" s="90"/>
      <c r="T1404" s="90"/>
      <c r="U1404" s="90"/>
      <c r="V1404" s="90"/>
      <c r="W1404" s="90"/>
      <c r="X1404" s="90"/>
      <c r="Y1404" s="90"/>
      <c r="Z1404" s="90" t="s">
        <v>1495</v>
      </c>
      <c r="AA1404" s="91">
        <v>20</v>
      </c>
      <c r="AB1404" s="46">
        <f>IF(H2ProjectDB689571011[[#This Row],[Dummy_1]]="Electrolysis",
AA1404/VLOOKUP(G1404,ElectrolysisConvF,3,FALSE),
AC1404*10^6/(H2dens*HoursInYear))</f>
        <v>4444.4444444444443</v>
      </c>
      <c r="AC1404" s="47">
        <f t="shared" si="104"/>
        <v>3.4650666666666665</v>
      </c>
      <c r="AD1404" s="92"/>
      <c r="AE1404" s="92">
        <f t="shared" si="105"/>
        <v>4444.4444444444443</v>
      </c>
      <c r="AF1404" s="93" t="s">
        <v>4831</v>
      </c>
      <c r="AG1404" s="43">
        <v>37.261963881012697</v>
      </c>
      <c r="AH1404" s="43">
        <v>-6.9412846461681603</v>
      </c>
      <c r="AI1404" s="122" t="s">
        <v>7286</v>
      </c>
      <c r="AJ1404" s="41">
        <v>0.5</v>
      </c>
    </row>
    <row r="1405" spans="1:36" ht="35.1" hidden="1" customHeight="1" x14ac:dyDescent="0.25">
      <c r="A1405" s="40">
        <v>2024</v>
      </c>
      <c r="B1405" s="40" t="s">
        <v>8042</v>
      </c>
      <c r="C1405" s="90" t="s">
        <v>1764</v>
      </c>
      <c r="D1405" s="44">
        <v>2027</v>
      </c>
      <c r="E1405" s="44"/>
      <c r="F1405" s="90" t="s">
        <v>1331</v>
      </c>
      <c r="G1405" s="90" t="s">
        <v>1259</v>
      </c>
      <c r="H1405" s="40" t="s">
        <v>467</v>
      </c>
      <c r="I1405" s="90" t="s">
        <v>5700</v>
      </c>
      <c r="J1405" s="90" t="s">
        <v>1395</v>
      </c>
      <c r="K1405" s="90" t="s">
        <v>578</v>
      </c>
      <c r="L1405" s="90"/>
      <c r="M1405" s="90"/>
      <c r="N1405" s="90"/>
      <c r="O1405" s="90"/>
      <c r="P1405" s="90"/>
      <c r="Q1405" s="90">
        <v>1</v>
      </c>
      <c r="R1405" s="90"/>
      <c r="S1405" s="90"/>
      <c r="T1405" s="90"/>
      <c r="U1405" s="90"/>
      <c r="V1405" s="90"/>
      <c r="W1405" s="90"/>
      <c r="X1405" s="90"/>
      <c r="Y1405" s="90"/>
      <c r="Z1405" s="40" t="s">
        <v>8041</v>
      </c>
      <c r="AA1405" s="91">
        <v>20</v>
      </c>
      <c r="AB1405" s="46">
        <f>IF(H2ProjectDB689571011[[#This Row],[Dummy_1]]="Electrolysis",
AA1405/VLOOKUP(G1405,ElectrolysisConvF,3,FALSE),
AC1405*10^6/(H2dens*HoursInYear))</f>
        <v>4444.4444444444443</v>
      </c>
      <c r="AC1405" s="47">
        <f t="shared" si="104"/>
        <v>3.4650666666666665</v>
      </c>
      <c r="AD1405" s="92"/>
      <c r="AE1405" s="92">
        <f t="shared" si="105"/>
        <v>4444.4444444444443</v>
      </c>
      <c r="AF1405" s="93" t="s">
        <v>4834</v>
      </c>
      <c r="AG1405" s="43">
        <v>41.571975434196098</v>
      </c>
      <c r="AH1405" s="43">
        <v>-0.74182778732685395</v>
      </c>
      <c r="AI1405" s="122" t="s">
        <v>7286</v>
      </c>
      <c r="AJ1405" s="41">
        <v>0.7</v>
      </c>
    </row>
    <row r="1406" spans="1:36" ht="35.1" hidden="1" customHeight="1" x14ac:dyDescent="0.25">
      <c r="A1406" s="40">
        <v>2026</v>
      </c>
      <c r="B1406" s="90" t="s">
        <v>4837</v>
      </c>
      <c r="C1406" s="90" t="s">
        <v>1764</v>
      </c>
      <c r="D1406" s="90"/>
      <c r="E1406" s="90"/>
      <c r="F1406" s="90" t="s">
        <v>1331</v>
      </c>
      <c r="G1406" s="90" t="s">
        <v>1259</v>
      </c>
      <c r="H1406" s="40" t="s">
        <v>467</v>
      </c>
      <c r="I1406" s="90" t="s">
        <v>1269</v>
      </c>
      <c r="J1406" s="90" t="s">
        <v>581</v>
      </c>
      <c r="K1406" s="90" t="s">
        <v>578</v>
      </c>
      <c r="L1406" s="90"/>
      <c r="M1406" s="90"/>
      <c r="N1406" s="90"/>
      <c r="O1406" s="90"/>
      <c r="P1406" s="90"/>
      <c r="Q1406" s="90"/>
      <c r="R1406" s="90"/>
      <c r="S1406" s="90"/>
      <c r="T1406" s="90"/>
      <c r="U1406" s="90"/>
      <c r="V1406" s="90"/>
      <c r="W1406" s="90"/>
      <c r="X1406" s="90"/>
      <c r="Y1406" s="90"/>
      <c r="Z1406" s="90" t="s">
        <v>1647</v>
      </c>
      <c r="AA1406" s="91">
        <v>9</v>
      </c>
      <c r="AB1406" s="46">
        <f>IF(H2ProjectDB689571011[[#This Row],[Dummy_1]]="Electrolysis",
AA1406/VLOOKUP(G1406,ElectrolysisConvF,3,FALSE),
AC1406*10^6/(H2dens*HoursInYear))</f>
        <v>2000.0000000000002</v>
      </c>
      <c r="AC1406" s="47">
        <f t="shared" si="104"/>
        <v>1.55928</v>
      </c>
      <c r="AD1406" s="92"/>
      <c r="AE1406" s="92">
        <f t="shared" si="105"/>
        <v>2000.0000000000002</v>
      </c>
      <c r="AF1406" s="93" t="s">
        <v>4836</v>
      </c>
      <c r="AG1406" s="43">
        <v>37.751087264162798</v>
      </c>
      <c r="AH1406" s="43">
        <v>-3.74192975277361</v>
      </c>
      <c r="AI1406" s="122" t="s">
        <v>7286</v>
      </c>
      <c r="AJ1406" s="41">
        <v>0.5</v>
      </c>
    </row>
    <row r="1407" spans="1:36" ht="35.1" hidden="1" customHeight="1" x14ac:dyDescent="0.25">
      <c r="A1407" s="40">
        <v>2027</v>
      </c>
      <c r="B1407" s="40" t="s">
        <v>8445</v>
      </c>
      <c r="C1407" s="90" t="s">
        <v>536</v>
      </c>
      <c r="D1407" s="44">
        <v>2029</v>
      </c>
      <c r="E1407" s="44"/>
      <c r="F1407" s="90" t="s">
        <v>1331</v>
      </c>
      <c r="G1407" s="90" t="s">
        <v>1259</v>
      </c>
      <c r="H1407" s="40" t="s">
        <v>467</v>
      </c>
      <c r="I1407" s="90" t="s">
        <v>5700</v>
      </c>
      <c r="J1407" s="90"/>
      <c r="K1407" s="90" t="s">
        <v>612</v>
      </c>
      <c r="L1407" s="90"/>
      <c r="M1407" s="90"/>
      <c r="N1407" s="90"/>
      <c r="O1407" s="90"/>
      <c r="P1407" s="90"/>
      <c r="Q1407" s="90"/>
      <c r="R1407" s="90"/>
      <c r="S1407" s="90"/>
      <c r="T1407" s="90"/>
      <c r="U1407" s="90"/>
      <c r="V1407" s="90"/>
      <c r="W1407" s="90"/>
      <c r="X1407" s="90"/>
      <c r="Y1407" s="90"/>
      <c r="Z1407" s="40" t="s">
        <v>8339</v>
      </c>
      <c r="AA1407" s="91">
        <v>500</v>
      </c>
      <c r="AB1407" s="46">
        <f>IF(H2ProjectDB689571011[[#This Row],[Dummy_1]]="Electrolysis",
AA1407/VLOOKUP(G1407,ElectrolysisConvF,3,FALSE),
AC1407*10^6/(H2dens*HoursInYear))</f>
        <v>111111.11111111112</v>
      </c>
      <c r="AC1407" s="47">
        <f t="shared" si="104"/>
        <v>86.626666666666665</v>
      </c>
      <c r="AD1407" s="92"/>
      <c r="AE1407" s="92">
        <f t="shared" si="105"/>
        <v>111111.11111111112</v>
      </c>
      <c r="AF1407" s="93" t="s">
        <v>4839</v>
      </c>
      <c r="AG1407" s="43">
        <v>29.7593739999325</v>
      </c>
      <c r="AH1407" s="43">
        <v>-95.399918159095904</v>
      </c>
      <c r="AI1407" s="122" t="s">
        <v>7286</v>
      </c>
      <c r="AJ1407" s="41">
        <v>0.7</v>
      </c>
    </row>
    <row r="1408" spans="1:36" ht="35.1" hidden="1" customHeight="1" x14ac:dyDescent="0.25">
      <c r="A1408" s="40">
        <v>2028</v>
      </c>
      <c r="B1408" s="40" t="s">
        <v>6198</v>
      </c>
      <c r="C1408" s="90" t="s">
        <v>540</v>
      </c>
      <c r="D1408" s="90">
        <v>2023</v>
      </c>
      <c r="E1408" s="90"/>
      <c r="F1408" s="90" t="s">
        <v>1339</v>
      </c>
      <c r="G1408" s="90" t="s">
        <v>1259</v>
      </c>
      <c r="H1408" s="40" t="s">
        <v>467</v>
      </c>
      <c r="I1408" s="90" t="s">
        <v>1269</v>
      </c>
      <c r="J1408" s="90" t="s">
        <v>1391</v>
      </c>
      <c r="K1408" s="90" t="s">
        <v>578</v>
      </c>
      <c r="L1408" s="90"/>
      <c r="M1408" s="90"/>
      <c r="N1408" s="90"/>
      <c r="O1408" s="90"/>
      <c r="P1408" s="90">
        <v>1</v>
      </c>
      <c r="Q1408" s="90">
        <v>1</v>
      </c>
      <c r="R1408" s="90"/>
      <c r="S1408" s="90"/>
      <c r="T1408" s="90"/>
      <c r="U1408" s="90"/>
      <c r="V1408" s="90"/>
      <c r="W1408" s="90"/>
      <c r="X1408" s="90"/>
      <c r="Y1408" s="90"/>
      <c r="Z1408" s="90" t="s">
        <v>1480</v>
      </c>
      <c r="AA1408" s="91">
        <v>1</v>
      </c>
      <c r="AB1408" s="46">
        <f>IF(H2ProjectDB689571011[[#This Row],[Dummy_1]]="Electrolysis",
AA1408/VLOOKUP(G1408,ElectrolysisConvF,3,FALSE),
AC1408*10^6/(H2dens*HoursInYear))</f>
        <v>222.22222222222223</v>
      </c>
      <c r="AC1408" s="47">
        <f t="shared" si="104"/>
        <v>0.17325333333333334</v>
      </c>
      <c r="AD1408" s="92"/>
      <c r="AE1408" s="92">
        <f t="shared" si="105"/>
        <v>222.22222222222223</v>
      </c>
      <c r="AF1408" s="93" t="s">
        <v>4844</v>
      </c>
      <c r="AG1408" s="43">
        <v>47.263759013101797</v>
      </c>
      <c r="AH1408" s="43">
        <v>15.196744816980599</v>
      </c>
      <c r="AI1408" s="122" t="s">
        <v>7286</v>
      </c>
      <c r="AJ1408" s="41">
        <v>0.3</v>
      </c>
    </row>
    <row r="1409" spans="1:36" ht="35.1" hidden="1" customHeight="1" x14ac:dyDescent="0.25">
      <c r="A1409" s="40">
        <v>2029</v>
      </c>
      <c r="B1409" s="90" t="s">
        <v>4845</v>
      </c>
      <c r="C1409" s="90" t="s">
        <v>540</v>
      </c>
      <c r="D1409" s="90"/>
      <c r="E1409" s="90"/>
      <c r="F1409" s="90" t="s">
        <v>2222</v>
      </c>
      <c r="G1409" s="90" t="s">
        <v>1259</v>
      </c>
      <c r="H1409" s="40" t="s">
        <v>467</v>
      </c>
      <c r="I1409" s="90" t="s">
        <v>1257</v>
      </c>
      <c r="J1409" s="90"/>
      <c r="K1409" s="90" t="s">
        <v>578</v>
      </c>
      <c r="L1409" s="90"/>
      <c r="M1409" s="90"/>
      <c r="N1409" s="90"/>
      <c r="O1409" s="90"/>
      <c r="P1409" s="90">
        <v>1</v>
      </c>
      <c r="Q1409" s="90"/>
      <c r="R1409" s="90"/>
      <c r="S1409" s="90"/>
      <c r="T1409" s="90"/>
      <c r="U1409" s="90"/>
      <c r="V1409" s="90"/>
      <c r="W1409" s="90"/>
      <c r="X1409" s="90"/>
      <c r="Y1409" s="90"/>
      <c r="Z1409" s="90" t="s">
        <v>1576</v>
      </c>
      <c r="AA1409" s="91">
        <v>149</v>
      </c>
      <c r="AB1409" s="46">
        <f>IF(H2ProjectDB689571011[[#This Row],[Dummy_1]]="Electrolysis",
AA1409/VLOOKUP(G1409,ElectrolysisConvF,3,FALSE),
AC1409*10^6/(H2dens*HoursInYear))</f>
        <v>33111.111111111117</v>
      </c>
      <c r="AC1409" s="47">
        <f t="shared" si="104"/>
        <v>25.814746666666668</v>
      </c>
      <c r="AD1409" s="92"/>
      <c r="AE1409" s="92">
        <f t="shared" si="105"/>
        <v>33111.111111111117</v>
      </c>
      <c r="AF1409" s="93" t="s">
        <v>4844</v>
      </c>
      <c r="AG1409" s="43">
        <v>47.127519613273897</v>
      </c>
      <c r="AH1409" s="43">
        <v>15.3615397737585</v>
      </c>
      <c r="AI1409" s="122" t="s">
        <v>7286</v>
      </c>
      <c r="AJ1409" s="41">
        <v>0.56999999999999995</v>
      </c>
    </row>
    <row r="1410" spans="1:36" ht="35.1" hidden="1" customHeight="1" x14ac:dyDescent="0.25">
      <c r="A1410" s="40">
        <v>2030</v>
      </c>
      <c r="B1410" s="90" t="s">
        <v>4846</v>
      </c>
      <c r="C1410" s="90" t="s">
        <v>563</v>
      </c>
      <c r="D1410" s="90"/>
      <c r="E1410" s="90"/>
      <c r="F1410" s="90" t="s">
        <v>1331</v>
      </c>
      <c r="G1410" s="90" t="s">
        <v>455</v>
      </c>
      <c r="H1410" s="90"/>
      <c r="I1410" s="90" t="s">
        <v>1269</v>
      </c>
      <c r="J1410" s="90" t="s">
        <v>1392</v>
      </c>
      <c r="K1410" s="90" t="s">
        <v>578</v>
      </c>
      <c r="L1410" s="90"/>
      <c r="M1410" s="90"/>
      <c r="N1410" s="90"/>
      <c r="O1410" s="90"/>
      <c r="P1410" s="90"/>
      <c r="Q1410" s="90"/>
      <c r="R1410" s="90"/>
      <c r="S1410" s="90"/>
      <c r="T1410" s="90"/>
      <c r="U1410" s="90"/>
      <c r="V1410" s="90"/>
      <c r="W1410" s="90"/>
      <c r="X1410" s="90"/>
      <c r="Y1410" s="90"/>
      <c r="Z1410" s="40" t="s">
        <v>5023</v>
      </c>
      <c r="AA1410" s="47">
        <f>IF(H2ProjectDB689571011[[#This Row],[Dummy_1]]="Electrolysis",
AB1410*VLOOKUP(G1410,ElectrolysisConvF,3,FALSE),
"")</f>
        <v>334.73782771535576</v>
      </c>
      <c r="AB1410" s="46">
        <f>AC1410/(H2dens*HoursInYear/10^6)</f>
        <v>64372.659176029956</v>
      </c>
      <c r="AC1410" s="92">
        <f>(55*365/1000)/H2ProjectDB689571011[[#This Row],[LOWE_CF]]</f>
        <v>50.187499999999993</v>
      </c>
      <c r="AD1410" s="92"/>
      <c r="AE1410" s="92">
        <f t="shared" si="105"/>
        <v>64372.659176029956</v>
      </c>
      <c r="AF1410" s="93" t="s">
        <v>4848</v>
      </c>
      <c r="AG1410" s="43">
        <v>-53.764170999999997</v>
      </c>
      <c r="AH1410" s="43">
        <v>-67.748406000000003</v>
      </c>
      <c r="AI1410" s="122" t="s">
        <v>7286</v>
      </c>
      <c r="AJ1410" s="41">
        <v>0.4</v>
      </c>
    </row>
    <row r="1411" spans="1:36" ht="35.1" hidden="1" customHeight="1" x14ac:dyDescent="0.25">
      <c r="A1411" s="40">
        <v>2031</v>
      </c>
      <c r="B1411" s="90" t="s">
        <v>4887</v>
      </c>
      <c r="C1411" s="90" t="s">
        <v>533</v>
      </c>
      <c r="D1411" s="44">
        <v>2026</v>
      </c>
      <c r="E1411" s="44"/>
      <c r="F1411" s="90" t="s">
        <v>1331</v>
      </c>
      <c r="G1411" s="90" t="s">
        <v>455</v>
      </c>
      <c r="I1411" s="90" t="s">
        <v>1266</v>
      </c>
      <c r="J1411" s="90"/>
      <c r="K1411" s="90" t="s">
        <v>578</v>
      </c>
      <c r="L1411" s="90"/>
      <c r="M1411" s="90"/>
      <c r="N1411" s="90"/>
      <c r="O1411" s="90"/>
      <c r="P1411" s="90"/>
      <c r="Q1411" s="90"/>
      <c r="R1411" s="90"/>
      <c r="S1411" s="90"/>
      <c r="T1411" s="90"/>
      <c r="U1411" s="90"/>
      <c r="V1411" s="90"/>
      <c r="W1411" s="90"/>
      <c r="X1411" s="90"/>
      <c r="Y1411" s="90"/>
      <c r="Z1411" s="90" t="s">
        <v>4889</v>
      </c>
      <c r="AA1411" s="47">
        <f>IF(H2ProjectDB689571011[[#This Row],[Dummy_1]]="Electrolysis",
AB1411*VLOOKUP(G1411,ElectrolysisConvF,3,FALSE),
"")</f>
        <v>421.41561954367069</v>
      </c>
      <c r="AB1411" s="46">
        <f>AC1411/(H2dens*HoursInYear/10^6)</f>
        <v>81041.465296859751</v>
      </c>
      <c r="AC1411" s="46">
        <f>(200*3/17/0.98)/H2ProjectDB689571011[[#This Row],[LOWE_CF]]</f>
        <v>63.183168004043736</v>
      </c>
      <c r="AD1411" s="92"/>
      <c r="AE1411" s="92">
        <f t="shared" si="105"/>
        <v>81041.465296859751</v>
      </c>
      <c r="AF1411" s="43" t="s">
        <v>6366</v>
      </c>
      <c r="AG1411" s="43">
        <v>45.583347000000003</v>
      </c>
      <c r="AH1411" s="43">
        <v>-61.339879000000003</v>
      </c>
      <c r="AI1411" s="122" t="s">
        <v>7286</v>
      </c>
      <c r="AJ1411" s="41">
        <v>0.56999999999999995</v>
      </c>
    </row>
    <row r="1412" spans="1:36" ht="35.1" hidden="1" customHeight="1" x14ac:dyDescent="0.25">
      <c r="A1412" s="40">
        <v>2032</v>
      </c>
      <c r="B1412" s="40" t="s">
        <v>4853</v>
      </c>
      <c r="C1412" s="90" t="s">
        <v>1764</v>
      </c>
      <c r="D1412" s="44">
        <v>2028</v>
      </c>
      <c r="E1412" s="44"/>
      <c r="F1412" s="90" t="s">
        <v>1331</v>
      </c>
      <c r="G1412" s="90" t="s">
        <v>1259</v>
      </c>
      <c r="H1412" s="40" t="s">
        <v>467</v>
      </c>
      <c r="I1412" s="90" t="s">
        <v>1257</v>
      </c>
      <c r="J1412" s="90"/>
      <c r="K1412" s="90" t="s">
        <v>578</v>
      </c>
      <c r="L1412" s="90"/>
      <c r="M1412" s="90"/>
      <c r="N1412" s="90"/>
      <c r="O1412" s="90"/>
      <c r="P1412" s="90">
        <v>1</v>
      </c>
      <c r="Q1412" s="90">
        <v>1</v>
      </c>
      <c r="R1412" s="90"/>
      <c r="S1412" s="90"/>
      <c r="T1412" s="90"/>
      <c r="U1412" s="90"/>
      <c r="V1412" s="90"/>
      <c r="W1412" s="90"/>
      <c r="X1412" s="90"/>
      <c r="Y1412" s="90"/>
      <c r="Z1412" s="90" t="s">
        <v>4854</v>
      </c>
      <c r="AA1412" s="47">
        <f>IF(H2ProjectDB689571011[[#This Row],[Dummy_1]]="Electrolysis",
AB1412*VLOOKUP(G1412,ElectrolysisConvF,3,FALSE),
"")</f>
        <v>80.806526088964134</v>
      </c>
      <c r="AB1412" s="46">
        <f>AC1412/(H2dens*HoursInYear/10^6)</f>
        <v>17957.005797547587</v>
      </c>
      <c r="AC1412" s="92">
        <v>14</v>
      </c>
      <c r="AD1412" s="92"/>
      <c r="AE1412" s="92">
        <f t="shared" si="105"/>
        <v>17957.005797547587</v>
      </c>
      <c r="AF1412" s="93" t="s">
        <v>4856</v>
      </c>
      <c r="AG1412" s="43">
        <v>39.471595136935299</v>
      </c>
      <c r="AH1412" s="43">
        <v>-0.36663462307934302</v>
      </c>
      <c r="AI1412" s="122" t="s">
        <v>7286</v>
      </c>
      <c r="AJ1412" s="41">
        <v>0.56999999999999995</v>
      </c>
    </row>
    <row r="1413" spans="1:36" ht="35.1" hidden="1" customHeight="1" x14ac:dyDescent="0.25">
      <c r="A1413" s="40">
        <v>2033</v>
      </c>
      <c r="B1413" s="90" t="s">
        <v>4857</v>
      </c>
      <c r="C1413" s="90" t="s">
        <v>1764</v>
      </c>
      <c r="D1413" s="44">
        <v>2027</v>
      </c>
      <c r="E1413" s="44"/>
      <c r="F1413" s="90" t="s">
        <v>1331</v>
      </c>
      <c r="G1413" s="90" t="s">
        <v>1259</v>
      </c>
      <c r="H1413" s="40" t="s">
        <v>467</v>
      </c>
      <c r="I1413" s="90" t="s">
        <v>1257</v>
      </c>
      <c r="J1413" s="90"/>
      <c r="K1413" s="90" t="s">
        <v>578</v>
      </c>
      <c r="L1413" s="90"/>
      <c r="M1413" s="90"/>
      <c r="N1413" s="90"/>
      <c r="O1413" s="90"/>
      <c r="P1413" s="90"/>
      <c r="Q1413" s="90"/>
      <c r="R1413" s="90"/>
      <c r="S1413" s="90"/>
      <c r="T1413" s="90"/>
      <c r="U1413" s="90"/>
      <c r="V1413" s="90"/>
      <c r="W1413" s="90"/>
      <c r="X1413" s="90"/>
      <c r="Y1413" s="90"/>
      <c r="Z1413" s="90" t="s">
        <v>2054</v>
      </c>
      <c r="AA1413" s="91">
        <v>500</v>
      </c>
      <c r="AB1413" s="46">
        <f>IF(H2ProjectDB689571011[[#This Row],[Dummy_1]]="Electrolysis",
AA1413/VLOOKUP(G1413,ElectrolysisConvF,3,FALSE),
AC1413*10^6/(H2dens*HoursInYear))</f>
        <v>111111.11111111112</v>
      </c>
      <c r="AC1413" s="47">
        <f>AB1413*H2dens*HoursInYear/10^6</f>
        <v>86.626666666666665</v>
      </c>
      <c r="AD1413" s="92"/>
      <c r="AE1413" s="92">
        <f t="shared" si="105"/>
        <v>111111.11111111112</v>
      </c>
      <c r="AF1413" s="93" t="s">
        <v>4858</v>
      </c>
      <c r="AG1413" s="43">
        <v>43.348132082007702</v>
      </c>
      <c r="AH1413" s="43">
        <v>-4.0503704227122501</v>
      </c>
      <c r="AI1413" s="122" t="s">
        <v>7286</v>
      </c>
      <c r="AJ1413" s="41">
        <v>0.56999999999999995</v>
      </c>
    </row>
    <row r="1414" spans="1:36" ht="35.1" hidden="1" customHeight="1" x14ac:dyDescent="0.25">
      <c r="A1414" s="40">
        <v>2034</v>
      </c>
      <c r="B1414" s="90" t="s">
        <v>4860</v>
      </c>
      <c r="C1414" s="90" t="s">
        <v>1764</v>
      </c>
      <c r="D1414" s="44">
        <v>2031</v>
      </c>
      <c r="E1414" s="44"/>
      <c r="F1414" s="90" t="s">
        <v>1331</v>
      </c>
      <c r="G1414" s="90" t="s">
        <v>1259</v>
      </c>
      <c r="H1414" s="40" t="s">
        <v>467</v>
      </c>
      <c r="I1414" s="90" t="s">
        <v>1266</v>
      </c>
      <c r="J1414" s="90"/>
      <c r="K1414" s="90" t="s">
        <v>1243</v>
      </c>
      <c r="L1414" s="90"/>
      <c r="M1414" s="90">
        <v>1</v>
      </c>
      <c r="N1414" s="90"/>
      <c r="O1414" s="90"/>
      <c r="P1414" s="90"/>
      <c r="Q1414" s="90"/>
      <c r="R1414" s="90"/>
      <c r="S1414" s="90"/>
      <c r="T1414" s="90"/>
      <c r="U1414" s="90"/>
      <c r="V1414" s="90"/>
      <c r="W1414" s="90"/>
      <c r="X1414" s="90"/>
      <c r="Y1414" s="90"/>
      <c r="Z1414" s="90" t="s">
        <v>5021</v>
      </c>
      <c r="AA1414" s="47">
        <f>IF(H2ProjectDB689571011[[#This Row],[Dummy_1]]="Electrolysis",
AB1414*VLOOKUP(G1414,ElectrolysisConvF,3,FALSE),
"")</f>
        <v>1549.9180238024426</v>
      </c>
      <c r="AB1414" s="46">
        <f>AC1414/(H2dens*HoursInYear/10^6)</f>
        <v>344426.22751165391</v>
      </c>
      <c r="AC1414" s="46">
        <f>850*3/17/0.98/H2ProjectDB689571011[[#This Row],[LOWE_CF]]</f>
        <v>268.52846401718585</v>
      </c>
      <c r="AD1414" s="92"/>
      <c r="AE1414" s="92">
        <f t="shared" si="105"/>
        <v>344426.22751165391</v>
      </c>
      <c r="AF1414" s="93" t="s">
        <v>4861</v>
      </c>
      <c r="AG1414" s="43">
        <v>39.972461615129397</v>
      </c>
      <c r="AH1414" s="43">
        <v>2.4564551619674701E-2</v>
      </c>
      <c r="AI1414" s="122" t="s">
        <v>7286</v>
      </c>
      <c r="AJ1414" s="41">
        <v>0.56999999999999995</v>
      </c>
    </row>
    <row r="1415" spans="1:36" ht="35.1" hidden="1" customHeight="1" x14ac:dyDescent="0.25">
      <c r="A1415" s="40">
        <v>2036</v>
      </c>
      <c r="B1415" s="40" t="s">
        <v>8592</v>
      </c>
      <c r="C1415" s="90" t="s">
        <v>532</v>
      </c>
      <c r="D1415" s="44">
        <v>2027</v>
      </c>
      <c r="E1415" s="44"/>
      <c r="F1415" s="90" t="s">
        <v>1331</v>
      </c>
      <c r="G1415" s="90" t="s">
        <v>1259</v>
      </c>
      <c r="H1415" s="40" t="s">
        <v>467</v>
      </c>
      <c r="I1415" s="40" t="s">
        <v>1528</v>
      </c>
      <c r="J1415" s="90"/>
      <c r="K1415" s="90" t="s">
        <v>578</v>
      </c>
      <c r="L1415" s="90"/>
      <c r="M1415" s="90">
        <v>1</v>
      </c>
      <c r="N1415" s="90"/>
      <c r="O1415" s="90"/>
      <c r="P1415" s="90">
        <v>1</v>
      </c>
      <c r="Q1415" s="90"/>
      <c r="R1415" s="90"/>
      <c r="S1415" s="90"/>
      <c r="T1415" s="90"/>
      <c r="U1415" s="90"/>
      <c r="V1415" s="90"/>
      <c r="W1415" s="90"/>
      <c r="X1415" s="90"/>
      <c r="Y1415" s="90"/>
      <c r="Z1415" s="40" t="s">
        <v>3475</v>
      </c>
      <c r="AA1415" s="91">
        <v>350</v>
      </c>
      <c r="AB1415" s="46">
        <f>IF(H2ProjectDB689571011[[#This Row],[Dummy_1]]="Electrolysis",
AA1415/VLOOKUP(G1415,ElectrolysisConvF,3,FALSE),
AC1415*10^6/(H2dens*HoursInYear))</f>
        <v>77777.777777777781</v>
      </c>
      <c r="AC1415" s="47">
        <f>AB1415*H2dens*HoursInYear/10^6</f>
        <v>60.638666666666673</v>
      </c>
      <c r="AD1415" s="92"/>
      <c r="AE1415" s="92">
        <f t="shared" si="105"/>
        <v>77777.777777777781</v>
      </c>
      <c r="AF1415" s="93" t="s">
        <v>4867</v>
      </c>
      <c r="AG1415" s="43">
        <v>63.841330804875199</v>
      </c>
      <c r="AH1415" s="43">
        <v>23.126960394244701</v>
      </c>
      <c r="AI1415" s="122" t="s">
        <v>7286</v>
      </c>
      <c r="AJ1415" s="41">
        <v>0.56999999999999995</v>
      </c>
    </row>
    <row r="1416" spans="1:36" ht="35.1" hidden="1" customHeight="1" x14ac:dyDescent="0.25">
      <c r="A1416" s="40">
        <v>2037</v>
      </c>
      <c r="B1416" s="40" t="s">
        <v>4868</v>
      </c>
      <c r="C1416" s="40" t="s">
        <v>535</v>
      </c>
      <c r="D1416" s="44">
        <v>2029</v>
      </c>
      <c r="E1416" s="44"/>
      <c r="F1416" s="90" t="s">
        <v>2222</v>
      </c>
      <c r="G1416" s="90" t="s">
        <v>1259</v>
      </c>
      <c r="H1416" s="40" t="s">
        <v>467</v>
      </c>
      <c r="I1416" s="40" t="s">
        <v>1269</v>
      </c>
      <c r="J1416" s="90" t="s">
        <v>1394</v>
      </c>
      <c r="K1416" s="90" t="s">
        <v>578</v>
      </c>
      <c r="L1416" s="90"/>
      <c r="M1416" s="90"/>
      <c r="N1416" s="90"/>
      <c r="O1416" s="90"/>
      <c r="P1416" s="90"/>
      <c r="Q1416" s="90"/>
      <c r="R1416" s="90"/>
      <c r="S1416" s="90">
        <v>1</v>
      </c>
      <c r="T1416" s="90"/>
      <c r="U1416" s="90"/>
      <c r="V1416" s="90"/>
      <c r="W1416" s="90"/>
      <c r="X1416" s="90"/>
      <c r="Y1416" s="90"/>
      <c r="Z1416" s="40" t="s">
        <v>4869</v>
      </c>
      <c r="AA1416" s="91">
        <f>AVERAGE(15,25)</f>
        <v>20</v>
      </c>
      <c r="AB1416" s="46">
        <f>IF(H2ProjectDB689571011[[#This Row],[Dummy_1]]="Electrolysis",
AA1416/VLOOKUP(G1416,ElectrolysisConvF,3,FALSE),
AC1416*10^6/(H2dens*HoursInYear))</f>
        <v>4444.4444444444443</v>
      </c>
      <c r="AC1416" s="47">
        <f>AB1416*H2dens*HoursInYear/10^6</f>
        <v>3.4650666666666665</v>
      </c>
      <c r="AD1416" s="92"/>
      <c r="AE1416" s="92">
        <f t="shared" si="105"/>
        <v>4444.4444444444443</v>
      </c>
      <c r="AF1416" s="43" t="s">
        <v>4871</v>
      </c>
      <c r="AG1416" s="43">
        <v>-15.77422</v>
      </c>
      <c r="AH1416" s="43">
        <v>128.74000899999999</v>
      </c>
      <c r="AI1416" s="122" t="s">
        <v>7286</v>
      </c>
      <c r="AJ1416" s="41">
        <v>0.8</v>
      </c>
    </row>
    <row r="1417" spans="1:36" ht="35.1" hidden="1" customHeight="1" x14ac:dyDescent="0.25">
      <c r="A1417" s="40">
        <v>2038</v>
      </c>
      <c r="B1417" s="40" t="s">
        <v>4881</v>
      </c>
      <c r="C1417" s="40" t="s">
        <v>535</v>
      </c>
      <c r="D1417" s="90"/>
      <c r="E1417" s="90"/>
      <c r="F1417" s="90" t="s">
        <v>1331</v>
      </c>
      <c r="G1417" s="90" t="s">
        <v>1261</v>
      </c>
      <c r="H1417" s="90" t="s">
        <v>1665</v>
      </c>
      <c r="I1417" s="90"/>
      <c r="J1417" s="90"/>
      <c r="K1417" s="90" t="s">
        <v>1243</v>
      </c>
      <c r="L1417" s="90"/>
      <c r="M1417" s="90">
        <v>1</v>
      </c>
      <c r="N1417" s="90"/>
      <c r="O1417" s="90"/>
      <c r="P1417" s="90"/>
      <c r="Q1417" s="90"/>
      <c r="R1417" s="90"/>
      <c r="S1417" s="90"/>
      <c r="T1417" s="90"/>
      <c r="U1417" s="90"/>
      <c r="V1417" s="90"/>
      <c r="W1417" s="90"/>
      <c r="X1417" s="90"/>
      <c r="Y1417" s="90"/>
      <c r="Z1417" s="40" t="s">
        <v>4875</v>
      </c>
      <c r="AA1417" s="91"/>
      <c r="AB1417" s="46">
        <f>AC1417/(H2dens*HoursInYear/10^6)</f>
        <v>57742.044024012561</v>
      </c>
      <c r="AC1417" s="47">
        <f>250*3/17/0.98</f>
        <v>45.018007202881151</v>
      </c>
      <c r="AD1417" s="92"/>
      <c r="AE1417" s="92">
        <f t="shared" si="105"/>
        <v>0</v>
      </c>
      <c r="AF1417" s="43" t="s">
        <v>4874</v>
      </c>
      <c r="AG1417" s="43">
        <v>-20.7372486779086</v>
      </c>
      <c r="AH1417" s="43">
        <v>121.60185105042601</v>
      </c>
      <c r="AI1417" s="122" t="s">
        <v>7287</v>
      </c>
      <c r="AJ1417" s="41">
        <v>0.9</v>
      </c>
    </row>
    <row r="1418" spans="1:36" ht="35.1" hidden="1" customHeight="1" x14ac:dyDescent="0.25">
      <c r="A1418" s="40">
        <v>2039</v>
      </c>
      <c r="B1418" s="40" t="s">
        <v>4909</v>
      </c>
      <c r="C1418" s="40" t="s">
        <v>535</v>
      </c>
      <c r="D1418" s="90"/>
      <c r="E1418" s="90"/>
      <c r="F1418" s="90" t="s">
        <v>2222</v>
      </c>
      <c r="G1418" s="90" t="s">
        <v>1261</v>
      </c>
      <c r="H1418" s="90" t="s">
        <v>1665</v>
      </c>
      <c r="I1418" s="90"/>
      <c r="J1418" s="90"/>
      <c r="K1418" s="90" t="s">
        <v>1243</v>
      </c>
      <c r="L1418" s="90"/>
      <c r="M1418" s="90">
        <v>1</v>
      </c>
      <c r="N1418" s="90"/>
      <c r="O1418" s="90"/>
      <c r="P1418" s="90"/>
      <c r="Q1418" s="90"/>
      <c r="R1418" s="90"/>
      <c r="S1418" s="90"/>
      <c r="T1418" s="90"/>
      <c r="U1418" s="90"/>
      <c r="V1418" s="90"/>
      <c r="W1418" s="90"/>
      <c r="X1418" s="90"/>
      <c r="Y1418" s="90"/>
      <c r="Z1418" s="40" t="s">
        <v>3558</v>
      </c>
      <c r="AA1418" s="91"/>
      <c r="AB1418" s="46">
        <f>AC1418/(H2dens*HoursInYear/10^6)</f>
        <v>127032.49685282764</v>
      </c>
      <c r="AC1418" s="47">
        <f>(800-250)*3/17/0.98</f>
        <v>99.039615846338535</v>
      </c>
      <c r="AD1418" s="92"/>
      <c r="AE1418" s="92">
        <f t="shared" si="105"/>
        <v>0</v>
      </c>
      <c r="AF1418" s="43" t="s">
        <v>4874</v>
      </c>
      <c r="AG1418" s="43">
        <v>-20.7372486779086</v>
      </c>
      <c r="AH1418" s="43">
        <v>121.60185105042601</v>
      </c>
      <c r="AI1418" s="122" t="s">
        <v>7287</v>
      </c>
      <c r="AJ1418" s="41">
        <v>0.9</v>
      </c>
    </row>
    <row r="1419" spans="1:36" ht="35.1" hidden="1" customHeight="1" x14ac:dyDescent="0.25">
      <c r="A1419" s="40">
        <v>2040</v>
      </c>
      <c r="B1419" s="90" t="s">
        <v>4876</v>
      </c>
      <c r="C1419" s="40" t="s">
        <v>535</v>
      </c>
      <c r="D1419" s="44">
        <v>2036</v>
      </c>
      <c r="E1419" s="44"/>
      <c r="F1419" s="40" t="s">
        <v>1331</v>
      </c>
      <c r="G1419" s="40" t="s">
        <v>1259</v>
      </c>
      <c r="H1419" s="40" t="s">
        <v>467</v>
      </c>
      <c r="I1419" s="40" t="s">
        <v>1269</v>
      </c>
      <c r="J1419" s="40" t="s">
        <v>1395</v>
      </c>
      <c r="K1419" s="40" t="s">
        <v>1268</v>
      </c>
      <c r="M1419" s="40">
        <v>1</v>
      </c>
      <c r="Z1419" s="40" t="s">
        <v>2587</v>
      </c>
      <c r="AA1419" s="45">
        <v>14000</v>
      </c>
      <c r="AB1419" s="46">
        <f>IF(H2ProjectDB689571011[[#This Row],[Dummy_1]]="Electrolysis",
AA1419/VLOOKUP(G1419,ElectrolysisConvF,3,FALSE),
AC1419*10^6/(H2dens*HoursInYear))</f>
        <v>3111111.1111111115</v>
      </c>
      <c r="AC1419" s="46">
        <f>AB1419*H2dens*HoursInYear/10^6</f>
        <v>2425.5466666666671</v>
      </c>
      <c r="AE1419" s="46">
        <f>AB1419</f>
        <v>3111111.1111111115</v>
      </c>
      <c r="AF1419" s="43" t="s">
        <v>2589</v>
      </c>
      <c r="AG1419" s="43">
        <v>-20.317253000000001</v>
      </c>
      <c r="AH1419" s="43">
        <v>121.042081</v>
      </c>
      <c r="AI1419" s="122" t="s">
        <v>7286</v>
      </c>
      <c r="AJ1419" s="41">
        <v>0.5</v>
      </c>
    </row>
    <row r="1420" spans="1:36" ht="35.1" customHeight="1" x14ac:dyDescent="0.25">
      <c r="A1420" s="40">
        <v>2041</v>
      </c>
      <c r="B1420" s="90" t="s">
        <v>4878</v>
      </c>
      <c r="C1420" s="90" t="s">
        <v>1052</v>
      </c>
      <c r="D1420" s="90"/>
      <c r="E1420" s="90"/>
      <c r="F1420" s="40" t="s">
        <v>2222</v>
      </c>
      <c r="G1420" s="40" t="s">
        <v>1259</v>
      </c>
      <c r="H1420" s="40" t="s">
        <v>467</v>
      </c>
      <c r="I1420" s="40" t="s">
        <v>1269</v>
      </c>
      <c r="J1420" s="90" t="s">
        <v>1395</v>
      </c>
      <c r="K1420" s="90" t="s">
        <v>578</v>
      </c>
      <c r="L1420" s="90">
        <v>1</v>
      </c>
      <c r="M1420" s="90"/>
      <c r="N1420" s="90"/>
      <c r="O1420" s="90"/>
      <c r="P1420" s="90">
        <v>1</v>
      </c>
      <c r="Q1420" s="90"/>
      <c r="R1420" s="90"/>
      <c r="S1420" s="90"/>
      <c r="T1420" s="90"/>
      <c r="U1420" s="90"/>
      <c r="V1420" s="90"/>
      <c r="W1420" s="90"/>
      <c r="X1420" s="90"/>
      <c r="Y1420" s="90"/>
      <c r="Z1420" s="40" t="s">
        <v>5525</v>
      </c>
      <c r="AA1420" s="91">
        <v>5400</v>
      </c>
      <c r="AB1420" s="46">
        <f>IF(H2ProjectDB689571011[[#This Row],[Dummy_1]]="Electrolysis",
AA1420/VLOOKUP(G1420,ElectrolysisConvF,3,FALSE),
AC1420*10^6/(H2dens*HoursInYear))</f>
        <v>1200000</v>
      </c>
      <c r="AC1420" s="47">
        <f>AB1420*H2dens*HoursInYear/10^6</f>
        <v>935.56799999999998</v>
      </c>
      <c r="AD1420" s="92"/>
      <c r="AE1420" s="92">
        <f t="shared" ref="AE1420:AE1431" si="106">IF(AND(G1420&lt;&gt;"NG w CCUS",G1420&lt;&gt;"Oil w CCUS",G1420&lt;&gt;"Coal w CCUS"),AB1420,AD1420*10^3/(HoursInYear*IF(G1420="NG w CCUS",0.9105,1.9075)))</f>
        <v>1200000</v>
      </c>
      <c r="AF1420" s="93" t="s">
        <v>4880</v>
      </c>
      <c r="AG1420" s="43">
        <v>-12.7342961435807</v>
      </c>
      <c r="AH1420" s="43">
        <v>-38.437937417486403</v>
      </c>
      <c r="AI1420" s="122" t="s">
        <v>7286</v>
      </c>
      <c r="AJ1420" s="41">
        <v>0.5</v>
      </c>
    </row>
    <row r="1421" spans="1:36" ht="35.1" hidden="1" customHeight="1" x14ac:dyDescent="0.25">
      <c r="A1421" s="40">
        <v>2043</v>
      </c>
      <c r="B1421" s="90" t="s">
        <v>4882</v>
      </c>
      <c r="C1421" s="90" t="s">
        <v>546</v>
      </c>
      <c r="D1421" s="44">
        <v>2027</v>
      </c>
      <c r="E1421" s="44"/>
      <c r="F1421" s="40" t="s">
        <v>2222</v>
      </c>
      <c r="G1421" s="40" t="s">
        <v>1259</v>
      </c>
      <c r="H1421" s="40" t="s">
        <v>467</v>
      </c>
      <c r="I1421" s="40" t="s">
        <v>1269</v>
      </c>
      <c r="J1421" s="90" t="s">
        <v>581</v>
      </c>
      <c r="K1421" s="90" t="s">
        <v>1267</v>
      </c>
      <c r="L1421" s="90"/>
      <c r="M1421" s="90"/>
      <c r="N1421" s="90"/>
      <c r="O1421" s="90"/>
      <c r="P1421" s="90"/>
      <c r="Q1421" s="90"/>
      <c r="R1421" s="90"/>
      <c r="S1421" s="90"/>
      <c r="T1421" s="90"/>
      <c r="U1421" s="90"/>
      <c r="V1421" s="90"/>
      <c r="W1421" s="90">
        <v>1</v>
      </c>
      <c r="X1421" s="90"/>
      <c r="Y1421" s="90"/>
      <c r="Z1421" s="90" t="s">
        <v>4884</v>
      </c>
      <c r="AA1421" s="91"/>
      <c r="AB1421" s="92"/>
      <c r="AC1421" s="92"/>
      <c r="AD1421" s="92"/>
      <c r="AE1421" s="92">
        <f t="shared" si="106"/>
        <v>0</v>
      </c>
      <c r="AF1421" s="93" t="s">
        <v>4885</v>
      </c>
      <c r="AG1421" s="43">
        <v>52.366101683889397</v>
      </c>
      <c r="AH1421" s="43">
        <v>5.0347740334735898</v>
      </c>
      <c r="AI1421" s="122" t="s">
        <v>7286</v>
      </c>
      <c r="AJ1421" s="41">
        <v>0.5</v>
      </c>
    </row>
    <row r="1422" spans="1:36" ht="35.1" hidden="1" customHeight="1" x14ac:dyDescent="0.25">
      <c r="A1422" s="40">
        <v>2044</v>
      </c>
      <c r="B1422" s="90" t="s">
        <v>4888</v>
      </c>
      <c r="C1422" s="90" t="s">
        <v>533</v>
      </c>
      <c r="D1422" s="44">
        <v>2026</v>
      </c>
      <c r="E1422" s="44"/>
      <c r="F1422" s="90" t="s">
        <v>1331</v>
      </c>
      <c r="G1422" s="90" t="s">
        <v>455</v>
      </c>
      <c r="I1422" s="90" t="s">
        <v>1269</v>
      </c>
      <c r="J1422" s="90" t="s">
        <v>1392</v>
      </c>
      <c r="K1422" s="90" t="s">
        <v>578</v>
      </c>
      <c r="L1422" s="90"/>
      <c r="M1422" s="90"/>
      <c r="N1422" s="90"/>
      <c r="O1422" s="90"/>
      <c r="P1422" s="90"/>
      <c r="Q1422" s="90"/>
      <c r="R1422" s="90"/>
      <c r="S1422" s="90"/>
      <c r="T1422" s="90"/>
      <c r="U1422" s="90"/>
      <c r="V1422" s="90"/>
      <c r="W1422" s="90"/>
      <c r="X1422" s="90"/>
      <c r="Y1422" s="90"/>
      <c r="Z1422" s="90" t="s">
        <v>4890</v>
      </c>
      <c r="AA1422" s="47">
        <f>IF(H2ProjectDB689571011[[#This Row],[Dummy_1]]="Electrolysis",
AB1422*VLOOKUP(G1422,ElectrolysisConvF,3,FALSE),
"")</f>
        <v>2552.1983458613554</v>
      </c>
      <c r="AB1422" s="46">
        <f>AC1422/(H2dens*HoursInYear/10^6)</f>
        <v>490807.3742041068</v>
      </c>
      <c r="AC1422" s="92">
        <f>(850*3/17/0.98)/H2ProjectDB689571011[[#This Row],[LOWE_CF]]</f>
        <v>382.65306122448982</v>
      </c>
      <c r="AD1422" s="92"/>
      <c r="AE1422" s="92">
        <f t="shared" si="106"/>
        <v>490807.3742041068</v>
      </c>
      <c r="AF1422" s="43" t="s">
        <v>6400</v>
      </c>
      <c r="AG1422" s="43">
        <v>45.583347000000003</v>
      </c>
      <c r="AH1422" s="43">
        <v>-61.339879000000003</v>
      </c>
      <c r="AI1422" s="122" t="s">
        <v>7286</v>
      </c>
      <c r="AJ1422" s="41">
        <v>0.4</v>
      </c>
    </row>
    <row r="1423" spans="1:36" s="89" customFormat="1" ht="35.1" hidden="1" customHeight="1" x14ac:dyDescent="0.25">
      <c r="A1423" s="40">
        <v>2047</v>
      </c>
      <c r="B1423" s="40" t="s">
        <v>4894</v>
      </c>
      <c r="C1423" s="40" t="s">
        <v>1062</v>
      </c>
      <c r="D1423" s="90"/>
      <c r="E1423" s="90"/>
      <c r="F1423" s="90" t="s">
        <v>2222</v>
      </c>
      <c r="G1423" s="90" t="s">
        <v>1259</v>
      </c>
      <c r="H1423" s="40" t="s">
        <v>467</v>
      </c>
      <c r="I1423" s="40" t="s">
        <v>1528</v>
      </c>
      <c r="J1423" s="90"/>
      <c r="K1423" s="90" t="s">
        <v>578</v>
      </c>
      <c r="L1423" s="90"/>
      <c r="M1423" s="90"/>
      <c r="N1423" s="90"/>
      <c r="O1423" s="90"/>
      <c r="P1423" s="90">
        <v>1</v>
      </c>
      <c r="Q1423" s="90"/>
      <c r="R1423" s="90"/>
      <c r="S1423" s="90"/>
      <c r="T1423" s="90"/>
      <c r="U1423" s="90"/>
      <c r="V1423" s="90"/>
      <c r="W1423" s="90"/>
      <c r="X1423" s="90"/>
      <c r="Y1423" s="90"/>
      <c r="Z1423" s="40" t="s">
        <v>2807</v>
      </c>
      <c r="AA1423" s="91">
        <v>5000</v>
      </c>
      <c r="AB1423" s="46">
        <f>IF(H2ProjectDB689571011[[#This Row],[Dummy_1]]="Electrolysis",
AA1423/VLOOKUP(G1423,ElectrolysisConvF,3,FALSE),
AC1423*10^6/(H2dens*HoursInYear))</f>
        <v>1111111.1111111112</v>
      </c>
      <c r="AC1423" s="47">
        <f>AB1423*H2dens*HoursInYear/10^6</f>
        <v>866.26666666666665</v>
      </c>
      <c r="AD1423" s="92"/>
      <c r="AE1423" s="92">
        <f t="shared" si="106"/>
        <v>1111111.1111111112</v>
      </c>
      <c r="AF1423" s="43" t="s">
        <v>4896</v>
      </c>
      <c r="AG1423" s="43">
        <v>-5.9489190500692404</v>
      </c>
      <c r="AH1423" s="43">
        <v>106.018577707793</v>
      </c>
      <c r="AI1423" s="122" t="s">
        <v>7286</v>
      </c>
      <c r="AJ1423" s="41">
        <v>0.56999999999999995</v>
      </c>
    </row>
    <row r="1424" spans="1:36" ht="35.1" hidden="1" customHeight="1" x14ac:dyDescent="0.25">
      <c r="A1424" s="40">
        <v>2048</v>
      </c>
      <c r="B1424" s="40" t="s">
        <v>4897</v>
      </c>
      <c r="C1424" s="40" t="s">
        <v>560</v>
      </c>
      <c r="D1424" s="44">
        <v>2024</v>
      </c>
      <c r="E1424" s="44"/>
      <c r="F1424" s="90" t="s">
        <v>1331</v>
      </c>
      <c r="G1424" s="90" t="s">
        <v>1259</v>
      </c>
      <c r="H1424" s="40" t="s">
        <v>467</v>
      </c>
      <c r="I1424" s="40" t="s">
        <v>1269</v>
      </c>
      <c r="J1424" s="90" t="s">
        <v>1391</v>
      </c>
      <c r="K1424" s="90" t="s">
        <v>578</v>
      </c>
      <c r="L1424" s="90"/>
      <c r="M1424" s="90"/>
      <c r="N1424" s="90"/>
      <c r="O1424" s="90"/>
      <c r="P1424" s="90"/>
      <c r="Q1424" s="90">
        <v>1</v>
      </c>
      <c r="R1424" s="90"/>
      <c r="S1424" s="90"/>
      <c r="T1424" s="90"/>
      <c r="U1424" s="90"/>
      <c r="V1424" s="90"/>
      <c r="W1424" s="90"/>
      <c r="X1424" s="90"/>
      <c r="Y1424" s="90"/>
      <c r="Z1424" s="40" t="s">
        <v>5815</v>
      </c>
      <c r="AA1424" s="45">
        <v>3</v>
      </c>
      <c r="AB1424" s="46">
        <f>IF(H2ProjectDB689571011[[#This Row],[Dummy_1]]="Electrolysis",
AA1424/VLOOKUP(G1424,ElectrolysisConvF,3,FALSE),
AC1424*10^6/(H2dens*HoursInYear))</f>
        <v>666.66666666666674</v>
      </c>
      <c r="AC1424" s="47">
        <f>AB1424*H2dens*HoursInYear/10^6</f>
        <v>0.51976</v>
      </c>
      <c r="AD1424" s="92"/>
      <c r="AE1424" s="92">
        <f t="shared" si="106"/>
        <v>666.66666666666674</v>
      </c>
      <c r="AF1424" s="43" t="s">
        <v>4899</v>
      </c>
      <c r="AG1424" s="43">
        <v>-23.099429662471</v>
      </c>
      <c r="AH1424" s="43">
        <v>-70.449759066998396</v>
      </c>
      <c r="AI1424" s="122" t="s">
        <v>7286</v>
      </c>
      <c r="AJ1424" s="41">
        <v>0.3</v>
      </c>
    </row>
    <row r="1425" spans="1:36" ht="35.1" hidden="1" customHeight="1" x14ac:dyDescent="0.25">
      <c r="A1425" s="40">
        <v>2049</v>
      </c>
      <c r="B1425" s="40" t="s">
        <v>4900</v>
      </c>
      <c r="C1425" s="40" t="s">
        <v>536</v>
      </c>
      <c r="D1425" s="44">
        <v>2027</v>
      </c>
      <c r="E1425" s="44"/>
      <c r="F1425" s="90" t="s">
        <v>2222</v>
      </c>
      <c r="G1425" s="90" t="s">
        <v>455</v>
      </c>
      <c r="I1425" s="90" t="s">
        <v>1269</v>
      </c>
      <c r="J1425" s="90" t="s">
        <v>1395</v>
      </c>
      <c r="K1425" s="40" t="s">
        <v>578</v>
      </c>
      <c r="L1425" s="90"/>
      <c r="M1425" s="90"/>
      <c r="N1425" s="90"/>
      <c r="O1425" s="90"/>
      <c r="P1425" s="90">
        <v>1</v>
      </c>
      <c r="Q1425" s="90">
        <v>1</v>
      </c>
      <c r="R1425" s="90"/>
      <c r="S1425" s="90"/>
      <c r="T1425" s="90"/>
      <c r="U1425" s="90"/>
      <c r="V1425" s="90"/>
      <c r="W1425" s="90"/>
      <c r="X1425" s="90"/>
      <c r="Y1425" s="90"/>
      <c r="Z1425" s="40" t="s">
        <v>5024</v>
      </c>
      <c r="AA1425" s="47">
        <f>IF(H2ProjectDB689571011[[#This Row],[Dummy_1]]="Electrolysis",
AB1425*VLOOKUP(G1425,ElectrolysisConvF,3,FALSE),
"")</f>
        <v>973.78277153558042</v>
      </c>
      <c r="AB1425" s="46">
        <f>AC1425/(H2dens*HoursInYear/10^6)</f>
        <v>187265.91760299625</v>
      </c>
      <c r="AC1425" s="97">
        <f>((200/10^3)*365)/H2ProjectDB689571011[[#This Row],[LOWE_CF]]</f>
        <v>146</v>
      </c>
      <c r="AD1425" s="92"/>
      <c r="AE1425" s="92">
        <f t="shared" si="106"/>
        <v>187265.91760299625</v>
      </c>
      <c r="AF1425" s="43" t="s">
        <v>7317</v>
      </c>
      <c r="AG1425" s="43">
        <v>34.068661489320398</v>
      </c>
      <c r="AH1425" s="43">
        <v>-99.230489024942898</v>
      </c>
      <c r="AI1425" s="122" t="s">
        <v>7286</v>
      </c>
      <c r="AJ1425" s="41">
        <v>0.5</v>
      </c>
    </row>
    <row r="1426" spans="1:36" ht="35.1" hidden="1" customHeight="1" x14ac:dyDescent="0.25">
      <c r="A1426" s="40">
        <v>2050</v>
      </c>
      <c r="B1426" s="40" t="s">
        <v>4902</v>
      </c>
      <c r="C1426" s="40" t="s">
        <v>535</v>
      </c>
      <c r="D1426" s="44">
        <v>2026</v>
      </c>
      <c r="E1426" s="44"/>
      <c r="F1426" s="40" t="s">
        <v>5701</v>
      </c>
      <c r="G1426" s="40" t="s">
        <v>1259</v>
      </c>
      <c r="H1426" s="40" t="s">
        <v>467</v>
      </c>
      <c r="I1426" s="90" t="s">
        <v>1269</v>
      </c>
      <c r="J1426" s="90" t="s">
        <v>581</v>
      </c>
      <c r="K1426" s="90" t="s">
        <v>578</v>
      </c>
      <c r="L1426" s="90"/>
      <c r="M1426" s="90"/>
      <c r="N1426" s="90"/>
      <c r="O1426" s="90"/>
      <c r="P1426" s="90"/>
      <c r="Q1426" s="90"/>
      <c r="R1426" s="90">
        <v>1</v>
      </c>
      <c r="S1426" s="90"/>
      <c r="T1426" s="90"/>
      <c r="U1426" s="90"/>
      <c r="V1426" s="90"/>
      <c r="W1426" s="90"/>
      <c r="X1426" s="90"/>
      <c r="Y1426" s="90"/>
      <c r="Z1426" s="40" t="s">
        <v>3919</v>
      </c>
      <c r="AA1426" s="91">
        <v>250</v>
      </c>
      <c r="AB1426" s="46">
        <f>IF(H2ProjectDB689571011[[#This Row],[Dummy_1]]="Electrolysis",
AA1426/VLOOKUP(G1426,ElectrolysisConvF,3,FALSE),
AC1426*10^6/(H2dens*HoursInYear))</f>
        <v>55555.555555555562</v>
      </c>
      <c r="AC1426" s="47">
        <f>AB1426*H2dens*HoursInYear/10^6</f>
        <v>43.313333333333333</v>
      </c>
      <c r="AD1426" s="92"/>
      <c r="AE1426" s="92">
        <f t="shared" si="106"/>
        <v>55555.555555555562</v>
      </c>
      <c r="AF1426" s="43" t="s">
        <v>6660</v>
      </c>
      <c r="AG1426" s="43">
        <v>-33.034931463044899</v>
      </c>
      <c r="AH1426" s="43">
        <v>137.57558237638199</v>
      </c>
      <c r="AI1426" s="122" t="s">
        <v>7286</v>
      </c>
      <c r="AJ1426" s="41">
        <v>0.5</v>
      </c>
    </row>
    <row r="1427" spans="1:36" ht="35.1" hidden="1" customHeight="1" x14ac:dyDescent="0.25">
      <c r="A1427" s="40">
        <v>2051</v>
      </c>
      <c r="B1427" s="40" t="s">
        <v>4904</v>
      </c>
      <c r="C1427" s="40" t="s">
        <v>535</v>
      </c>
      <c r="D1427" s="44">
        <v>2025</v>
      </c>
      <c r="E1427" s="44"/>
      <c r="F1427" s="40" t="s">
        <v>1331</v>
      </c>
      <c r="G1427" s="40" t="s">
        <v>1259</v>
      </c>
      <c r="H1427" s="40" t="s">
        <v>467</v>
      </c>
      <c r="I1427" s="90" t="s">
        <v>1269</v>
      </c>
      <c r="J1427" s="90" t="s">
        <v>1391</v>
      </c>
      <c r="K1427" s="90" t="s">
        <v>578</v>
      </c>
      <c r="L1427" s="90"/>
      <c r="M1427" s="90"/>
      <c r="N1427" s="90"/>
      <c r="O1427" s="90"/>
      <c r="P1427" s="90"/>
      <c r="Q1427" s="90">
        <v>1</v>
      </c>
      <c r="R1427" s="90">
        <v>1</v>
      </c>
      <c r="S1427" s="90">
        <v>1</v>
      </c>
      <c r="T1427" s="90"/>
      <c r="U1427" s="90">
        <v>1</v>
      </c>
      <c r="V1427" s="90"/>
      <c r="W1427" s="90"/>
      <c r="X1427" s="90"/>
      <c r="Y1427" s="90"/>
      <c r="Z1427" s="40" t="s">
        <v>3965</v>
      </c>
      <c r="AA1427" s="91">
        <v>36</v>
      </c>
      <c r="AB1427" s="46">
        <f>IF(H2ProjectDB689571011[[#This Row],[Dummy_1]]="Electrolysis",
AA1427/VLOOKUP(G1427,ElectrolysisConvF,3,FALSE),
AC1427*10^6/(H2dens*HoursInYear))</f>
        <v>8000.0000000000009</v>
      </c>
      <c r="AC1427" s="47">
        <f>AB1427*H2dens*HoursInYear/10^6</f>
        <v>6.23712</v>
      </c>
      <c r="AD1427" s="92"/>
      <c r="AE1427" s="92">
        <f t="shared" si="106"/>
        <v>8000.0000000000009</v>
      </c>
      <c r="AF1427" s="43" t="s">
        <v>4906</v>
      </c>
      <c r="AG1427" s="43">
        <v>-32.784052335275803</v>
      </c>
      <c r="AH1427" s="43">
        <v>115.88596711952999</v>
      </c>
      <c r="AI1427" s="122" t="s">
        <v>7286</v>
      </c>
      <c r="AJ1427" s="41">
        <v>0.3</v>
      </c>
    </row>
    <row r="1428" spans="1:36" ht="35.1" hidden="1" customHeight="1" x14ac:dyDescent="0.25">
      <c r="A1428" s="40">
        <v>2052</v>
      </c>
      <c r="B1428" s="40" t="s">
        <v>4913</v>
      </c>
      <c r="C1428" s="40" t="s">
        <v>536</v>
      </c>
      <c r="D1428" s="44">
        <v>2024</v>
      </c>
      <c r="E1428" s="44"/>
      <c r="F1428" s="90" t="s">
        <v>1540</v>
      </c>
      <c r="G1428" s="90" t="s">
        <v>456</v>
      </c>
      <c r="H1428" s="90"/>
      <c r="I1428" s="90" t="s">
        <v>1680</v>
      </c>
      <c r="K1428" s="40" t="s">
        <v>578</v>
      </c>
      <c r="L1428" s="90"/>
      <c r="M1428" s="90"/>
      <c r="N1428" s="90"/>
      <c r="O1428" s="90"/>
      <c r="P1428" s="90"/>
      <c r="Q1428" s="90"/>
      <c r="R1428" s="90"/>
      <c r="S1428" s="90"/>
      <c r="T1428" s="90"/>
      <c r="U1428" s="90"/>
      <c r="V1428" s="90"/>
      <c r="W1428" s="90"/>
      <c r="X1428" s="90"/>
      <c r="Y1428" s="90"/>
      <c r="Z1428" s="40" t="s">
        <v>4914</v>
      </c>
      <c r="AA1428" s="91">
        <f>240/1000</f>
        <v>0.24</v>
      </c>
      <c r="AB1428" s="46">
        <f>IF(H2ProjectDB689571011[[#This Row],[Dummy_1]]="Electrolysis",
AA1428/VLOOKUP(G1428,ElectrolysisConvF,3,FALSE),
AC1428*10^6/(H2dens*HoursInYear))</f>
        <v>63.157894736842103</v>
      </c>
      <c r="AC1428" s="47">
        <f>AB1428*H2dens*HoursInYear/10^6</f>
        <v>4.9240421052631572E-2</v>
      </c>
      <c r="AD1428" s="92"/>
      <c r="AE1428" s="92">
        <f t="shared" si="106"/>
        <v>63.157894736842103</v>
      </c>
      <c r="AF1428" s="43" t="s">
        <v>4915</v>
      </c>
      <c r="AG1428" s="43">
        <v>44.569521339971097</v>
      </c>
      <c r="AH1428" s="43">
        <v>-92.738103068149599</v>
      </c>
      <c r="AI1428" s="122" t="s">
        <v>7286</v>
      </c>
      <c r="AJ1428" s="41">
        <v>0.8</v>
      </c>
    </row>
    <row r="1429" spans="1:36" ht="35.1" customHeight="1" x14ac:dyDescent="0.25">
      <c r="A1429" s="40">
        <v>2053</v>
      </c>
      <c r="B1429" s="40" t="s">
        <v>4916</v>
      </c>
      <c r="C1429" s="90" t="s">
        <v>1052</v>
      </c>
      <c r="D1429" s="44">
        <v>2026</v>
      </c>
      <c r="E1429" s="44"/>
      <c r="F1429" s="90" t="s">
        <v>1331</v>
      </c>
      <c r="G1429" s="90" t="s">
        <v>1259</v>
      </c>
      <c r="H1429" s="40" t="s">
        <v>467</v>
      </c>
      <c r="I1429" s="90" t="s">
        <v>1269</v>
      </c>
      <c r="J1429" s="90" t="s">
        <v>1391</v>
      </c>
      <c r="K1429" s="90" t="s">
        <v>578</v>
      </c>
      <c r="L1429" s="90"/>
      <c r="M1429" s="90"/>
      <c r="N1429" s="90"/>
      <c r="O1429" s="90"/>
      <c r="P1429" s="90">
        <v>1</v>
      </c>
      <c r="Q1429" s="90"/>
      <c r="R1429" s="90"/>
      <c r="S1429" s="90"/>
      <c r="T1429" s="90"/>
      <c r="U1429" s="90"/>
      <c r="V1429" s="90"/>
      <c r="W1429" s="90"/>
      <c r="X1429" s="90"/>
      <c r="Y1429" s="90"/>
      <c r="Z1429" s="40" t="s">
        <v>4917</v>
      </c>
      <c r="AA1429" s="47">
        <f>IF(H2ProjectDB689571011[[#This Row],[Dummy_1]]="Electrolysis",
AB1429*VLOOKUP(G1429,ElectrolysisConvF,3,FALSE),
"")</f>
        <v>3.4984749633268728</v>
      </c>
      <c r="AB1429" s="46">
        <f>AC1429/(H2dens*HoursInYear/10^6)</f>
        <v>777.43888073930509</v>
      </c>
      <c r="AC1429" s="92">
        <f>0.3+1.7*3/17/0.98</f>
        <v>0.60612244897959178</v>
      </c>
      <c r="AD1429" s="92"/>
      <c r="AE1429" s="92">
        <f t="shared" si="106"/>
        <v>777.43888073930509</v>
      </c>
      <c r="AF1429" s="43" t="s">
        <v>4919</v>
      </c>
      <c r="AG1429" s="43">
        <v>-20.3103759796894</v>
      </c>
      <c r="AH1429" s="43">
        <v>-40.292445120108297</v>
      </c>
      <c r="AI1429" s="122" t="s">
        <v>7286</v>
      </c>
      <c r="AJ1429" s="41">
        <v>0.3</v>
      </c>
    </row>
    <row r="1430" spans="1:36" ht="35.1" customHeight="1" x14ac:dyDescent="0.25">
      <c r="A1430" s="40">
        <v>2054</v>
      </c>
      <c r="B1430" s="40" t="s">
        <v>4920</v>
      </c>
      <c r="C1430" s="40" t="s">
        <v>1052</v>
      </c>
      <c r="D1430" s="44">
        <v>2027</v>
      </c>
      <c r="E1430" s="44"/>
      <c r="F1430" s="90" t="s">
        <v>2222</v>
      </c>
      <c r="G1430" s="90" t="s">
        <v>1259</v>
      </c>
      <c r="H1430" s="40" t="s">
        <v>467</v>
      </c>
      <c r="I1430" s="90" t="s">
        <v>1269</v>
      </c>
      <c r="J1430" s="90" t="s">
        <v>581</v>
      </c>
      <c r="K1430" s="90" t="s">
        <v>1243</v>
      </c>
      <c r="L1430" s="90"/>
      <c r="M1430" s="90">
        <v>1</v>
      </c>
      <c r="N1430" s="90"/>
      <c r="O1430" s="90"/>
      <c r="P1430" s="90"/>
      <c r="Q1430" s="90"/>
      <c r="R1430" s="90"/>
      <c r="S1430" s="90"/>
      <c r="T1430" s="90"/>
      <c r="U1430" s="90"/>
      <c r="V1430" s="90"/>
      <c r="W1430" s="90"/>
      <c r="X1430" s="90"/>
      <c r="Y1430" s="90"/>
      <c r="Z1430" s="40" t="s">
        <v>2038</v>
      </c>
      <c r="AA1430" s="91">
        <f>600-240</f>
        <v>360</v>
      </c>
      <c r="AB1430" s="46">
        <f>IF(H2ProjectDB689571011[[#This Row],[Dummy_1]]="Electrolysis",
AA1430/VLOOKUP(G1430,ElectrolysisConvF,3,FALSE),
AC1430*10^6/(H2dens*HoursInYear))</f>
        <v>80000</v>
      </c>
      <c r="AC1430" s="47">
        <f>AB1430*H2dens*HoursInYear/10^6</f>
        <v>62.371200000000002</v>
      </c>
      <c r="AD1430" s="92"/>
      <c r="AE1430" s="92">
        <f t="shared" si="106"/>
        <v>80000</v>
      </c>
      <c r="AF1430" s="43" t="s">
        <v>4922</v>
      </c>
      <c r="AG1430" s="43">
        <v>-12.689967958695901</v>
      </c>
      <c r="AH1430" s="43">
        <v>-38.317995824355599</v>
      </c>
      <c r="AI1430" s="122" t="s">
        <v>7286</v>
      </c>
      <c r="AJ1430" s="41">
        <v>0.5</v>
      </c>
    </row>
    <row r="1431" spans="1:36" ht="35.1" hidden="1" customHeight="1" x14ac:dyDescent="0.25">
      <c r="A1431" s="40">
        <v>2055</v>
      </c>
      <c r="B1431" s="40" t="s">
        <v>4925</v>
      </c>
      <c r="C1431" s="40" t="s">
        <v>533</v>
      </c>
      <c r="D1431" s="44">
        <v>2028</v>
      </c>
      <c r="E1431" s="44"/>
      <c r="F1431" s="90" t="s">
        <v>1331</v>
      </c>
      <c r="G1431" s="90" t="s">
        <v>1261</v>
      </c>
      <c r="H1431" s="90" t="s">
        <v>1665</v>
      </c>
      <c r="I1431" s="90"/>
      <c r="J1431" s="90"/>
      <c r="K1431" s="90" t="s">
        <v>1243</v>
      </c>
      <c r="L1431" s="90"/>
      <c r="M1431" s="90">
        <v>1</v>
      </c>
      <c r="N1431" s="90"/>
      <c r="O1431" s="90"/>
      <c r="P1431" s="90"/>
      <c r="Q1431" s="90"/>
      <c r="R1431" s="90"/>
      <c r="S1431" s="90"/>
      <c r="T1431" s="90"/>
      <c r="U1431" s="90"/>
      <c r="V1431" s="90"/>
      <c r="W1431" s="90"/>
      <c r="X1431" s="90"/>
      <c r="Y1431" s="90"/>
      <c r="Z1431" s="40" t="s">
        <v>3001</v>
      </c>
      <c r="AA1431" s="91"/>
      <c r="AB1431" s="46">
        <f>IF(H2ProjectDB689571011[[#This Row],[Dummy_1]]="Electrolysis",
AA1431/VLOOKUP(G1431,ElectrolysisConvF,3,FALSE),
AC1431*10^6/(H2dens*HoursInYear))</f>
        <v>230968.17609605024</v>
      </c>
      <c r="AC1431" s="92">
        <f>1000*3/17/0.98</f>
        <v>180.0720288115246</v>
      </c>
      <c r="AD1431" s="92"/>
      <c r="AE1431" s="92">
        <f t="shared" si="106"/>
        <v>0</v>
      </c>
      <c r="AF1431" s="43" t="s">
        <v>7471</v>
      </c>
      <c r="AG1431" s="43">
        <v>53.831347755883897</v>
      </c>
      <c r="AH1431" s="43">
        <v>-112.971247379397</v>
      </c>
      <c r="AI1431" s="122" t="s">
        <v>7287</v>
      </c>
      <c r="AJ1431" s="41">
        <v>0.9</v>
      </c>
    </row>
    <row r="1432" spans="1:36" ht="35.1" hidden="1" customHeight="1" x14ac:dyDescent="0.25">
      <c r="A1432" s="40">
        <v>2056</v>
      </c>
      <c r="B1432" s="43" t="s">
        <v>8336</v>
      </c>
      <c r="C1432" s="40" t="s">
        <v>1764</v>
      </c>
      <c r="D1432" s="44">
        <v>2030</v>
      </c>
      <c r="E1432" s="44"/>
      <c r="F1432" s="40" t="s">
        <v>2222</v>
      </c>
      <c r="G1432" s="40" t="s">
        <v>1259</v>
      </c>
      <c r="H1432" s="40" t="s">
        <v>467</v>
      </c>
      <c r="I1432" s="40" t="s">
        <v>1257</v>
      </c>
      <c r="J1432" s="40" t="s">
        <v>581</v>
      </c>
      <c r="K1432" s="40" t="s">
        <v>1268</v>
      </c>
      <c r="L1432" s="40">
        <v>1</v>
      </c>
      <c r="P1432" s="40">
        <v>1</v>
      </c>
      <c r="Q1432" s="40">
        <v>1</v>
      </c>
      <c r="V1432" s="40">
        <v>1</v>
      </c>
      <c r="W1432" s="40">
        <v>1</v>
      </c>
      <c r="Z1432" s="40" t="s">
        <v>8324</v>
      </c>
      <c r="AA1432" s="91">
        <v>400</v>
      </c>
      <c r="AB1432" s="46">
        <f>IF(H2ProjectDB689571011[[#This Row],[Dummy_1]]="Electrolysis",
AA1432/VLOOKUP(G1432,ElectrolysisConvF,3,FALSE),
AC1432*10^6/(H2dens*HoursInYear))</f>
        <v>88888.888888888891</v>
      </c>
      <c r="AC1432" s="47">
        <f t="shared" ref="AC1432:AC1441" si="107">AB1432*H2dens*HoursInYear/10^6</f>
        <v>69.301333333333332</v>
      </c>
      <c r="AF1432" s="43" t="s">
        <v>4769</v>
      </c>
      <c r="AG1432" s="43">
        <v>37.261963881012697</v>
      </c>
      <c r="AH1432" s="43">
        <v>-6.9412846461681603</v>
      </c>
      <c r="AI1432" s="122" t="s">
        <v>7286</v>
      </c>
      <c r="AJ1432" s="41">
        <v>0.56999999999999995</v>
      </c>
    </row>
    <row r="1433" spans="1:36" ht="35.1" hidden="1" customHeight="1" x14ac:dyDescent="0.25">
      <c r="A1433" s="40">
        <v>2057</v>
      </c>
      <c r="B1433" s="40" t="s">
        <v>4929</v>
      </c>
      <c r="C1433" s="40" t="s">
        <v>535</v>
      </c>
      <c r="D1433" s="90"/>
      <c r="E1433" s="90"/>
      <c r="F1433" s="40" t="s">
        <v>2222</v>
      </c>
      <c r="G1433" s="40" t="s">
        <v>1259</v>
      </c>
      <c r="H1433" s="40" t="s">
        <v>467</v>
      </c>
      <c r="I1433" s="90" t="s">
        <v>1257</v>
      </c>
      <c r="J1433" s="40" t="s">
        <v>581</v>
      </c>
      <c r="K1433" s="90" t="s">
        <v>578</v>
      </c>
      <c r="L1433" s="90"/>
      <c r="M1433" s="90"/>
      <c r="N1433" s="90"/>
      <c r="O1433" s="90"/>
      <c r="P1433" s="90"/>
      <c r="Q1433" s="90"/>
      <c r="R1433" s="90"/>
      <c r="S1433" s="90"/>
      <c r="T1433" s="90"/>
      <c r="U1433" s="90"/>
      <c r="V1433" s="90"/>
      <c r="W1433" s="90"/>
      <c r="X1433" s="90"/>
      <c r="Y1433" s="90"/>
      <c r="Z1433" s="40" t="s">
        <v>4930</v>
      </c>
      <c r="AA1433" s="91">
        <v>7000</v>
      </c>
      <c r="AB1433" s="46">
        <f>IF(H2ProjectDB689571011[[#This Row],[Dummy_1]]="Electrolysis",
AA1433/VLOOKUP(G1433,ElectrolysisConvF,3,FALSE),
AC1433*10^6/(H2dens*HoursInYear))</f>
        <v>1555555.5555555557</v>
      </c>
      <c r="AC1433" s="47">
        <f t="shared" si="107"/>
        <v>1212.7733333333335</v>
      </c>
      <c r="AD1433" s="92"/>
      <c r="AE1433" s="92">
        <f t="shared" ref="AE1433:AE1496" si="108">IF(AND(G1433&lt;&gt;"NG w CCUS",G1433&lt;&gt;"Oil w CCUS",G1433&lt;&gt;"Coal w CCUS"),AB1433,AD1433*10^3/(HoursInYear*IF(G1433="NG w CCUS",0.9105,1.9075)))</f>
        <v>1555555.5555555557</v>
      </c>
      <c r="AF1433" s="43" t="s">
        <v>4932</v>
      </c>
      <c r="AG1433" s="43">
        <v>-32.337904882676298</v>
      </c>
      <c r="AH1433" s="43">
        <v>135.95813926276099</v>
      </c>
      <c r="AI1433" s="122" t="s">
        <v>7286</v>
      </c>
      <c r="AJ1433" s="41">
        <v>0.56999999999999995</v>
      </c>
    </row>
    <row r="1434" spans="1:36" ht="35.1" hidden="1" customHeight="1" x14ac:dyDescent="0.25">
      <c r="A1434" s="40">
        <v>2058</v>
      </c>
      <c r="B1434" s="40" t="s">
        <v>8446</v>
      </c>
      <c r="C1434" s="40" t="s">
        <v>1305</v>
      </c>
      <c r="D1434" s="44">
        <v>2028</v>
      </c>
      <c r="E1434" s="44"/>
      <c r="F1434" s="40" t="s">
        <v>2222</v>
      </c>
      <c r="G1434" s="40" t="s">
        <v>1259</v>
      </c>
      <c r="H1434" s="40" t="s">
        <v>467</v>
      </c>
      <c r="I1434" s="90" t="s">
        <v>1257</v>
      </c>
      <c r="J1434" s="40" t="s">
        <v>581</v>
      </c>
      <c r="K1434" s="90" t="s">
        <v>578</v>
      </c>
      <c r="L1434" s="90"/>
      <c r="M1434" s="90"/>
      <c r="N1434" s="90"/>
      <c r="O1434" s="90"/>
      <c r="P1434" s="90"/>
      <c r="Q1434" s="90"/>
      <c r="R1434" s="90"/>
      <c r="S1434" s="90"/>
      <c r="T1434" s="90"/>
      <c r="U1434" s="90"/>
      <c r="V1434" s="90"/>
      <c r="W1434" s="90"/>
      <c r="X1434" s="90"/>
      <c r="Y1434" s="90"/>
      <c r="Z1434" s="40" t="s">
        <v>2054</v>
      </c>
      <c r="AA1434" s="91">
        <v>500</v>
      </c>
      <c r="AB1434" s="46">
        <f>IF(H2ProjectDB689571011[[#This Row],[Dummy_1]]="Electrolysis",
AA1434/VLOOKUP(G1434,ElectrolysisConvF,3,FALSE),
AC1434*10^6/(H2dens*HoursInYear))</f>
        <v>111111.11111111112</v>
      </c>
      <c r="AC1434" s="47">
        <f t="shared" si="107"/>
        <v>86.626666666666665</v>
      </c>
      <c r="AD1434" s="92"/>
      <c r="AE1434" s="92">
        <f t="shared" si="108"/>
        <v>111111.11111111112</v>
      </c>
      <c r="AF1434" s="43" t="s">
        <v>4934</v>
      </c>
      <c r="AG1434" s="43">
        <v>53.5295406441506</v>
      </c>
      <c r="AH1434" s="43">
        <v>8.1296932004386608</v>
      </c>
      <c r="AI1434" s="122" t="s">
        <v>7286</v>
      </c>
      <c r="AJ1434" s="41">
        <v>0.56999999999999995</v>
      </c>
    </row>
    <row r="1435" spans="1:36" ht="35.1" hidden="1" customHeight="1" x14ac:dyDescent="0.25">
      <c r="A1435" s="40">
        <v>2059</v>
      </c>
      <c r="B1435" s="40" t="s">
        <v>8460</v>
      </c>
      <c r="C1435" s="90" t="s">
        <v>1097</v>
      </c>
      <c r="D1435" s="44">
        <v>2030</v>
      </c>
      <c r="E1435" s="44"/>
      <c r="F1435" s="40" t="s">
        <v>1331</v>
      </c>
      <c r="G1435" s="40" t="s">
        <v>1259</v>
      </c>
      <c r="H1435" s="40" t="s">
        <v>467</v>
      </c>
      <c r="I1435" s="90" t="s">
        <v>1269</v>
      </c>
      <c r="J1435" s="40" t="s">
        <v>581</v>
      </c>
      <c r="K1435" s="90" t="s">
        <v>1243</v>
      </c>
      <c r="L1435" s="90"/>
      <c r="M1435" s="90"/>
      <c r="N1435" s="90"/>
      <c r="O1435" s="90"/>
      <c r="P1435" s="90"/>
      <c r="Q1435" s="90"/>
      <c r="R1435" s="90"/>
      <c r="S1435" s="90"/>
      <c r="T1435" s="90"/>
      <c r="U1435" s="90"/>
      <c r="V1435" s="90"/>
      <c r="W1435" s="90"/>
      <c r="X1435" s="90"/>
      <c r="Y1435" s="90"/>
      <c r="Z1435" s="40" t="s">
        <v>8461</v>
      </c>
      <c r="AA1435" s="91">
        <v>400</v>
      </c>
      <c r="AB1435" s="46">
        <f>IF(H2ProjectDB689571011[[#This Row],[Dummy_1]]="Electrolysis",
AA1435/VLOOKUP(G1435,ElectrolysisConvF,3,FALSE),
AC1435*10^6/(H2dens*HoursInYear))</f>
        <v>88888.888888888891</v>
      </c>
      <c r="AC1435" s="47">
        <f t="shared" si="107"/>
        <v>69.301333333333332</v>
      </c>
      <c r="AD1435" s="92"/>
      <c r="AE1435" s="92">
        <f t="shared" si="108"/>
        <v>88888.888888888891</v>
      </c>
      <c r="AF1435" s="93" t="s">
        <v>4938</v>
      </c>
      <c r="AG1435" s="43">
        <v>28.266656000000001</v>
      </c>
      <c r="AH1435" s="43">
        <v>-10.716837999999999</v>
      </c>
      <c r="AI1435" s="122" t="s">
        <v>7286</v>
      </c>
      <c r="AJ1435" s="41">
        <v>0.5</v>
      </c>
    </row>
    <row r="1436" spans="1:36" ht="35.1" hidden="1" customHeight="1" x14ac:dyDescent="0.25">
      <c r="A1436" s="40">
        <v>2060</v>
      </c>
      <c r="B1436" s="40" t="s">
        <v>6429</v>
      </c>
      <c r="C1436" s="90" t="s">
        <v>1761</v>
      </c>
      <c r="D1436" s="44">
        <v>2029</v>
      </c>
      <c r="E1436" s="44"/>
      <c r="F1436" s="90" t="s">
        <v>1331</v>
      </c>
      <c r="G1436" s="90" t="s">
        <v>457</v>
      </c>
      <c r="H1436" s="90"/>
      <c r="I1436" s="90" t="s">
        <v>1269</v>
      </c>
      <c r="J1436" s="90" t="s">
        <v>581</v>
      </c>
      <c r="K1436" s="90" t="s">
        <v>1242</v>
      </c>
      <c r="L1436" s="90"/>
      <c r="M1436" s="90"/>
      <c r="N1436" s="90">
        <v>1</v>
      </c>
      <c r="O1436" s="90"/>
      <c r="P1436" s="90"/>
      <c r="Q1436" s="90"/>
      <c r="R1436" s="90"/>
      <c r="S1436" s="90"/>
      <c r="T1436" s="90"/>
      <c r="U1436" s="90"/>
      <c r="V1436" s="90"/>
      <c r="W1436" s="90"/>
      <c r="X1436" s="90"/>
      <c r="Y1436" s="90"/>
      <c r="Z1436" s="40" t="s">
        <v>6430</v>
      </c>
      <c r="AA1436" s="91">
        <v>500</v>
      </c>
      <c r="AB1436" s="46">
        <f>IF(H2ProjectDB689571011[[#This Row],[Dummy_1]]="Electrolysis",
AA1436/VLOOKUP(G1436,ElectrolysisConvF,3,FALSE),
AC1436*10^6/(H2dens*HoursInYear))</f>
        <v>108695.65217391304</v>
      </c>
      <c r="AC1436" s="47">
        <f t="shared" si="107"/>
        <v>84.743478260869566</v>
      </c>
      <c r="AD1436" s="92"/>
      <c r="AE1436" s="92">
        <f t="shared" si="108"/>
        <v>108695.65217391304</v>
      </c>
      <c r="AF1436" s="43" t="s">
        <v>6428</v>
      </c>
      <c r="AG1436" s="43">
        <v>40.644269999999999</v>
      </c>
      <c r="AH1436" s="43">
        <v>-8.6455400000000004</v>
      </c>
      <c r="AI1436" s="122" t="s">
        <v>7286</v>
      </c>
      <c r="AJ1436" s="41">
        <v>0.5</v>
      </c>
    </row>
    <row r="1437" spans="1:36" ht="35.1" hidden="1" customHeight="1" x14ac:dyDescent="0.25">
      <c r="A1437" s="40">
        <v>2061</v>
      </c>
      <c r="B1437" s="90" t="s">
        <v>4943</v>
      </c>
      <c r="C1437" s="90" t="s">
        <v>1357</v>
      </c>
      <c r="D1437" s="44">
        <v>2026</v>
      </c>
      <c r="E1437" s="44"/>
      <c r="F1437" s="40" t="s">
        <v>1331</v>
      </c>
      <c r="G1437" s="40" t="s">
        <v>1259</v>
      </c>
      <c r="H1437" s="40" t="s">
        <v>467</v>
      </c>
      <c r="I1437" s="90" t="s">
        <v>1269</v>
      </c>
      <c r="J1437" s="90" t="s">
        <v>1395</v>
      </c>
      <c r="K1437" s="90" t="s">
        <v>1267</v>
      </c>
      <c r="L1437" s="90"/>
      <c r="M1437" s="90"/>
      <c r="N1437" s="90"/>
      <c r="O1437" s="90"/>
      <c r="P1437" s="90"/>
      <c r="Q1437" s="90"/>
      <c r="R1437" s="90"/>
      <c r="S1437" s="90"/>
      <c r="T1437" s="90"/>
      <c r="U1437" s="90"/>
      <c r="V1437" s="90"/>
      <c r="W1437" s="90">
        <v>1</v>
      </c>
      <c r="X1437" s="90"/>
      <c r="Y1437" s="90"/>
      <c r="Z1437" s="90" t="s">
        <v>1334</v>
      </c>
      <c r="AA1437" s="91">
        <v>1000</v>
      </c>
      <c r="AB1437" s="46">
        <f>IF(H2ProjectDB689571011[[#This Row],[Dummy_1]]="Electrolysis",
AA1437/VLOOKUP(G1437,ElectrolysisConvF,3,FALSE),
AC1437*10^6/(H2dens*HoursInYear))</f>
        <v>222222.22222222225</v>
      </c>
      <c r="AC1437" s="47">
        <f t="shared" si="107"/>
        <v>173.25333333333333</v>
      </c>
      <c r="AD1437" s="92"/>
      <c r="AE1437" s="92">
        <f t="shared" si="108"/>
        <v>222222.22222222225</v>
      </c>
      <c r="AF1437" s="93" t="s">
        <v>4946</v>
      </c>
      <c r="AG1437" s="43">
        <v>-32.302680224778399</v>
      </c>
      <c r="AH1437" s="43">
        <v>-58.086366939490397</v>
      </c>
      <c r="AI1437" s="122" t="s">
        <v>7286</v>
      </c>
      <c r="AJ1437" s="41">
        <v>0.5</v>
      </c>
    </row>
    <row r="1438" spans="1:36" ht="35.1" hidden="1" customHeight="1" x14ac:dyDescent="0.25">
      <c r="A1438" s="40">
        <v>2062</v>
      </c>
      <c r="B1438" s="90" t="s">
        <v>4947</v>
      </c>
      <c r="C1438" s="90" t="s">
        <v>1764</v>
      </c>
      <c r="D1438" s="44">
        <v>2026</v>
      </c>
      <c r="E1438" s="44"/>
      <c r="F1438" s="40" t="s">
        <v>1331</v>
      </c>
      <c r="G1438" s="40" t="s">
        <v>1259</v>
      </c>
      <c r="H1438" s="40" t="s">
        <v>467</v>
      </c>
      <c r="I1438" s="90" t="s">
        <v>1269</v>
      </c>
      <c r="J1438" s="40" t="s">
        <v>1391</v>
      </c>
      <c r="K1438" s="90" t="s">
        <v>1243</v>
      </c>
      <c r="L1438" s="90"/>
      <c r="M1438" s="90">
        <v>1</v>
      </c>
      <c r="N1438" s="90"/>
      <c r="O1438" s="90"/>
      <c r="P1438" s="90"/>
      <c r="Q1438" s="90"/>
      <c r="R1438" s="90"/>
      <c r="S1438" s="90"/>
      <c r="T1438" s="90"/>
      <c r="U1438" s="90"/>
      <c r="V1438" s="90"/>
      <c r="W1438" s="90"/>
      <c r="X1438" s="90"/>
      <c r="Y1438" s="90"/>
      <c r="Z1438" s="40" t="s">
        <v>6185</v>
      </c>
      <c r="AA1438" s="91">
        <v>140</v>
      </c>
      <c r="AB1438" s="46">
        <f>IF(H2ProjectDB689571011[[#This Row],[Dummy_1]]="Electrolysis",
AA1438/VLOOKUP(G1438,ElectrolysisConvF,3,FALSE),
AC1438*10^6/(H2dens*HoursInYear))</f>
        <v>31111.111111111113</v>
      </c>
      <c r="AC1438" s="47">
        <f t="shared" si="107"/>
        <v>24.255466666666667</v>
      </c>
      <c r="AD1438" s="92"/>
      <c r="AE1438" s="92">
        <f t="shared" si="108"/>
        <v>31111.111111111113</v>
      </c>
      <c r="AF1438" s="93" t="s">
        <v>4949</v>
      </c>
      <c r="AG1438" s="43">
        <v>37.248837130509202</v>
      </c>
      <c r="AH1438" s="43">
        <v>-6.9097354388851304</v>
      </c>
      <c r="AI1438" s="122" t="s">
        <v>7286</v>
      </c>
      <c r="AJ1438" s="41">
        <v>0.3</v>
      </c>
    </row>
    <row r="1439" spans="1:36" ht="35.1" hidden="1" customHeight="1" x14ac:dyDescent="0.25">
      <c r="A1439" s="40">
        <v>2063</v>
      </c>
      <c r="B1439" s="90" t="s">
        <v>4950</v>
      </c>
      <c r="C1439" s="90" t="s">
        <v>561</v>
      </c>
      <c r="D1439" s="44">
        <v>2024</v>
      </c>
      <c r="E1439" s="44"/>
      <c r="F1439" s="90" t="s">
        <v>5701</v>
      </c>
      <c r="G1439" s="90" t="s">
        <v>455</v>
      </c>
      <c r="H1439" s="90"/>
      <c r="I1439" s="90" t="s">
        <v>1257</v>
      </c>
      <c r="J1439" s="90"/>
      <c r="K1439" s="90" t="s">
        <v>578</v>
      </c>
      <c r="L1439" s="90"/>
      <c r="M1439" s="90"/>
      <c r="N1439" s="90"/>
      <c r="O1439" s="90"/>
      <c r="P1439" s="90"/>
      <c r="Q1439" s="90">
        <v>1</v>
      </c>
      <c r="R1439" s="90"/>
      <c r="S1439" s="90"/>
      <c r="T1439" s="90"/>
      <c r="U1439" s="90"/>
      <c r="V1439" s="90"/>
      <c r="W1439" s="90"/>
      <c r="X1439" s="90"/>
      <c r="Y1439" s="90"/>
      <c r="Z1439" s="90" t="s">
        <v>1484</v>
      </c>
      <c r="AA1439" s="91">
        <v>5</v>
      </c>
      <c r="AB1439" s="46">
        <f>IF(H2ProjectDB689571011[[#This Row],[Dummy_1]]="Electrolysis",
AA1439/VLOOKUP(G1439,ElectrolysisConvF,3,FALSE),
AC1439*10^6/(H2dens*HoursInYear))</f>
        <v>961.53846153846155</v>
      </c>
      <c r="AC1439" s="47">
        <f t="shared" si="107"/>
        <v>0.74965384615384612</v>
      </c>
      <c r="AD1439" s="92"/>
      <c r="AE1439" s="92">
        <f t="shared" si="108"/>
        <v>961.53846153846155</v>
      </c>
      <c r="AF1439" s="93" t="s">
        <v>4952</v>
      </c>
      <c r="AG1439" s="43">
        <v>50.327376884851397</v>
      </c>
      <c r="AH1439" s="43">
        <v>22.325108159689599</v>
      </c>
      <c r="AI1439" s="122" t="s">
        <v>7286</v>
      </c>
      <c r="AJ1439" s="41">
        <v>0.56999999999999995</v>
      </c>
    </row>
    <row r="1440" spans="1:36" ht="35.1" hidden="1" customHeight="1" x14ac:dyDescent="0.25">
      <c r="A1440" s="40">
        <v>2064</v>
      </c>
      <c r="B1440" s="40" t="s">
        <v>4953</v>
      </c>
      <c r="C1440" s="40" t="s">
        <v>539</v>
      </c>
      <c r="D1440" s="90">
        <v>2022</v>
      </c>
      <c r="E1440" s="90"/>
      <c r="F1440" s="90" t="s">
        <v>1540</v>
      </c>
      <c r="G1440" s="90" t="s">
        <v>457</v>
      </c>
      <c r="H1440" s="90"/>
      <c r="I1440" s="90" t="s">
        <v>1269</v>
      </c>
      <c r="J1440" s="90" t="s">
        <v>1391</v>
      </c>
      <c r="K1440" s="90" t="s">
        <v>578</v>
      </c>
      <c r="L1440" s="90"/>
      <c r="M1440" s="90"/>
      <c r="N1440" s="90"/>
      <c r="O1440" s="90"/>
      <c r="P1440" s="90"/>
      <c r="Q1440" s="90"/>
      <c r="R1440" s="90"/>
      <c r="S1440" s="90">
        <v>1</v>
      </c>
      <c r="T1440" s="90"/>
      <c r="U1440" s="90"/>
      <c r="V1440" s="90"/>
      <c r="W1440" s="90"/>
      <c r="X1440" s="90"/>
      <c r="Y1440" s="90"/>
      <c r="Z1440" s="40" t="s">
        <v>4954</v>
      </c>
      <c r="AA1440" s="91">
        <v>0.1</v>
      </c>
      <c r="AB1440" s="46">
        <f>IF(H2ProjectDB689571011[[#This Row],[Dummy_1]]="Electrolysis",
AA1440/VLOOKUP(G1440,ElectrolysisConvF,3,FALSE),
AC1440*10^6/(H2dens*HoursInYear))</f>
        <v>21.739130434782609</v>
      </c>
      <c r="AC1440" s="47">
        <f t="shared" si="107"/>
        <v>1.6948695652173912E-2</v>
      </c>
      <c r="AD1440" s="92"/>
      <c r="AE1440" s="92">
        <f t="shared" si="108"/>
        <v>21.739130434782609</v>
      </c>
      <c r="AF1440" s="43" t="s">
        <v>4956</v>
      </c>
      <c r="AG1440" s="43">
        <v>23.201895496269799</v>
      </c>
      <c r="AH1440" s="43">
        <v>75.813699308752902</v>
      </c>
      <c r="AI1440" s="122" t="s">
        <v>7286</v>
      </c>
      <c r="AJ1440" s="41">
        <v>0.3</v>
      </c>
    </row>
    <row r="1441" spans="1:36" ht="35.1" hidden="1" customHeight="1" x14ac:dyDescent="0.25">
      <c r="A1441" s="40">
        <v>2065</v>
      </c>
      <c r="B1441" s="40" t="s">
        <v>4957</v>
      </c>
      <c r="C1441" s="90" t="s">
        <v>539</v>
      </c>
      <c r="D1441" s="44">
        <v>2024</v>
      </c>
      <c r="E1441" s="90"/>
      <c r="F1441" s="90" t="s">
        <v>1339</v>
      </c>
      <c r="G1441" s="90" t="s">
        <v>457</v>
      </c>
      <c r="H1441" s="90"/>
      <c r="I1441" s="90" t="s">
        <v>1269</v>
      </c>
      <c r="J1441" s="90" t="s">
        <v>1391</v>
      </c>
      <c r="K1441" s="90" t="s">
        <v>578</v>
      </c>
      <c r="L1441" s="90"/>
      <c r="M1441" s="90"/>
      <c r="N1441" s="90"/>
      <c r="O1441" s="90">
        <v>1</v>
      </c>
      <c r="P1441" s="90"/>
      <c r="Q1441" s="90"/>
      <c r="R1441" s="90"/>
      <c r="S1441" s="90"/>
      <c r="T1441" s="90"/>
      <c r="U1441" s="90"/>
      <c r="V1441" s="90"/>
      <c r="W1441" s="90"/>
      <c r="X1441" s="90"/>
      <c r="Y1441" s="90"/>
      <c r="Z1441" s="40" t="s">
        <v>8055</v>
      </c>
      <c r="AA1441" s="91">
        <v>1.8</v>
      </c>
      <c r="AB1441" s="46">
        <f>IF(H2ProjectDB689571011[[#This Row],[Dummy_1]]="Electrolysis",
AA1441/VLOOKUP(G1441,ElectrolysisConvF,3,FALSE),
AC1441*10^6/(H2dens*HoursInYear))</f>
        <v>391.304347826087</v>
      </c>
      <c r="AC1441" s="47">
        <f t="shared" si="107"/>
        <v>0.30507652173913041</v>
      </c>
      <c r="AD1441" s="92"/>
      <c r="AE1441" s="92">
        <f t="shared" si="108"/>
        <v>391.304347826087</v>
      </c>
      <c r="AF1441" s="43" t="s">
        <v>7297</v>
      </c>
      <c r="AG1441" s="43">
        <v>30.030691897710899</v>
      </c>
      <c r="AH1441" s="43">
        <v>76.310955056084495</v>
      </c>
      <c r="AI1441" s="122" t="s">
        <v>7286</v>
      </c>
      <c r="AJ1441" s="41">
        <v>0.3</v>
      </c>
    </row>
    <row r="1442" spans="1:36" ht="35.1" hidden="1" customHeight="1" x14ac:dyDescent="0.25">
      <c r="A1442" s="40">
        <v>2066</v>
      </c>
      <c r="B1442" s="40" t="s">
        <v>5091</v>
      </c>
      <c r="C1442" s="90" t="s">
        <v>548</v>
      </c>
      <c r="D1442" s="44">
        <v>2030</v>
      </c>
      <c r="E1442" s="44"/>
      <c r="F1442" s="90" t="s">
        <v>1331</v>
      </c>
      <c r="G1442" s="90" t="s">
        <v>1262</v>
      </c>
      <c r="H1442" s="90" t="s">
        <v>4057</v>
      </c>
      <c r="I1442" s="90"/>
      <c r="J1442" s="90"/>
      <c r="K1442" s="90" t="s">
        <v>578</v>
      </c>
      <c r="L1442" s="90">
        <v>1</v>
      </c>
      <c r="M1442" s="90"/>
      <c r="N1442" s="90"/>
      <c r="O1442" s="90"/>
      <c r="P1442" s="90"/>
      <c r="Q1442" s="90"/>
      <c r="R1442" s="90"/>
      <c r="S1442" s="90"/>
      <c r="T1442" s="90"/>
      <c r="U1442" s="90"/>
      <c r="V1442" s="90"/>
      <c r="W1442" s="90"/>
      <c r="X1442" s="90"/>
      <c r="Y1442" s="90"/>
      <c r="Z1442" s="90"/>
      <c r="AA1442" s="91" t="str">
        <f>IF(OR(G1442="ALK",G1442="PEM",G1442="SOEC",G1442="Other Electrolysis"),
AB1442*VLOOKUP(G1442,ElectrolysisConvF,3,FALSE),
"")</f>
        <v/>
      </c>
      <c r="AB1442" s="92"/>
      <c r="AC1442" s="92"/>
      <c r="AD1442" s="92"/>
      <c r="AE1442" s="92">
        <f t="shared" si="108"/>
        <v>0</v>
      </c>
      <c r="AF1442" s="93" t="s">
        <v>5125</v>
      </c>
      <c r="AG1442" s="43">
        <v>51.255043717054797</v>
      </c>
      <c r="AH1442" s="43">
        <v>4.3450771842017604</v>
      </c>
      <c r="AI1442" s="122" t="s">
        <v>7287</v>
      </c>
      <c r="AJ1442" s="41">
        <v>0.9</v>
      </c>
    </row>
    <row r="1443" spans="1:36" ht="35.1" hidden="1" customHeight="1" x14ac:dyDescent="0.25">
      <c r="A1443" s="40">
        <v>2067</v>
      </c>
      <c r="B1443" s="40" t="s">
        <v>3492</v>
      </c>
      <c r="C1443" s="90" t="s">
        <v>537</v>
      </c>
      <c r="D1443" s="44">
        <v>2025</v>
      </c>
      <c r="E1443" s="44"/>
      <c r="F1443" s="90" t="s">
        <v>1331</v>
      </c>
      <c r="G1443" s="90" t="s">
        <v>1262</v>
      </c>
      <c r="H1443" s="90" t="s">
        <v>4057</v>
      </c>
      <c r="I1443" s="90"/>
      <c r="J1443" s="90"/>
      <c r="K1443" s="90" t="s">
        <v>578</v>
      </c>
      <c r="L1443" s="90">
        <v>1</v>
      </c>
      <c r="M1443" s="90"/>
      <c r="N1443" s="90"/>
      <c r="O1443" s="90"/>
      <c r="P1443" s="90"/>
      <c r="Q1443" s="90"/>
      <c r="R1443" s="90"/>
      <c r="S1443" s="90"/>
      <c r="T1443" s="90"/>
      <c r="U1443" s="90"/>
      <c r="V1443" s="90"/>
      <c r="W1443" s="90"/>
      <c r="X1443" s="90"/>
      <c r="Y1443" s="90"/>
      <c r="Z1443" s="90" t="s">
        <v>7616</v>
      </c>
      <c r="AA1443" s="91" t="str">
        <f>IF(OR(G1443="ALK",G1443="PEM",G1443="SOEC",G1443="Other Electrolysis"),
AB1443*VLOOKUP(G1443,ElectrolysisConvF,3,FALSE),
"")</f>
        <v/>
      </c>
      <c r="AB1443" s="92"/>
      <c r="AC1443" s="92"/>
      <c r="AD1443" s="92">
        <v>1000000</v>
      </c>
      <c r="AE1443" s="92">
        <f t="shared" si="108"/>
        <v>59845.478973290963</v>
      </c>
      <c r="AF1443" s="93" t="s">
        <v>5126</v>
      </c>
      <c r="AG1443" s="43">
        <v>38.1331411914258</v>
      </c>
      <c r="AH1443" s="43">
        <v>77.146162534937801</v>
      </c>
      <c r="AI1443" s="122" t="s">
        <v>7287</v>
      </c>
      <c r="AJ1443" s="41">
        <v>0.9</v>
      </c>
    </row>
    <row r="1444" spans="1:36" ht="35.1" hidden="1" customHeight="1" x14ac:dyDescent="0.25">
      <c r="A1444" s="40">
        <v>2068</v>
      </c>
      <c r="B1444" s="40" t="s">
        <v>5092</v>
      </c>
      <c r="C1444" s="90" t="s">
        <v>1305</v>
      </c>
      <c r="D1444" s="44">
        <v>2029</v>
      </c>
      <c r="E1444" s="44"/>
      <c r="F1444" s="90" t="s">
        <v>2222</v>
      </c>
      <c r="G1444" s="90" t="s">
        <v>1261</v>
      </c>
      <c r="H1444" s="90" t="s">
        <v>4057</v>
      </c>
      <c r="I1444" s="90"/>
      <c r="J1444" s="90"/>
      <c r="K1444" s="90" t="s">
        <v>578</v>
      </c>
      <c r="L1444" s="90"/>
      <c r="M1444" s="90"/>
      <c r="N1444" s="90"/>
      <c r="O1444" s="90">
        <v>1</v>
      </c>
      <c r="P1444" s="90">
        <v>1</v>
      </c>
      <c r="Q1444" s="90"/>
      <c r="R1444" s="90">
        <v>1</v>
      </c>
      <c r="S1444" s="90"/>
      <c r="T1444" s="90"/>
      <c r="U1444" s="90"/>
      <c r="V1444" s="90"/>
      <c r="W1444" s="90"/>
      <c r="X1444" s="90"/>
      <c r="Y1444" s="90"/>
      <c r="Z1444" s="90" t="s">
        <v>5776</v>
      </c>
      <c r="AA1444" s="91"/>
      <c r="AB1444" s="46">
        <f>IF(H2ProjectDB689571011[[#This Row],[Dummy_1]]="Electrolysis",
AA1444/VLOOKUP(G1444,ElectrolysisConvF,3,FALSE),
AC1444*10^6/(H2dens*HoursInYear))</f>
        <v>320224.71910112363</v>
      </c>
      <c r="AC1444" s="47">
        <f>1000*HoursInYear*0.95*3.6/120/1000</f>
        <v>249.66</v>
      </c>
      <c r="AD1444" s="92">
        <v>1800000</v>
      </c>
      <c r="AE1444" s="92">
        <f t="shared" si="108"/>
        <v>225677.5969849473</v>
      </c>
      <c r="AF1444" s="93"/>
      <c r="AG1444" s="43">
        <v>54.1352831032426</v>
      </c>
      <c r="AH1444" s="43">
        <v>12.116054205765</v>
      </c>
      <c r="AI1444" s="122" t="s">
        <v>7287</v>
      </c>
      <c r="AJ1444" s="41">
        <v>0.9</v>
      </c>
    </row>
    <row r="1445" spans="1:36" ht="35.1" hidden="1" customHeight="1" x14ac:dyDescent="0.25">
      <c r="A1445" s="40">
        <v>2070</v>
      </c>
      <c r="B1445" s="40" t="s">
        <v>5093</v>
      </c>
      <c r="C1445" s="90" t="s">
        <v>542</v>
      </c>
      <c r="D1445" s="44">
        <v>2030</v>
      </c>
      <c r="E1445" s="44"/>
      <c r="F1445" s="90" t="s">
        <v>1331</v>
      </c>
      <c r="G1445" s="90" t="s">
        <v>1261</v>
      </c>
      <c r="H1445" s="90" t="s">
        <v>1665</v>
      </c>
      <c r="I1445" s="90"/>
      <c r="J1445" s="90"/>
      <c r="K1445" s="90" t="s">
        <v>578</v>
      </c>
      <c r="L1445" s="90">
        <v>1</v>
      </c>
      <c r="M1445" s="90"/>
      <c r="N1445" s="90"/>
      <c r="O1445" s="90"/>
      <c r="P1445" s="90"/>
      <c r="Q1445" s="90"/>
      <c r="R1445" s="90"/>
      <c r="S1445" s="90"/>
      <c r="T1445" s="90"/>
      <c r="U1445" s="90"/>
      <c r="V1445" s="90"/>
      <c r="W1445" s="90"/>
      <c r="X1445" s="90"/>
      <c r="Y1445" s="90"/>
      <c r="Z1445" s="90" t="s">
        <v>5071</v>
      </c>
      <c r="AA1445" s="91" t="str">
        <f>IF(OR(G1445="ALK",G1445="PEM",G1445="SOEC",G1445="Other Electrolysis"),
AB1445*VLOOKUP(G1445,ElectrolysisConvF,3,FALSE),
"")</f>
        <v/>
      </c>
      <c r="AB1445" s="92"/>
      <c r="AC1445" s="92"/>
      <c r="AD1445" s="92">
        <v>550000</v>
      </c>
      <c r="AE1445" s="92">
        <f t="shared" si="108"/>
        <v>68957.043523178349</v>
      </c>
      <c r="AF1445" s="93" t="s">
        <v>4393</v>
      </c>
      <c r="AG1445" s="43">
        <v>53.639746518732998</v>
      </c>
      <c r="AH1445" s="43">
        <v>-0.25704555521170502</v>
      </c>
      <c r="AI1445" s="122" t="s">
        <v>7287</v>
      </c>
      <c r="AJ1445" s="41">
        <v>0.9</v>
      </c>
    </row>
    <row r="1446" spans="1:36" ht="35.1" hidden="1" customHeight="1" x14ac:dyDescent="0.25">
      <c r="A1446" s="40">
        <v>2071</v>
      </c>
      <c r="B1446" s="40" t="s">
        <v>5094</v>
      </c>
      <c r="C1446" s="90" t="s">
        <v>542</v>
      </c>
      <c r="D1446" s="44">
        <v>2027</v>
      </c>
      <c r="E1446" s="44"/>
      <c r="F1446" s="90" t="s">
        <v>1331</v>
      </c>
      <c r="G1446" s="90" t="s">
        <v>1261</v>
      </c>
      <c r="H1446" s="90" t="s">
        <v>1665</v>
      </c>
      <c r="I1446" s="90"/>
      <c r="J1446" s="90"/>
      <c r="K1446" s="90" t="s">
        <v>578</v>
      </c>
      <c r="L1446" s="90"/>
      <c r="M1446" s="90"/>
      <c r="N1446" s="90"/>
      <c r="O1446" s="90"/>
      <c r="P1446" s="90"/>
      <c r="Q1446" s="90"/>
      <c r="R1446" s="90"/>
      <c r="S1446" s="90"/>
      <c r="T1446" s="90"/>
      <c r="U1446" s="90"/>
      <c r="V1446" s="90"/>
      <c r="W1446" s="90"/>
      <c r="X1446" s="90"/>
      <c r="Y1446" s="90"/>
      <c r="Z1446" s="90" t="s">
        <v>5115</v>
      </c>
      <c r="AA1446" s="91"/>
      <c r="AB1446" s="46">
        <f>IF(H2ProjectDB689571011[[#This Row],[Dummy_1]]="Electrolysis",
AA1446/VLOOKUP(G1446,ElectrolysisConvF,3,FALSE),
AC1446*10^6/(H2dens*HoursInYear))</f>
        <v>336235.95505617972</v>
      </c>
      <c r="AC1446" s="92">
        <f>1050*HoursInYear*0.95*3.6/120/1000</f>
        <v>262.14299999999997</v>
      </c>
      <c r="AD1446" s="92">
        <v>1800000</v>
      </c>
      <c r="AE1446" s="92">
        <f t="shared" si="108"/>
        <v>225677.5969849473</v>
      </c>
      <c r="AF1446" s="93" t="s">
        <v>4406</v>
      </c>
      <c r="AG1446" s="43">
        <v>51.500986663514297</v>
      </c>
      <c r="AH1446" s="43">
        <v>0.56299096389185699</v>
      </c>
      <c r="AI1446" s="122" t="s">
        <v>7287</v>
      </c>
      <c r="AJ1446" s="41">
        <v>0.9</v>
      </c>
    </row>
    <row r="1447" spans="1:36" ht="35.1" hidden="1" customHeight="1" x14ac:dyDescent="0.25">
      <c r="A1447" s="40">
        <v>2072</v>
      </c>
      <c r="B1447" s="40" t="s">
        <v>5095</v>
      </c>
      <c r="C1447" s="90" t="s">
        <v>542</v>
      </c>
      <c r="D1447" s="44">
        <v>2029</v>
      </c>
      <c r="E1447" s="44"/>
      <c r="F1447" s="90" t="s">
        <v>1331</v>
      </c>
      <c r="G1447" s="90" t="s">
        <v>1255</v>
      </c>
      <c r="H1447" s="90" t="s">
        <v>5698</v>
      </c>
      <c r="I1447" s="90"/>
      <c r="J1447" s="90"/>
      <c r="K1447" s="90" t="s">
        <v>578</v>
      </c>
      <c r="L1447" s="90"/>
      <c r="M1447" s="90"/>
      <c r="N1447" s="90"/>
      <c r="O1447" s="90"/>
      <c r="P1447" s="90"/>
      <c r="Q1447" s="90"/>
      <c r="R1447" s="90"/>
      <c r="S1447" s="90"/>
      <c r="T1447" s="90"/>
      <c r="U1447" s="90"/>
      <c r="V1447" s="90"/>
      <c r="W1447" s="90"/>
      <c r="X1447" s="90"/>
      <c r="Y1447" s="90"/>
      <c r="Z1447" s="90"/>
      <c r="AA1447" s="91" t="str">
        <f>IF(OR(G1447="ALK",G1447="PEM",G1447="SOEC",G1447="Other Electrolysis"),
AB1447*VLOOKUP(G1447,ElectrolysisConvF,3,FALSE),
"")</f>
        <v/>
      </c>
      <c r="AB1447" s="92"/>
      <c r="AC1447" s="92"/>
      <c r="AD1447" s="92"/>
      <c r="AE1447" s="92">
        <f t="shared" si="108"/>
        <v>0</v>
      </c>
      <c r="AF1447" s="43" t="s">
        <v>7597</v>
      </c>
      <c r="AG1447" s="43">
        <v>54.781904232578697</v>
      </c>
      <c r="AH1447" s="43">
        <v>-1.34538743016266</v>
      </c>
      <c r="AI1447" s="122" t="s">
        <v>1255</v>
      </c>
      <c r="AJ1447" s="41">
        <v>0.9</v>
      </c>
    </row>
    <row r="1448" spans="1:36" s="89" customFormat="1" ht="35.1" hidden="1" customHeight="1" x14ac:dyDescent="0.25">
      <c r="A1448" s="40">
        <v>2074</v>
      </c>
      <c r="B1448" s="40" t="s">
        <v>5096</v>
      </c>
      <c r="C1448" s="90" t="s">
        <v>1062</v>
      </c>
      <c r="D1448" s="44">
        <v>2030</v>
      </c>
      <c r="E1448" s="44"/>
      <c r="F1448" s="90" t="s">
        <v>1331</v>
      </c>
      <c r="G1448" s="90" t="s">
        <v>1261</v>
      </c>
      <c r="H1448" s="90" t="s">
        <v>5709</v>
      </c>
      <c r="I1448" s="90"/>
      <c r="J1448" s="90"/>
      <c r="K1448" s="90" t="s">
        <v>578</v>
      </c>
      <c r="L1448" s="90">
        <v>1</v>
      </c>
      <c r="M1448" s="90"/>
      <c r="N1448" s="90"/>
      <c r="O1448" s="90"/>
      <c r="P1448" s="90"/>
      <c r="Q1448" s="90"/>
      <c r="R1448" s="90"/>
      <c r="S1448" s="90"/>
      <c r="T1448" s="90"/>
      <c r="U1448" s="90"/>
      <c r="V1448" s="90"/>
      <c r="W1448" s="90"/>
      <c r="X1448" s="90"/>
      <c r="Y1448" s="90"/>
      <c r="Z1448" s="90" t="s">
        <v>7615</v>
      </c>
      <c r="AA1448" s="91" t="str">
        <f>IF(OR(G1448="ALK",G1448="PEM",G1448="SOEC",G1448="Other Electrolysis"),
AB1448*VLOOKUP(G1448,ElectrolysisConvF,3,FALSE),
"")</f>
        <v/>
      </c>
      <c r="AB1448" s="92"/>
      <c r="AC1448" s="92"/>
      <c r="AD1448" s="92">
        <v>1400000</v>
      </c>
      <c r="AE1448" s="92">
        <f t="shared" si="108"/>
        <v>175527.01987718124</v>
      </c>
      <c r="AF1448" s="93" t="s">
        <v>5127</v>
      </c>
      <c r="AG1448" s="43">
        <v>-1.25952824515172</v>
      </c>
      <c r="AH1448" s="43">
        <v>116.819218625787</v>
      </c>
      <c r="AI1448" s="122" t="s">
        <v>7287</v>
      </c>
      <c r="AJ1448" s="41">
        <v>0.9</v>
      </c>
    </row>
    <row r="1449" spans="1:36" ht="35.1" hidden="1" customHeight="1" x14ac:dyDescent="0.25">
      <c r="A1449" s="40">
        <v>2075</v>
      </c>
      <c r="B1449" s="40" t="s">
        <v>5097</v>
      </c>
      <c r="C1449" s="90" t="s">
        <v>539</v>
      </c>
      <c r="D1449" s="44"/>
      <c r="E1449" s="44"/>
      <c r="F1449" s="90" t="s">
        <v>2222</v>
      </c>
      <c r="G1449" s="90" t="s">
        <v>1260</v>
      </c>
      <c r="H1449" s="90" t="s">
        <v>5712</v>
      </c>
      <c r="I1449" s="90"/>
      <c r="J1449" s="90"/>
      <c r="K1449" s="90" t="s">
        <v>578</v>
      </c>
      <c r="L1449" s="90"/>
      <c r="M1449" s="90"/>
      <c r="N1449" s="90"/>
      <c r="O1449" s="90"/>
      <c r="P1449" s="90"/>
      <c r="Q1449" s="90"/>
      <c r="R1449" s="90"/>
      <c r="S1449" s="90"/>
      <c r="T1449" s="90"/>
      <c r="U1449" s="90"/>
      <c r="V1449" s="90"/>
      <c r="W1449" s="90"/>
      <c r="X1449" s="90"/>
      <c r="Y1449" s="90"/>
      <c r="Z1449" s="90"/>
      <c r="AA1449" s="91" t="str">
        <f>IF(OR(G1449="ALK",G1449="PEM",G1449="SOEC",G1449="Other Electrolysis"),
AB1449*VLOOKUP(G1449,ElectrolysisConvF,3,FALSE),
"")</f>
        <v/>
      </c>
      <c r="AB1449" s="92"/>
      <c r="AC1449" s="92"/>
      <c r="AD1449" s="92"/>
      <c r="AE1449" s="92">
        <f t="shared" si="108"/>
        <v>0</v>
      </c>
      <c r="AF1449" s="93" t="s">
        <v>5128</v>
      </c>
      <c r="AG1449" s="43">
        <v>19.5230476221858</v>
      </c>
      <c r="AH1449" s="43">
        <v>80.335537445395602</v>
      </c>
      <c r="AI1449" s="122" t="s">
        <v>7287</v>
      </c>
      <c r="AJ1449" s="41">
        <v>0.9</v>
      </c>
    </row>
    <row r="1450" spans="1:36" ht="35.1" hidden="1" customHeight="1" x14ac:dyDescent="0.25">
      <c r="A1450" s="40">
        <v>2076</v>
      </c>
      <c r="B1450" s="40" t="s">
        <v>5098</v>
      </c>
      <c r="C1450" s="90" t="s">
        <v>539</v>
      </c>
      <c r="D1450" s="44">
        <v>2026</v>
      </c>
      <c r="E1450" s="44"/>
      <c r="F1450" s="90" t="s">
        <v>1331</v>
      </c>
      <c r="G1450" s="90" t="s">
        <v>1261</v>
      </c>
      <c r="H1450" s="90" t="s">
        <v>5709</v>
      </c>
      <c r="I1450" s="90"/>
      <c r="J1450" s="90"/>
      <c r="K1450" s="90" t="s">
        <v>578</v>
      </c>
      <c r="L1450" s="90">
        <v>1</v>
      </c>
      <c r="M1450" s="90"/>
      <c r="N1450" s="90"/>
      <c r="O1450" s="90"/>
      <c r="P1450" s="90"/>
      <c r="Q1450" s="90"/>
      <c r="R1450" s="90"/>
      <c r="S1450" s="90"/>
      <c r="T1450" s="90"/>
      <c r="U1450" s="90"/>
      <c r="V1450" s="90"/>
      <c r="W1450" s="90"/>
      <c r="X1450" s="90"/>
      <c r="Y1450" s="90"/>
      <c r="Z1450" s="90" t="s">
        <v>5116</v>
      </c>
      <c r="AA1450" s="91" t="str">
        <f>IF(OR(G1450="ALK",G1450="PEM",G1450="SOEC",G1450="Other Electrolysis"),
AB1450*VLOOKUP(G1450,ElectrolysisConvF,3,FALSE),
"")</f>
        <v/>
      </c>
      <c r="AB1450" s="92"/>
      <c r="AC1450" s="92"/>
      <c r="AD1450" s="92">
        <v>350000</v>
      </c>
      <c r="AE1450" s="92">
        <f t="shared" si="108"/>
        <v>43881.754969295311</v>
      </c>
      <c r="AF1450" s="93" t="s">
        <v>5129</v>
      </c>
      <c r="AG1450" s="43">
        <v>22.370918769708599</v>
      </c>
      <c r="AH1450" s="43">
        <v>73.122750766370501</v>
      </c>
      <c r="AI1450" s="122" t="s">
        <v>7287</v>
      </c>
      <c r="AJ1450" s="41">
        <v>0.9</v>
      </c>
    </row>
    <row r="1451" spans="1:36" ht="35.1" hidden="1" customHeight="1" x14ac:dyDescent="0.25">
      <c r="A1451" s="40">
        <v>2077</v>
      </c>
      <c r="B1451" s="40" t="s">
        <v>5099</v>
      </c>
      <c r="C1451" s="90" t="s">
        <v>541</v>
      </c>
      <c r="D1451" s="44">
        <v>2028</v>
      </c>
      <c r="E1451" s="44"/>
      <c r="F1451" s="90" t="s">
        <v>1331</v>
      </c>
      <c r="G1451" s="90" t="s">
        <v>1261</v>
      </c>
      <c r="H1451" s="90" t="s">
        <v>1665</v>
      </c>
      <c r="I1451" s="90"/>
      <c r="J1451" s="90"/>
      <c r="K1451" s="90" t="s">
        <v>578</v>
      </c>
      <c r="L1451" s="90"/>
      <c r="M1451" s="90"/>
      <c r="N1451" s="90"/>
      <c r="O1451" s="90"/>
      <c r="P1451" s="90"/>
      <c r="Q1451" s="90"/>
      <c r="R1451" s="90"/>
      <c r="S1451" s="90"/>
      <c r="T1451" s="90"/>
      <c r="U1451" s="90"/>
      <c r="V1451" s="90">
        <v>1</v>
      </c>
      <c r="W1451" s="90"/>
      <c r="X1451" s="90"/>
      <c r="Y1451" s="90"/>
      <c r="Z1451" s="40" t="s">
        <v>8424</v>
      </c>
      <c r="AA1451" s="91"/>
      <c r="AB1451" s="92">
        <v>30000</v>
      </c>
      <c r="AC1451" s="47">
        <f>AB1451*H2dens*HoursInYear/10^6</f>
        <v>23.389199999999999</v>
      </c>
      <c r="AD1451" s="92">
        <v>200000</v>
      </c>
      <c r="AE1451" s="92">
        <f t="shared" si="108"/>
        <v>25075.288553883034</v>
      </c>
      <c r="AF1451" s="93" t="s">
        <v>5130</v>
      </c>
      <c r="AG1451" s="43">
        <v>45.458248880764899</v>
      </c>
      <c r="AH1451" s="43">
        <v>12.256271101316299</v>
      </c>
      <c r="AI1451" s="122" t="s">
        <v>7287</v>
      </c>
      <c r="AJ1451" s="41">
        <v>0.9</v>
      </c>
    </row>
    <row r="1452" spans="1:36" ht="35.1" hidden="1" customHeight="1" x14ac:dyDescent="0.25">
      <c r="A1452" s="40">
        <v>2078</v>
      </c>
      <c r="B1452" s="40" t="s">
        <v>5100</v>
      </c>
      <c r="C1452" s="90" t="s">
        <v>546</v>
      </c>
      <c r="D1452" s="44">
        <v>2026</v>
      </c>
      <c r="E1452" s="44"/>
      <c r="F1452" s="90" t="s">
        <v>5701</v>
      </c>
      <c r="G1452" s="90" t="s">
        <v>1261</v>
      </c>
      <c r="H1452" s="90" t="s">
        <v>1665</v>
      </c>
      <c r="I1452" s="90"/>
      <c r="J1452" s="90"/>
      <c r="K1452" s="90" t="s">
        <v>1243</v>
      </c>
      <c r="L1452" s="90"/>
      <c r="M1452" s="90">
        <v>1</v>
      </c>
      <c r="N1452" s="90"/>
      <c r="O1452" s="90"/>
      <c r="P1452" s="90"/>
      <c r="Q1452" s="90"/>
      <c r="R1452" s="90"/>
      <c r="S1452" s="90"/>
      <c r="T1452" s="90"/>
      <c r="U1452" s="90"/>
      <c r="V1452" s="90"/>
      <c r="W1452" s="90"/>
      <c r="X1452" s="90"/>
      <c r="Y1452" s="90"/>
      <c r="Z1452" s="90" t="s">
        <v>5117</v>
      </c>
      <c r="AA1452" s="91" t="str">
        <f>IF(OR(G1452="ALK",G1452="PEM",G1452="SOEC",G1452="Other Electrolysis"),
AB1452*VLOOKUP(G1452,ElectrolysisConvF,3,FALSE),
"")</f>
        <v/>
      </c>
      <c r="AB1452" s="92"/>
      <c r="AC1452" s="92"/>
      <c r="AD1452" s="92">
        <v>800000</v>
      </c>
      <c r="AE1452" s="92">
        <f t="shared" si="108"/>
        <v>100301.15421553214</v>
      </c>
      <c r="AF1452" s="93" t="s">
        <v>5131</v>
      </c>
      <c r="AG1452" s="43">
        <v>51.306008117448897</v>
      </c>
      <c r="AH1452" s="43">
        <v>3.8498667000111002</v>
      </c>
      <c r="AI1452" s="122" t="s">
        <v>7287</v>
      </c>
      <c r="AJ1452" s="41">
        <v>0.9</v>
      </c>
    </row>
    <row r="1453" spans="1:36" ht="35.1" hidden="1" customHeight="1" x14ac:dyDescent="0.25">
      <c r="A1453" s="40">
        <v>2079</v>
      </c>
      <c r="B1453" s="40" t="s">
        <v>5101</v>
      </c>
      <c r="C1453" s="90" t="s">
        <v>674</v>
      </c>
      <c r="D1453" s="44"/>
      <c r="E1453" s="44"/>
      <c r="F1453" s="90" t="s">
        <v>2222</v>
      </c>
      <c r="G1453" s="90" t="s">
        <v>1261</v>
      </c>
      <c r="H1453" s="90" t="s">
        <v>1665</v>
      </c>
      <c r="I1453" s="90"/>
      <c r="J1453" s="90"/>
      <c r="K1453" s="90" t="s">
        <v>1243</v>
      </c>
      <c r="L1453" s="90"/>
      <c r="M1453" s="90">
        <v>1</v>
      </c>
      <c r="N1453" s="90"/>
      <c r="O1453" s="90"/>
      <c r="P1453" s="90"/>
      <c r="Q1453" s="90"/>
      <c r="R1453" s="90"/>
      <c r="S1453" s="90"/>
      <c r="T1453" s="90"/>
      <c r="U1453" s="90"/>
      <c r="V1453" s="90"/>
      <c r="W1453" s="90"/>
      <c r="X1453" s="90"/>
      <c r="Y1453" s="90"/>
      <c r="Z1453" s="90" t="s">
        <v>5118</v>
      </c>
      <c r="AA1453" s="91"/>
      <c r="AB1453" s="46">
        <f>IF(H2ProjectDB689571011[[#This Row],[Dummy_1]]="Electrolysis",
AA1453/VLOOKUP(G1453,ElectrolysisConvF,3,FALSE),
AC1453*10^6/(H2dens*HoursInYear))</f>
        <v>295061.84496270423</v>
      </c>
      <c r="AC1453" s="92">
        <f>3.5*365*3/17/0.98</f>
        <v>230.0420168067227</v>
      </c>
      <c r="AD1453" s="92"/>
      <c r="AE1453" s="92">
        <f t="shared" si="108"/>
        <v>0</v>
      </c>
      <c r="AF1453" s="93" t="s">
        <v>5132</v>
      </c>
      <c r="AG1453" s="43">
        <v>22.645874050238</v>
      </c>
      <c r="AH1453" s="43">
        <v>59.4653503958559</v>
      </c>
      <c r="AI1453" s="122" t="s">
        <v>7287</v>
      </c>
      <c r="AJ1453" s="41">
        <v>0.9</v>
      </c>
    </row>
    <row r="1454" spans="1:36" ht="35.1" hidden="1" customHeight="1" x14ac:dyDescent="0.25">
      <c r="A1454" s="40">
        <v>2080</v>
      </c>
      <c r="B1454" s="40" t="s">
        <v>5102</v>
      </c>
      <c r="C1454" s="90" t="s">
        <v>536</v>
      </c>
      <c r="D1454" s="44">
        <v>2029</v>
      </c>
      <c r="E1454" s="44"/>
      <c r="F1454" s="90" t="s">
        <v>1331</v>
      </c>
      <c r="G1454" s="90" t="s">
        <v>1261</v>
      </c>
      <c r="H1454" s="90" t="s">
        <v>5708</v>
      </c>
      <c r="I1454" s="90"/>
      <c r="J1454" s="90"/>
      <c r="K1454" s="90" t="s">
        <v>1243</v>
      </c>
      <c r="L1454" s="90"/>
      <c r="M1454" s="90">
        <v>1</v>
      </c>
      <c r="N1454" s="90"/>
      <c r="O1454" s="90"/>
      <c r="P1454" s="90"/>
      <c r="Q1454" s="90"/>
      <c r="R1454" s="90"/>
      <c r="S1454" s="90"/>
      <c r="T1454" s="90"/>
      <c r="U1454" s="90"/>
      <c r="V1454" s="90"/>
      <c r="W1454" s="90"/>
      <c r="X1454" s="90"/>
      <c r="Y1454" s="90"/>
      <c r="Z1454" s="90" t="s">
        <v>5321</v>
      </c>
      <c r="AA1454" s="91"/>
      <c r="AB1454" s="46">
        <f>AC1454/(H2dens*HoursInYear/10^6)</f>
        <v>300258.62892486533</v>
      </c>
      <c r="AC1454" s="92">
        <f>1300*3/17/0.98</f>
        <v>234.093637454982</v>
      </c>
      <c r="AD1454" s="92"/>
      <c r="AE1454" s="92">
        <f t="shared" si="108"/>
        <v>0</v>
      </c>
      <c r="AF1454" s="93" t="s">
        <v>5133</v>
      </c>
      <c r="AG1454" s="43">
        <v>27.836764820865</v>
      </c>
      <c r="AH1454" s="43">
        <v>-97.203495181905296</v>
      </c>
      <c r="AI1454" s="122" t="s">
        <v>7287</v>
      </c>
      <c r="AJ1454" s="41">
        <v>0.9</v>
      </c>
    </row>
    <row r="1455" spans="1:36" ht="35.1" hidden="1" customHeight="1" x14ac:dyDescent="0.25">
      <c r="A1455" s="40">
        <v>2081</v>
      </c>
      <c r="B1455" s="40" t="s">
        <v>5103</v>
      </c>
      <c r="C1455" s="90" t="s">
        <v>536</v>
      </c>
      <c r="D1455" s="44"/>
      <c r="E1455" s="44"/>
      <c r="F1455" s="90" t="s">
        <v>1331</v>
      </c>
      <c r="G1455" s="90" t="s">
        <v>1261</v>
      </c>
      <c r="H1455" s="90" t="s">
        <v>5709</v>
      </c>
      <c r="I1455" s="90"/>
      <c r="J1455" s="90"/>
      <c r="K1455" s="90" t="s">
        <v>1243</v>
      </c>
      <c r="L1455" s="90"/>
      <c r="M1455" s="90">
        <v>1</v>
      </c>
      <c r="N1455" s="90"/>
      <c r="O1455" s="90"/>
      <c r="P1455" s="90"/>
      <c r="Q1455" s="90"/>
      <c r="R1455" s="90"/>
      <c r="S1455" s="90"/>
      <c r="T1455" s="90"/>
      <c r="U1455" s="90"/>
      <c r="V1455" s="90"/>
      <c r="W1455" s="90"/>
      <c r="X1455" s="90"/>
      <c r="Y1455" s="90"/>
      <c r="Z1455" s="90" t="s">
        <v>5119</v>
      </c>
      <c r="AA1455" s="91" t="str">
        <f>IF(OR(G1455="ALK",G1455="PEM",G1455="SOEC",G1455="Other Electrolysis"),
AB1455*VLOOKUP(G1455,ElectrolysisConvF,3,FALSE),
"")</f>
        <v/>
      </c>
      <c r="AB1455" s="92"/>
      <c r="AC1455" s="92"/>
      <c r="AD1455" s="92">
        <v>500000</v>
      </c>
      <c r="AE1455" s="92">
        <f t="shared" si="108"/>
        <v>62688.221384707591</v>
      </c>
      <c r="AF1455" s="93" t="s">
        <v>5134</v>
      </c>
      <c r="AG1455" s="43">
        <v>48.165966305978401</v>
      </c>
      <c r="AH1455" s="43">
        <v>-100.840061305064</v>
      </c>
      <c r="AI1455" s="122" t="s">
        <v>7287</v>
      </c>
      <c r="AJ1455" s="41">
        <v>0.9</v>
      </c>
    </row>
    <row r="1456" spans="1:36" ht="35.1" hidden="1" customHeight="1" x14ac:dyDescent="0.25">
      <c r="A1456" s="40">
        <v>2082</v>
      </c>
      <c r="B1456" s="40" t="s">
        <v>5254</v>
      </c>
      <c r="C1456" s="90" t="s">
        <v>536</v>
      </c>
      <c r="D1456" s="44">
        <v>2025</v>
      </c>
      <c r="E1456" s="44"/>
      <c r="F1456" s="90" t="s">
        <v>5701</v>
      </c>
      <c r="G1456" s="90" t="s">
        <v>1261</v>
      </c>
      <c r="H1456" s="90" t="s">
        <v>5708</v>
      </c>
      <c r="I1456" s="90"/>
      <c r="J1456" s="90"/>
      <c r="K1456" s="90" t="s">
        <v>578</v>
      </c>
      <c r="L1456" s="90"/>
      <c r="M1456" s="90"/>
      <c r="N1456" s="90"/>
      <c r="O1456" s="90"/>
      <c r="P1456" s="90"/>
      <c r="Q1456" s="90"/>
      <c r="R1456" s="90"/>
      <c r="S1456" s="90"/>
      <c r="T1456" s="90"/>
      <c r="U1456" s="90"/>
      <c r="V1456" s="90"/>
      <c r="W1456" s="90"/>
      <c r="X1456" s="90"/>
      <c r="Y1456" s="90"/>
      <c r="Z1456" s="90" t="s">
        <v>7623</v>
      </c>
      <c r="AA1456" s="91"/>
      <c r="AB1456" s="46">
        <f>IF(H2ProjectDB689571011[[#This Row],[Dummy_1]]="Electrolysis",
AA1456/VLOOKUP(G1456,ElectrolysisConvF,3,FALSE),
AC1456*10^6/(H2dens*HoursInYear))</f>
        <v>254064.99370565527</v>
      </c>
      <c r="AC1456" s="92">
        <f>1100*3/17/0.98</f>
        <v>198.07923169267707</v>
      </c>
      <c r="AD1456" s="92">
        <v>1700000</v>
      </c>
      <c r="AE1456" s="92">
        <f t="shared" si="108"/>
        <v>213139.95270800579</v>
      </c>
      <c r="AF1456" s="43" t="s">
        <v>5256</v>
      </c>
      <c r="AG1456" s="43">
        <v>30.0935252434742</v>
      </c>
      <c r="AH1456" s="43">
        <v>-94.214790517238896</v>
      </c>
      <c r="AI1456" s="122" t="s">
        <v>7287</v>
      </c>
      <c r="AJ1456" s="41">
        <v>0.9</v>
      </c>
    </row>
    <row r="1457" spans="1:36" ht="35.1" hidden="1" customHeight="1" x14ac:dyDescent="0.25">
      <c r="A1457" s="40">
        <v>2083</v>
      </c>
      <c r="B1457" s="40" t="s">
        <v>5104</v>
      </c>
      <c r="C1457" s="90" t="s">
        <v>536</v>
      </c>
      <c r="D1457" s="44">
        <v>2028</v>
      </c>
      <c r="E1457" s="44"/>
      <c r="F1457" s="90" t="s">
        <v>5701</v>
      </c>
      <c r="G1457" s="90" t="s">
        <v>1261</v>
      </c>
      <c r="H1457" s="90" t="s">
        <v>1665</v>
      </c>
      <c r="I1457" s="90"/>
      <c r="J1457" s="90"/>
      <c r="K1457" s="90" t="s">
        <v>1243</v>
      </c>
      <c r="L1457" s="90"/>
      <c r="M1457" s="90">
        <v>1</v>
      </c>
      <c r="N1457" s="90"/>
      <c r="O1457" s="90"/>
      <c r="P1457" s="90"/>
      <c r="Q1457" s="90"/>
      <c r="R1457" s="90"/>
      <c r="S1457" s="90"/>
      <c r="T1457" s="90"/>
      <c r="U1457" s="90"/>
      <c r="V1457" s="90"/>
      <c r="W1457" s="90"/>
      <c r="X1457" s="90"/>
      <c r="Y1457" s="90"/>
      <c r="Z1457" s="90" t="s">
        <v>5119</v>
      </c>
      <c r="AA1457" s="91" t="str">
        <f>IF(OR(G1457="ALK",G1457="PEM",G1457="SOEC",G1457="Other Electrolysis"),
AB1457*VLOOKUP(G1457,ElectrolysisConvF,3,FALSE),
"")</f>
        <v/>
      </c>
      <c r="AB1457" s="92"/>
      <c r="AC1457" s="92"/>
      <c r="AD1457" s="92">
        <v>500000</v>
      </c>
      <c r="AE1457" s="92">
        <f t="shared" si="108"/>
        <v>62688.221384707591</v>
      </c>
      <c r="AF1457" s="93" t="s">
        <v>5135</v>
      </c>
      <c r="AG1457" s="43">
        <v>32.8635023376061</v>
      </c>
      <c r="AH1457" s="43">
        <v>-90.382232405615895</v>
      </c>
      <c r="AI1457" s="122" t="s">
        <v>7287</v>
      </c>
      <c r="AJ1457" s="41">
        <v>0.9</v>
      </c>
    </row>
    <row r="1458" spans="1:36" ht="35.1" hidden="1" customHeight="1" x14ac:dyDescent="0.25">
      <c r="A1458" s="40">
        <v>2084</v>
      </c>
      <c r="B1458" s="90" t="s">
        <v>5037</v>
      </c>
      <c r="C1458" s="90" t="s">
        <v>536</v>
      </c>
      <c r="D1458" s="44">
        <v>2028</v>
      </c>
      <c r="E1458" s="44"/>
      <c r="F1458" s="90" t="s">
        <v>2222</v>
      </c>
      <c r="G1458" s="90" t="s">
        <v>1261</v>
      </c>
      <c r="H1458" s="90" t="s">
        <v>1665</v>
      </c>
      <c r="I1458" s="90"/>
      <c r="J1458" s="90"/>
      <c r="K1458" s="90" t="s">
        <v>1243</v>
      </c>
      <c r="L1458" s="90"/>
      <c r="M1458" s="90">
        <v>1</v>
      </c>
      <c r="N1458" s="90"/>
      <c r="O1458" s="90"/>
      <c r="P1458" s="90"/>
      <c r="Q1458" s="90"/>
      <c r="R1458" s="90"/>
      <c r="S1458" s="90"/>
      <c r="T1458" s="90"/>
      <c r="U1458" s="90"/>
      <c r="V1458" s="90"/>
      <c r="W1458" s="90"/>
      <c r="X1458" s="90"/>
      <c r="Y1458" s="90"/>
      <c r="Z1458" s="90" t="s">
        <v>5038</v>
      </c>
      <c r="AA1458" s="91"/>
      <c r="AB1458" s="46">
        <f>IF(H2ProjectDB689571011[[#This Row],[Dummy_1]]="Electrolysis",
AA1458/VLOOKUP(G1458,ElectrolysisConvF,3,FALSE),
AC1458*10^6/(H2dens*HoursInYear))</f>
        <v>1662970.8678915617</v>
      </c>
      <c r="AC1458" s="92">
        <f>7200*3/17/0.98</f>
        <v>1296.5186074429771</v>
      </c>
      <c r="AD1458" s="92">
        <v>12000000</v>
      </c>
      <c r="AE1458" s="92">
        <f t="shared" si="108"/>
        <v>1504517.3132329821</v>
      </c>
      <c r="AF1458" s="93" t="s">
        <v>5039</v>
      </c>
      <c r="AG1458" s="43">
        <v>30.1861549586745</v>
      </c>
      <c r="AH1458" s="43">
        <v>-90.948196230688595</v>
      </c>
      <c r="AI1458" s="122" t="s">
        <v>7287</v>
      </c>
      <c r="AJ1458" s="41">
        <v>0.9</v>
      </c>
    </row>
    <row r="1459" spans="1:36" ht="35.1" hidden="1" customHeight="1" x14ac:dyDescent="0.25">
      <c r="A1459" s="40">
        <v>2085</v>
      </c>
      <c r="B1459" s="40" t="s">
        <v>5105</v>
      </c>
      <c r="C1459" s="90" t="s">
        <v>536</v>
      </c>
      <c r="D1459" s="44">
        <v>2026</v>
      </c>
      <c r="E1459" s="44"/>
      <c r="F1459" s="90" t="s">
        <v>5701</v>
      </c>
      <c r="G1459" s="90" t="s">
        <v>1261</v>
      </c>
      <c r="H1459" s="90" t="s">
        <v>1665</v>
      </c>
      <c r="I1459" s="90"/>
      <c r="J1459" s="90"/>
      <c r="K1459" s="90" t="s">
        <v>1243</v>
      </c>
      <c r="L1459" s="90"/>
      <c r="M1459" s="90">
        <v>1</v>
      </c>
      <c r="N1459" s="90"/>
      <c r="O1459" s="90"/>
      <c r="P1459" s="90"/>
      <c r="Q1459" s="90"/>
      <c r="R1459" s="90"/>
      <c r="S1459" s="90"/>
      <c r="T1459" s="90"/>
      <c r="U1459" s="90"/>
      <c r="V1459" s="90"/>
      <c r="W1459" s="90"/>
      <c r="X1459" s="90"/>
      <c r="Y1459" s="90"/>
      <c r="Z1459" s="90" t="s">
        <v>5120</v>
      </c>
      <c r="AA1459" s="91"/>
      <c r="AB1459" s="46">
        <f>IF(H2ProjectDB689571011[[#This Row],[Dummy_1]]="Electrolysis",
AA1459/VLOOKUP(G1459,ElectrolysisConvF,3,FALSE),
AC1459*10^6/(H2dens*HoursInYear))</f>
        <v>138580.90565763015</v>
      </c>
      <c r="AC1459" s="92">
        <f>600*3/17/0.98</f>
        <v>108.04321728691477</v>
      </c>
      <c r="AD1459" s="92">
        <v>450000</v>
      </c>
      <c r="AE1459" s="92">
        <f t="shared" si="108"/>
        <v>56419.399246236826</v>
      </c>
      <c r="AF1459" s="93" t="s">
        <v>5136</v>
      </c>
      <c r="AG1459" s="43">
        <v>40.698423477480198</v>
      </c>
      <c r="AH1459" s="43">
        <v>-91.225486865752899</v>
      </c>
      <c r="AI1459" s="122" t="s">
        <v>7287</v>
      </c>
      <c r="AJ1459" s="41">
        <v>0.9</v>
      </c>
    </row>
    <row r="1460" spans="1:36" ht="35.1" hidden="1" customHeight="1" x14ac:dyDescent="0.25">
      <c r="A1460" s="40">
        <v>2086</v>
      </c>
      <c r="B1460" s="40" t="s">
        <v>5106</v>
      </c>
      <c r="C1460" s="90" t="s">
        <v>536</v>
      </c>
      <c r="D1460" s="44"/>
      <c r="E1460" s="44"/>
      <c r="F1460" s="90" t="s">
        <v>1331</v>
      </c>
      <c r="G1460" s="90" t="s">
        <v>1261</v>
      </c>
      <c r="H1460" s="90" t="s">
        <v>1665</v>
      </c>
      <c r="I1460" s="90"/>
      <c r="J1460" s="90"/>
      <c r="K1460" s="90" t="s">
        <v>1243</v>
      </c>
      <c r="L1460" s="90"/>
      <c r="M1460" s="90">
        <v>1</v>
      </c>
      <c r="N1460" s="90"/>
      <c r="O1460" s="90"/>
      <c r="P1460" s="90"/>
      <c r="Q1460" s="90"/>
      <c r="R1460" s="90"/>
      <c r="S1460" s="90"/>
      <c r="T1460" s="90"/>
      <c r="U1460" s="90"/>
      <c r="V1460" s="90"/>
      <c r="W1460" s="90"/>
      <c r="X1460" s="90"/>
      <c r="Y1460" s="90"/>
      <c r="Z1460" s="90" t="s">
        <v>5121</v>
      </c>
      <c r="AA1460" s="91"/>
      <c r="AB1460" s="46">
        <f>IF(H2ProjectDB689571011[[#This Row],[Dummy_1]]="Electrolysis",
AA1460/VLOOKUP(G1460,ElectrolysisConvF,3,FALSE),
AC1460*10^6/(H2dens*HoursInYear))</f>
        <v>92387.270438420106</v>
      </c>
      <c r="AC1460" s="92">
        <f>400*3/17/0.98</f>
        <v>72.02881152460985</v>
      </c>
      <c r="AD1460" s="92">
        <v>250000</v>
      </c>
      <c r="AE1460" s="92">
        <f t="shared" si="108"/>
        <v>31344.110692353795</v>
      </c>
      <c r="AF1460" s="93" t="s">
        <v>5136</v>
      </c>
      <c r="AG1460" s="43">
        <v>40.698423477480198</v>
      </c>
      <c r="AH1460" s="43">
        <v>-91.225486865752899</v>
      </c>
      <c r="AI1460" s="122" t="s">
        <v>7287</v>
      </c>
      <c r="AJ1460" s="41">
        <v>0.9</v>
      </c>
    </row>
    <row r="1461" spans="1:36" ht="35.1" hidden="1" customHeight="1" x14ac:dyDescent="0.25">
      <c r="A1461" s="40">
        <v>2087</v>
      </c>
      <c r="B1461" s="40" t="s">
        <v>5107</v>
      </c>
      <c r="C1461" s="90" t="s">
        <v>536</v>
      </c>
      <c r="D1461" s="44">
        <v>2026</v>
      </c>
      <c r="E1461" s="44"/>
      <c r="F1461" s="90" t="s">
        <v>1331</v>
      </c>
      <c r="G1461" s="90" t="s">
        <v>1261</v>
      </c>
      <c r="H1461" s="90" t="s">
        <v>5709</v>
      </c>
      <c r="I1461" s="90"/>
      <c r="J1461" s="90"/>
      <c r="K1461" s="90" t="s">
        <v>578</v>
      </c>
      <c r="L1461" s="90"/>
      <c r="M1461" s="90"/>
      <c r="N1461" s="90"/>
      <c r="O1461" s="90"/>
      <c r="P1461" s="90"/>
      <c r="Q1461" s="90"/>
      <c r="R1461" s="90"/>
      <c r="S1461" s="90"/>
      <c r="T1461" s="90"/>
      <c r="U1461" s="90"/>
      <c r="V1461" s="90"/>
      <c r="W1461" s="90"/>
      <c r="X1461" s="90"/>
      <c r="Y1461" s="90"/>
      <c r="Z1461" s="40" t="s">
        <v>7581</v>
      </c>
      <c r="AA1461" s="91" t="str">
        <f t="shared" ref="AA1461:AA1468" si="109">IF(OR(G1461="ALK",G1461="PEM",G1461="SOEC",G1461="Other Electrolysis"),
AB1461*VLOOKUP(G1461,ElectrolysisConvF,3,FALSE),
"")</f>
        <v/>
      </c>
      <c r="AB1461" s="46">
        <f>IF(H2ProjectDB689571011[[#This Row],[Dummy_1]]="Electrolysis",
AA1461/VLOOKUP(G1461,ElectrolysisConvF,3,FALSE),
AC1461*10^6/(H2dens*HoursInYear))</f>
        <v>33811.901789429881</v>
      </c>
      <c r="AC1461" s="47">
        <f>(65/1000)*365/H2ProjectDB689571011[[#This Row],[LOWE_CF]]</f>
        <v>26.361111111111111</v>
      </c>
      <c r="AD1461" s="92">
        <v>100000</v>
      </c>
      <c r="AE1461" s="92">
        <f t="shared" si="108"/>
        <v>12537.644276941517</v>
      </c>
      <c r="AF1461" s="43" t="s">
        <v>7504</v>
      </c>
      <c r="AG1461" s="43">
        <v>35.271100461351899</v>
      </c>
      <c r="AH1461" s="43">
        <v>-119.426847792404</v>
      </c>
      <c r="AI1461" s="122" t="s">
        <v>7287</v>
      </c>
      <c r="AJ1461" s="41">
        <v>0.9</v>
      </c>
    </row>
    <row r="1462" spans="1:36" ht="35.1" hidden="1" customHeight="1" x14ac:dyDescent="0.25">
      <c r="A1462" s="40">
        <v>2088</v>
      </c>
      <c r="B1462" s="40" t="s">
        <v>5108</v>
      </c>
      <c r="C1462" s="90" t="s">
        <v>536</v>
      </c>
      <c r="D1462" s="44">
        <v>2030</v>
      </c>
      <c r="E1462" s="44"/>
      <c r="F1462" s="90" t="s">
        <v>1331</v>
      </c>
      <c r="G1462" s="90" t="s">
        <v>1261</v>
      </c>
      <c r="H1462" s="90" t="s">
        <v>1665</v>
      </c>
      <c r="I1462" s="90"/>
      <c r="J1462" s="90"/>
      <c r="K1462" s="90" t="s">
        <v>1243</v>
      </c>
      <c r="L1462" s="90"/>
      <c r="M1462" s="90">
        <v>1</v>
      </c>
      <c r="N1462" s="90"/>
      <c r="O1462" s="90"/>
      <c r="P1462" s="90"/>
      <c r="Q1462" s="90"/>
      <c r="R1462" s="90"/>
      <c r="S1462" s="90"/>
      <c r="T1462" s="90"/>
      <c r="U1462" s="90"/>
      <c r="V1462" s="90"/>
      <c r="W1462" s="90"/>
      <c r="X1462" s="90"/>
      <c r="Y1462" s="90"/>
      <c r="Z1462" s="90"/>
      <c r="AA1462" s="91" t="str">
        <f t="shared" si="109"/>
        <v/>
      </c>
      <c r="AB1462" s="92"/>
      <c r="AC1462" s="92"/>
      <c r="AD1462" s="92"/>
      <c r="AE1462" s="92">
        <f t="shared" si="108"/>
        <v>0</v>
      </c>
      <c r="AF1462" s="93" t="s">
        <v>5137</v>
      </c>
      <c r="AG1462" s="43">
        <v>27.884534275986201</v>
      </c>
      <c r="AH1462" s="43">
        <v>-97.265345096881404</v>
      </c>
      <c r="AI1462" s="122" t="s">
        <v>7287</v>
      </c>
      <c r="AJ1462" s="41">
        <v>0.9</v>
      </c>
    </row>
    <row r="1463" spans="1:36" ht="35.1" hidden="1" customHeight="1" x14ac:dyDescent="0.25">
      <c r="A1463" s="40">
        <v>2089</v>
      </c>
      <c r="B1463" s="40" t="s">
        <v>5109</v>
      </c>
      <c r="C1463" s="90" t="s">
        <v>536</v>
      </c>
      <c r="D1463" s="44"/>
      <c r="E1463" s="44"/>
      <c r="F1463" s="90" t="s">
        <v>2222</v>
      </c>
      <c r="G1463" s="90" t="s">
        <v>1261</v>
      </c>
      <c r="H1463" s="90" t="s">
        <v>1665</v>
      </c>
      <c r="I1463" s="90"/>
      <c r="J1463" s="90"/>
      <c r="K1463" s="90" t="s">
        <v>1243</v>
      </c>
      <c r="L1463" s="90"/>
      <c r="M1463" s="90">
        <v>1</v>
      </c>
      <c r="N1463" s="90"/>
      <c r="O1463" s="90"/>
      <c r="P1463" s="90"/>
      <c r="Q1463" s="90"/>
      <c r="R1463" s="90"/>
      <c r="S1463" s="90"/>
      <c r="T1463" s="90"/>
      <c r="U1463" s="90"/>
      <c r="V1463" s="90"/>
      <c r="W1463" s="90"/>
      <c r="X1463" s="90"/>
      <c r="Y1463" s="90"/>
      <c r="Z1463" s="90" t="s">
        <v>5122</v>
      </c>
      <c r="AA1463" s="91" t="str">
        <f t="shared" si="109"/>
        <v/>
      </c>
      <c r="AB1463" s="92"/>
      <c r="AC1463" s="92"/>
      <c r="AD1463" s="92">
        <v>1000000</v>
      </c>
      <c r="AE1463" s="92">
        <f t="shared" si="108"/>
        <v>125376.44276941518</v>
      </c>
      <c r="AF1463" s="93" t="s">
        <v>5137</v>
      </c>
      <c r="AG1463" s="43">
        <v>27.884534275986201</v>
      </c>
      <c r="AH1463" s="43">
        <v>-97.265345096881404</v>
      </c>
      <c r="AI1463" s="122" t="s">
        <v>7287</v>
      </c>
      <c r="AJ1463" s="41">
        <v>0.9</v>
      </c>
    </row>
    <row r="1464" spans="1:36" ht="35.1" hidden="1" customHeight="1" x14ac:dyDescent="0.25">
      <c r="A1464" s="40">
        <v>2090</v>
      </c>
      <c r="B1464" s="40" t="s">
        <v>5110</v>
      </c>
      <c r="C1464" s="90" t="s">
        <v>536</v>
      </c>
      <c r="D1464" s="44"/>
      <c r="E1464" s="44"/>
      <c r="F1464" s="90" t="s">
        <v>1331</v>
      </c>
      <c r="G1464" s="90" t="s">
        <v>1261</v>
      </c>
      <c r="H1464" s="90" t="s">
        <v>1665</v>
      </c>
      <c r="I1464" s="90"/>
      <c r="J1464" s="90"/>
      <c r="K1464" s="90" t="s">
        <v>578</v>
      </c>
      <c r="L1464" s="90">
        <v>1</v>
      </c>
      <c r="M1464" s="90"/>
      <c r="N1464" s="90"/>
      <c r="O1464" s="90"/>
      <c r="P1464" s="90"/>
      <c r="Q1464" s="90"/>
      <c r="R1464" s="90"/>
      <c r="S1464" s="90"/>
      <c r="T1464" s="90"/>
      <c r="U1464" s="90"/>
      <c r="V1464" s="90"/>
      <c r="W1464" s="90"/>
      <c r="X1464" s="90"/>
      <c r="Y1464" s="90"/>
      <c r="Z1464" s="90"/>
      <c r="AA1464" s="91" t="str">
        <f t="shared" si="109"/>
        <v/>
      </c>
      <c r="AB1464" s="92"/>
      <c r="AC1464" s="92"/>
      <c r="AD1464" s="92"/>
      <c r="AE1464" s="92">
        <f t="shared" si="108"/>
        <v>0</v>
      </c>
      <c r="AF1464" s="93" t="s">
        <v>5138</v>
      </c>
      <c r="AG1464" s="43">
        <v>38.046792303799002</v>
      </c>
      <c r="AH1464" s="43">
        <v>-122.256025964307</v>
      </c>
      <c r="AI1464" s="122" t="s">
        <v>7287</v>
      </c>
      <c r="AJ1464" s="41">
        <v>0.9</v>
      </c>
    </row>
    <row r="1465" spans="1:36" ht="35.1" hidden="1" customHeight="1" x14ac:dyDescent="0.25">
      <c r="A1465" s="40">
        <v>2091</v>
      </c>
      <c r="B1465" s="40" t="s">
        <v>5111</v>
      </c>
      <c r="C1465" s="90" t="s">
        <v>536</v>
      </c>
      <c r="D1465" s="44"/>
      <c r="E1465" s="44"/>
      <c r="F1465" s="90" t="s">
        <v>1331</v>
      </c>
      <c r="G1465" s="90" t="s">
        <v>1261</v>
      </c>
      <c r="H1465" s="90" t="s">
        <v>1665</v>
      </c>
      <c r="I1465" s="90"/>
      <c r="J1465" s="90"/>
      <c r="K1465" s="90" t="s">
        <v>578</v>
      </c>
      <c r="L1465" s="90"/>
      <c r="M1465" s="90"/>
      <c r="N1465" s="90"/>
      <c r="O1465" s="90"/>
      <c r="P1465" s="90"/>
      <c r="Q1465" s="90"/>
      <c r="R1465" s="90"/>
      <c r="S1465" s="90"/>
      <c r="T1465" s="90"/>
      <c r="U1465" s="90"/>
      <c r="V1465" s="90"/>
      <c r="W1465" s="90"/>
      <c r="X1465" s="90"/>
      <c r="Y1465" s="90"/>
      <c r="Z1465" s="90" t="s">
        <v>5123</v>
      </c>
      <c r="AA1465" s="91" t="str">
        <f t="shared" si="109"/>
        <v/>
      </c>
      <c r="AB1465" s="92"/>
      <c r="AC1465" s="92"/>
      <c r="AD1465" s="92">
        <v>1400000</v>
      </c>
      <c r="AE1465" s="92">
        <f t="shared" si="108"/>
        <v>175527.01987718124</v>
      </c>
      <c r="AF1465" s="93" t="s">
        <v>5139</v>
      </c>
      <c r="AG1465" s="43">
        <v>30.020047475975598</v>
      </c>
      <c r="AH1465" s="43">
        <v>-90.822744034070496</v>
      </c>
      <c r="AI1465" s="122" t="s">
        <v>7287</v>
      </c>
      <c r="AJ1465" s="41">
        <v>0.9</v>
      </c>
    </row>
    <row r="1466" spans="1:36" ht="35.1" hidden="1" customHeight="1" x14ac:dyDescent="0.25">
      <c r="A1466" s="40">
        <v>2092</v>
      </c>
      <c r="B1466" s="40" t="s">
        <v>5112</v>
      </c>
      <c r="C1466" s="90" t="s">
        <v>536</v>
      </c>
      <c r="D1466" s="44"/>
      <c r="E1466" s="44"/>
      <c r="F1466" s="90" t="s">
        <v>1331</v>
      </c>
      <c r="G1466" s="90" t="s">
        <v>1261</v>
      </c>
      <c r="H1466" s="90" t="s">
        <v>1665</v>
      </c>
      <c r="I1466" s="90"/>
      <c r="J1466" s="90"/>
      <c r="K1466" s="90" t="s">
        <v>578</v>
      </c>
      <c r="L1466" s="90"/>
      <c r="M1466" s="90"/>
      <c r="N1466" s="90"/>
      <c r="O1466" s="90"/>
      <c r="P1466" s="90"/>
      <c r="Q1466" s="90"/>
      <c r="R1466" s="90"/>
      <c r="S1466" s="90"/>
      <c r="T1466" s="90"/>
      <c r="U1466" s="90"/>
      <c r="V1466" s="90"/>
      <c r="W1466" s="90"/>
      <c r="X1466" s="90"/>
      <c r="Y1466" s="90"/>
      <c r="Z1466" s="90" t="s">
        <v>5124</v>
      </c>
      <c r="AA1466" s="91" t="str">
        <f t="shared" si="109"/>
        <v/>
      </c>
      <c r="AB1466" s="92"/>
      <c r="AC1466" s="92"/>
      <c r="AD1466" s="92">
        <v>1660000</v>
      </c>
      <c r="AE1466" s="92">
        <f t="shared" si="108"/>
        <v>208124.89499722919</v>
      </c>
      <c r="AF1466" s="93" t="s">
        <v>5138</v>
      </c>
      <c r="AG1466" s="43">
        <v>43.433894465554403</v>
      </c>
      <c r="AH1466" s="43">
        <v>-107.903023605264</v>
      </c>
      <c r="AI1466" s="122" t="s">
        <v>7287</v>
      </c>
      <c r="AJ1466" s="41">
        <v>0.9</v>
      </c>
    </row>
    <row r="1467" spans="1:36" ht="35.1" hidden="1" customHeight="1" x14ac:dyDescent="0.25">
      <c r="A1467" s="40">
        <v>2093</v>
      </c>
      <c r="B1467" s="40" t="s">
        <v>5113</v>
      </c>
      <c r="C1467" s="90" t="s">
        <v>536</v>
      </c>
      <c r="D1467" s="90"/>
      <c r="E1467" s="90"/>
      <c r="F1467" s="90" t="s">
        <v>1331</v>
      </c>
      <c r="G1467" s="90" t="s">
        <v>1261</v>
      </c>
      <c r="H1467" s="90" t="s">
        <v>1665</v>
      </c>
      <c r="I1467" s="90"/>
      <c r="J1467" s="90"/>
      <c r="K1467" s="90" t="s">
        <v>578</v>
      </c>
      <c r="L1467" s="90"/>
      <c r="M1467" s="90"/>
      <c r="N1467" s="90"/>
      <c r="O1467" s="90"/>
      <c r="P1467" s="90"/>
      <c r="Q1467" s="90"/>
      <c r="R1467" s="90"/>
      <c r="S1467" s="90"/>
      <c r="T1467" s="90"/>
      <c r="U1467" s="90"/>
      <c r="V1467" s="90"/>
      <c r="W1467" s="90"/>
      <c r="X1467" s="90"/>
      <c r="Y1467" s="90"/>
      <c r="Z1467" s="90"/>
      <c r="AA1467" s="91" t="str">
        <f t="shared" si="109"/>
        <v/>
      </c>
      <c r="AB1467" s="92"/>
      <c r="AC1467" s="92"/>
      <c r="AD1467" s="92"/>
      <c r="AE1467" s="92">
        <f t="shared" si="108"/>
        <v>0</v>
      </c>
      <c r="AF1467" s="93" t="s">
        <v>5140</v>
      </c>
      <c r="AG1467" s="43">
        <v>29.444116729337701</v>
      </c>
      <c r="AH1467" s="43">
        <v>-90.6693624554118</v>
      </c>
      <c r="AI1467" s="122" t="s">
        <v>7287</v>
      </c>
      <c r="AJ1467" s="41">
        <v>0.9</v>
      </c>
    </row>
    <row r="1468" spans="1:36" ht="35.1" hidden="1" customHeight="1" x14ac:dyDescent="0.25">
      <c r="A1468" s="40">
        <v>2094</v>
      </c>
      <c r="B1468" s="40" t="s">
        <v>5114</v>
      </c>
      <c r="C1468" s="90" t="s">
        <v>536</v>
      </c>
      <c r="D1468" s="90"/>
      <c r="E1468" s="90"/>
      <c r="F1468" s="90" t="s">
        <v>1331</v>
      </c>
      <c r="G1468" s="90" t="s">
        <v>1261</v>
      </c>
      <c r="H1468" s="90" t="s">
        <v>1665</v>
      </c>
      <c r="I1468" s="90"/>
      <c r="J1468" s="90"/>
      <c r="K1468" s="90" t="s">
        <v>578</v>
      </c>
      <c r="L1468" s="90"/>
      <c r="M1468" s="90"/>
      <c r="N1468" s="90"/>
      <c r="O1468" s="90"/>
      <c r="P1468" s="90"/>
      <c r="Q1468" s="90"/>
      <c r="R1468" s="90"/>
      <c r="S1468" s="90"/>
      <c r="T1468" s="90"/>
      <c r="U1468" s="90"/>
      <c r="V1468" s="90"/>
      <c r="W1468" s="90"/>
      <c r="X1468" s="90"/>
      <c r="Y1468" s="90"/>
      <c r="Z1468" s="90"/>
      <c r="AA1468" s="91" t="str">
        <f t="shared" si="109"/>
        <v/>
      </c>
      <c r="AB1468" s="92"/>
      <c r="AC1468" s="92"/>
      <c r="AD1468" s="92"/>
      <c r="AE1468" s="92">
        <f t="shared" si="108"/>
        <v>0</v>
      </c>
      <c r="AF1468" s="93" t="s">
        <v>5140</v>
      </c>
      <c r="AG1468" s="43">
        <v>39.752140116827498</v>
      </c>
      <c r="AH1468" s="43">
        <v>-122.96557023552501</v>
      </c>
      <c r="AI1468" s="122" t="s">
        <v>7287</v>
      </c>
      <c r="AJ1468" s="41">
        <v>0.9</v>
      </c>
    </row>
    <row r="1469" spans="1:36" ht="35.1" hidden="1" customHeight="1" x14ac:dyDescent="0.25">
      <c r="A1469" s="40">
        <v>2095</v>
      </c>
      <c r="B1469" s="90" t="s">
        <v>5142</v>
      </c>
      <c r="C1469" s="90" t="s">
        <v>1045</v>
      </c>
      <c r="D1469" s="90"/>
      <c r="E1469" s="90"/>
      <c r="F1469" s="90" t="s">
        <v>2222</v>
      </c>
      <c r="G1469" s="90" t="s">
        <v>1259</v>
      </c>
      <c r="H1469" s="90" t="s">
        <v>467</v>
      </c>
      <c r="I1469" s="90" t="s">
        <v>1269</v>
      </c>
      <c r="J1469" s="90" t="s">
        <v>581</v>
      </c>
      <c r="K1469" s="90" t="s">
        <v>578</v>
      </c>
      <c r="L1469" s="90"/>
      <c r="M1469" s="90"/>
      <c r="N1469" s="90"/>
      <c r="O1469" s="90">
        <v>1</v>
      </c>
      <c r="P1469" s="90"/>
      <c r="Q1469" s="90"/>
      <c r="R1469" s="90"/>
      <c r="S1469" s="90"/>
      <c r="T1469" s="90"/>
      <c r="U1469" s="90"/>
      <c r="V1469" s="90"/>
      <c r="W1469" s="90"/>
      <c r="X1469" s="90"/>
      <c r="Y1469" s="90"/>
      <c r="Z1469" s="90" t="s">
        <v>5197</v>
      </c>
      <c r="AA1469" s="47">
        <f>IF(H2ProjectDB689571011[[#This Row],[Dummy_1]]="Electrolysis",
AB1469*VLOOKUP(G1469,ElectrolysisConvF,3,FALSE),
"")</f>
        <v>3623.0183161459136</v>
      </c>
      <c r="AB1469" s="46">
        <f>AC1469/(H2dens*HoursInYear/10^6)</f>
        <v>805115.18136575865</v>
      </c>
      <c r="AC1469" s="92">
        <f>5000*0.06277/H2ProjectDB689571011[[#This Row],[LOWE_CF]]</f>
        <v>627.70000000000005</v>
      </c>
      <c r="AD1469" s="92"/>
      <c r="AE1469" s="92">
        <f t="shared" si="108"/>
        <v>805115.18136575865</v>
      </c>
      <c r="AF1469" s="93"/>
      <c r="AG1469" s="43">
        <v>29.659369000000002</v>
      </c>
      <c r="AH1469" s="43">
        <v>32.344810000000003</v>
      </c>
      <c r="AI1469" s="122" t="s">
        <v>7286</v>
      </c>
      <c r="AJ1469" s="41">
        <v>0.5</v>
      </c>
    </row>
    <row r="1470" spans="1:36" ht="35.1" hidden="1" customHeight="1" x14ac:dyDescent="0.25">
      <c r="A1470" s="40">
        <v>2096</v>
      </c>
      <c r="B1470" s="90" t="s">
        <v>5143</v>
      </c>
      <c r="C1470" s="40" t="s">
        <v>547</v>
      </c>
      <c r="D1470" s="44">
        <v>2027</v>
      </c>
      <c r="E1470" s="44"/>
      <c r="F1470" s="40" t="s">
        <v>1331</v>
      </c>
      <c r="G1470" s="40" t="s">
        <v>457</v>
      </c>
      <c r="I1470" s="40" t="s">
        <v>1266</v>
      </c>
      <c r="K1470" s="40" t="s">
        <v>1243</v>
      </c>
      <c r="M1470" s="40">
        <v>1</v>
      </c>
      <c r="N1470" s="90"/>
      <c r="O1470" s="90"/>
      <c r="P1470" s="90"/>
      <c r="Q1470" s="90"/>
      <c r="R1470" s="90"/>
      <c r="S1470" s="90"/>
      <c r="T1470" s="90"/>
      <c r="U1470" s="90"/>
      <c r="V1470" s="90"/>
      <c r="W1470" s="90"/>
      <c r="X1470" s="90"/>
      <c r="Y1470" s="90"/>
      <c r="Z1470" s="90" t="s">
        <v>7446</v>
      </c>
      <c r="AA1470" s="45">
        <v>145</v>
      </c>
      <c r="AB1470" s="46">
        <f>IF(H2ProjectDB689571011[[#This Row],[Dummy_1]]="Electrolysis",
AA1470/VLOOKUP(G1470,ElectrolysisConvF,3,FALSE),
AC1470*10^6/(H2dens*HoursInYear))</f>
        <v>31521.739130434784</v>
      </c>
      <c r="AC1470" s="47">
        <f>AB1470*H2dens*HoursInYear/10^6</f>
        <v>24.575608695652171</v>
      </c>
      <c r="AD1470" s="92"/>
      <c r="AE1470" s="92">
        <f t="shared" si="108"/>
        <v>31521.739130434784</v>
      </c>
      <c r="AF1470" s="93" t="s">
        <v>5145</v>
      </c>
      <c r="AG1470" s="43">
        <v>-25.508538847599802</v>
      </c>
      <c r="AH1470" s="43">
        <v>-57.560982163722102</v>
      </c>
      <c r="AI1470" s="122" t="s">
        <v>7286</v>
      </c>
      <c r="AJ1470" s="41">
        <v>0.56999999999999995</v>
      </c>
    </row>
    <row r="1471" spans="1:36" ht="35.1" hidden="1" customHeight="1" x14ac:dyDescent="0.25">
      <c r="A1471" s="40">
        <v>2097</v>
      </c>
      <c r="B1471" s="90" t="s">
        <v>5146</v>
      </c>
      <c r="C1471" s="90" t="s">
        <v>542</v>
      </c>
      <c r="D1471" s="44">
        <v>2026</v>
      </c>
      <c r="E1471" s="44"/>
      <c r="F1471" s="90" t="s">
        <v>5701</v>
      </c>
      <c r="G1471" s="90" t="s">
        <v>1259</v>
      </c>
      <c r="H1471" s="90" t="s">
        <v>467</v>
      </c>
      <c r="I1471" s="90" t="s">
        <v>1266</v>
      </c>
      <c r="J1471" s="90"/>
      <c r="K1471" s="90" t="s">
        <v>578</v>
      </c>
      <c r="L1471" s="90"/>
      <c r="M1471" s="90"/>
      <c r="N1471" s="90"/>
      <c r="O1471" s="90"/>
      <c r="P1471" s="90">
        <v>1</v>
      </c>
      <c r="Q1471" s="90"/>
      <c r="R1471" s="90"/>
      <c r="S1471" s="90"/>
      <c r="T1471" s="90"/>
      <c r="U1471" s="90"/>
      <c r="V1471" s="90"/>
      <c r="W1471" s="90"/>
      <c r="X1471" s="90"/>
      <c r="Y1471" s="90"/>
      <c r="Z1471" s="40" t="s">
        <v>2153</v>
      </c>
      <c r="AA1471" s="45">
        <v>7</v>
      </c>
      <c r="AB1471" s="46">
        <f>IF(H2ProjectDB689571011[[#This Row],[Dummy_1]]="Electrolysis",
AA1471/VLOOKUP(G1471,ElectrolysisConvF,3,FALSE),
AC1471*10^6/(H2dens*HoursInYear))</f>
        <v>1555.5555555555557</v>
      </c>
      <c r="AC1471" s="47">
        <f>AB1471*H2dens*HoursInYear/10^6</f>
        <v>1.2127733333333335</v>
      </c>
      <c r="AD1471" s="92"/>
      <c r="AE1471" s="92">
        <f t="shared" si="108"/>
        <v>1555.5555555555557</v>
      </c>
      <c r="AF1471" s="43" t="s">
        <v>7239</v>
      </c>
      <c r="AG1471" s="43">
        <v>50.396178398870603</v>
      </c>
      <c r="AH1471" s="43">
        <v>-3.9979295666315302</v>
      </c>
      <c r="AI1471" s="122" t="s">
        <v>7286</v>
      </c>
      <c r="AJ1471" s="41">
        <v>0.56999999999999995</v>
      </c>
    </row>
    <row r="1472" spans="1:36" ht="35.1" hidden="1" customHeight="1" x14ac:dyDescent="0.25">
      <c r="A1472" s="40">
        <v>2098</v>
      </c>
      <c r="B1472" s="90" t="s">
        <v>5148</v>
      </c>
      <c r="C1472" s="90" t="s">
        <v>1764</v>
      </c>
      <c r="D1472" s="90">
        <v>2023</v>
      </c>
      <c r="E1472" s="90"/>
      <c r="F1472" s="90" t="s">
        <v>1339</v>
      </c>
      <c r="G1472" s="90" t="s">
        <v>1259</v>
      </c>
      <c r="H1472" s="90" t="s">
        <v>467</v>
      </c>
      <c r="I1472" s="90" t="s">
        <v>1269</v>
      </c>
      <c r="J1472" s="90" t="s">
        <v>1391</v>
      </c>
      <c r="K1472" s="90" t="s">
        <v>578</v>
      </c>
      <c r="L1472" s="90"/>
      <c r="M1472" s="90"/>
      <c r="N1472" s="90"/>
      <c r="O1472" s="90"/>
      <c r="P1472" s="90">
        <v>1</v>
      </c>
      <c r="Q1472" s="90"/>
      <c r="R1472" s="90"/>
      <c r="S1472" s="90"/>
      <c r="T1472" s="90"/>
      <c r="U1472" s="90"/>
      <c r="V1472" s="90"/>
      <c r="W1472" s="90"/>
      <c r="X1472" s="90"/>
      <c r="Y1472" s="90"/>
      <c r="Z1472" s="90" t="s">
        <v>2154</v>
      </c>
      <c r="AA1472" s="91">
        <v>8</v>
      </c>
      <c r="AB1472" s="46">
        <f>IF(H2ProjectDB689571011[[#This Row],[Dummy_1]]="Electrolysis",
AA1472/VLOOKUP(G1472,ElectrolysisConvF,3,FALSE),
AC1472*10^6/(H2dens*HoursInYear))</f>
        <v>1777.7777777777778</v>
      </c>
      <c r="AC1472" s="47">
        <f>AB1472*H2dens*HoursInYear/10^6</f>
        <v>1.3860266666666667</v>
      </c>
      <c r="AD1472" s="92"/>
      <c r="AE1472" s="92">
        <f t="shared" si="108"/>
        <v>1777.7777777777778</v>
      </c>
      <c r="AF1472" s="93" t="s">
        <v>5151</v>
      </c>
      <c r="AG1472" s="43">
        <v>39.9649732792709</v>
      </c>
      <c r="AH1472" s="43">
        <v>-0.25876332175150801</v>
      </c>
      <c r="AI1472" s="122" t="s">
        <v>7286</v>
      </c>
      <c r="AJ1472" s="41">
        <v>0.3</v>
      </c>
    </row>
    <row r="1473" spans="1:36" ht="35.1" hidden="1" customHeight="1" x14ac:dyDescent="0.25">
      <c r="A1473" s="40">
        <v>2099</v>
      </c>
      <c r="B1473" s="90" t="s">
        <v>5152</v>
      </c>
      <c r="C1473" s="90" t="s">
        <v>1764</v>
      </c>
      <c r="D1473" s="44">
        <v>2026</v>
      </c>
      <c r="E1473" s="44"/>
      <c r="F1473" s="90" t="s">
        <v>1331</v>
      </c>
      <c r="G1473" s="90" t="s">
        <v>1259</v>
      </c>
      <c r="H1473" s="90" t="s">
        <v>467</v>
      </c>
      <c r="I1473" s="90" t="s">
        <v>1269</v>
      </c>
      <c r="J1473" s="90" t="s">
        <v>1391</v>
      </c>
      <c r="K1473" s="90" t="s">
        <v>578</v>
      </c>
      <c r="L1473" s="90"/>
      <c r="M1473" s="90"/>
      <c r="N1473" s="90"/>
      <c r="O1473" s="90"/>
      <c r="P1473" s="90">
        <v>1</v>
      </c>
      <c r="Q1473" s="90"/>
      <c r="R1473" s="90"/>
      <c r="S1473" s="90"/>
      <c r="T1473" s="90"/>
      <c r="U1473" s="90"/>
      <c r="V1473" s="90"/>
      <c r="W1473" s="90"/>
      <c r="X1473" s="90"/>
      <c r="Y1473" s="90"/>
      <c r="Z1473" s="90"/>
      <c r="AA1473" s="91"/>
      <c r="AB1473" s="92"/>
      <c r="AC1473" s="92"/>
      <c r="AD1473" s="92"/>
      <c r="AE1473" s="92">
        <f t="shared" si="108"/>
        <v>0</v>
      </c>
      <c r="AF1473" s="93" t="s">
        <v>5151</v>
      </c>
      <c r="AG1473" s="43">
        <v>39.9649732792709</v>
      </c>
      <c r="AH1473" s="43">
        <v>-0.25876332175150801</v>
      </c>
      <c r="AI1473" s="122" t="s">
        <v>7286</v>
      </c>
      <c r="AJ1473" s="41">
        <v>0.3</v>
      </c>
    </row>
    <row r="1474" spans="1:36" s="89" customFormat="1" ht="35.1" hidden="1" customHeight="1" x14ac:dyDescent="0.25">
      <c r="A1474" s="40">
        <v>2102</v>
      </c>
      <c r="B1474" s="40" t="s">
        <v>5156</v>
      </c>
      <c r="C1474" s="90" t="s">
        <v>536</v>
      </c>
      <c r="D1474" s="44">
        <v>2024</v>
      </c>
      <c r="E1474" s="44"/>
      <c r="F1474" s="90" t="s">
        <v>1339</v>
      </c>
      <c r="G1474" s="90" t="s">
        <v>455</v>
      </c>
      <c r="H1474" s="90"/>
      <c r="I1474" s="90" t="s">
        <v>1269</v>
      </c>
      <c r="J1474" s="90" t="s">
        <v>581</v>
      </c>
      <c r="K1474" s="90" t="s">
        <v>1267</v>
      </c>
      <c r="L1474" s="90"/>
      <c r="M1474" s="90"/>
      <c r="N1474" s="90"/>
      <c r="O1474" s="90"/>
      <c r="P1474" s="90"/>
      <c r="Q1474" s="90"/>
      <c r="R1474" s="90"/>
      <c r="S1474" s="90"/>
      <c r="T1474" s="90"/>
      <c r="U1474" s="90"/>
      <c r="V1474" s="90"/>
      <c r="W1474" s="90">
        <v>1</v>
      </c>
      <c r="X1474" s="90"/>
      <c r="Y1474" s="90"/>
      <c r="Z1474" s="40" t="s">
        <v>8716</v>
      </c>
      <c r="AA1474" s="47">
        <v>2.5</v>
      </c>
      <c r="AB1474" s="46">
        <f>IF(H2ProjectDB689571011[[#This Row],[Dummy_1]]="Electrolysis",
AA1474/VLOOKUP(G1474,ElectrolysisConvF,3,FALSE),
AC1474*10^6/(H2dens*HoursInYear))</f>
        <v>480.76923076923077</v>
      </c>
      <c r="AC1474" s="47">
        <f>AB1474*H2dens*HoursInYear/10^6</f>
        <v>0.37482692307692306</v>
      </c>
      <c r="AD1474" s="92"/>
      <c r="AE1474" s="92">
        <f t="shared" si="108"/>
        <v>480.76923076923077</v>
      </c>
      <c r="AF1474" s="93" t="s">
        <v>5157</v>
      </c>
      <c r="AG1474" s="43">
        <v>32.378077540896101</v>
      </c>
      <c r="AH1474" s="43">
        <v>-82.584008531328195</v>
      </c>
      <c r="AI1474" s="122" t="s">
        <v>7286</v>
      </c>
      <c r="AJ1474" s="41">
        <v>0.5</v>
      </c>
    </row>
    <row r="1475" spans="1:36" ht="35.1" hidden="1" customHeight="1" x14ac:dyDescent="0.25">
      <c r="A1475" s="40">
        <v>2103</v>
      </c>
      <c r="B1475" s="90" t="s">
        <v>5158</v>
      </c>
      <c r="C1475" s="90" t="s">
        <v>1045</v>
      </c>
      <c r="D1475" s="90"/>
      <c r="E1475" s="90"/>
      <c r="F1475" s="90" t="s">
        <v>2222</v>
      </c>
      <c r="G1475" s="90" t="s">
        <v>1259</v>
      </c>
      <c r="H1475" s="90" t="s">
        <v>467</v>
      </c>
      <c r="I1475" s="90" t="s">
        <v>1269</v>
      </c>
      <c r="J1475" s="90" t="s">
        <v>1395</v>
      </c>
      <c r="K1475" s="90" t="s">
        <v>578</v>
      </c>
      <c r="L1475" s="90"/>
      <c r="M1475" s="90"/>
      <c r="N1475" s="90"/>
      <c r="O1475" s="90"/>
      <c r="P1475" s="90"/>
      <c r="Q1475" s="90"/>
      <c r="R1475" s="90"/>
      <c r="S1475" s="90"/>
      <c r="T1475" s="90"/>
      <c r="U1475" s="90"/>
      <c r="V1475" s="90"/>
      <c r="W1475" s="90"/>
      <c r="X1475" s="90"/>
      <c r="Y1475" s="90"/>
      <c r="Z1475" s="40" t="s">
        <v>8110</v>
      </c>
      <c r="AA1475" s="91">
        <v>2980</v>
      </c>
      <c r="AB1475" s="46">
        <f>IF(H2ProjectDB689571011[[#This Row],[Dummy_1]]="Electrolysis",
AA1475/VLOOKUP(G1475,ElectrolysisConvF,3,FALSE),
AC1475*10^6/(H2dens*HoursInYear))</f>
        <v>662222.22222222225</v>
      </c>
      <c r="AC1475" s="47">
        <f>AB1475*H2dens*HoursInYear/10^6</f>
        <v>516.29493333333335</v>
      </c>
      <c r="AD1475" s="92"/>
      <c r="AE1475" s="92">
        <f t="shared" si="108"/>
        <v>662222.22222222225</v>
      </c>
      <c r="AF1475" s="93" t="s">
        <v>5160</v>
      </c>
      <c r="AG1475" s="43">
        <v>28.104641751579901</v>
      </c>
      <c r="AH1475" s="43">
        <v>32.173224067014999</v>
      </c>
      <c r="AI1475" s="122" t="s">
        <v>7286</v>
      </c>
      <c r="AJ1475" s="41">
        <v>0.5</v>
      </c>
    </row>
    <row r="1476" spans="1:36" ht="35.1" hidden="1" customHeight="1" x14ac:dyDescent="0.25">
      <c r="A1476" s="40">
        <v>2104</v>
      </c>
      <c r="B1476" s="90" t="s">
        <v>5161</v>
      </c>
      <c r="C1476" s="90" t="s">
        <v>536</v>
      </c>
      <c r="D1476" s="44">
        <v>2026</v>
      </c>
      <c r="E1476" s="44"/>
      <c r="F1476" s="90" t="s">
        <v>2222</v>
      </c>
      <c r="G1476" s="90" t="s">
        <v>456</v>
      </c>
      <c r="H1476" s="90"/>
      <c r="I1476" s="90" t="s">
        <v>1269</v>
      </c>
      <c r="J1476" s="90" t="s">
        <v>581</v>
      </c>
      <c r="K1476" s="90" t="s">
        <v>1243</v>
      </c>
      <c r="L1476" s="90"/>
      <c r="M1476" s="90">
        <v>1</v>
      </c>
      <c r="N1476" s="90"/>
      <c r="O1476" s="90"/>
      <c r="P1476" s="90"/>
      <c r="Q1476" s="90"/>
      <c r="R1476" s="90"/>
      <c r="S1476" s="90"/>
      <c r="T1476" s="90"/>
      <c r="U1476" s="90"/>
      <c r="V1476" s="90"/>
      <c r="W1476" s="90"/>
      <c r="X1476" s="90"/>
      <c r="Y1476" s="90"/>
      <c r="Z1476" s="40" t="s">
        <v>1485</v>
      </c>
      <c r="AA1476" s="91">
        <v>100</v>
      </c>
      <c r="AB1476" s="46">
        <f>IF(H2ProjectDB689571011[[#This Row],[Dummy_1]]="Electrolysis",
AA1476/VLOOKUP(G1476,ElectrolysisConvF,3,FALSE),
AC1476*10^6/(H2dens*HoursInYear))</f>
        <v>26315.78947368421</v>
      </c>
      <c r="AC1476" s="47">
        <f>AB1476*H2dens*HoursInYear/10^6</f>
        <v>20.516842105263155</v>
      </c>
      <c r="AD1476" s="92"/>
      <c r="AE1476" s="92">
        <f t="shared" si="108"/>
        <v>26315.78947368421</v>
      </c>
      <c r="AF1476" s="43" t="s">
        <v>6699</v>
      </c>
      <c r="AG1476" s="43">
        <v>28.703369287767501</v>
      </c>
      <c r="AH1476" s="43">
        <v>-96.940636112488406</v>
      </c>
      <c r="AI1476" s="122" t="s">
        <v>7286</v>
      </c>
      <c r="AJ1476" s="41">
        <v>0.5</v>
      </c>
    </row>
    <row r="1477" spans="1:36" ht="35.1" hidden="1" customHeight="1" x14ac:dyDescent="0.25">
      <c r="A1477" s="40">
        <v>2105</v>
      </c>
      <c r="B1477" s="90" t="s">
        <v>5164</v>
      </c>
      <c r="C1477" s="90" t="s">
        <v>1305</v>
      </c>
      <c r="D1477" s="44">
        <v>2024</v>
      </c>
      <c r="E1477" s="44"/>
      <c r="F1477" s="90" t="s">
        <v>1339</v>
      </c>
      <c r="G1477" s="90" t="s">
        <v>457</v>
      </c>
      <c r="H1477" s="90"/>
      <c r="I1477" s="90" t="s">
        <v>1269</v>
      </c>
      <c r="J1477" s="90" t="s">
        <v>1391</v>
      </c>
      <c r="K1477" s="90" t="s">
        <v>578</v>
      </c>
      <c r="L1477" s="90"/>
      <c r="M1477" s="90"/>
      <c r="N1477" s="90"/>
      <c r="O1477" s="90"/>
      <c r="P1477" s="90"/>
      <c r="Q1477" s="90">
        <v>1</v>
      </c>
      <c r="R1477" s="90"/>
      <c r="S1477" s="90"/>
      <c r="T1477" s="90"/>
      <c r="U1477" s="90"/>
      <c r="V1477" s="90"/>
      <c r="W1477" s="90"/>
      <c r="X1477" s="90"/>
      <c r="Y1477" s="90"/>
      <c r="Z1477" s="40" t="s">
        <v>5909</v>
      </c>
      <c r="AA1477" s="91">
        <v>5</v>
      </c>
      <c r="AB1477" s="46">
        <f>IF(H2ProjectDB689571011[[#This Row],[Dummy_1]]="Electrolysis",
AA1477/VLOOKUP(G1477,ElectrolysisConvF,3,FALSE),
AC1477*10^6/(H2dens*HoursInYear))</f>
        <v>1086.9565217391305</v>
      </c>
      <c r="AC1477" s="47">
        <f>AB1477*H2dens*HoursInYear/10^6</f>
        <v>0.84743478260869565</v>
      </c>
      <c r="AD1477" s="92"/>
      <c r="AE1477" s="92">
        <f t="shared" si="108"/>
        <v>1086.9565217391305</v>
      </c>
      <c r="AF1477" s="43" t="s">
        <v>7489</v>
      </c>
      <c r="AG1477" s="43">
        <v>48.664130621601402</v>
      </c>
      <c r="AH1477" s="43">
        <v>11.9730214901096</v>
      </c>
      <c r="AI1477" s="122" t="s">
        <v>7286</v>
      </c>
      <c r="AJ1477" s="41">
        <v>0.3</v>
      </c>
    </row>
    <row r="1478" spans="1:36" ht="35.1" hidden="1" customHeight="1" x14ac:dyDescent="0.25">
      <c r="A1478" s="40">
        <v>2106</v>
      </c>
      <c r="B1478" s="90" t="s">
        <v>5167</v>
      </c>
      <c r="C1478" s="90" t="s">
        <v>674</v>
      </c>
      <c r="D1478" s="44">
        <v>2030</v>
      </c>
      <c r="E1478" s="44"/>
      <c r="F1478" s="90" t="s">
        <v>1331</v>
      </c>
      <c r="G1478" s="90" t="s">
        <v>1259</v>
      </c>
      <c r="H1478" s="40" t="s">
        <v>467</v>
      </c>
      <c r="I1478" s="90" t="s">
        <v>1269</v>
      </c>
      <c r="J1478" s="90" t="s">
        <v>581</v>
      </c>
      <c r="K1478" s="90" t="s">
        <v>1243</v>
      </c>
      <c r="L1478" s="90"/>
      <c r="M1478" s="90">
        <v>1</v>
      </c>
      <c r="N1478" s="90"/>
      <c r="O1478" s="90"/>
      <c r="P1478" s="90"/>
      <c r="Q1478" s="90"/>
      <c r="R1478" s="90"/>
      <c r="S1478" s="90"/>
      <c r="T1478" s="90"/>
      <c r="U1478" s="90"/>
      <c r="V1478" s="90"/>
      <c r="W1478" s="90"/>
      <c r="X1478" s="90"/>
      <c r="Y1478" s="90"/>
      <c r="Z1478" s="90" t="s">
        <v>5168</v>
      </c>
      <c r="AA1478" s="47">
        <f>IF(H2ProjectDB689571011[[#This Row],[Dummy_1]]="Electrolysis",
AB1478*VLOOKUP(G1478,ElectrolysisConvF,3,FALSE),
"")</f>
        <v>2539.6336770817297</v>
      </c>
      <c r="AB1478" s="46">
        <f>AC1478/(H2dens*HoursInYear/10^6)</f>
        <v>564363.03935149556</v>
      </c>
      <c r="AC1478" s="47">
        <f>220/H2ProjectDB689571011[[#This Row],[LOWE_CF]]</f>
        <v>440</v>
      </c>
      <c r="AD1478" s="92"/>
      <c r="AE1478" s="92">
        <f t="shared" si="108"/>
        <v>564363.03935149556</v>
      </c>
      <c r="AF1478" s="93" t="s">
        <v>5170</v>
      </c>
      <c r="AG1478" s="43">
        <v>19.666927731033201</v>
      </c>
      <c r="AH1478" s="43">
        <v>57.725445010377797</v>
      </c>
      <c r="AI1478" s="122" t="s">
        <v>7286</v>
      </c>
      <c r="AJ1478" s="41">
        <v>0.5</v>
      </c>
    </row>
    <row r="1479" spans="1:36" ht="35.1" hidden="1" customHeight="1" x14ac:dyDescent="0.25">
      <c r="A1479" s="40">
        <v>2107</v>
      </c>
      <c r="B1479" s="90" t="s">
        <v>5171</v>
      </c>
      <c r="C1479" s="90" t="s">
        <v>554</v>
      </c>
      <c r="D1479" s="90"/>
      <c r="E1479" s="90"/>
      <c r="F1479" s="90" t="s">
        <v>1331</v>
      </c>
      <c r="G1479" s="90" t="s">
        <v>1259</v>
      </c>
      <c r="H1479" s="90" t="s">
        <v>467</v>
      </c>
      <c r="I1479" s="90" t="s">
        <v>1269</v>
      </c>
      <c r="J1479" s="90" t="s">
        <v>1391</v>
      </c>
      <c r="K1479" s="90" t="s">
        <v>578</v>
      </c>
      <c r="L1479" s="90"/>
      <c r="M1479" s="90"/>
      <c r="N1479" s="90"/>
      <c r="O1479" s="90"/>
      <c r="P1479" s="90"/>
      <c r="Q1479" s="90"/>
      <c r="R1479" s="90"/>
      <c r="S1479" s="90"/>
      <c r="T1479" s="90"/>
      <c r="U1479" s="90"/>
      <c r="V1479" s="90"/>
      <c r="W1479" s="90"/>
      <c r="X1479" s="90"/>
      <c r="Y1479" s="90"/>
      <c r="Z1479" s="90" t="s">
        <v>1483</v>
      </c>
      <c r="AA1479" s="91">
        <v>50</v>
      </c>
      <c r="AB1479" s="46">
        <f>IF(H2ProjectDB689571011[[#This Row],[Dummy_1]]="Electrolysis",
AA1479/VLOOKUP(G1479,ElectrolysisConvF,3,FALSE),
AC1479*10^6/(H2dens*HoursInYear))</f>
        <v>11111.111111111111</v>
      </c>
      <c r="AC1479" s="47">
        <f>AB1479*H2dens*HoursInYear/10^6</f>
        <v>8.6626666666666665</v>
      </c>
      <c r="AD1479" s="92"/>
      <c r="AE1479" s="92">
        <f t="shared" si="108"/>
        <v>11111.111111111111</v>
      </c>
      <c r="AF1479" s="93" t="s">
        <v>5173</v>
      </c>
      <c r="AG1479" s="43">
        <v>38.778226785829602</v>
      </c>
      <c r="AH1479" s="43">
        <v>22.720160030220701</v>
      </c>
      <c r="AI1479" s="122" t="s">
        <v>7286</v>
      </c>
      <c r="AJ1479" s="41">
        <v>0.3</v>
      </c>
    </row>
    <row r="1480" spans="1:36" ht="35.1" hidden="1" customHeight="1" x14ac:dyDescent="0.25">
      <c r="A1480" s="40">
        <v>2108</v>
      </c>
      <c r="B1480" s="90" t="s">
        <v>5174</v>
      </c>
      <c r="C1480" s="90" t="s">
        <v>1939</v>
      </c>
      <c r="D1480" s="90"/>
      <c r="E1480" s="90"/>
      <c r="F1480" s="90" t="s">
        <v>1331</v>
      </c>
      <c r="G1480" s="90" t="s">
        <v>1259</v>
      </c>
      <c r="H1480" s="90" t="s">
        <v>467</v>
      </c>
      <c r="I1480" s="90" t="s">
        <v>1269</v>
      </c>
      <c r="J1480" s="90" t="s">
        <v>581</v>
      </c>
      <c r="K1480" s="90" t="s">
        <v>1243</v>
      </c>
      <c r="L1480" s="90"/>
      <c r="M1480" s="90">
        <v>1</v>
      </c>
      <c r="N1480" s="90"/>
      <c r="O1480" s="90"/>
      <c r="P1480" s="90"/>
      <c r="Q1480" s="90"/>
      <c r="R1480" s="90"/>
      <c r="S1480" s="90"/>
      <c r="T1480" s="90"/>
      <c r="U1480" s="90"/>
      <c r="V1480" s="90"/>
      <c r="W1480" s="90"/>
      <c r="X1480" s="90"/>
      <c r="Y1480" s="90"/>
      <c r="Z1480" s="90" t="s">
        <v>1484</v>
      </c>
      <c r="AA1480" s="91">
        <v>5</v>
      </c>
      <c r="AB1480" s="46">
        <f>IF(H2ProjectDB689571011[[#This Row],[Dummy_1]]="Electrolysis",
AA1480/VLOOKUP(G1480,ElectrolysisConvF,3,FALSE),
AC1480*10^6/(H2dens*HoursInYear))</f>
        <v>1111.1111111111111</v>
      </c>
      <c r="AC1480" s="47">
        <f>AB1480*H2dens*HoursInYear/10^6</f>
        <v>0.86626666666666663</v>
      </c>
      <c r="AD1480" s="92"/>
      <c r="AE1480" s="92">
        <f t="shared" si="108"/>
        <v>1111.1111111111111</v>
      </c>
      <c r="AF1480" s="93"/>
      <c r="AG1480" s="43">
        <v>-0.84293431937073904</v>
      </c>
      <c r="AH1480" s="43">
        <v>36.318704915658003</v>
      </c>
      <c r="AI1480" s="122" t="s">
        <v>7286</v>
      </c>
      <c r="AJ1480" s="41">
        <v>0.5</v>
      </c>
    </row>
    <row r="1481" spans="1:36" ht="35.1" hidden="1" customHeight="1" x14ac:dyDescent="0.25">
      <c r="A1481" s="40">
        <v>2109</v>
      </c>
      <c r="B1481" s="90" t="s">
        <v>5175</v>
      </c>
      <c r="C1481" s="90" t="s">
        <v>1975</v>
      </c>
      <c r="D1481" s="90"/>
      <c r="E1481" s="90"/>
      <c r="F1481" s="40" t="s">
        <v>2222</v>
      </c>
      <c r="G1481" s="40" t="s">
        <v>1259</v>
      </c>
      <c r="H1481" s="40" t="s">
        <v>467</v>
      </c>
      <c r="I1481" s="40" t="s">
        <v>1269</v>
      </c>
      <c r="J1481" s="90" t="s">
        <v>581</v>
      </c>
      <c r="K1481" s="90" t="s">
        <v>578</v>
      </c>
      <c r="L1481" s="90"/>
      <c r="M1481" s="90"/>
      <c r="N1481" s="90"/>
      <c r="O1481" s="90"/>
      <c r="P1481" s="90"/>
      <c r="Q1481" s="90"/>
      <c r="R1481" s="90"/>
      <c r="S1481" s="90"/>
      <c r="T1481" s="90"/>
      <c r="U1481" s="90"/>
      <c r="V1481" s="90"/>
      <c r="W1481" s="90"/>
      <c r="X1481" s="90"/>
      <c r="Y1481" s="90"/>
      <c r="Z1481" s="90"/>
      <c r="AA1481" s="91">
        <f>IF(OR(G1481="ALK",G1481="PEM",G1481="SOEC",G1481="Other Electrolysis"),
AB1481*VLOOKUP(G1481,ElectrolysisConvF,3,FALSE),
"")</f>
        <v>0</v>
      </c>
      <c r="AB1481" s="92"/>
      <c r="AC1481" s="92"/>
      <c r="AD1481" s="92"/>
      <c r="AE1481" s="92">
        <f t="shared" si="108"/>
        <v>0</v>
      </c>
      <c r="AF1481" s="93" t="s">
        <v>5177</v>
      </c>
      <c r="AG1481" s="43">
        <v>11.720559332559599</v>
      </c>
      <c r="AH1481" s="43">
        <v>42.772941835833102</v>
      </c>
      <c r="AI1481" s="122" t="s">
        <v>7286</v>
      </c>
      <c r="AJ1481" s="41">
        <v>0.5</v>
      </c>
    </row>
    <row r="1482" spans="1:36" ht="35.1" hidden="1" customHeight="1" x14ac:dyDescent="0.25">
      <c r="A1482" s="40">
        <v>2110</v>
      </c>
      <c r="B1482" s="90" t="s">
        <v>5179</v>
      </c>
      <c r="C1482" s="40" t="s">
        <v>1067</v>
      </c>
      <c r="F1482" s="40" t="s">
        <v>2222</v>
      </c>
      <c r="G1482" s="40" t="s">
        <v>455</v>
      </c>
      <c r="I1482" s="40" t="s">
        <v>1269</v>
      </c>
      <c r="J1482" s="40" t="s">
        <v>1391</v>
      </c>
      <c r="K1482" s="40" t="s">
        <v>1243</v>
      </c>
      <c r="M1482" s="40">
        <v>1</v>
      </c>
      <c r="N1482" s="90"/>
      <c r="O1482" s="90"/>
      <c r="P1482" s="90"/>
      <c r="Q1482" s="90"/>
      <c r="R1482" s="90"/>
      <c r="S1482" s="90"/>
      <c r="T1482" s="90"/>
      <c r="U1482" s="90"/>
      <c r="V1482" s="90"/>
      <c r="W1482" s="90"/>
      <c r="X1482" s="90"/>
      <c r="Y1482" s="90"/>
      <c r="Z1482" s="90" t="s">
        <v>5181</v>
      </c>
      <c r="AA1482" s="91">
        <v>274</v>
      </c>
      <c r="AB1482" s="46">
        <f>IF(H2ProjectDB689571011[[#This Row],[Dummy_1]]="Electrolysis",
AA1482/VLOOKUP(G1482,ElectrolysisConvF,3,FALSE),
AC1482*10^6/(H2dens*HoursInYear))</f>
        <v>52692.307692307695</v>
      </c>
      <c r="AC1482" s="47">
        <f>AB1482*H2dens*HoursInYear/10^6</f>
        <v>41.081030769230765</v>
      </c>
      <c r="AD1482" s="92"/>
      <c r="AE1482" s="92">
        <f t="shared" si="108"/>
        <v>52692.307692307695</v>
      </c>
      <c r="AF1482" s="93" t="s">
        <v>5184</v>
      </c>
      <c r="AG1482" s="43">
        <v>24.051112244977599</v>
      </c>
      <c r="AH1482" s="43">
        <v>-104.522975191898</v>
      </c>
      <c r="AI1482" s="122" t="s">
        <v>7286</v>
      </c>
      <c r="AJ1482" s="41">
        <v>0.3</v>
      </c>
    </row>
    <row r="1483" spans="1:36" ht="35.1" hidden="1" customHeight="1" x14ac:dyDescent="0.25">
      <c r="A1483" s="40">
        <v>2111</v>
      </c>
      <c r="B1483" s="90" t="s">
        <v>5185</v>
      </c>
      <c r="C1483" s="90" t="s">
        <v>541</v>
      </c>
      <c r="D1483" s="44">
        <v>2027</v>
      </c>
      <c r="E1483" s="44"/>
      <c r="F1483" s="40" t="s">
        <v>2222</v>
      </c>
      <c r="G1483" s="40" t="s">
        <v>1259</v>
      </c>
      <c r="H1483" s="40" t="s">
        <v>467</v>
      </c>
      <c r="I1483" s="40" t="s">
        <v>1269</v>
      </c>
      <c r="J1483" s="90" t="s">
        <v>1393</v>
      </c>
      <c r="K1483" s="90" t="s">
        <v>578</v>
      </c>
      <c r="L1483" s="90"/>
      <c r="M1483" s="90"/>
      <c r="N1483" s="90"/>
      <c r="O1483" s="90"/>
      <c r="P1483" s="90"/>
      <c r="Q1483" s="90"/>
      <c r="R1483" s="90"/>
      <c r="S1483" s="90"/>
      <c r="T1483" s="90"/>
      <c r="U1483" s="90"/>
      <c r="V1483" s="90"/>
      <c r="W1483" s="90"/>
      <c r="X1483" s="90"/>
      <c r="Y1483" s="90"/>
      <c r="Z1483" s="90" t="s">
        <v>1334</v>
      </c>
      <c r="AA1483" s="91">
        <v>1000</v>
      </c>
      <c r="AB1483" s="46">
        <f>IF(H2ProjectDB689571011[[#This Row],[Dummy_1]]="Electrolysis",
AA1483/VLOOKUP(G1483,ElectrolysisConvF,3,FALSE),
AC1483*10^6/(H2dens*HoursInYear))</f>
        <v>222222.22222222225</v>
      </c>
      <c r="AC1483" s="47">
        <f>AB1483*H2dens*HoursInYear/10^6</f>
        <v>173.25333333333333</v>
      </c>
      <c r="AD1483" s="92"/>
      <c r="AE1483" s="92">
        <f t="shared" si="108"/>
        <v>222222.22222222225</v>
      </c>
      <c r="AF1483" s="93" t="s">
        <v>5187</v>
      </c>
      <c r="AG1483" s="43">
        <v>39.305229641981597</v>
      </c>
      <c r="AH1483" s="43">
        <v>17.4362805408174</v>
      </c>
      <c r="AI1483" s="122" t="s">
        <v>7286</v>
      </c>
      <c r="AJ1483" s="41">
        <v>0.55000000000000004</v>
      </c>
    </row>
    <row r="1484" spans="1:36" ht="35.1" hidden="1" customHeight="1" x14ac:dyDescent="0.25">
      <c r="A1484" s="40">
        <v>2112</v>
      </c>
      <c r="B1484" s="90" t="s">
        <v>5188</v>
      </c>
      <c r="C1484" s="90" t="s">
        <v>543</v>
      </c>
      <c r="D1484" s="90"/>
      <c r="E1484" s="90"/>
      <c r="F1484" s="90" t="s">
        <v>2222</v>
      </c>
      <c r="G1484" s="90" t="s">
        <v>1259</v>
      </c>
      <c r="H1484" s="40" t="s">
        <v>467</v>
      </c>
      <c r="I1484" s="40" t="s">
        <v>1269</v>
      </c>
      <c r="J1484" s="90" t="s">
        <v>581</v>
      </c>
      <c r="K1484" s="90" t="s">
        <v>578</v>
      </c>
      <c r="L1484" s="90"/>
      <c r="M1484" s="90"/>
      <c r="N1484" s="90"/>
      <c r="O1484" s="90"/>
      <c r="P1484" s="90"/>
      <c r="Q1484" s="90">
        <v>1</v>
      </c>
      <c r="R1484" s="90"/>
      <c r="S1484" s="90"/>
      <c r="T1484" s="90"/>
      <c r="U1484" s="90"/>
      <c r="V1484" s="90"/>
      <c r="W1484" s="90"/>
      <c r="X1484" s="90"/>
      <c r="Y1484" s="90"/>
      <c r="Z1484" s="90" t="s">
        <v>1495</v>
      </c>
      <c r="AA1484" s="91">
        <v>20</v>
      </c>
      <c r="AB1484" s="46">
        <f>IF(H2ProjectDB689571011[[#This Row],[Dummy_1]]="Electrolysis",
AA1484/VLOOKUP(G1484,ElectrolysisConvF,3,FALSE),
AC1484*10^6/(H2dens*HoursInYear))</f>
        <v>4444.4444444444443</v>
      </c>
      <c r="AC1484" s="47">
        <f>AB1484*H2dens*HoursInYear/10^6</f>
        <v>3.4650666666666665</v>
      </c>
      <c r="AD1484" s="92"/>
      <c r="AE1484" s="92">
        <f t="shared" si="108"/>
        <v>4444.4444444444443</v>
      </c>
      <c r="AF1484" s="93" t="s">
        <v>5190</v>
      </c>
      <c r="AG1484" s="43">
        <v>24.298933860178</v>
      </c>
      <c r="AH1484" s="43">
        <v>54.354000103841102</v>
      </c>
      <c r="AI1484" s="122" t="s">
        <v>7286</v>
      </c>
      <c r="AJ1484" s="41">
        <v>0.5</v>
      </c>
    </row>
    <row r="1485" spans="1:36" ht="35.1" hidden="1" customHeight="1" x14ac:dyDescent="0.25">
      <c r="A1485" s="40">
        <v>2113</v>
      </c>
      <c r="B1485" s="90" t="s">
        <v>5191</v>
      </c>
      <c r="C1485" s="90" t="s">
        <v>542</v>
      </c>
      <c r="D1485" s="44">
        <v>2023</v>
      </c>
      <c r="E1485" s="90"/>
      <c r="F1485" s="90" t="s">
        <v>1540</v>
      </c>
      <c r="G1485" s="90" t="s">
        <v>1259</v>
      </c>
      <c r="H1485" s="40" t="s">
        <v>467</v>
      </c>
      <c r="I1485" s="90" t="s">
        <v>1257</v>
      </c>
      <c r="J1485" s="90" t="str">
        <f>IF(I1485&lt;&gt;"Dedicated renewable","N/A",)</f>
        <v>N/A</v>
      </c>
      <c r="K1485" s="90" t="s">
        <v>1267</v>
      </c>
      <c r="L1485" s="90"/>
      <c r="M1485" s="90"/>
      <c r="N1485" s="90"/>
      <c r="O1485" s="90"/>
      <c r="P1485" s="90"/>
      <c r="Q1485" s="90"/>
      <c r="R1485" s="90"/>
      <c r="S1485" s="90"/>
      <c r="T1485" s="90"/>
      <c r="U1485" s="90"/>
      <c r="V1485" s="90"/>
      <c r="W1485" s="90">
        <v>1</v>
      </c>
      <c r="X1485" s="90"/>
      <c r="Y1485" s="90"/>
      <c r="Z1485" s="90"/>
      <c r="AA1485" s="91">
        <f>IF(OR(G1485="ALK",G1485="PEM",G1485="SOEC",G1485="Other Electrolysis"),
AB1485*VLOOKUP(G1485,ElectrolysisConvF,3,FALSE),
"")</f>
        <v>0</v>
      </c>
      <c r="AB1485" s="92"/>
      <c r="AC1485" s="92"/>
      <c r="AD1485" s="92"/>
      <c r="AE1485" s="92">
        <f t="shared" si="108"/>
        <v>0</v>
      </c>
      <c r="AF1485" s="93" t="s">
        <v>5194</v>
      </c>
      <c r="AG1485" s="43">
        <v>51.9156067553591</v>
      </c>
      <c r="AH1485" s="43">
        <v>-1.14105214629842</v>
      </c>
      <c r="AI1485" s="122" t="s">
        <v>7286</v>
      </c>
      <c r="AJ1485" s="41">
        <v>0.56999999999999995</v>
      </c>
    </row>
    <row r="1486" spans="1:36" ht="35.1" hidden="1" customHeight="1" x14ac:dyDescent="0.25">
      <c r="A1486" s="40">
        <v>2114</v>
      </c>
      <c r="B1486" s="90" t="s">
        <v>5195</v>
      </c>
      <c r="C1486" s="90" t="s">
        <v>542</v>
      </c>
      <c r="D1486" s="44">
        <v>2026</v>
      </c>
      <c r="E1486" s="44"/>
      <c r="F1486" s="90" t="s">
        <v>1331</v>
      </c>
      <c r="G1486" s="90" t="s">
        <v>1259</v>
      </c>
      <c r="H1486" s="40" t="s">
        <v>467</v>
      </c>
      <c r="I1486" s="90" t="s">
        <v>1269</v>
      </c>
      <c r="J1486" s="90" t="s">
        <v>1395</v>
      </c>
      <c r="K1486" s="90" t="s">
        <v>578</v>
      </c>
      <c r="L1486" s="90"/>
      <c r="M1486" s="90"/>
      <c r="N1486" s="90"/>
      <c r="O1486" s="90"/>
      <c r="P1486" s="90"/>
      <c r="Q1486" s="90">
        <v>1</v>
      </c>
      <c r="R1486" s="90"/>
      <c r="S1486" s="90"/>
      <c r="T1486" s="90"/>
      <c r="U1486" s="90"/>
      <c r="V1486" s="90"/>
      <c r="W1486" s="90"/>
      <c r="X1486" s="90"/>
      <c r="Y1486" s="90"/>
      <c r="Z1486" s="90" t="s">
        <v>1582</v>
      </c>
      <c r="AA1486" s="91">
        <v>15</v>
      </c>
      <c r="AB1486" s="46">
        <f>IF(H2ProjectDB689571011[[#This Row],[Dummy_1]]="Electrolysis",
AA1486/VLOOKUP(G1486,ElectrolysisConvF,3,FALSE),
AC1486*10^6/(H2dens*HoursInYear))</f>
        <v>3333.3333333333335</v>
      </c>
      <c r="AC1486" s="47">
        <f>AB1486*H2dens*HoursInYear/10^6</f>
        <v>2.5988000000000002</v>
      </c>
      <c r="AD1486" s="92"/>
      <c r="AE1486" s="92">
        <f t="shared" si="108"/>
        <v>3333.3333333333335</v>
      </c>
      <c r="AF1486" s="93" t="s">
        <v>5625</v>
      </c>
      <c r="AG1486" s="43">
        <v>51.876981607756299</v>
      </c>
      <c r="AH1486" s="43">
        <v>-4.93068595596786</v>
      </c>
      <c r="AI1486" s="122" t="s">
        <v>7286</v>
      </c>
      <c r="AJ1486" s="41">
        <v>0.5</v>
      </c>
    </row>
    <row r="1487" spans="1:36" ht="35.1" hidden="1" customHeight="1" x14ac:dyDescent="0.25">
      <c r="A1487" s="40">
        <v>2115</v>
      </c>
      <c r="B1487" s="90" t="s">
        <v>5198</v>
      </c>
      <c r="C1487" s="90" t="s">
        <v>554</v>
      </c>
      <c r="D1487" s="90"/>
      <c r="E1487" s="90"/>
      <c r="F1487" s="40" t="s">
        <v>2222</v>
      </c>
      <c r="G1487" s="40" t="s">
        <v>1259</v>
      </c>
      <c r="H1487" s="40" t="s">
        <v>467</v>
      </c>
      <c r="I1487" s="40" t="s">
        <v>1269</v>
      </c>
      <c r="J1487" s="90" t="s">
        <v>581</v>
      </c>
      <c r="K1487" s="90" t="s">
        <v>578</v>
      </c>
      <c r="L1487" s="90"/>
      <c r="M1487" s="90"/>
      <c r="N1487" s="90"/>
      <c r="O1487" s="90"/>
      <c r="P1487" s="90"/>
      <c r="Q1487" s="90"/>
      <c r="R1487" s="90"/>
      <c r="S1487" s="90"/>
      <c r="T1487" s="90"/>
      <c r="U1487" s="90"/>
      <c r="V1487" s="90"/>
      <c r="W1487" s="90"/>
      <c r="X1487" s="90"/>
      <c r="Y1487" s="90"/>
      <c r="Z1487" s="90" t="s">
        <v>2024</v>
      </c>
      <c r="AA1487" s="91">
        <v>300</v>
      </c>
      <c r="AB1487" s="46">
        <f>IF(H2ProjectDB689571011[[#This Row],[Dummy_1]]="Electrolysis",
AA1487/VLOOKUP(G1487,ElectrolysisConvF,3,FALSE),
AC1487*10^6/(H2dens*HoursInYear))</f>
        <v>66666.666666666672</v>
      </c>
      <c r="AC1487" s="47">
        <f>AB1487*H2dens*HoursInYear/10^6</f>
        <v>51.975999999999999</v>
      </c>
      <c r="AD1487" s="92"/>
      <c r="AE1487" s="92">
        <f t="shared" si="108"/>
        <v>66666.666666666672</v>
      </c>
      <c r="AF1487" s="93" t="s">
        <v>5187</v>
      </c>
      <c r="AG1487" s="43">
        <v>37.773369873791403</v>
      </c>
      <c r="AH1487" s="43">
        <v>21.072480830667001</v>
      </c>
      <c r="AI1487" s="122" t="s">
        <v>7286</v>
      </c>
      <c r="AJ1487" s="41">
        <v>0.5</v>
      </c>
    </row>
    <row r="1488" spans="1:36" ht="35.1" hidden="1" customHeight="1" x14ac:dyDescent="0.25">
      <c r="A1488" s="40">
        <v>2116</v>
      </c>
      <c r="B1488" s="90" t="s">
        <v>5200</v>
      </c>
      <c r="C1488" s="90" t="s">
        <v>1764</v>
      </c>
      <c r="D1488" s="44">
        <v>2025</v>
      </c>
      <c r="E1488" s="44"/>
      <c r="F1488" s="90" t="s">
        <v>5701</v>
      </c>
      <c r="G1488" s="90" t="s">
        <v>1259</v>
      </c>
      <c r="H1488" s="90" t="s">
        <v>467</v>
      </c>
      <c r="I1488" s="90" t="s">
        <v>1269</v>
      </c>
      <c r="J1488" s="90" t="s">
        <v>581</v>
      </c>
      <c r="K1488" s="90" t="s">
        <v>578</v>
      </c>
      <c r="L1488" s="90"/>
      <c r="M1488" s="90"/>
      <c r="N1488" s="90"/>
      <c r="O1488" s="90"/>
      <c r="P1488" s="90"/>
      <c r="Q1488" s="90">
        <v>1</v>
      </c>
      <c r="R1488" s="90"/>
      <c r="S1488" s="90"/>
      <c r="T1488" s="90"/>
      <c r="U1488" s="90"/>
      <c r="V1488" s="90"/>
      <c r="W1488" s="90"/>
      <c r="X1488" s="90"/>
      <c r="Y1488" s="90"/>
      <c r="Z1488" s="90" t="s">
        <v>1658</v>
      </c>
      <c r="AA1488" s="91">
        <v>1.4</v>
      </c>
      <c r="AB1488" s="46">
        <f>IF(H2ProjectDB689571011[[#This Row],[Dummy_1]]="Electrolysis",
AA1488/VLOOKUP(G1488,ElectrolysisConvF,3,FALSE),
AC1488*10^6/(H2dens*HoursInYear))</f>
        <v>311.11111111111114</v>
      </c>
      <c r="AC1488" s="47">
        <f>AB1488*H2dens*HoursInYear/10^6</f>
        <v>0.2425546666666667</v>
      </c>
      <c r="AD1488" s="92"/>
      <c r="AE1488" s="92">
        <f t="shared" si="108"/>
        <v>311.11111111111114</v>
      </c>
      <c r="AF1488" s="93" t="s">
        <v>5202</v>
      </c>
      <c r="AG1488" s="43">
        <v>42.227286845077302</v>
      </c>
      <c r="AH1488" s="43">
        <v>-8.7404213824382904</v>
      </c>
      <c r="AI1488" s="122" t="s">
        <v>7286</v>
      </c>
      <c r="AJ1488" s="41">
        <v>0.5</v>
      </c>
    </row>
    <row r="1489" spans="1:36" ht="35.1" hidden="1" customHeight="1" x14ac:dyDescent="0.25">
      <c r="A1489" s="40">
        <v>2117</v>
      </c>
      <c r="B1489" s="90" t="s">
        <v>5203</v>
      </c>
      <c r="C1489" s="90" t="s">
        <v>546</v>
      </c>
      <c r="D1489" s="44">
        <v>2026</v>
      </c>
      <c r="E1489" s="44"/>
      <c r="F1489" s="90" t="s">
        <v>1331</v>
      </c>
      <c r="G1489" s="90" t="s">
        <v>1259</v>
      </c>
      <c r="H1489" s="90" t="s">
        <v>467</v>
      </c>
      <c r="I1489" s="90" t="s">
        <v>1269</v>
      </c>
      <c r="J1489" s="90" t="s">
        <v>1393</v>
      </c>
      <c r="K1489" s="90" t="s">
        <v>578</v>
      </c>
      <c r="L1489" s="90"/>
      <c r="M1489" s="90">
        <v>1</v>
      </c>
      <c r="N1489" s="90">
        <v>1</v>
      </c>
      <c r="O1489" s="90"/>
      <c r="P1489" s="90">
        <v>1</v>
      </c>
      <c r="Q1489" s="90"/>
      <c r="R1489" s="90"/>
      <c r="S1489" s="90"/>
      <c r="T1489" s="90"/>
      <c r="U1489" s="90"/>
      <c r="V1489" s="90"/>
      <c r="W1489" s="90"/>
      <c r="X1489" s="90"/>
      <c r="Y1489" s="90"/>
      <c r="Z1489" s="90" t="s">
        <v>1574</v>
      </c>
      <c r="AA1489" s="91">
        <v>200</v>
      </c>
      <c r="AB1489" s="46">
        <f>IF(H2ProjectDB689571011[[#This Row],[Dummy_1]]="Electrolysis",
AA1489/VLOOKUP(G1489,ElectrolysisConvF,3,FALSE),
AC1489*10^6/(H2dens*HoursInYear))</f>
        <v>44444.444444444445</v>
      </c>
      <c r="AC1489" s="47">
        <f>AB1489*H2dens*HoursInYear/10^6</f>
        <v>34.650666666666666</v>
      </c>
      <c r="AD1489" s="92"/>
      <c r="AE1489" s="92">
        <f t="shared" si="108"/>
        <v>44444.444444444445</v>
      </c>
      <c r="AF1489" s="93" t="s">
        <v>5205</v>
      </c>
      <c r="AG1489" s="43">
        <v>53.334414502966901</v>
      </c>
      <c r="AH1489" s="43">
        <v>6.9213599498701699</v>
      </c>
      <c r="AI1489" s="122" t="s">
        <v>7286</v>
      </c>
      <c r="AJ1489" s="41">
        <v>0.55000000000000004</v>
      </c>
    </row>
    <row r="1490" spans="1:36" ht="35.1" hidden="1" customHeight="1" x14ac:dyDescent="0.25">
      <c r="A1490" s="40">
        <v>2118</v>
      </c>
      <c r="B1490" s="90" t="s">
        <v>5206</v>
      </c>
      <c r="C1490" s="90" t="s">
        <v>1866</v>
      </c>
      <c r="D1490" s="44">
        <v>2027</v>
      </c>
      <c r="E1490" s="44"/>
      <c r="F1490" s="90" t="s">
        <v>1331</v>
      </c>
      <c r="G1490" s="90" t="s">
        <v>1259</v>
      </c>
      <c r="H1490" s="90" t="s">
        <v>467</v>
      </c>
      <c r="I1490" s="90" t="s">
        <v>1269</v>
      </c>
      <c r="J1490" s="90" t="s">
        <v>581</v>
      </c>
      <c r="K1490" s="90" t="s">
        <v>578</v>
      </c>
      <c r="L1490" s="90"/>
      <c r="M1490" s="90"/>
      <c r="N1490" s="90"/>
      <c r="O1490" s="90"/>
      <c r="P1490" s="90"/>
      <c r="Q1490" s="90"/>
      <c r="R1490" s="90"/>
      <c r="S1490" s="90"/>
      <c r="T1490" s="90"/>
      <c r="U1490" s="90"/>
      <c r="V1490" s="90">
        <v>1</v>
      </c>
      <c r="W1490" s="90"/>
      <c r="X1490" s="90"/>
      <c r="Y1490" s="90"/>
      <c r="Z1490" s="90" t="s">
        <v>5207</v>
      </c>
      <c r="AA1490" s="47">
        <f>IF(H2ProjectDB689571011[[#This Row],[Dummy_1]]="Electrolysis",
AB1490*VLOOKUP(G1490,ElectrolysisConvF,3,FALSE),
"")</f>
        <v>4675.2347237186395</v>
      </c>
      <c r="AB1490" s="46">
        <f>AC1490/(H2dens*HoursInYear/10^6)</f>
        <v>1038941.0497152533</v>
      </c>
      <c r="AC1490" s="47">
        <f>405/H2ProjectDB689571011[[#This Row],[LOWE_CF]]</f>
        <v>810</v>
      </c>
      <c r="AD1490" s="92"/>
      <c r="AE1490" s="92">
        <f t="shared" si="108"/>
        <v>1038941.0497152533</v>
      </c>
      <c r="AF1490" s="43" t="s">
        <v>8080</v>
      </c>
      <c r="AG1490" s="43">
        <v>8.9581394306274191</v>
      </c>
      <c r="AH1490" s="43">
        <v>-79.569642330699097</v>
      </c>
      <c r="AI1490" s="122" t="s">
        <v>7286</v>
      </c>
      <c r="AJ1490" s="41">
        <v>0.5</v>
      </c>
    </row>
    <row r="1491" spans="1:36" ht="35.1" hidden="1" customHeight="1" x14ac:dyDescent="0.25">
      <c r="A1491" s="40">
        <v>2119</v>
      </c>
      <c r="B1491" s="90" t="s">
        <v>5209</v>
      </c>
      <c r="C1491" s="90" t="s">
        <v>541</v>
      </c>
      <c r="D1491" s="44">
        <v>2026</v>
      </c>
      <c r="E1491" s="44"/>
      <c r="F1491" s="40" t="s">
        <v>1331</v>
      </c>
      <c r="G1491" s="40" t="s">
        <v>1259</v>
      </c>
      <c r="H1491" s="40" t="s">
        <v>467</v>
      </c>
      <c r="I1491" s="40" t="s">
        <v>1269</v>
      </c>
      <c r="J1491" s="90" t="s">
        <v>581</v>
      </c>
      <c r="K1491" s="90" t="s">
        <v>578</v>
      </c>
      <c r="L1491" s="90">
        <v>1</v>
      </c>
      <c r="M1491" s="90"/>
      <c r="N1491" s="90"/>
      <c r="O1491" s="90"/>
      <c r="P1491" s="90">
        <v>1</v>
      </c>
      <c r="Q1491" s="90"/>
      <c r="R1491" s="90"/>
      <c r="S1491" s="90"/>
      <c r="T1491" s="90"/>
      <c r="U1491" s="90"/>
      <c r="V1491" s="90"/>
      <c r="W1491" s="90">
        <v>1</v>
      </c>
      <c r="X1491" s="90"/>
      <c r="Y1491" s="90"/>
      <c r="Z1491" s="90" t="s">
        <v>1495</v>
      </c>
      <c r="AA1491" s="91">
        <v>20</v>
      </c>
      <c r="AB1491" s="46">
        <f>IF(H2ProjectDB689571011[[#This Row],[Dummy_1]]="Electrolysis",
AA1491/VLOOKUP(G1491,ElectrolysisConvF,3,FALSE),
AC1491*10^6/(H2dens*HoursInYear))</f>
        <v>4444.4444444444443</v>
      </c>
      <c r="AC1491" s="47">
        <f>AB1491*H2dens*HoursInYear/10^6</f>
        <v>3.4650666666666665</v>
      </c>
      <c r="AD1491" s="92"/>
      <c r="AE1491" s="92">
        <f t="shared" si="108"/>
        <v>4444.4444444444443</v>
      </c>
      <c r="AF1491" s="93" t="s">
        <v>5211</v>
      </c>
      <c r="AG1491" s="43">
        <v>40.8309622516676</v>
      </c>
      <c r="AH1491" s="43">
        <v>8.3784413084761802</v>
      </c>
      <c r="AI1491" s="122" t="s">
        <v>7286</v>
      </c>
      <c r="AJ1491" s="41">
        <v>0.5</v>
      </c>
    </row>
    <row r="1492" spans="1:36" ht="35.1" hidden="1" customHeight="1" x14ac:dyDescent="0.25">
      <c r="A1492" s="40">
        <v>2120</v>
      </c>
      <c r="B1492" s="90" t="s">
        <v>5212</v>
      </c>
      <c r="C1492" s="90" t="s">
        <v>541</v>
      </c>
      <c r="D1492" s="44">
        <v>2030</v>
      </c>
      <c r="E1492" s="44"/>
      <c r="F1492" s="40" t="s">
        <v>1331</v>
      </c>
      <c r="G1492" s="40" t="s">
        <v>1259</v>
      </c>
      <c r="H1492" s="40" t="s">
        <v>467</v>
      </c>
      <c r="I1492" s="40" t="s">
        <v>1269</v>
      </c>
      <c r="J1492" s="90" t="s">
        <v>581</v>
      </c>
      <c r="K1492" s="90" t="s">
        <v>578</v>
      </c>
      <c r="L1492" s="90">
        <v>1</v>
      </c>
      <c r="M1492" s="90"/>
      <c r="N1492" s="90"/>
      <c r="O1492" s="90"/>
      <c r="P1492" s="90">
        <v>1</v>
      </c>
      <c r="Q1492" s="90"/>
      <c r="R1492" s="90"/>
      <c r="S1492" s="90"/>
      <c r="T1492" s="90"/>
      <c r="U1492" s="90"/>
      <c r="V1492" s="90"/>
      <c r="W1492" s="90">
        <v>1</v>
      </c>
      <c r="X1492" s="90"/>
      <c r="Y1492" s="90"/>
      <c r="Z1492" s="90" t="s">
        <v>1574</v>
      </c>
      <c r="AA1492" s="91">
        <v>180</v>
      </c>
      <c r="AB1492" s="46">
        <f>IF(H2ProjectDB689571011[[#This Row],[Dummy_1]]="Electrolysis",
AA1492/VLOOKUP(G1492,ElectrolysisConvF,3,FALSE),
AC1492*10^6/(H2dens*HoursInYear))</f>
        <v>40000</v>
      </c>
      <c r="AC1492" s="47">
        <f>AB1492*H2dens*HoursInYear/10^6</f>
        <v>31.185600000000001</v>
      </c>
      <c r="AD1492" s="92"/>
      <c r="AE1492" s="92">
        <f t="shared" si="108"/>
        <v>40000</v>
      </c>
      <c r="AF1492" s="93" t="s">
        <v>5211</v>
      </c>
      <c r="AG1492" s="43">
        <v>40.8309622516676</v>
      </c>
      <c r="AH1492" s="43">
        <v>8.3784413084761802</v>
      </c>
      <c r="AI1492" s="122" t="s">
        <v>7286</v>
      </c>
      <c r="AJ1492" s="41">
        <v>0.5</v>
      </c>
    </row>
    <row r="1493" spans="1:36" ht="35.1" hidden="1" customHeight="1" x14ac:dyDescent="0.25">
      <c r="A1493" s="40">
        <v>2121</v>
      </c>
      <c r="B1493" s="90" t="s">
        <v>5215</v>
      </c>
      <c r="C1493" s="90" t="s">
        <v>542</v>
      </c>
      <c r="D1493" s="44">
        <v>2026</v>
      </c>
      <c r="E1493" s="44"/>
      <c r="F1493" s="90" t="s">
        <v>1331</v>
      </c>
      <c r="G1493" s="90" t="s">
        <v>455</v>
      </c>
      <c r="I1493" s="90" t="s">
        <v>1269</v>
      </c>
      <c r="J1493" s="90" t="s">
        <v>1392</v>
      </c>
      <c r="K1493" s="90" t="s">
        <v>578</v>
      </c>
      <c r="L1493" s="90"/>
      <c r="M1493" s="90"/>
      <c r="N1493" s="90"/>
      <c r="O1493" s="90"/>
      <c r="P1493" s="90">
        <v>1</v>
      </c>
      <c r="Q1493" s="90"/>
      <c r="R1493" s="90"/>
      <c r="S1493" s="90"/>
      <c r="T1493" s="90"/>
      <c r="U1493" s="90"/>
      <c r="V1493" s="90"/>
      <c r="W1493" s="90"/>
      <c r="X1493" s="90"/>
      <c r="Y1493" s="90"/>
      <c r="Z1493" s="90" t="s">
        <v>1510</v>
      </c>
      <c r="AA1493" s="91">
        <v>30</v>
      </c>
      <c r="AB1493" s="46">
        <f>IF(H2ProjectDB689571011[[#This Row],[Dummy_1]]="Electrolysis",
AA1493/VLOOKUP(G1493,ElectrolysisConvF,3,FALSE),
AC1493*10^6/(H2dens*HoursInYear))</f>
        <v>5769.2307692307695</v>
      </c>
      <c r="AC1493" s="47">
        <f>AB1493*H2dens*HoursInYear/10^6</f>
        <v>4.4979230769230769</v>
      </c>
      <c r="AD1493" s="92"/>
      <c r="AE1493" s="92">
        <f t="shared" si="108"/>
        <v>5769.2307692307695</v>
      </c>
      <c r="AF1493" s="93" t="s">
        <v>5214</v>
      </c>
      <c r="AG1493" s="43">
        <v>53.278418992759299</v>
      </c>
      <c r="AH1493" s="43">
        <v>-2.7372656241006599</v>
      </c>
      <c r="AI1493" s="122" t="s">
        <v>7286</v>
      </c>
      <c r="AJ1493" s="41">
        <v>0.4</v>
      </c>
    </row>
    <row r="1494" spans="1:36" ht="35.1" hidden="1" customHeight="1" x14ac:dyDescent="0.25">
      <c r="A1494" s="40">
        <v>2122</v>
      </c>
      <c r="B1494" s="90" t="s">
        <v>5216</v>
      </c>
      <c r="C1494" s="90" t="s">
        <v>1764</v>
      </c>
      <c r="D1494" s="44">
        <v>2026</v>
      </c>
      <c r="E1494" s="44"/>
      <c r="F1494" s="90" t="s">
        <v>1331</v>
      </c>
      <c r="G1494" s="90" t="s">
        <v>1259</v>
      </c>
      <c r="H1494" s="40" t="s">
        <v>467</v>
      </c>
      <c r="I1494" s="90" t="s">
        <v>1269</v>
      </c>
      <c r="J1494" s="90" t="s">
        <v>581</v>
      </c>
      <c r="K1494" s="90" t="s">
        <v>578</v>
      </c>
      <c r="L1494" s="90"/>
      <c r="M1494" s="90"/>
      <c r="N1494" s="90"/>
      <c r="O1494" s="90"/>
      <c r="P1494" s="90"/>
      <c r="Q1494" s="90"/>
      <c r="R1494" s="90"/>
      <c r="S1494" s="90"/>
      <c r="T1494" s="90"/>
      <c r="U1494" s="90"/>
      <c r="V1494" s="90"/>
      <c r="W1494" s="90"/>
      <c r="X1494" s="90"/>
      <c r="Y1494" s="90"/>
      <c r="Z1494" s="90" t="s">
        <v>5218</v>
      </c>
      <c r="AA1494" s="91">
        <v>90</v>
      </c>
      <c r="AB1494" s="46">
        <f>IF(H2ProjectDB689571011[[#This Row],[Dummy_1]]="Electrolysis",
AA1494/VLOOKUP(G1494,ElectrolysisConvF,3,FALSE),
AC1494*10^6/(H2dens*HoursInYear))</f>
        <v>20000</v>
      </c>
      <c r="AC1494" s="47">
        <f>AB1494*H2dens*HoursInYear/10^6</f>
        <v>15.5928</v>
      </c>
      <c r="AD1494" s="92"/>
      <c r="AE1494" s="92">
        <f t="shared" si="108"/>
        <v>20000</v>
      </c>
      <c r="AF1494" s="93" t="s">
        <v>5220</v>
      </c>
      <c r="AG1494" s="43">
        <v>39.993410669291798</v>
      </c>
      <c r="AH1494" s="43">
        <v>-2.0854670623856701E-2</v>
      </c>
      <c r="AI1494" s="122" t="s">
        <v>7286</v>
      </c>
      <c r="AJ1494" s="41">
        <v>0.5</v>
      </c>
    </row>
    <row r="1495" spans="1:36" ht="35.1" hidden="1" customHeight="1" x14ac:dyDescent="0.25">
      <c r="A1495" s="40">
        <v>2123</v>
      </c>
      <c r="B1495" s="90" t="s">
        <v>5217</v>
      </c>
      <c r="C1495" s="90" t="s">
        <v>1764</v>
      </c>
      <c r="D1495" s="44">
        <v>2026</v>
      </c>
      <c r="E1495" s="44"/>
      <c r="F1495" s="90" t="s">
        <v>1331</v>
      </c>
      <c r="G1495" s="90" t="s">
        <v>1259</v>
      </c>
      <c r="H1495" s="40" t="s">
        <v>467</v>
      </c>
      <c r="I1495" s="90" t="s">
        <v>1269</v>
      </c>
      <c r="J1495" s="90" t="s">
        <v>581</v>
      </c>
      <c r="K1495" s="90" t="s">
        <v>578</v>
      </c>
      <c r="L1495" s="90"/>
      <c r="M1495" s="90"/>
      <c r="N1495" s="90"/>
      <c r="O1495" s="90"/>
      <c r="P1495" s="90"/>
      <c r="Q1495" s="90"/>
      <c r="R1495" s="90"/>
      <c r="S1495" s="90"/>
      <c r="T1495" s="90"/>
      <c r="U1495" s="90"/>
      <c r="V1495" s="90"/>
      <c r="W1495" s="90"/>
      <c r="X1495" s="90"/>
      <c r="Y1495" s="90"/>
      <c r="Z1495" s="90" t="s">
        <v>5219</v>
      </c>
      <c r="AA1495" s="91">
        <v>115</v>
      </c>
      <c r="AB1495" s="46">
        <f>IF(H2ProjectDB689571011[[#This Row],[Dummy_1]]="Electrolysis",
AA1495/VLOOKUP(G1495,ElectrolysisConvF,3,FALSE),
AC1495*10^6/(H2dens*HoursInYear))</f>
        <v>25555.555555555558</v>
      </c>
      <c r="AC1495" s="47">
        <f>AB1495*H2dens*HoursInYear/10^6</f>
        <v>19.924133333333337</v>
      </c>
      <c r="AD1495" s="92"/>
      <c r="AE1495" s="92">
        <f t="shared" si="108"/>
        <v>25555.555555555558</v>
      </c>
      <c r="AF1495" s="93" t="s">
        <v>5220</v>
      </c>
      <c r="AG1495" s="43">
        <v>37.597022978611399</v>
      </c>
      <c r="AH1495" s="43">
        <v>-1.0099832767986101</v>
      </c>
      <c r="AI1495" s="122" t="s">
        <v>7286</v>
      </c>
      <c r="AJ1495" s="41">
        <v>0.5</v>
      </c>
    </row>
    <row r="1496" spans="1:36" ht="35.1" hidden="1" customHeight="1" x14ac:dyDescent="0.25">
      <c r="A1496" s="40">
        <v>2124</v>
      </c>
      <c r="B1496" s="40" t="s">
        <v>5897</v>
      </c>
      <c r="C1496" s="90" t="s">
        <v>560</v>
      </c>
      <c r="D1496" s="44">
        <v>2028</v>
      </c>
      <c r="E1496" s="44"/>
      <c r="F1496" s="90" t="s">
        <v>1331</v>
      </c>
      <c r="G1496" s="90" t="s">
        <v>1259</v>
      </c>
      <c r="H1496" s="40" t="s">
        <v>467</v>
      </c>
      <c r="I1496" s="40" t="s">
        <v>1269</v>
      </c>
      <c r="J1496" s="90" t="s">
        <v>1392</v>
      </c>
      <c r="K1496" s="90" t="s">
        <v>578</v>
      </c>
      <c r="L1496" s="90"/>
      <c r="M1496" s="90"/>
      <c r="N1496" s="90"/>
      <c r="O1496" s="90"/>
      <c r="P1496" s="90"/>
      <c r="Q1496" s="90"/>
      <c r="R1496" s="90"/>
      <c r="S1496" s="90"/>
      <c r="T1496" s="90"/>
      <c r="U1496" s="90"/>
      <c r="V1496" s="90"/>
      <c r="W1496" s="90"/>
      <c r="X1496" s="90"/>
      <c r="Y1496" s="90"/>
      <c r="Z1496" s="90" t="s">
        <v>5222</v>
      </c>
      <c r="AA1496" s="47">
        <f>IF(H2ProjectDB689571011[[#This Row],[Dummy_1]]="Electrolysis",
AB1496*VLOOKUP(G1496,ElectrolysisConvF,3,FALSE),
"")</f>
        <v>3637.7487735127911</v>
      </c>
      <c r="AB1496" s="46">
        <f t="shared" ref="AB1496:AB1501" si="110">AC1496/(H2dens*HoursInYear/10^6)</f>
        <v>808388.61633617582</v>
      </c>
      <c r="AC1496" s="92">
        <f>1400*3/17/0.98/H2ProjectDB689571011[[#This Row],[LOWE_CF]]</f>
        <v>630.25210084033608</v>
      </c>
      <c r="AD1496" s="92"/>
      <c r="AE1496" s="92">
        <f t="shared" si="108"/>
        <v>808388.61633617582</v>
      </c>
      <c r="AF1496" s="43" t="s">
        <v>5896</v>
      </c>
      <c r="AG1496" s="43">
        <v>-52.675479109210997</v>
      </c>
      <c r="AH1496" s="43">
        <v>-69.2546731957503</v>
      </c>
      <c r="AI1496" s="122" t="s">
        <v>7286</v>
      </c>
      <c r="AJ1496" s="116">
        <v>0.4</v>
      </c>
    </row>
    <row r="1497" spans="1:36" ht="35.1" hidden="1" customHeight="1" x14ac:dyDescent="0.25">
      <c r="A1497" s="40">
        <v>2125</v>
      </c>
      <c r="B1497" s="40" t="s">
        <v>5228</v>
      </c>
      <c r="C1497" s="40" t="s">
        <v>537</v>
      </c>
      <c r="D1497" s="44">
        <v>2024</v>
      </c>
      <c r="E1497" s="44"/>
      <c r="F1497" s="40" t="s">
        <v>5701</v>
      </c>
      <c r="G1497" s="40" t="s">
        <v>457</v>
      </c>
      <c r="I1497" s="40" t="s">
        <v>1269</v>
      </c>
      <c r="J1497" s="40" t="s">
        <v>1392</v>
      </c>
      <c r="K1497" s="40" t="s">
        <v>1243</v>
      </c>
      <c r="M1497" s="40">
        <v>1</v>
      </c>
      <c r="P1497" s="40">
        <v>1</v>
      </c>
      <c r="Z1497" s="40" t="s">
        <v>5229</v>
      </c>
      <c r="AA1497" s="47">
        <f>IF(H2ProjectDB689571011[[#This Row],[Dummy_1]]="Electrolysis",
AB1497*VLOOKUP(G1497,ElectrolysisConvF,3,FALSE),
"")</f>
        <v>158.21866502488328</v>
      </c>
      <c r="AB1497" s="46">
        <f t="shared" si="110"/>
        <v>34395.36196193115</v>
      </c>
      <c r="AC1497" s="92">
        <f>26816/1000</f>
        <v>26.815999999999999</v>
      </c>
      <c r="AD1497" s="92"/>
      <c r="AE1497" s="92">
        <f t="shared" ref="AE1497:AE1560" si="111">IF(AND(G1497&lt;&gt;"NG w CCUS",G1497&lt;&gt;"Oil w CCUS",G1497&lt;&gt;"Coal w CCUS"),AB1497,AD1497*10^3/(HoursInYear*IF(G1497="NG w CCUS",0.9105,1.9075)))</f>
        <v>34395.36196193115</v>
      </c>
      <c r="AF1497" s="43" t="s">
        <v>5227</v>
      </c>
      <c r="AG1497" s="43">
        <v>46.124734503159601</v>
      </c>
      <c r="AH1497" s="43">
        <v>121.97467265714999</v>
      </c>
      <c r="AI1497" s="122" t="s">
        <v>7286</v>
      </c>
      <c r="AJ1497" s="41">
        <v>0.4</v>
      </c>
    </row>
    <row r="1498" spans="1:36" ht="35.1" hidden="1" customHeight="1" x14ac:dyDescent="0.25">
      <c r="A1498" s="40">
        <v>2126</v>
      </c>
      <c r="B1498" s="90" t="s">
        <v>5237</v>
      </c>
      <c r="C1498" s="40" t="s">
        <v>537</v>
      </c>
      <c r="D1498" s="44">
        <v>2023</v>
      </c>
      <c r="E1498" s="44"/>
      <c r="F1498" s="90" t="s">
        <v>1339</v>
      </c>
      <c r="G1498" s="90" t="s">
        <v>457</v>
      </c>
      <c r="H1498" s="90"/>
      <c r="I1498" s="90" t="s">
        <v>1269</v>
      </c>
      <c r="J1498" s="90" t="s">
        <v>1392</v>
      </c>
      <c r="K1498" s="90" t="s">
        <v>578</v>
      </c>
      <c r="L1498" s="90"/>
      <c r="M1498" s="90"/>
      <c r="N1498" s="90"/>
      <c r="O1498" s="90"/>
      <c r="P1498" s="90"/>
      <c r="Q1498" s="90">
        <v>1</v>
      </c>
      <c r="R1498" s="90"/>
      <c r="S1498" s="90"/>
      <c r="T1498" s="90"/>
      <c r="U1498" s="90"/>
      <c r="V1498" s="90"/>
      <c r="W1498" s="90"/>
      <c r="X1498" s="90"/>
      <c r="Y1498" s="90"/>
      <c r="Z1498" s="90" t="s">
        <v>5238</v>
      </c>
      <c r="AA1498" s="47">
        <f>IF(H2ProjectDB689571011[[#This Row],[Dummy_1]]="Electrolysis",
AB1498*VLOOKUP(G1498,ElectrolysisConvF,3,FALSE),
"")</f>
        <v>2.2656610743420043</v>
      </c>
      <c r="AB1498" s="46">
        <f t="shared" si="110"/>
        <v>492.53501616130524</v>
      </c>
      <c r="AC1498" s="95">
        <f>384/1000</f>
        <v>0.38400000000000001</v>
      </c>
      <c r="AD1498" s="92"/>
      <c r="AE1498" s="92">
        <f t="shared" si="111"/>
        <v>492.53501616130524</v>
      </c>
      <c r="AF1498" s="93" t="s">
        <v>5227</v>
      </c>
      <c r="AG1498" s="43">
        <v>43.8984135979575</v>
      </c>
      <c r="AH1498" s="43">
        <v>116.034810175204</v>
      </c>
      <c r="AI1498" s="122" t="s">
        <v>7286</v>
      </c>
      <c r="AJ1498" s="41">
        <v>0.4</v>
      </c>
    </row>
    <row r="1499" spans="1:36" ht="35.1" hidden="1" customHeight="1" x14ac:dyDescent="0.25">
      <c r="A1499" s="40">
        <v>2127</v>
      </c>
      <c r="B1499" s="40" t="s">
        <v>5239</v>
      </c>
      <c r="C1499" s="40" t="s">
        <v>537</v>
      </c>
      <c r="D1499" s="44">
        <v>2024</v>
      </c>
      <c r="E1499" s="44"/>
      <c r="F1499" s="90" t="s">
        <v>5701</v>
      </c>
      <c r="G1499" s="90" t="s">
        <v>1259</v>
      </c>
      <c r="H1499" s="90" t="s">
        <v>467</v>
      </c>
      <c r="I1499" s="90" t="s">
        <v>1269</v>
      </c>
      <c r="J1499" s="90" t="s">
        <v>1395</v>
      </c>
      <c r="K1499" s="40" t="s">
        <v>1243</v>
      </c>
      <c r="L1499" s="90"/>
      <c r="M1499" s="90">
        <v>1</v>
      </c>
      <c r="N1499" s="90"/>
      <c r="O1499" s="90"/>
      <c r="P1499" s="90"/>
      <c r="Q1499" s="90"/>
      <c r="R1499" s="90"/>
      <c r="S1499" s="90"/>
      <c r="T1499" s="90"/>
      <c r="U1499" s="90"/>
      <c r="V1499" s="90"/>
      <c r="W1499" s="90"/>
      <c r="X1499" s="90"/>
      <c r="Y1499" s="90"/>
      <c r="Z1499" s="40" t="s">
        <v>5240</v>
      </c>
      <c r="AA1499" s="47">
        <f>IF(H2ProjectDB689571011[[#This Row],[Dummy_1]]="Electrolysis",
AB1499*VLOOKUP(G1499,ElectrolysisConvF,3,FALSE),
"")</f>
        <v>57.718947206402959</v>
      </c>
      <c r="AB1499" s="46">
        <f t="shared" si="110"/>
        <v>12826.432712533991</v>
      </c>
      <c r="AC1499" s="92">
        <f>10000/1000</f>
        <v>10</v>
      </c>
      <c r="AD1499" s="92"/>
      <c r="AE1499" s="92">
        <f t="shared" si="111"/>
        <v>12826.432712533991</v>
      </c>
      <c r="AF1499" s="93" t="s">
        <v>5227</v>
      </c>
      <c r="AG1499" s="43">
        <v>40.943860354151298</v>
      </c>
      <c r="AH1499" s="43">
        <v>107.24884536340301</v>
      </c>
      <c r="AI1499" s="122" t="s">
        <v>7286</v>
      </c>
      <c r="AJ1499" s="41">
        <v>0.5</v>
      </c>
    </row>
    <row r="1500" spans="1:36" ht="35.1" hidden="1" customHeight="1" x14ac:dyDescent="0.25">
      <c r="A1500" s="40">
        <v>2128</v>
      </c>
      <c r="B1500" s="40" t="s">
        <v>5242</v>
      </c>
      <c r="C1500" s="40" t="s">
        <v>537</v>
      </c>
      <c r="D1500" s="44">
        <v>2024</v>
      </c>
      <c r="E1500" s="44"/>
      <c r="F1500" s="90" t="s">
        <v>5701</v>
      </c>
      <c r="G1500" s="90" t="s">
        <v>1259</v>
      </c>
      <c r="H1500" s="90" t="s">
        <v>467</v>
      </c>
      <c r="I1500" s="90" t="s">
        <v>1269</v>
      </c>
      <c r="J1500" s="90" t="s">
        <v>1395</v>
      </c>
      <c r="K1500" s="90" t="s">
        <v>578</v>
      </c>
      <c r="L1500" s="90"/>
      <c r="M1500" s="90"/>
      <c r="N1500" s="90"/>
      <c r="O1500" s="90"/>
      <c r="P1500" s="90"/>
      <c r="Q1500" s="90">
        <v>1</v>
      </c>
      <c r="R1500" s="90"/>
      <c r="S1500" s="90"/>
      <c r="T1500" s="90"/>
      <c r="U1500" s="90"/>
      <c r="V1500" s="90"/>
      <c r="W1500" s="90"/>
      <c r="X1500" s="90"/>
      <c r="Y1500" s="90"/>
      <c r="Z1500" s="40" t="s">
        <v>4607</v>
      </c>
      <c r="AA1500" s="47">
        <f>IF(H2ProjectDB689571011[[#This Row],[Dummy_1]]="Electrolysis",
AB1500*VLOOKUP(G1500,ElectrolysisConvF,3,FALSE),
"")</f>
        <v>31.427966753886409</v>
      </c>
      <c r="AB1500" s="46">
        <f t="shared" si="110"/>
        <v>6983.9926119747579</v>
      </c>
      <c r="AC1500" s="92">
        <f>5445/1000</f>
        <v>5.4450000000000003</v>
      </c>
      <c r="AD1500" s="92"/>
      <c r="AE1500" s="92">
        <f t="shared" si="111"/>
        <v>6983.9926119747579</v>
      </c>
      <c r="AF1500" s="93" t="s">
        <v>5227</v>
      </c>
      <c r="AG1500" s="43">
        <v>43.8984135979575</v>
      </c>
      <c r="AH1500" s="43">
        <v>116.034810175204</v>
      </c>
      <c r="AI1500" s="122" t="s">
        <v>7286</v>
      </c>
      <c r="AJ1500" s="41">
        <v>0.5</v>
      </c>
    </row>
    <row r="1501" spans="1:36" ht="35.1" hidden="1" customHeight="1" x14ac:dyDescent="0.25">
      <c r="A1501" s="40">
        <v>2129</v>
      </c>
      <c r="B1501" s="43" t="s">
        <v>5249</v>
      </c>
      <c r="C1501" s="40" t="s">
        <v>537</v>
      </c>
      <c r="D1501" s="44">
        <v>2025</v>
      </c>
      <c r="E1501" s="44"/>
      <c r="F1501" s="90" t="s">
        <v>5701</v>
      </c>
      <c r="G1501" s="90" t="s">
        <v>1259</v>
      </c>
      <c r="H1501" s="90" t="s">
        <v>467</v>
      </c>
      <c r="I1501" s="90" t="s">
        <v>1269</v>
      </c>
      <c r="J1501" s="90" t="s">
        <v>1395</v>
      </c>
      <c r="K1501" s="40" t="s">
        <v>1243</v>
      </c>
      <c r="L1501" s="90"/>
      <c r="M1501" s="90">
        <v>1</v>
      </c>
      <c r="N1501" s="90"/>
      <c r="O1501" s="90"/>
      <c r="P1501" s="90"/>
      <c r="Q1501" s="90"/>
      <c r="R1501" s="90"/>
      <c r="S1501" s="90"/>
      <c r="T1501" s="90"/>
      <c r="U1501" s="90"/>
      <c r="V1501" s="90"/>
      <c r="W1501" s="90"/>
      <c r="X1501" s="90"/>
      <c r="Y1501" s="90"/>
      <c r="Z1501" s="40" t="s">
        <v>7476</v>
      </c>
      <c r="AA1501" s="47">
        <f>IF(H2ProjectDB689571011[[#This Row],[Dummy_1]]="Electrolysis",
AB1501*VLOOKUP(G1501,ElectrolysisConvF,3,FALSE),
"")</f>
        <v>109.66599969216561</v>
      </c>
      <c r="AB1501" s="46">
        <f t="shared" si="110"/>
        <v>24370.222153814582</v>
      </c>
      <c r="AC1501" s="92">
        <f>19000/1000</f>
        <v>19</v>
      </c>
      <c r="AD1501" s="92"/>
      <c r="AE1501" s="92">
        <f t="shared" si="111"/>
        <v>24370.222153814582</v>
      </c>
      <c r="AF1501" s="93" t="s">
        <v>5227</v>
      </c>
      <c r="AG1501" s="43">
        <v>38.858626493058203</v>
      </c>
      <c r="AH1501" s="43">
        <v>105.73515733974</v>
      </c>
      <c r="AI1501" s="122" t="s">
        <v>7286</v>
      </c>
      <c r="AJ1501" s="41">
        <v>0.5</v>
      </c>
    </row>
    <row r="1502" spans="1:36" ht="35.1" hidden="1" customHeight="1" x14ac:dyDescent="0.25">
      <c r="A1502" s="40">
        <v>2130</v>
      </c>
      <c r="B1502" s="90" t="s">
        <v>6200</v>
      </c>
      <c r="C1502" s="90" t="s">
        <v>540</v>
      </c>
      <c r="D1502" s="44">
        <v>2026</v>
      </c>
      <c r="E1502" s="44"/>
      <c r="F1502" s="40" t="s">
        <v>1331</v>
      </c>
      <c r="G1502" s="40" t="s">
        <v>455</v>
      </c>
      <c r="I1502" s="40" t="s">
        <v>1269</v>
      </c>
      <c r="J1502" s="90" t="s">
        <v>581</v>
      </c>
      <c r="K1502" s="90" t="s">
        <v>1243</v>
      </c>
      <c r="L1502" s="90"/>
      <c r="M1502" s="90">
        <v>1</v>
      </c>
      <c r="N1502" s="90"/>
      <c r="O1502" s="90"/>
      <c r="P1502" s="90"/>
      <c r="Q1502" s="90"/>
      <c r="R1502" s="90"/>
      <c r="S1502" s="90"/>
      <c r="T1502" s="90"/>
      <c r="U1502" s="90"/>
      <c r="V1502" s="90"/>
      <c r="W1502" s="90"/>
      <c r="X1502" s="90"/>
      <c r="Y1502" s="90"/>
      <c r="Z1502" s="90" t="s">
        <v>1577</v>
      </c>
      <c r="AA1502" s="91">
        <v>60</v>
      </c>
      <c r="AB1502" s="46">
        <f>IF(H2ProjectDB689571011[[#This Row],[Dummy_1]]="Electrolysis",
AA1502/VLOOKUP(G1502,ElectrolysisConvF,3,FALSE),
AC1502*10^6/(H2dens*HoursInYear))</f>
        <v>11538.461538461539</v>
      </c>
      <c r="AC1502" s="47">
        <f>AB1502*H2dens*HoursInYear/10^6</f>
        <v>8.9958461538461538</v>
      </c>
      <c r="AD1502" s="92"/>
      <c r="AE1502" s="92">
        <f t="shared" si="111"/>
        <v>11538.461538461539</v>
      </c>
      <c r="AF1502" s="43" t="s">
        <v>6969</v>
      </c>
      <c r="AG1502" s="43">
        <v>48.336498420188903</v>
      </c>
      <c r="AH1502" s="43">
        <v>14.290002199638099</v>
      </c>
      <c r="AI1502" s="122" t="s">
        <v>7286</v>
      </c>
      <c r="AJ1502" s="41">
        <v>0.5</v>
      </c>
    </row>
    <row r="1503" spans="1:36" ht="35.1" customHeight="1" x14ac:dyDescent="0.25">
      <c r="A1503" s="40">
        <v>2131</v>
      </c>
      <c r="B1503" s="90" t="s">
        <v>5232</v>
      </c>
      <c r="C1503" s="90" t="s">
        <v>1052</v>
      </c>
      <c r="D1503" s="90"/>
      <c r="E1503" s="90"/>
      <c r="F1503" s="90" t="s">
        <v>2222</v>
      </c>
      <c r="G1503" s="90" t="s">
        <v>1259</v>
      </c>
      <c r="H1503" s="40" t="s">
        <v>467</v>
      </c>
      <c r="I1503" s="90" t="s">
        <v>1269</v>
      </c>
      <c r="J1503" s="90" t="s">
        <v>581</v>
      </c>
      <c r="K1503" s="90" t="s">
        <v>1243</v>
      </c>
      <c r="L1503" s="90"/>
      <c r="M1503" s="90">
        <v>1</v>
      </c>
      <c r="N1503" s="90"/>
      <c r="O1503" s="90"/>
      <c r="P1503" s="90"/>
      <c r="Q1503" s="90"/>
      <c r="R1503" s="90"/>
      <c r="S1503" s="90"/>
      <c r="T1503" s="90"/>
      <c r="U1503" s="90"/>
      <c r="V1503" s="90"/>
      <c r="W1503" s="90"/>
      <c r="X1503" s="90"/>
      <c r="Y1503" s="90"/>
      <c r="Z1503" s="40" t="s">
        <v>5233</v>
      </c>
      <c r="AA1503" s="47">
        <f>IF(H2ProjectDB689571011[[#This Row],[Dummy_1]]="Electrolysis",
AB1503*VLOOKUP(G1503,ElectrolysisConvF,3,FALSE),
"")</f>
        <v>1662.9708678915617</v>
      </c>
      <c r="AB1503" s="46">
        <f>AC1503/(H2dens*HoursInYear/10^6)</f>
        <v>369549.08175368042</v>
      </c>
      <c r="AC1503" s="92">
        <f>(800*3/17/0.98)/H2ProjectDB689571011[[#This Row],[LOWE_CF]]</f>
        <v>288.1152460984394</v>
      </c>
      <c r="AD1503" s="92"/>
      <c r="AE1503" s="92">
        <f t="shared" si="111"/>
        <v>369549.08175368042</v>
      </c>
      <c r="AF1503" s="43" t="s">
        <v>7977</v>
      </c>
      <c r="AG1503" s="43">
        <v>-3.5446168982021402</v>
      </c>
      <c r="AH1503" s="43">
        <v>-38.814637719177497</v>
      </c>
      <c r="AI1503" s="122" t="s">
        <v>7286</v>
      </c>
      <c r="AJ1503" s="41">
        <v>0.5</v>
      </c>
    </row>
    <row r="1504" spans="1:36" ht="35.1" hidden="1" customHeight="1" x14ac:dyDescent="0.25">
      <c r="A1504" s="40">
        <v>2132</v>
      </c>
      <c r="B1504" s="40" t="s">
        <v>5250</v>
      </c>
      <c r="C1504" s="40" t="s">
        <v>975</v>
      </c>
      <c r="D1504" s="44">
        <v>2030</v>
      </c>
      <c r="E1504" s="44"/>
      <c r="F1504" s="40" t="s">
        <v>2222</v>
      </c>
      <c r="G1504" s="40" t="s">
        <v>1261</v>
      </c>
      <c r="H1504" s="90" t="s">
        <v>1665</v>
      </c>
      <c r="I1504" s="90"/>
      <c r="J1504" s="90"/>
      <c r="K1504" s="40" t="s">
        <v>578</v>
      </c>
      <c r="L1504" s="90"/>
      <c r="M1504" s="90"/>
      <c r="N1504" s="90"/>
      <c r="O1504" s="90"/>
      <c r="P1504" s="90"/>
      <c r="Q1504" s="90"/>
      <c r="R1504" s="90"/>
      <c r="S1504" s="90"/>
      <c r="T1504" s="90"/>
      <c r="U1504" s="90"/>
      <c r="V1504" s="90"/>
      <c r="W1504" s="90"/>
      <c r="X1504" s="90"/>
      <c r="Y1504" s="90"/>
      <c r="Z1504" s="40" t="s">
        <v>5251</v>
      </c>
      <c r="AA1504" s="91"/>
      <c r="AB1504" s="46">
        <f>AC1504/(H2dens*HoursInYear/10^6)</f>
        <v>10261.146170027192</v>
      </c>
      <c r="AC1504" s="92">
        <f>8000/1000</f>
        <v>8</v>
      </c>
      <c r="AD1504" s="92"/>
      <c r="AE1504" s="92">
        <f t="shared" si="111"/>
        <v>0</v>
      </c>
      <c r="AF1504" s="43" t="s">
        <v>5252</v>
      </c>
      <c r="AG1504" s="43">
        <v>35.092280224393797</v>
      </c>
      <c r="AH1504" s="43">
        <v>128.36458668385799</v>
      </c>
      <c r="AI1504" s="122" t="s">
        <v>7287</v>
      </c>
      <c r="AJ1504" s="41">
        <v>0.9</v>
      </c>
    </row>
    <row r="1505" spans="1:36" ht="35.1" hidden="1" customHeight="1" x14ac:dyDescent="0.25">
      <c r="A1505" s="40">
        <v>2133</v>
      </c>
      <c r="B1505" s="40" t="s">
        <v>5257</v>
      </c>
      <c r="C1505" s="40" t="s">
        <v>558</v>
      </c>
      <c r="D1505" s="44">
        <v>2024</v>
      </c>
      <c r="E1505" s="44"/>
      <c r="F1505" s="40" t="s">
        <v>1331</v>
      </c>
      <c r="G1505" s="40" t="s">
        <v>457</v>
      </c>
      <c r="H1505" s="90"/>
      <c r="I1505" s="40" t="s">
        <v>1257</v>
      </c>
      <c r="J1505" s="40" t="s">
        <v>581</v>
      </c>
      <c r="K1505" s="40" t="s">
        <v>578</v>
      </c>
      <c r="L1505" s="90"/>
      <c r="M1505" s="90"/>
      <c r="N1505" s="90"/>
      <c r="O1505" s="90"/>
      <c r="P1505" s="90"/>
      <c r="Q1505" s="90"/>
      <c r="R1505" s="90"/>
      <c r="S1505" s="90"/>
      <c r="T1505" s="90"/>
      <c r="U1505" s="90"/>
      <c r="V1505" s="90"/>
      <c r="W1505" s="90"/>
      <c r="X1505" s="90"/>
      <c r="Y1505" s="90"/>
      <c r="Z1505" s="40" t="s">
        <v>1647</v>
      </c>
      <c r="AA1505" s="91">
        <v>9</v>
      </c>
      <c r="AB1505" s="46">
        <f>IF(H2ProjectDB689571011[[#This Row],[Dummy_1]]="Electrolysis",
AA1505/VLOOKUP(G1505,ElectrolysisConvF,3,FALSE),
AC1505*10^6/(H2dens*HoursInYear))</f>
        <v>1956.5217391304348</v>
      </c>
      <c r="AC1505" s="92">
        <f>AB1505*H2dens*HoursInYear/10^6</f>
        <v>1.5253826086956521</v>
      </c>
      <c r="AD1505" s="92"/>
      <c r="AE1505" s="92">
        <f t="shared" si="111"/>
        <v>1956.5217391304348</v>
      </c>
      <c r="AF1505" s="43" t="s">
        <v>5259</v>
      </c>
      <c r="AG1505" s="43">
        <v>1.2751924721878201</v>
      </c>
      <c r="AH1505" s="43">
        <v>103.68269112549601</v>
      </c>
      <c r="AI1505" s="122" t="s">
        <v>7286</v>
      </c>
      <c r="AJ1505" s="41">
        <v>0.56999999999999995</v>
      </c>
    </row>
    <row r="1506" spans="1:36" ht="35.1" hidden="1" customHeight="1" x14ac:dyDescent="0.25">
      <c r="A1506" s="40">
        <v>2134</v>
      </c>
      <c r="B1506" s="40" t="s">
        <v>5264</v>
      </c>
      <c r="C1506" s="40" t="s">
        <v>539</v>
      </c>
      <c r="D1506" s="44">
        <v>2026</v>
      </c>
      <c r="E1506" s="44"/>
      <c r="F1506" s="90" t="s">
        <v>2222</v>
      </c>
      <c r="G1506" s="90" t="s">
        <v>1259</v>
      </c>
      <c r="H1506" s="40" t="s">
        <v>467</v>
      </c>
      <c r="I1506" s="40" t="s">
        <v>1269</v>
      </c>
      <c r="J1506" s="90" t="s">
        <v>1391</v>
      </c>
      <c r="K1506" s="90" t="s">
        <v>578</v>
      </c>
      <c r="L1506" s="90"/>
      <c r="M1506" s="90"/>
      <c r="N1506" s="90"/>
      <c r="O1506" s="90"/>
      <c r="P1506" s="90"/>
      <c r="Q1506" s="90"/>
      <c r="R1506" s="90"/>
      <c r="S1506" s="90"/>
      <c r="T1506" s="90"/>
      <c r="U1506" s="90"/>
      <c r="V1506" s="90"/>
      <c r="W1506" s="90"/>
      <c r="X1506" s="90"/>
      <c r="Y1506" s="90"/>
      <c r="Z1506" s="90" t="s">
        <v>5265</v>
      </c>
      <c r="AA1506" s="47">
        <f>IF(H2ProjectDB689571011[[#This Row],[Dummy_1]]="Electrolysis",
AB1506*VLOOKUP(G1506,ElectrolysisConvF,3,FALSE),
"")</f>
        <v>210.67415730337078</v>
      </c>
      <c r="AB1506" s="46">
        <f>AC1506/(H2dens*HoursInYear/10^6)</f>
        <v>46816.479400749064</v>
      </c>
      <c r="AC1506" s="92">
        <f>30*365/1000/H2ProjectDB689571011[[#This Row],[LOWE_CF]]</f>
        <v>36.5</v>
      </c>
      <c r="AD1506" s="92"/>
      <c r="AE1506" s="92">
        <f t="shared" si="111"/>
        <v>46816.479400749064</v>
      </c>
      <c r="AF1506" s="93" t="s">
        <v>5267</v>
      </c>
      <c r="AG1506" s="43">
        <v>1.0995650105544901</v>
      </c>
      <c r="AH1506" s="43">
        <v>104.48280695000901</v>
      </c>
      <c r="AI1506" s="122" t="s">
        <v>7286</v>
      </c>
      <c r="AJ1506" s="41">
        <v>0.3</v>
      </c>
    </row>
    <row r="1507" spans="1:36" ht="35.1" hidden="1" customHeight="1" x14ac:dyDescent="0.25">
      <c r="A1507" s="40">
        <v>2135</v>
      </c>
      <c r="B1507" s="40" t="s">
        <v>6908</v>
      </c>
      <c r="C1507" s="40" t="s">
        <v>539</v>
      </c>
      <c r="D1507" s="44">
        <v>2028</v>
      </c>
      <c r="E1507" s="44"/>
      <c r="F1507" s="90" t="s">
        <v>2222</v>
      </c>
      <c r="G1507" s="90" t="s">
        <v>1259</v>
      </c>
      <c r="H1507" s="40" t="s">
        <v>467</v>
      </c>
      <c r="I1507" s="40" t="s">
        <v>1269</v>
      </c>
      <c r="J1507" s="90" t="s">
        <v>1391</v>
      </c>
      <c r="K1507" s="90" t="s">
        <v>578</v>
      </c>
      <c r="L1507" s="90"/>
      <c r="M1507" s="90"/>
      <c r="N1507" s="90"/>
      <c r="O1507" s="90"/>
      <c r="P1507" s="90"/>
      <c r="Q1507" s="90"/>
      <c r="R1507" s="90"/>
      <c r="S1507" s="90"/>
      <c r="T1507" s="90"/>
      <c r="U1507" s="90"/>
      <c r="V1507" s="90"/>
      <c r="W1507" s="90"/>
      <c r="X1507" s="90"/>
      <c r="Y1507" s="90"/>
      <c r="Z1507" s="90" t="s">
        <v>5268</v>
      </c>
      <c r="AA1507" s="47">
        <f>IF(H2ProjectDB689571011[[#This Row],[Dummy_1]]="Electrolysis",
AB1507*VLOOKUP(G1507,ElectrolysisConvF,3,FALSE),
"")</f>
        <v>210.67415730337078</v>
      </c>
      <c r="AB1507" s="46">
        <f>AC1507/(H2dens*HoursInYear/10^6)</f>
        <v>46816.479400749064</v>
      </c>
      <c r="AC1507" s="92">
        <f>30*365/1000/H2ProjectDB689571011[[#This Row],[LOWE_CF]]</f>
        <v>36.5</v>
      </c>
      <c r="AD1507" s="92"/>
      <c r="AE1507" s="92">
        <f t="shared" si="111"/>
        <v>46816.479400749064</v>
      </c>
      <c r="AF1507" s="93" t="s">
        <v>5267</v>
      </c>
      <c r="AG1507" s="43">
        <v>1.0995650105544901</v>
      </c>
      <c r="AH1507" s="43">
        <v>104.48280695000901</v>
      </c>
      <c r="AI1507" s="122" t="s">
        <v>7286</v>
      </c>
      <c r="AJ1507" s="41">
        <v>0.3</v>
      </c>
    </row>
    <row r="1508" spans="1:36" ht="35.1" hidden="1" customHeight="1" x14ac:dyDescent="0.25">
      <c r="A1508" s="40">
        <v>2136</v>
      </c>
      <c r="B1508" s="40" t="s">
        <v>6909</v>
      </c>
      <c r="C1508" s="40" t="s">
        <v>539</v>
      </c>
      <c r="D1508" s="44">
        <v>2033</v>
      </c>
      <c r="E1508" s="44"/>
      <c r="F1508" s="90" t="s">
        <v>2222</v>
      </c>
      <c r="G1508" s="90" t="s">
        <v>1259</v>
      </c>
      <c r="H1508" s="40" t="s">
        <v>467</v>
      </c>
      <c r="I1508" s="40" t="s">
        <v>1269</v>
      </c>
      <c r="J1508" s="90" t="s">
        <v>1391</v>
      </c>
      <c r="K1508" s="90" t="s">
        <v>578</v>
      </c>
      <c r="L1508" s="90"/>
      <c r="M1508" s="90"/>
      <c r="N1508" s="90"/>
      <c r="O1508" s="90"/>
      <c r="P1508" s="90"/>
      <c r="Q1508" s="90"/>
      <c r="R1508" s="90"/>
      <c r="S1508" s="90"/>
      <c r="T1508" s="90"/>
      <c r="U1508" s="90"/>
      <c r="V1508" s="90"/>
      <c r="W1508" s="90"/>
      <c r="X1508" s="90"/>
      <c r="Y1508" s="90"/>
      <c r="Z1508" s="90" t="s">
        <v>5269</v>
      </c>
      <c r="AA1508" s="47">
        <f>IF(H2ProjectDB689571011[[#This Row],[Dummy_1]]="Electrolysis",
AB1508*VLOOKUP(G1508,ElectrolysisConvF,3,FALSE),
"")</f>
        <v>386.23595505617982</v>
      </c>
      <c r="AB1508" s="46">
        <f>AC1508/(H2dens*HoursInYear/10^6)</f>
        <v>85830.212234706632</v>
      </c>
      <c r="AC1508" s="92">
        <f>(115-60)*365/1000/H2ProjectDB689571011[[#This Row],[LOWE_CF]]</f>
        <v>66.916666666666671</v>
      </c>
      <c r="AD1508" s="92"/>
      <c r="AE1508" s="92">
        <f t="shared" si="111"/>
        <v>85830.212234706632</v>
      </c>
      <c r="AF1508" s="93" t="s">
        <v>5267</v>
      </c>
      <c r="AG1508" s="43">
        <v>1.0995650105544901</v>
      </c>
      <c r="AH1508" s="43">
        <v>104.48280695000901</v>
      </c>
      <c r="AI1508" s="122" t="s">
        <v>7286</v>
      </c>
      <c r="AJ1508" s="41">
        <v>0.3</v>
      </c>
    </row>
    <row r="1509" spans="1:36" ht="35.1" hidden="1" customHeight="1" x14ac:dyDescent="0.25">
      <c r="A1509" s="40">
        <v>2137</v>
      </c>
      <c r="B1509" s="90" t="s">
        <v>5270</v>
      </c>
      <c r="C1509" s="90" t="s">
        <v>543</v>
      </c>
      <c r="D1509" s="44">
        <v>2028</v>
      </c>
      <c r="E1509" s="44"/>
      <c r="F1509" s="90" t="s">
        <v>2222</v>
      </c>
      <c r="G1509" s="90" t="s">
        <v>1259</v>
      </c>
      <c r="H1509" s="40" t="s">
        <v>467</v>
      </c>
      <c r="I1509" s="40" t="s">
        <v>1269</v>
      </c>
      <c r="J1509" s="90" t="s">
        <v>1391</v>
      </c>
      <c r="K1509" s="90" t="s">
        <v>1243</v>
      </c>
      <c r="L1509" s="90"/>
      <c r="M1509" s="90">
        <v>1</v>
      </c>
      <c r="N1509" s="90"/>
      <c r="O1509" s="90"/>
      <c r="P1509" s="90"/>
      <c r="Q1509" s="90"/>
      <c r="R1509" s="90"/>
      <c r="S1509" s="90"/>
      <c r="T1509" s="90"/>
      <c r="U1509" s="90"/>
      <c r="V1509" s="90"/>
      <c r="W1509" s="90"/>
      <c r="X1509" s="90"/>
      <c r="Y1509" s="90"/>
      <c r="Z1509" s="90" t="s">
        <v>5271</v>
      </c>
      <c r="AA1509" s="47">
        <f>IF(H2ProjectDB689571011[[#This Row],[Dummy_1]]="Electrolysis",
AB1509*VLOOKUP(G1509,ElectrolysisConvF,3,FALSE),
"")</f>
        <v>692.90452828815069</v>
      </c>
      <c r="AB1509" s="46">
        <f>AC1509/(H2dens*HoursInYear/10^6)</f>
        <v>153978.78406403351</v>
      </c>
      <c r="AC1509" s="92">
        <f>(200*3/17/0.98)/H2ProjectDB689571011[[#This Row],[LOWE_CF]]</f>
        <v>120.04801920768308</v>
      </c>
      <c r="AD1509" s="92"/>
      <c r="AE1509" s="92">
        <f t="shared" si="111"/>
        <v>153978.78406403351</v>
      </c>
      <c r="AF1509" s="93" t="s">
        <v>5272</v>
      </c>
      <c r="AG1509" s="43">
        <v>24.969121944553201</v>
      </c>
      <c r="AH1509" s="43">
        <v>55.132314211795297</v>
      </c>
      <c r="AI1509" s="122" t="s">
        <v>7286</v>
      </c>
      <c r="AJ1509" s="41">
        <v>0.3</v>
      </c>
    </row>
    <row r="1510" spans="1:36" ht="35.1" hidden="1" customHeight="1" x14ac:dyDescent="0.25">
      <c r="A1510" s="40">
        <v>2138</v>
      </c>
      <c r="B1510" s="90" t="s">
        <v>5274</v>
      </c>
      <c r="C1510" s="90" t="s">
        <v>535</v>
      </c>
      <c r="D1510" s="44">
        <v>2027</v>
      </c>
      <c r="E1510" s="44"/>
      <c r="F1510" s="40" t="s">
        <v>2222</v>
      </c>
      <c r="G1510" s="40" t="s">
        <v>1259</v>
      </c>
      <c r="H1510" s="40" t="s">
        <v>467</v>
      </c>
      <c r="I1510" s="90" t="s">
        <v>1269</v>
      </c>
      <c r="J1510" s="40" t="s">
        <v>1395</v>
      </c>
      <c r="K1510" s="90" t="s">
        <v>578</v>
      </c>
      <c r="L1510" s="90"/>
      <c r="M1510" s="90"/>
      <c r="N1510" s="90"/>
      <c r="O1510" s="90"/>
      <c r="P1510" s="90"/>
      <c r="Q1510" s="90"/>
      <c r="R1510" s="90"/>
      <c r="S1510" s="90"/>
      <c r="T1510" s="90"/>
      <c r="U1510" s="90"/>
      <c r="V1510" s="90"/>
      <c r="W1510" s="90"/>
      <c r="X1510" s="90"/>
      <c r="Y1510" s="90"/>
      <c r="Z1510" s="90"/>
      <c r="AA1510" s="91">
        <f>IF(OR(G1510="ALK",G1510="PEM",G1510="SOEC",G1510="Other Electrolysis"),
AB1510*VLOOKUP(G1510,ElectrolysisConvF,3,FALSE),
"")</f>
        <v>0</v>
      </c>
      <c r="AB1510" s="92"/>
      <c r="AC1510" s="92"/>
      <c r="AD1510" s="92"/>
      <c r="AE1510" s="92">
        <f t="shared" si="111"/>
        <v>0</v>
      </c>
      <c r="AF1510" s="93" t="s">
        <v>5276</v>
      </c>
      <c r="AG1510" s="43">
        <v>-20.1830783555979</v>
      </c>
      <c r="AH1510" s="43">
        <v>145.01108186919799</v>
      </c>
      <c r="AI1510" s="122" t="s">
        <v>7286</v>
      </c>
      <c r="AJ1510" s="41">
        <v>0.5</v>
      </c>
    </row>
    <row r="1511" spans="1:36" ht="35.1" hidden="1" customHeight="1" x14ac:dyDescent="0.25">
      <c r="A1511" s="40">
        <v>2139</v>
      </c>
      <c r="B1511" s="90" t="s">
        <v>5274</v>
      </c>
      <c r="C1511" s="90" t="s">
        <v>535</v>
      </c>
      <c r="D1511" s="44"/>
      <c r="E1511" s="44"/>
      <c r="F1511" s="40" t="s">
        <v>2222</v>
      </c>
      <c r="G1511" s="40" t="s">
        <v>1259</v>
      </c>
      <c r="H1511" s="40" t="s">
        <v>467</v>
      </c>
      <c r="I1511" s="90" t="s">
        <v>1269</v>
      </c>
      <c r="J1511" s="40" t="s">
        <v>1395</v>
      </c>
      <c r="K1511" s="90" t="s">
        <v>578</v>
      </c>
      <c r="L1511" s="90"/>
      <c r="M1511" s="90"/>
      <c r="N1511" s="90"/>
      <c r="O1511" s="90"/>
      <c r="P1511" s="90"/>
      <c r="Q1511" s="90"/>
      <c r="R1511" s="90"/>
      <c r="S1511" s="90"/>
      <c r="T1511" s="90"/>
      <c r="U1511" s="90"/>
      <c r="V1511" s="90"/>
      <c r="W1511" s="90"/>
      <c r="X1511" s="90"/>
      <c r="Y1511" s="90"/>
      <c r="Z1511" s="90"/>
      <c r="AA1511" s="91">
        <f>IF(OR(G1511="ALK",G1511="PEM",G1511="SOEC",G1511="Other Electrolysis"),
AB1511*VLOOKUP(G1511,ElectrolysisConvF,3,FALSE),
"")</f>
        <v>0</v>
      </c>
      <c r="AB1511" s="92"/>
      <c r="AC1511" s="92"/>
      <c r="AD1511" s="92"/>
      <c r="AE1511" s="92">
        <f t="shared" si="111"/>
        <v>0</v>
      </c>
      <c r="AF1511" s="93" t="s">
        <v>5276</v>
      </c>
      <c r="AG1511" s="43">
        <v>0</v>
      </c>
      <c r="AH1511" s="43">
        <v>0</v>
      </c>
      <c r="AI1511" s="122" t="s">
        <v>7286</v>
      </c>
      <c r="AJ1511" s="41">
        <v>0.5</v>
      </c>
    </row>
    <row r="1512" spans="1:36" ht="35.1" hidden="1" customHeight="1" x14ac:dyDescent="0.25">
      <c r="A1512" s="40">
        <v>2140</v>
      </c>
      <c r="B1512" s="40" t="s">
        <v>8156</v>
      </c>
      <c r="C1512" s="90" t="s">
        <v>1961</v>
      </c>
      <c r="D1512" s="44">
        <v>2029</v>
      </c>
      <c r="E1512" s="44"/>
      <c r="F1512" s="40" t="s">
        <v>2222</v>
      </c>
      <c r="G1512" s="40" t="s">
        <v>1259</v>
      </c>
      <c r="H1512" s="40" t="s">
        <v>467</v>
      </c>
      <c r="I1512" s="40" t="s">
        <v>1269</v>
      </c>
      <c r="J1512" s="90" t="s">
        <v>1391</v>
      </c>
      <c r="K1512" s="90" t="s">
        <v>578</v>
      </c>
      <c r="L1512" s="90"/>
      <c r="M1512" s="90"/>
      <c r="N1512" s="90"/>
      <c r="O1512" s="90"/>
      <c r="P1512" s="90"/>
      <c r="Q1512" s="90"/>
      <c r="R1512" s="90">
        <v>1</v>
      </c>
      <c r="S1512" s="90"/>
      <c r="T1512" s="90"/>
      <c r="U1512" s="90"/>
      <c r="V1512" s="90"/>
      <c r="W1512" s="90"/>
      <c r="X1512" s="90"/>
      <c r="Y1512" s="90"/>
      <c r="Z1512" s="40" t="s">
        <v>7207</v>
      </c>
      <c r="AA1512" s="47">
        <f>IF(H2ProjectDB689571011[[#This Row],[Dummy_1]]="Electrolysis",
AB1512*VLOOKUP(G1512,ElectrolysisConvF,3,FALSE),
"")</f>
        <v>22.125596429121131</v>
      </c>
      <c r="AB1512" s="46">
        <f>AC1512/(H2dens*HoursInYear/10^6)</f>
        <v>4916.7992064713626</v>
      </c>
      <c r="AC1512" s="47">
        <f>1.15/H2ProjectDB689571011[[#This Row],[LOWE_CF]]</f>
        <v>3.833333333333333</v>
      </c>
      <c r="AD1512" s="92"/>
      <c r="AE1512" s="92">
        <f t="shared" si="111"/>
        <v>4916.7992064713626</v>
      </c>
      <c r="AF1512" s="43" t="s">
        <v>7208</v>
      </c>
      <c r="AG1512" s="43">
        <v>-20.193772632129001</v>
      </c>
      <c r="AH1512" s="43">
        <v>32.649463993501698</v>
      </c>
      <c r="AI1512" s="122" t="s">
        <v>7286</v>
      </c>
      <c r="AJ1512" s="41">
        <v>0.3</v>
      </c>
    </row>
    <row r="1513" spans="1:36" ht="35.1" hidden="1" customHeight="1" x14ac:dyDescent="0.25">
      <c r="A1513" s="40">
        <v>2141</v>
      </c>
      <c r="B1513" s="90" t="s">
        <v>5278</v>
      </c>
      <c r="C1513" s="90" t="s">
        <v>1066</v>
      </c>
      <c r="D1513" s="90"/>
      <c r="E1513" s="90"/>
      <c r="F1513" s="90" t="s">
        <v>2222</v>
      </c>
      <c r="G1513" s="90" t="s">
        <v>1259</v>
      </c>
      <c r="H1513" s="40" t="s">
        <v>467</v>
      </c>
      <c r="I1513" s="40" t="s">
        <v>1269</v>
      </c>
      <c r="J1513" s="90" t="s">
        <v>581</v>
      </c>
      <c r="K1513" s="90" t="s">
        <v>1243</v>
      </c>
      <c r="L1513" s="90"/>
      <c r="M1513" s="90">
        <v>1</v>
      </c>
      <c r="N1513" s="90"/>
      <c r="O1513" s="90"/>
      <c r="P1513" s="90"/>
      <c r="Q1513" s="90"/>
      <c r="R1513" s="90"/>
      <c r="S1513" s="90"/>
      <c r="T1513" s="90"/>
      <c r="U1513" s="90"/>
      <c r="V1513" s="90"/>
      <c r="W1513" s="90"/>
      <c r="X1513" s="90"/>
      <c r="Y1513" s="90"/>
      <c r="Z1513" s="90" t="s">
        <v>5279</v>
      </c>
      <c r="AA1513" s="47">
        <f>IF(H2ProjectDB689571011[[#This Row],[Dummy_1]]="Electrolysis",
AB1513*VLOOKUP(G1513,ElectrolysisConvF,3,FALSE),
"")</f>
        <v>2494.4563018373424</v>
      </c>
      <c r="AB1513" s="46">
        <f>AC1513/(H2dens*HoursInYear/10^6)</f>
        <v>554323.62263052061</v>
      </c>
      <c r="AC1513" s="92">
        <f>(1200*3/17/0.98)/H2ProjectDB689571011[[#This Row],[LOWE_CF]]</f>
        <v>432.17286914765907</v>
      </c>
      <c r="AD1513" s="92"/>
      <c r="AE1513" s="92">
        <f t="shared" si="111"/>
        <v>554323.62263052061</v>
      </c>
      <c r="AF1513" s="93" t="s">
        <v>5281</v>
      </c>
      <c r="AG1513" s="43">
        <v>23.559175877765298</v>
      </c>
      <c r="AH1513" s="43">
        <v>38.702030433315898</v>
      </c>
      <c r="AI1513" s="122" t="s">
        <v>7286</v>
      </c>
      <c r="AJ1513" s="41">
        <v>0.5</v>
      </c>
    </row>
    <row r="1514" spans="1:36" ht="35.1" hidden="1" customHeight="1" x14ac:dyDescent="0.25">
      <c r="A1514" s="40">
        <v>2142</v>
      </c>
      <c r="B1514" s="90" t="s">
        <v>5282</v>
      </c>
      <c r="C1514" s="90" t="s">
        <v>1062</v>
      </c>
      <c r="D1514" s="44">
        <v>2025</v>
      </c>
      <c r="E1514" s="44"/>
      <c r="F1514" s="40" t="s">
        <v>1331</v>
      </c>
      <c r="G1514" s="40" t="s">
        <v>1259</v>
      </c>
      <c r="H1514" s="40" t="s">
        <v>467</v>
      </c>
      <c r="I1514" s="40" t="s">
        <v>1269</v>
      </c>
      <c r="J1514" s="90" t="s">
        <v>1391</v>
      </c>
      <c r="K1514" s="90" t="s">
        <v>578</v>
      </c>
      <c r="L1514" s="90"/>
      <c r="M1514" s="90"/>
      <c r="N1514" s="90"/>
      <c r="O1514" s="90"/>
      <c r="P1514" s="90"/>
      <c r="Q1514" s="90"/>
      <c r="R1514" s="90"/>
      <c r="S1514" s="90"/>
      <c r="T1514" s="90"/>
      <c r="U1514" s="90"/>
      <c r="V1514" s="90"/>
      <c r="W1514" s="90"/>
      <c r="X1514" s="90"/>
      <c r="Y1514" s="90"/>
      <c r="Z1514" s="90" t="s">
        <v>1333</v>
      </c>
      <c r="AA1514" s="91">
        <v>10</v>
      </c>
      <c r="AB1514" s="46">
        <f>IF(H2ProjectDB689571011[[#This Row],[Dummy_1]]="Electrolysis",
AA1514/VLOOKUP(G1514,ElectrolysisConvF,3,FALSE),
AC1514*10^6/(H2dens*HoursInYear))</f>
        <v>2222.2222222222222</v>
      </c>
      <c r="AC1514" s="47">
        <f>AB1514*H2dens*HoursInYear/10^6</f>
        <v>1.7325333333333333</v>
      </c>
      <c r="AD1514" s="92"/>
      <c r="AE1514" s="92">
        <f t="shared" si="111"/>
        <v>2222.2222222222222</v>
      </c>
      <c r="AF1514" s="93" t="s">
        <v>5284</v>
      </c>
      <c r="AG1514" s="43">
        <v>0.77508921612249204</v>
      </c>
      <c r="AH1514" s="43">
        <v>103.43960623031499</v>
      </c>
      <c r="AI1514" s="122" t="s">
        <v>7286</v>
      </c>
      <c r="AJ1514" s="41">
        <v>0.3</v>
      </c>
    </row>
    <row r="1515" spans="1:36" ht="35.1" hidden="1" customHeight="1" x14ac:dyDescent="0.25">
      <c r="A1515" s="40">
        <v>2143</v>
      </c>
      <c r="B1515" s="90" t="s">
        <v>5285</v>
      </c>
      <c r="C1515" s="90" t="s">
        <v>562</v>
      </c>
      <c r="D1515" s="90"/>
      <c r="E1515" s="90"/>
      <c r="F1515" s="90" t="s">
        <v>2222</v>
      </c>
      <c r="G1515" s="90" t="s">
        <v>1259</v>
      </c>
      <c r="H1515" s="40" t="s">
        <v>467</v>
      </c>
      <c r="I1515" s="40" t="s">
        <v>1269</v>
      </c>
      <c r="J1515" s="90" t="s">
        <v>581</v>
      </c>
      <c r="K1515" s="90" t="s">
        <v>1243</v>
      </c>
      <c r="L1515" s="90"/>
      <c r="M1515" s="90">
        <v>1</v>
      </c>
      <c r="N1515" s="90"/>
      <c r="O1515" s="90"/>
      <c r="P1515" s="90"/>
      <c r="Q1515" s="90"/>
      <c r="R1515" s="90"/>
      <c r="S1515" s="90"/>
      <c r="T1515" s="90"/>
      <c r="U1515" s="90"/>
      <c r="V1515" s="90"/>
      <c r="W1515" s="90"/>
      <c r="X1515" s="90"/>
      <c r="Y1515" s="90"/>
      <c r="Z1515" s="90" t="s">
        <v>5286</v>
      </c>
      <c r="AA1515" s="47">
        <f>IF(H2ProjectDB689571011[[#This Row],[Dummy_1]]="Electrolysis",
AB1515*VLOOKUP(G1515,ElectrolysisConvF,3,FALSE),
"")</f>
        <v>2494.4563018373424</v>
      </c>
      <c r="AB1515" s="46">
        <f>AC1515/(H2dens*HoursInYear/10^6)</f>
        <v>554323.62263052061</v>
      </c>
      <c r="AC1515" s="92">
        <f>(1200*3/17/0.98)/H2ProjectDB689571011[[#This Row],[LOWE_CF]]</f>
        <v>432.17286914765907</v>
      </c>
      <c r="AD1515" s="92"/>
      <c r="AE1515" s="92">
        <f t="shared" si="111"/>
        <v>554323.62263052061</v>
      </c>
      <c r="AF1515" s="93" t="s">
        <v>5288</v>
      </c>
      <c r="AG1515" s="43">
        <v>14.9471860045103</v>
      </c>
      <c r="AH1515" s="43">
        <v>100.918815004366</v>
      </c>
      <c r="AI1515" s="122" t="s">
        <v>7286</v>
      </c>
      <c r="AJ1515" s="41">
        <v>0.5</v>
      </c>
    </row>
    <row r="1516" spans="1:36" ht="35.1" hidden="1" customHeight="1" x14ac:dyDescent="0.25">
      <c r="A1516" s="40">
        <v>2144</v>
      </c>
      <c r="B1516" s="90" t="s">
        <v>5289</v>
      </c>
      <c r="C1516" s="90" t="s">
        <v>536</v>
      </c>
      <c r="D1516" s="44">
        <v>2025</v>
      </c>
      <c r="E1516" s="44"/>
      <c r="F1516" s="40" t="s">
        <v>1331</v>
      </c>
      <c r="G1516" s="40" t="s">
        <v>1259</v>
      </c>
      <c r="H1516" s="40" t="s">
        <v>467</v>
      </c>
      <c r="I1516" s="40" t="s">
        <v>1269</v>
      </c>
      <c r="J1516" s="90" t="s">
        <v>581</v>
      </c>
      <c r="K1516" s="90" t="s">
        <v>578</v>
      </c>
      <c r="L1516" s="90"/>
      <c r="M1516" s="90"/>
      <c r="N1516" s="90"/>
      <c r="O1516" s="90"/>
      <c r="P1516" s="90"/>
      <c r="Q1516" s="90"/>
      <c r="R1516" s="90"/>
      <c r="S1516" s="90"/>
      <c r="T1516" s="90"/>
      <c r="U1516" s="90"/>
      <c r="V1516" s="90"/>
      <c r="W1516" s="90"/>
      <c r="X1516" s="90"/>
      <c r="Y1516" s="90"/>
      <c r="Z1516" s="90" t="s">
        <v>1486</v>
      </c>
      <c r="AA1516" s="91">
        <v>250</v>
      </c>
      <c r="AB1516" s="46">
        <f>IF(H2ProjectDB689571011[[#This Row],[Dummy_1]]="Electrolysis",
AA1516/VLOOKUP(G1516,ElectrolysisConvF,3,FALSE),
AC1516*10^6/(H2dens*HoursInYear))</f>
        <v>55555.555555555562</v>
      </c>
      <c r="AC1516" s="47">
        <f t="shared" ref="AC1516:AC1525" si="112">AB1516*H2dens*HoursInYear/10^6</f>
        <v>43.313333333333333</v>
      </c>
      <c r="AD1516" s="92"/>
      <c r="AE1516" s="92">
        <f t="shared" si="111"/>
        <v>55555.555555555562</v>
      </c>
      <c r="AF1516" s="93" t="s">
        <v>5291</v>
      </c>
      <c r="AG1516" s="43">
        <v>33.022858958845802</v>
      </c>
      <c r="AH1516" s="43">
        <v>-98.662837338914798</v>
      </c>
      <c r="AI1516" s="122" t="s">
        <v>7286</v>
      </c>
      <c r="AJ1516" s="41">
        <v>0.5</v>
      </c>
    </row>
    <row r="1517" spans="1:36" ht="35.1" hidden="1" customHeight="1" x14ac:dyDescent="0.25">
      <c r="A1517" s="40">
        <v>2145</v>
      </c>
      <c r="B1517" s="90" t="s">
        <v>5292</v>
      </c>
      <c r="C1517" s="90" t="s">
        <v>536</v>
      </c>
      <c r="D1517" s="44">
        <v>2025</v>
      </c>
      <c r="E1517" s="44"/>
      <c r="F1517" s="40" t="s">
        <v>2222</v>
      </c>
      <c r="G1517" s="40" t="s">
        <v>1259</v>
      </c>
      <c r="H1517" s="40" t="s">
        <v>467</v>
      </c>
      <c r="I1517" s="40" t="s">
        <v>1269</v>
      </c>
      <c r="J1517" s="90" t="s">
        <v>1391</v>
      </c>
      <c r="K1517" s="90" t="s">
        <v>578</v>
      </c>
      <c r="L1517" s="90"/>
      <c r="M1517" s="90"/>
      <c r="N1517" s="90"/>
      <c r="O1517" s="90"/>
      <c r="P1517" s="90"/>
      <c r="Q1517" s="90">
        <v>1</v>
      </c>
      <c r="R1517" s="90"/>
      <c r="S1517" s="90"/>
      <c r="T1517" s="90"/>
      <c r="U1517" s="90"/>
      <c r="V1517" s="90"/>
      <c r="W1517" s="90"/>
      <c r="X1517" s="90"/>
      <c r="Y1517" s="90"/>
      <c r="Z1517" s="90" t="s">
        <v>2075</v>
      </c>
      <c r="AA1517" s="91">
        <v>75</v>
      </c>
      <c r="AB1517" s="46">
        <f>IF(H2ProjectDB689571011[[#This Row],[Dummy_1]]="Electrolysis",
AA1517/VLOOKUP(G1517,ElectrolysisConvF,3,FALSE),
AC1517*10^6/(H2dens*HoursInYear))</f>
        <v>16666.666666666668</v>
      </c>
      <c r="AC1517" s="47">
        <f t="shared" si="112"/>
        <v>12.994</v>
      </c>
      <c r="AD1517" s="92"/>
      <c r="AE1517" s="92">
        <f t="shared" si="111"/>
        <v>16666.666666666668</v>
      </c>
      <c r="AF1517" s="93" t="s">
        <v>5293</v>
      </c>
      <c r="AG1517" s="43">
        <v>35.4528086685199</v>
      </c>
      <c r="AH1517" s="43">
        <v>-118.987787905765</v>
      </c>
      <c r="AI1517" s="122" t="s">
        <v>7286</v>
      </c>
      <c r="AJ1517" s="41">
        <v>0.3</v>
      </c>
    </row>
    <row r="1518" spans="1:36" ht="35.1" hidden="1" customHeight="1" x14ac:dyDescent="0.25">
      <c r="A1518" s="40">
        <v>2146</v>
      </c>
      <c r="B1518" s="90" t="s">
        <v>5295</v>
      </c>
      <c r="C1518" s="90" t="s">
        <v>535</v>
      </c>
      <c r="D1518" s="90"/>
      <c r="E1518" s="90"/>
      <c r="F1518" s="40" t="s">
        <v>2222</v>
      </c>
      <c r="G1518" s="40" t="s">
        <v>1259</v>
      </c>
      <c r="H1518" s="40" t="s">
        <v>467</v>
      </c>
      <c r="I1518" s="40" t="s">
        <v>1269</v>
      </c>
      <c r="J1518" s="90" t="s">
        <v>581</v>
      </c>
      <c r="K1518" s="90" t="s">
        <v>578</v>
      </c>
      <c r="L1518" s="90"/>
      <c r="M1518" s="90"/>
      <c r="N1518" s="90"/>
      <c r="O1518" s="90"/>
      <c r="P1518" s="90"/>
      <c r="Q1518" s="90"/>
      <c r="R1518" s="90"/>
      <c r="S1518" s="90"/>
      <c r="T1518" s="90"/>
      <c r="U1518" s="90"/>
      <c r="V1518" s="90"/>
      <c r="W1518" s="90"/>
      <c r="X1518" s="90"/>
      <c r="Y1518" s="90"/>
      <c r="Z1518" s="90" t="s">
        <v>1576</v>
      </c>
      <c r="AA1518" s="91">
        <v>150</v>
      </c>
      <c r="AB1518" s="46">
        <f>IF(H2ProjectDB689571011[[#This Row],[Dummy_1]]="Electrolysis",
AA1518/VLOOKUP(G1518,ElectrolysisConvF,3,FALSE),
AC1518*10^6/(H2dens*HoursInYear))</f>
        <v>33333.333333333336</v>
      </c>
      <c r="AC1518" s="47">
        <f t="shared" si="112"/>
        <v>25.988</v>
      </c>
      <c r="AD1518" s="92"/>
      <c r="AE1518" s="92">
        <f t="shared" si="111"/>
        <v>33333.333333333336</v>
      </c>
      <c r="AF1518" s="93" t="s">
        <v>5296</v>
      </c>
      <c r="AG1518" s="43">
        <v>-24.871515033189301</v>
      </c>
      <c r="AH1518" s="43">
        <v>116.566952919499</v>
      </c>
      <c r="AI1518" s="122" t="s">
        <v>7286</v>
      </c>
      <c r="AJ1518" s="41">
        <v>0.5</v>
      </c>
    </row>
    <row r="1519" spans="1:36" ht="35.1" hidden="1" customHeight="1" x14ac:dyDescent="0.25">
      <c r="A1519" s="40">
        <v>2147</v>
      </c>
      <c r="B1519" s="90" t="s">
        <v>5297</v>
      </c>
      <c r="C1519" s="90" t="s">
        <v>535</v>
      </c>
      <c r="D1519" s="90"/>
      <c r="E1519" s="90"/>
      <c r="F1519" s="40" t="s">
        <v>2222</v>
      </c>
      <c r="G1519" s="40" t="s">
        <v>1259</v>
      </c>
      <c r="H1519" s="40" t="s">
        <v>467</v>
      </c>
      <c r="I1519" s="40" t="s">
        <v>1269</v>
      </c>
      <c r="J1519" s="90" t="s">
        <v>581</v>
      </c>
      <c r="K1519" s="90" t="s">
        <v>578</v>
      </c>
      <c r="L1519" s="90"/>
      <c r="M1519" s="90"/>
      <c r="N1519" s="90"/>
      <c r="O1519" s="90"/>
      <c r="P1519" s="90"/>
      <c r="Q1519" s="90"/>
      <c r="R1519" s="90"/>
      <c r="S1519" s="90"/>
      <c r="T1519" s="90"/>
      <c r="U1519" s="90"/>
      <c r="V1519" s="90"/>
      <c r="W1519" s="90"/>
      <c r="X1519" s="90"/>
      <c r="Y1519" s="90"/>
      <c r="Z1519" s="90" t="s">
        <v>2054</v>
      </c>
      <c r="AA1519" s="91">
        <v>350</v>
      </c>
      <c r="AB1519" s="46">
        <f>IF(H2ProjectDB689571011[[#This Row],[Dummy_1]]="Electrolysis",
AA1519/VLOOKUP(G1519,ElectrolysisConvF,3,FALSE),
AC1519*10^6/(H2dens*HoursInYear))</f>
        <v>77777.777777777781</v>
      </c>
      <c r="AC1519" s="47">
        <f t="shared" si="112"/>
        <v>60.638666666666673</v>
      </c>
      <c r="AD1519" s="92"/>
      <c r="AE1519" s="92">
        <f t="shared" si="111"/>
        <v>77777.777777777781</v>
      </c>
      <c r="AF1519" s="93" t="s">
        <v>5296</v>
      </c>
      <c r="AG1519" s="43">
        <v>-24.871515033189301</v>
      </c>
      <c r="AH1519" s="43">
        <v>116.566952919499</v>
      </c>
      <c r="AI1519" s="122" t="s">
        <v>7286</v>
      </c>
      <c r="AJ1519" s="41">
        <v>0.5</v>
      </c>
    </row>
    <row r="1520" spans="1:36" ht="35.1" hidden="1" customHeight="1" x14ac:dyDescent="0.25">
      <c r="A1520" s="40">
        <v>2148</v>
      </c>
      <c r="B1520" s="90" t="s">
        <v>5298</v>
      </c>
      <c r="C1520" s="90" t="s">
        <v>535</v>
      </c>
      <c r="D1520" s="90"/>
      <c r="E1520" s="90"/>
      <c r="F1520" s="40" t="s">
        <v>2222</v>
      </c>
      <c r="G1520" s="40" t="s">
        <v>1259</v>
      </c>
      <c r="H1520" s="40" t="s">
        <v>467</v>
      </c>
      <c r="I1520" s="40" t="s">
        <v>1269</v>
      </c>
      <c r="J1520" s="90" t="s">
        <v>581</v>
      </c>
      <c r="K1520" s="90" t="s">
        <v>578</v>
      </c>
      <c r="L1520" s="90"/>
      <c r="M1520" s="90"/>
      <c r="N1520" s="90"/>
      <c r="O1520" s="90"/>
      <c r="P1520" s="90"/>
      <c r="Q1520" s="90"/>
      <c r="R1520" s="90"/>
      <c r="S1520" s="90"/>
      <c r="T1520" s="90"/>
      <c r="U1520" s="90"/>
      <c r="V1520" s="90"/>
      <c r="W1520" s="90"/>
      <c r="X1520" s="90"/>
      <c r="Y1520" s="90"/>
      <c r="Z1520" s="90" t="s">
        <v>1334</v>
      </c>
      <c r="AA1520" s="91">
        <v>500</v>
      </c>
      <c r="AB1520" s="46">
        <f>IF(H2ProjectDB689571011[[#This Row],[Dummy_1]]="Electrolysis",
AA1520/VLOOKUP(G1520,ElectrolysisConvF,3,FALSE),
AC1520*10^6/(H2dens*HoursInYear))</f>
        <v>111111.11111111112</v>
      </c>
      <c r="AC1520" s="47">
        <f t="shared" si="112"/>
        <v>86.626666666666665</v>
      </c>
      <c r="AD1520" s="92"/>
      <c r="AE1520" s="92">
        <f t="shared" si="111"/>
        <v>111111.11111111112</v>
      </c>
      <c r="AF1520" s="93" t="s">
        <v>5296</v>
      </c>
      <c r="AG1520" s="43">
        <v>-24.871515033189301</v>
      </c>
      <c r="AH1520" s="43">
        <v>116.566952919499</v>
      </c>
      <c r="AI1520" s="122" t="s">
        <v>7286</v>
      </c>
      <c r="AJ1520" s="41">
        <v>0.5</v>
      </c>
    </row>
    <row r="1521" spans="1:36" ht="35.1" hidden="1" customHeight="1" x14ac:dyDescent="0.25">
      <c r="A1521" s="40">
        <v>2149</v>
      </c>
      <c r="B1521" s="90" t="s">
        <v>5299</v>
      </c>
      <c r="C1521" s="90" t="s">
        <v>545</v>
      </c>
      <c r="D1521" s="44">
        <v>2028</v>
      </c>
      <c r="E1521" s="44"/>
      <c r="F1521" s="40" t="s">
        <v>1331</v>
      </c>
      <c r="G1521" s="40" t="s">
        <v>1259</v>
      </c>
      <c r="H1521" s="40" t="s">
        <v>467</v>
      </c>
      <c r="I1521" s="40" t="s">
        <v>1269</v>
      </c>
      <c r="J1521" s="90" t="s">
        <v>1395</v>
      </c>
      <c r="K1521" s="90" t="s">
        <v>578</v>
      </c>
      <c r="L1521" s="90"/>
      <c r="M1521" s="90"/>
      <c r="N1521" s="90"/>
      <c r="O1521" s="90"/>
      <c r="P1521" s="90"/>
      <c r="Q1521" s="90"/>
      <c r="R1521" s="90"/>
      <c r="S1521" s="90"/>
      <c r="T1521" s="90"/>
      <c r="U1521" s="90"/>
      <c r="V1521" s="90"/>
      <c r="W1521" s="90"/>
      <c r="X1521" s="90"/>
      <c r="Y1521" s="90"/>
      <c r="Z1521" s="90" t="s">
        <v>1576</v>
      </c>
      <c r="AA1521" s="91">
        <v>150</v>
      </c>
      <c r="AB1521" s="46">
        <f>IF(H2ProjectDB689571011[[#This Row],[Dummy_1]]="Electrolysis",
AA1521/VLOOKUP(G1521,ElectrolysisConvF,3,FALSE),
AC1521*10^6/(H2dens*HoursInYear))</f>
        <v>33333.333333333336</v>
      </c>
      <c r="AC1521" s="47">
        <f t="shared" si="112"/>
        <v>25.988</v>
      </c>
      <c r="AD1521" s="92"/>
      <c r="AE1521" s="92">
        <f t="shared" si="111"/>
        <v>33333.333333333336</v>
      </c>
      <c r="AF1521" s="43" t="s">
        <v>7036</v>
      </c>
      <c r="AG1521" s="43">
        <v>56.457950501852601</v>
      </c>
      <c r="AH1521" s="43">
        <v>8.9245838247304299</v>
      </c>
      <c r="AI1521" s="122" t="s">
        <v>7286</v>
      </c>
      <c r="AJ1521" s="41">
        <v>0.5</v>
      </c>
    </row>
    <row r="1522" spans="1:36" ht="35.1" hidden="1" customHeight="1" x14ac:dyDescent="0.25">
      <c r="A1522" s="40">
        <v>2150</v>
      </c>
      <c r="B1522" s="90" t="s">
        <v>5299</v>
      </c>
      <c r="C1522" s="90" t="s">
        <v>545</v>
      </c>
      <c r="D1522" s="44"/>
      <c r="E1522" s="44"/>
      <c r="F1522" s="40" t="s">
        <v>2222</v>
      </c>
      <c r="G1522" s="40" t="s">
        <v>1259</v>
      </c>
      <c r="H1522" s="40" t="s">
        <v>467</v>
      </c>
      <c r="I1522" s="40" t="s">
        <v>1269</v>
      </c>
      <c r="J1522" s="90" t="s">
        <v>1395</v>
      </c>
      <c r="K1522" s="90" t="s">
        <v>578</v>
      </c>
      <c r="L1522" s="90"/>
      <c r="M1522" s="90"/>
      <c r="N1522" s="90"/>
      <c r="O1522" s="90"/>
      <c r="P1522" s="90"/>
      <c r="Q1522" s="90"/>
      <c r="R1522" s="90"/>
      <c r="S1522" s="90"/>
      <c r="T1522" s="90"/>
      <c r="U1522" s="90"/>
      <c r="V1522" s="90"/>
      <c r="W1522" s="90"/>
      <c r="X1522" s="90"/>
      <c r="Y1522" s="90"/>
      <c r="Z1522" s="90" t="s">
        <v>2081</v>
      </c>
      <c r="AA1522" s="91">
        <v>2850</v>
      </c>
      <c r="AB1522" s="46">
        <f>IF(H2ProjectDB689571011[[#This Row],[Dummy_1]]="Electrolysis",
AA1522/VLOOKUP(G1522,ElectrolysisConvF,3,FALSE),
AC1522*10^6/(H2dens*HoursInYear))</f>
        <v>633333.33333333337</v>
      </c>
      <c r="AC1522" s="47">
        <f t="shared" si="112"/>
        <v>493.77199999999999</v>
      </c>
      <c r="AD1522" s="92"/>
      <c r="AE1522" s="92">
        <f t="shared" si="111"/>
        <v>633333.33333333337</v>
      </c>
      <c r="AF1522" s="43" t="s">
        <v>7037</v>
      </c>
      <c r="AG1522" s="43">
        <v>56.457950501852601</v>
      </c>
      <c r="AH1522" s="43">
        <v>8.9245838247304299</v>
      </c>
      <c r="AI1522" s="122" t="s">
        <v>7286</v>
      </c>
      <c r="AJ1522" s="41">
        <v>0.5</v>
      </c>
    </row>
    <row r="1523" spans="1:36" ht="35.1" hidden="1" customHeight="1" x14ac:dyDescent="0.25">
      <c r="A1523" s="40">
        <v>2152</v>
      </c>
      <c r="B1523" s="90" t="s">
        <v>5789</v>
      </c>
      <c r="C1523" s="90" t="s">
        <v>1764</v>
      </c>
      <c r="D1523" s="44"/>
      <c r="E1523" s="44"/>
      <c r="F1523" s="40" t="s">
        <v>2222</v>
      </c>
      <c r="G1523" s="40" t="s">
        <v>457</v>
      </c>
      <c r="I1523" s="40" t="s">
        <v>5700</v>
      </c>
      <c r="J1523" s="90" t="s">
        <v>1392</v>
      </c>
      <c r="K1523" s="90" t="s">
        <v>578</v>
      </c>
      <c r="L1523" s="90">
        <v>1</v>
      </c>
      <c r="M1523" s="90"/>
      <c r="N1523" s="90"/>
      <c r="O1523" s="90"/>
      <c r="P1523" s="90"/>
      <c r="Q1523" s="90"/>
      <c r="R1523" s="90"/>
      <c r="S1523" s="90"/>
      <c r="T1523" s="90"/>
      <c r="U1523" s="90"/>
      <c r="V1523" s="90"/>
      <c r="W1523" s="90"/>
      <c r="X1523" s="90"/>
      <c r="Y1523" s="90"/>
      <c r="Z1523" s="90" t="s">
        <v>1574</v>
      </c>
      <c r="AA1523" s="91">
        <v>170</v>
      </c>
      <c r="AB1523" s="46">
        <f>IF(H2ProjectDB689571011[[#This Row],[Dummy_1]]="Electrolysis",
AA1523/VLOOKUP(G1523,ElectrolysisConvF,3,FALSE),
AC1523*10^6/(H2dens*HoursInYear))</f>
        <v>36956.521739130432</v>
      </c>
      <c r="AC1523" s="47">
        <f t="shared" si="112"/>
        <v>28.812782608695652</v>
      </c>
      <c r="AD1523" s="92"/>
      <c r="AE1523" s="92">
        <f t="shared" si="111"/>
        <v>36956.521739130432</v>
      </c>
      <c r="AF1523" s="93" t="s">
        <v>5301</v>
      </c>
      <c r="AG1523" s="43">
        <v>43.208620845170302</v>
      </c>
      <c r="AH1523" s="43">
        <v>-8.4378999333529805</v>
      </c>
      <c r="AI1523" s="122" t="s">
        <v>7286</v>
      </c>
      <c r="AJ1523" s="41">
        <v>0.7</v>
      </c>
    </row>
    <row r="1524" spans="1:36" ht="35.1" hidden="1" customHeight="1" x14ac:dyDescent="0.25">
      <c r="A1524" s="40">
        <v>2153</v>
      </c>
      <c r="B1524" s="90" t="s">
        <v>5303</v>
      </c>
      <c r="C1524" s="90" t="s">
        <v>533</v>
      </c>
      <c r="D1524" s="90"/>
      <c r="E1524" s="90"/>
      <c r="F1524" s="90" t="s">
        <v>1331</v>
      </c>
      <c r="G1524" s="90" t="s">
        <v>1259</v>
      </c>
      <c r="H1524" s="40" t="s">
        <v>467</v>
      </c>
      <c r="I1524" s="90" t="s">
        <v>1269</v>
      </c>
      <c r="J1524" s="40" t="s">
        <v>581</v>
      </c>
      <c r="K1524" s="90" t="s">
        <v>578</v>
      </c>
      <c r="L1524" s="90"/>
      <c r="M1524" s="90"/>
      <c r="N1524" s="90"/>
      <c r="O1524" s="90"/>
      <c r="P1524" s="90"/>
      <c r="Q1524" s="90">
        <v>1</v>
      </c>
      <c r="R1524" s="90"/>
      <c r="S1524" s="90"/>
      <c r="T1524" s="90"/>
      <c r="U1524" s="90"/>
      <c r="V1524" s="90"/>
      <c r="W1524" s="90"/>
      <c r="X1524" s="90"/>
      <c r="Y1524" s="90"/>
      <c r="Z1524" s="90" t="s">
        <v>1483</v>
      </c>
      <c r="AA1524" s="91">
        <v>50</v>
      </c>
      <c r="AB1524" s="46">
        <f>IF(H2ProjectDB689571011[[#This Row],[Dummy_1]]="Electrolysis",
AA1524/VLOOKUP(G1524,ElectrolysisConvF,3,FALSE),
AC1524*10^6/(H2dens*HoursInYear))</f>
        <v>11111.111111111111</v>
      </c>
      <c r="AC1524" s="47">
        <f t="shared" si="112"/>
        <v>8.6626666666666665</v>
      </c>
      <c r="AD1524" s="92"/>
      <c r="AE1524" s="92">
        <f t="shared" si="111"/>
        <v>11111.111111111111</v>
      </c>
      <c r="AF1524" s="93" t="s">
        <v>5301</v>
      </c>
      <c r="AG1524" s="43">
        <v>46.697690475321401</v>
      </c>
      <c r="AH1524" s="43">
        <v>-72.809867775545698</v>
      </c>
      <c r="AI1524" s="122" t="s">
        <v>7286</v>
      </c>
      <c r="AJ1524" s="41">
        <v>0.5</v>
      </c>
    </row>
    <row r="1525" spans="1:36" ht="35.1" hidden="1" customHeight="1" x14ac:dyDescent="0.25">
      <c r="A1525" s="40">
        <v>2154</v>
      </c>
      <c r="B1525" s="90" t="s">
        <v>5305</v>
      </c>
      <c r="C1525" s="90" t="s">
        <v>532</v>
      </c>
      <c r="D1525" s="44">
        <v>2027</v>
      </c>
      <c r="E1525" s="44"/>
      <c r="F1525" s="40" t="s">
        <v>1331</v>
      </c>
      <c r="G1525" s="40" t="s">
        <v>1259</v>
      </c>
      <c r="H1525" s="40" t="s">
        <v>467</v>
      </c>
      <c r="I1525" s="40" t="s">
        <v>1269</v>
      </c>
      <c r="J1525" s="40" t="s">
        <v>581</v>
      </c>
      <c r="K1525" s="90" t="s">
        <v>578</v>
      </c>
      <c r="L1525" s="90"/>
      <c r="M1525" s="90"/>
      <c r="N1525" s="90"/>
      <c r="O1525" s="90">
        <v>1</v>
      </c>
      <c r="P1525" s="90"/>
      <c r="Q1525" s="90"/>
      <c r="R1525" s="90"/>
      <c r="S1525" s="90"/>
      <c r="T1525" s="90"/>
      <c r="U1525" s="90"/>
      <c r="V1525" s="90"/>
      <c r="W1525" s="90"/>
      <c r="X1525" s="90"/>
      <c r="Y1525" s="90"/>
      <c r="Z1525" s="40" t="s">
        <v>8575</v>
      </c>
      <c r="AA1525" s="91">
        <v>800</v>
      </c>
      <c r="AB1525" s="46">
        <f>IF(H2ProjectDB689571011[[#This Row],[Dummy_1]]="Electrolysis",
AA1525/VLOOKUP(G1525,ElectrolysisConvF,3,FALSE),
AC1525*10^6/(H2dens*HoursInYear))</f>
        <v>177777.77777777778</v>
      </c>
      <c r="AC1525" s="47">
        <f t="shared" si="112"/>
        <v>138.60266666666666</v>
      </c>
      <c r="AD1525" s="92"/>
      <c r="AE1525" s="92">
        <f t="shared" si="111"/>
        <v>177777.77777777778</v>
      </c>
      <c r="AF1525" s="93" t="s">
        <v>5307</v>
      </c>
      <c r="AG1525" s="43">
        <v>60.050116399522203</v>
      </c>
      <c r="AH1525" s="43">
        <v>24.008754956784301</v>
      </c>
      <c r="AI1525" s="122" t="s">
        <v>7286</v>
      </c>
      <c r="AJ1525" s="41">
        <v>0.5</v>
      </c>
    </row>
    <row r="1526" spans="1:36" ht="35.1" hidden="1" customHeight="1" x14ac:dyDescent="0.25">
      <c r="A1526" s="40">
        <v>2155</v>
      </c>
      <c r="B1526" s="40" t="s">
        <v>5308</v>
      </c>
      <c r="C1526" s="90" t="s">
        <v>559</v>
      </c>
      <c r="D1526" s="44">
        <v>2026</v>
      </c>
      <c r="E1526" s="44"/>
      <c r="F1526" s="90" t="s">
        <v>1331</v>
      </c>
      <c r="G1526" s="90" t="s">
        <v>1259</v>
      </c>
      <c r="H1526" s="90" t="s">
        <v>467</v>
      </c>
      <c r="I1526" s="40" t="s">
        <v>1269</v>
      </c>
      <c r="J1526" s="40" t="s">
        <v>1395</v>
      </c>
      <c r="K1526" s="40" t="s">
        <v>1242</v>
      </c>
      <c r="L1526" s="90"/>
      <c r="M1526" s="90"/>
      <c r="N1526" s="90">
        <v>1</v>
      </c>
      <c r="O1526" s="90"/>
      <c r="P1526" s="90"/>
      <c r="Q1526" s="90">
        <v>1</v>
      </c>
      <c r="R1526" s="90"/>
      <c r="S1526" s="90"/>
      <c r="T1526" s="90"/>
      <c r="U1526" s="90"/>
      <c r="V1526" s="90"/>
      <c r="W1526" s="90"/>
      <c r="X1526" s="90"/>
      <c r="Y1526" s="90"/>
      <c r="Z1526" s="40" t="s">
        <v>5309</v>
      </c>
      <c r="AA1526" s="47">
        <f>IF(H2ProjectDB689571011[[#This Row],[Dummy_1]]="Electrolysis",
AB1526*VLOOKUP(G1526,ElectrolysisConvF,3,FALSE),
"")</f>
        <v>220.86386024318918</v>
      </c>
      <c r="AB1526" s="46">
        <f>AC1526/(H2dens*HoursInYear/10^6)</f>
        <v>49080.85783181982</v>
      </c>
      <c r="AC1526" s="92">
        <f>100*0.191327/H2ProjectDB689571011[[#This Row],[LOWE_CF]]</f>
        <v>38.2654</v>
      </c>
      <c r="AD1526" s="92"/>
      <c r="AE1526" s="92">
        <f t="shared" si="111"/>
        <v>49080.85783181982</v>
      </c>
      <c r="AF1526" s="93" t="s">
        <v>5311</v>
      </c>
      <c r="AG1526" s="43">
        <v>64.827747353286</v>
      </c>
      <c r="AH1526" s="43">
        <v>18.4514692320124</v>
      </c>
      <c r="AI1526" s="122" t="s">
        <v>7286</v>
      </c>
      <c r="AJ1526" s="41">
        <v>0.5</v>
      </c>
    </row>
    <row r="1527" spans="1:36" ht="35.1" hidden="1" customHeight="1" x14ac:dyDescent="0.25">
      <c r="A1527" s="40">
        <v>2156</v>
      </c>
      <c r="B1527" s="90" t="s">
        <v>5313</v>
      </c>
      <c r="C1527" s="90" t="s">
        <v>539</v>
      </c>
      <c r="D1527" s="44">
        <v>2027</v>
      </c>
      <c r="E1527" s="44"/>
      <c r="F1527" s="90" t="s">
        <v>5701</v>
      </c>
      <c r="G1527" s="90" t="s">
        <v>457</v>
      </c>
      <c r="H1527" s="90"/>
      <c r="I1527" s="40" t="s">
        <v>5700</v>
      </c>
      <c r="J1527" s="90" t="s">
        <v>1395</v>
      </c>
      <c r="K1527" s="90" t="s">
        <v>1243</v>
      </c>
      <c r="L1527" s="90"/>
      <c r="M1527" s="90">
        <v>1</v>
      </c>
      <c r="N1527" s="90"/>
      <c r="O1527" s="90"/>
      <c r="P1527" s="90"/>
      <c r="Q1527" s="90"/>
      <c r="R1527" s="90"/>
      <c r="S1527" s="90"/>
      <c r="T1527" s="90"/>
      <c r="U1527" s="90"/>
      <c r="V1527" s="90"/>
      <c r="W1527" s="90"/>
      <c r="X1527" s="90"/>
      <c r="Y1527" s="90"/>
      <c r="Z1527" s="40" t="s">
        <v>4180</v>
      </c>
      <c r="AA1527" s="47">
        <v>1300</v>
      </c>
      <c r="AB1527" s="46">
        <f>IF(H2ProjectDB689571011[[#This Row],[Dummy_1]]="Electrolysis",
AA1527/VLOOKUP(G1527,ElectrolysisConvF,3,FALSE),
AC1527*10^6/(H2dens*HoursInYear))</f>
        <v>282608.69565217389</v>
      </c>
      <c r="AC1527" s="47">
        <f>AB1527*H2dens*HoursInYear/10^6</f>
        <v>220.33304347826083</v>
      </c>
      <c r="AD1527" s="92"/>
      <c r="AE1527" s="92">
        <f t="shared" si="111"/>
        <v>282608.69565217389</v>
      </c>
      <c r="AF1527" s="43" t="s">
        <v>8601</v>
      </c>
      <c r="AG1527" s="43">
        <v>16.9888480591</v>
      </c>
      <c r="AH1527" s="43">
        <v>82.235559727733403</v>
      </c>
      <c r="AI1527" s="122" t="s">
        <v>7286</v>
      </c>
      <c r="AJ1527" s="41">
        <v>0.7</v>
      </c>
    </row>
    <row r="1528" spans="1:36" ht="35.1" hidden="1" customHeight="1" x14ac:dyDescent="0.25">
      <c r="A1528" s="40">
        <v>2157</v>
      </c>
      <c r="B1528" s="90" t="s">
        <v>5314</v>
      </c>
      <c r="C1528" s="90" t="s">
        <v>560</v>
      </c>
      <c r="D1528" s="44">
        <v>2025</v>
      </c>
      <c r="E1528" s="44"/>
      <c r="F1528" s="90" t="s">
        <v>5701</v>
      </c>
      <c r="G1528" s="90" t="s">
        <v>1259</v>
      </c>
      <c r="H1528" s="90" t="s">
        <v>467</v>
      </c>
      <c r="I1528" s="40" t="s">
        <v>1269</v>
      </c>
      <c r="J1528" s="90" t="s">
        <v>1392</v>
      </c>
      <c r="K1528" s="90" t="s">
        <v>578</v>
      </c>
      <c r="L1528" s="90">
        <v>1</v>
      </c>
      <c r="M1528" s="90"/>
      <c r="N1528" s="90"/>
      <c r="O1528" s="90"/>
      <c r="P1528" s="90">
        <v>1</v>
      </c>
      <c r="Q1528" s="90">
        <v>1</v>
      </c>
      <c r="R1528" s="90"/>
      <c r="S1528" s="90"/>
      <c r="T1528" s="90"/>
      <c r="U1528" s="90"/>
      <c r="V1528" s="90"/>
      <c r="W1528" s="90"/>
      <c r="X1528" s="90"/>
      <c r="Y1528" s="90"/>
      <c r="Z1528" s="90" t="s">
        <v>1480</v>
      </c>
      <c r="AA1528" s="91">
        <v>1</v>
      </c>
      <c r="AB1528" s="46">
        <f>IF(H2ProjectDB689571011[[#This Row],[Dummy_1]]="Electrolysis",
AA1528/VLOOKUP(G1528,ElectrolysisConvF,3,FALSE),
AC1528*10^6/(H2dens*HoursInYear))</f>
        <v>222.22222222222223</v>
      </c>
      <c r="AC1528" s="47">
        <f>AB1528*H2dens*HoursInYear/10^6</f>
        <v>0.17325333333333334</v>
      </c>
      <c r="AD1528" s="92"/>
      <c r="AE1528" s="92">
        <f t="shared" si="111"/>
        <v>222.22222222222223</v>
      </c>
      <c r="AF1528" s="93" t="s">
        <v>7368</v>
      </c>
      <c r="AG1528" s="43">
        <v>-52.839572933371699</v>
      </c>
      <c r="AH1528" s="43">
        <v>-70.200850865690299</v>
      </c>
      <c r="AI1528" s="122" t="s">
        <v>7286</v>
      </c>
      <c r="AJ1528" s="41">
        <v>0.4</v>
      </c>
    </row>
    <row r="1529" spans="1:36" ht="35.1" hidden="1" customHeight="1" x14ac:dyDescent="0.25">
      <c r="A1529" s="40">
        <v>2158</v>
      </c>
      <c r="B1529" s="90" t="s">
        <v>5316</v>
      </c>
      <c r="C1529" s="90" t="s">
        <v>548</v>
      </c>
      <c r="D1529" s="44">
        <v>2026</v>
      </c>
      <c r="E1529" s="44"/>
      <c r="F1529" s="90" t="s">
        <v>1540</v>
      </c>
      <c r="G1529" s="90" t="s">
        <v>455</v>
      </c>
      <c r="H1529" s="90"/>
      <c r="I1529" s="40" t="s">
        <v>1269</v>
      </c>
      <c r="J1529" s="90" t="s">
        <v>1393</v>
      </c>
      <c r="K1529" s="90" t="s">
        <v>578</v>
      </c>
      <c r="L1529" s="90"/>
      <c r="M1529" s="90"/>
      <c r="N1529" s="90"/>
      <c r="O1529" s="90"/>
      <c r="P1529" s="90"/>
      <c r="Q1529" s="90"/>
      <c r="R1529" s="90"/>
      <c r="S1529" s="90"/>
      <c r="T1529" s="90"/>
      <c r="U1529" s="90"/>
      <c r="V1529" s="90"/>
      <c r="W1529" s="90"/>
      <c r="X1529" s="90"/>
      <c r="Y1529" s="90"/>
      <c r="Z1529" s="90" t="s">
        <v>1333</v>
      </c>
      <c r="AA1529" s="91">
        <v>10</v>
      </c>
      <c r="AB1529" s="46">
        <f>IF(H2ProjectDB689571011[[#This Row],[Dummy_1]]="Electrolysis",
AA1529/VLOOKUP(G1529,ElectrolysisConvF,3,FALSE),
AC1529*10^6/(H2dens*HoursInYear))</f>
        <v>1923.0769230769231</v>
      </c>
      <c r="AC1529" s="47">
        <f>AB1529*H2dens*HoursInYear/10^6</f>
        <v>1.4993076923076922</v>
      </c>
      <c r="AD1529" s="92"/>
      <c r="AE1529" s="92">
        <f t="shared" si="111"/>
        <v>1923.0769230769231</v>
      </c>
      <c r="AF1529" s="43" t="s">
        <v>7538</v>
      </c>
      <c r="AG1529" s="43">
        <v>51.252064866612002</v>
      </c>
      <c r="AH1529" s="43">
        <v>2.9076524387516902</v>
      </c>
      <c r="AI1529" s="122" t="s">
        <v>7286</v>
      </c>
      <c r="AJ1529" s="41">
        <v>0.55000000000000004</v>
      </c>
    </row>
    <row r="1530" spans="1:36" ht="35.1" hidden="1" customHeight="1" x14ac:dyDescent="0.25">
      <c r="A1530" s="40">
        <v>2159</v>
      </c>
      <c r="B1530" s="90" t="s">
        <v>5318</v>
      </c>
      <c r="C1530" s="90" t="s">
        <v>533</v>
      </c>
      <c r="D1530" s="44">
        <v>2029</v>
      </c>
      <c r="E1530" s="44"/>
      <c r="F1530" s="90" t="s">
        <v>5701</v>
      </c>
      <c r="G1530" s="90" t="s">
        <v>1261</v>
      </c>
      <c r="H1530" s="90" t="s">
        <v>5708</v>
      </c>
      <c r="I1530" s="90"/>
      <c r="J1530" s="90"/>
      <c r="K1530" s="90" t="s">
        <v>578</v>
      </c>
      <c r="L1530" s="90"/>
      <c r="M1530" s="90"/>
      <c r="N1530" s="90"/>
      <c r="O1530" s="90"/>
      <c r="P1530" s="90">
        <v>1</v>
      </c>
      <c r="Q1530" s="90"/>
      <c r="R1530" s="90"/>
      <c r="S1530" s="90"/>
      <c r="T1530" s="90"/>
      <c r="U1530" s="90"/>
      <c r="V1530" s="90"/>
      <c r="W1530" s="90"/>
      <c r="X1530" s="90"/>
      <c r="Y1530" s="90"/>
      <c r="Z1530" s="90"/>
      <c r="AA1530" s="91" t="str">
        <f>IF(OR(G1530="ALK",G1530="PEM",G1530="SOEC",G1530="Other Electrolysis"),
AB1530*VLOOKUP(G1530,ElectrolysisConvF,3,FALSE),
"")</f>
        <v/>
      </c>
      <c r="AB1530" s="92"/>
      <c r="AC1530" s="92"/>
      <c r="AD1530" s="92"/>
      <c r="AE1530" s="92">
        <f t="shared" si="111"/>
        <v>0</v>
      </c>
      <c r="AF1530" s="43" t="s">
        <v>6849</v>
      </c>
      <c r="AG1530" s="43">
        <v>53.714022622586299</v>
      </c>
      <c r="AH1530" s="43">
        <v>-113.207956381858</v>
      </c>
      <c r="AI1530" s="122" t="s">
        <v>7287</v>
      </c>
      <c r="AJ1530" s="41">
        <v>0.9</v>
      </c>
    </row>
    <row r="1531" spans="1:36" ht="35.1" hidden="1" customHeight="1" x14ac:dyDescent="0.25">
      <c r="A1531" s="40">
        <v>2160</v>
      </c>
      <c r="B1531" s="40" t="s">
        <v>5320</v>
      </c>
      <c r="C1531" s="90" t="s">
        <v>536</v>
      </c>
      <c r="D1531" s="44">
        <v>2029</v>
      </c>
      <c r="E1531" s="44"/>
      <c r="F1531" s="90" t="s">
        <v>1331</v>
      </c>
      <c r="G1531" s="90" t="s">
        <v>1261</v>
      </c>
      <c r="H1531" s="90" t="s">
        <v>1665</v>
      </c>
      <c r="I1531" s="90"/>
      <c r="J1531" s="90"/>
      <c r="K1531" s="90" t="s">
        <v>1243</v>
      </c>
      <c r="L1531" s="90"/>
      <c r="M1531" s="90">
        <v>1</v>
      </c>
      <c r="N1531" s="90"/>
      <c r="O1531" s="90"/>
      <c r="P1531" s="90"/>
      <c r="Q1531" s="90"/>
      <c r="R1531" s="90"/>
      <c r="S1531" s="90"/>
      <c r="T1531" s="90"/>
      <c r="U1531" s="90"/>
      <c r="V1531" s="90"/>
      <c r="W1531" s="90"/>
      <c r="X1531" s="90"/>
      <c r="Y1531" s="90"/>
      <c r="Z1531" s="90" t="s">
        <v>5321</v>
      </c>
      <c r="AA1531" s="91"/>
      <c r="AB1531" s="46">
        <f>AC1531/(H2dens*HoursInYear/10^6)</f>
        <v>300258.62892486533</v>
      </c>
      <c r="AC1531" s="92">
        <f>1300*3/17/0.98</f>
        <v>234.093637454982</v>
      </c>
      <c r="AD1531" s="92"/>
      <c r="AE1531" s="92">
        <f t="shared" si="111"/>
        <v>0</v>
      </c>
      <c r="AF1531" s="93" t="s">
        <v>5323</v>
      </c>
      <c r="AG1531" s="43">
        <v>29.794207411278801</v>
      </c>
      <c r="AH1531" s="43">
        <v>-92.573616502083794</v>
      </c>
      <c r="AI1531" s="122" t="s">
        <v>7287</v>
      </c>
      <c r="AJ1531" s="41">
        <v>0.9</v>
      </c>
    </row>
    <row r="1532" spans="1:36" ht="35.1" hidden="1" customHeight="1" x14ac:dyDescent="0.25">
      <c r="A1532" s="40">
        <v>2161</v>
      </c>
      <c r="B1532" s="90" t="s">
        <v>5324</v>
      </c>
      <c r="C1532" s="90" t="s">
        <v>542</v>
      </c>
      <c r="D1532" s="44">
        <v>2028</v>
      </c>
      <c r="E1532" s="44"/>
      <c r="F1532" s="90" t="s">
        <v>5701</v>
      </c>
      <c r="G1532" s="90" t="s">
        <v>1259</v>
      </c>
      <c r="H1532" s="90" t="s">
        <v>467</v>
      </c>
      <c r="I1532" s="40" t="s">
        <v>1269</v>
      </c>
      <c r="J1532" s="90" t="s">
        <v>1392</v>
      </c>
      <c r="K1532" s="90" t="s">
        <v>578</v>
      </c>
      <c r="L1532" s="90"/>
      <c r="M1532" s="90"/>
      <c r="N1532" s="90"/>
      <c r="O1532" s="90"/>
      <c r="P1532" s="90"/>
      <c r="Q1532" s="90"/>
      <c r="R1532" s="90">
        <v>1</v>
      </c>
      <c r="S1532" s="90"/>
      <c r="T1532" s="90"/>
      <c r="U1532" s="90"/>
      <c r="V1532" s="90"/>
      <c r="W1532" s="90"/>
      <c r="X1532" s="90"/>
      <c r="Y1532" s="90"/>
      <c r="Z1532" s="90" t="s">
        <v>1673</v>
      </c>
      <c r="AA1532" s="91">
        <v>35</v>
      </c>
      <c r="AB1532" s="46">
        <f>IF(H2ProjectDB689571011[[#This Row],[Dummy_1]]="Electrolysis",
AA1532/VLOOKUP(G1532,ElectrolysisConvF,3,FALSE),
AC1532*10^6/(H2dens*HoursInYear))</f>
        <v>7777.7777777777783</v>
      </c>
      <c r="AC1532" s="47">
        <f t="shared" ref="AC1532:AC1543" si="113">AB1532*H2dens*HoursInYear/10^6</f>
        <v>6.0638666666666667</v>
      </c>
      <c r="AD1532" s="92"/>
      <c r="AE1532" s="92">
        <f t="shared" si="111"/>
        <v>7777.7777777777783</v>
      </c>
      <c r="AF1532" s="93" t="s">
        <v>5325</v>
      </c>
      <c r="AG1532" s="43">
        <v>53.823793996785199</v>
      </c>
      <c r="AH1532" s="43">
        <v>-0.105366944817345</v>
      </c>
      <c r="AI1532" s="122" t="s">
        <v>7286</v>
      </c>
      <c r="AJ1532" s="41">
        <v>0.4</v>
      </c>
    </row>
    <row r="1533" spans="1:36" s="89" customFormat="1" ht="35.1" hidden="1" customHeight="1" x14ac:dyDescent="0.25">
      <c r="A1533" s="40">
        <v>2163</v>
      </c>
      <c r="B1533" s="40" t="s">
        <v>5333</v>
      </c>
      <c r="C1533" s="40" t="s">
        <v>542</v>
      </c>
      <c r="D1533" s="44">
        <v>2028</v>
      </c>
      <c r="E1533" s="44"/>
      <c r="F1533" s="40" t="s">
        <v>1331</v>
      </c>
      <c r="G1533" s="40" t="s">
        <v>1259</v>
      </c>
      <c r="H1533" s="40" t="s">
        <v>467</v>
      </c>
      <c r="I1533" s="40" t="s">
        <v>1269</v>
      </c>
      <c r="J1533" s="90" t="s">
        <v>1392</v>
      </c>
      <c r="K1533" s="90" t="s">
        <v>578</v>
      </c>
      <c r="L1533" s="90"/>
      <c r="M1533" s="90"/>
      <c r="N1533" s="90"/>
      <c r="O1533" s="90"/>
      <c r="P1533" s="90"/>
      <c r="Q1533" s="90"/>
      <c r="R1533" s="90"/>
      <c r="S1533" s="90">
        <v>1</v>
      </c>
      <c r="T1533" s="90"/>
      <c r="U1533" s="90"/>
      <c r="V1533" s="90"/>
      <c r="W1533" s="90"/>
      <c r="X1533" s="90"/>
      <c r="Y1533" s="90"/>
      <c r="Z1533" s="40" t="s">
        <v>2054</v>
      </c>
      <c r="AA1533" s="91">
        <v>500</v>
      </c>
      <c r="AB1533" s="46">
        <f>IF(H2ProjectDB689571011[[#This Row],[Dummy_1]]="Electrolysis",
AA1533/VLOOKUP(G1533,ElectrolysisConvF,3,FALSE),
AC1533*10^6/(H2dens*HoursInYear))</f>
        <v>111111.11111111112</v>
      </c>
      <c r="AC1533" s="47">
        <f t="shared" si="113"/>
        <v>86.626666666666665</v>
      </c>
      <c r="AD1533" s="92"/>
      <c r="AE1533" s="92">
        <f t="shared" si="111"/>
        <v>111111.11111111112</v>
      </c>
      <c r="AF1533" s="43" t="s">
        <v>5336</v>
      </c>
      <c r="AG1533" s="43">
        <v>57.233406156508799</v>
      </c>
      <c r="AH1533" s="43">
        <v>-2.3464816796675501</v>
      </c>
      <c r="AI1533" s="122" t="s">
        <v>7286</v>
      </c>
      <c r="AJ1533" s="41">
        <v>0.4</v>
      </c>
    </row>
    <row r="1534" spans="1:36" ht="35.1" hidden="1" customHeight="1" x14ac:dyDescent="0.25">
      <c r="A1534" s="40">
        <v>2164</v>
      </c>
      <c r="B1534" s="40" t="s">
        <v>5334</v>
      </c>
      <c r="C1534" s="40" t="s">
        <v>542</v>
      </c>
      <c r="D1534" s="44">
        <v>2030</v>
      </c>
      <c r="E1534" s="44"/>
      <c r="F1534" s="40" t="s">
        <v>2222</v>
      </c>
      <c r="G1534" s="40" t="s">
        <v>1259</v>
      </c>
      <c r="H1534" s="40" t="s">
        <v>467</v>
      </c>
      <c r="I1534" s="40" t="s">
        <v>1269</v>
      </c>
      <c r="J1534" s="90" t="s">
        <v>1392</v>
      </c>
      <c r="K1534" s="90" t="s">
        <v>578</v>
      </c>
      <c r="L1534" s="90"/>
      <c r="M1534" s="90"/>
      <c r="N1534" s="90"/>
      <c r="O1534" s="90"/>
      <c r="P1534" s="90"/>
      <c r="Q1534" s="90"/>
      <c r="R1534" s="90"/>
      <c r="S1534" s="90">
        <v>1</v>
      </c>
      <c r="T1534" s="90"/>
      <c r="U1534" s="90"/>
      <c r="V1534" s="90"/>
      <c r="W1534" s="90"/>
      <c r="X1534" s="90"/>
      <c r="Y1534" s="90"/>
      <c r="Z1534" s="40" t="s">
        <v>2081</v>
      </c>
      <c r="AA1534" s="91">
        <f>3000-500</f>
        <v>2500</v>
      </c>
      <c r="AB1534" s="46">
        <f>IF(H2ProjectDB689571011[[#This Row],[Dummy_1]]="Electrolysis",
AA1534/VLOOKUP(G1534,ElectrolysisConvF,3,FALSE),
AC1534*10^6/(H2dens*HoursInYear))</f>
        <v>555555.55555555562</v>
      </c>
      <c r="AC1534" s="47">
        <f t="shared" si="113"/>
        <v>433.13333333333333</v>
      </c>
      <c r="AD1534" s="92"/>
      <c r="AE1534" s="92">
        <f t="shared" si="111"/>
        <v>555555.55555555562</v>
      </c>
      <c r="AF1534" s="43" t="s">
        <v>5336</v>
      </c>
      <c r="AG1534" s="43">
        <v>57.233406156508799</v>
      </c>
      <c r="AH1534" s="43">
        <v>-2.3464816796675501</v>
      </c>
      <c r="AI1534" s="122" t="s">
        <v>7286</v>
      </c>
      <c r="AJ1534" s="41">
        <v>0.4</v>
      </c>
    </row>
    <row r="1535" spans="1:36" ht="35.1" hidden="1" customHeight="1" x14ac:dyDescent="0.25">
      <c r="A1535" s="40">
        <v>2165</v>
      </c>
      <c r="B1535" s="40" t="s">
        <v>5337</v>
      </c>
      <c r="C1535" s="40" t="s">
        <v>535</v>
      </c>
      <c r="D1535" s="90"/>
      <c r="E1535" s="90"/>
      <c r="F1535" s="40" t="s">
        <v>2222</v>
      </c>
      <c r="G1535" s="40" t="s">
        <v>1259</v>
      </c>
      <c r="H1535" s="40" t="s">
        <v>467</v>
      </c>
      <c r="I1535" s="40" t="s">
        <v>1269</v>
      </c>
      <c r="J1535" s="90" t="s">
        <v>1391</v>
      </c>
      <c r="K1535" s="90" t="s">
        <v>578</v>
      </c>
      <c r="L1535" s="90"/>
      <c r="M1535" s="90"/>
      <c r="N1535" s="90"/>
      <c r="O1535" s="90"/>
      <c r="P1535" s="90"/>
      <c r="Q1535" s="90">
        <v>1</v>
      </c>
      <c r="R1535" s="90"/>
      <c r="S1535" s="90"/>
      <c r="T1535" s="90"/>
      <c r="U1535" s="90"/>
      <c r="V1535" s="90"/>
      <c r="W1535" s="90"/>
      <c r="X1535" s="90"/>
      <c r="Y1535" s="90"/>
      <c r="Z1535" s="40" t="s">
        <v>5340</v>
      </c>
      <c r="AA1535" s="91">
        <v>560</v>
      </c>
      <c r="AB1535" s="46">
        <f>IF(H2ProjectDB689571011[[#This Row],[Dummy_1]]="Electrolysis",
AA1535/VLOOKUP(G1535,ElectrolysisConvF,3,FALSE),
AC1535*10^6/(H2dens*HoursInYear))</f>
        <v>124444.44444444445</v>
      </c>
      <c r="AC1535" s="47">
        <f t="shared" si="113"/>
        <v>97.021866666666668</v>
      </c>
      <c r="AD1535" s="92"/>
      <c r="AE1535" s="92">
        <f t="shared" si="111"/>
        <v>124444.44444444445</v>
      </c>
      <c r="AF1535" s="43" t="s">
        <v>5339</v>
      </c>
      <c r="AG1535" s="43">
        <v>-38.151173612632803</v>
      </c>
      <c r="AH1535" s="43">
        <v>146.789549978835</v>
      </c>
      <c r="AI1535" s="122" t="s">
        <v>7286</v>
      </c>
      <c r="AJ1535" s="41">
        <v>0.3</v>
      </c>
    </row>
    <row r="1536" spans="1:36" ht="35.1" hidden="1" customHeight="1" x14ac:dyDescent="0.25">
      <c r="A1536" s="40">
        <v>2166</v>
      </c>
      <c r="B1536" s="40" t="s">
        <v>5341</v>
      </c>
      <c r="C1536" s="40" t="s">
        <v>1995</v>
      </c>
      <c r="D1536" s="44">
        <v>2028</v>
      </c>
      <c r="E1536" s="44"/>
      <c r="F1536" s="40" t="s">
        <v>2222</v>
      </c>
      <c r="G1536" s="40" t="s">
        <v>1259</v>
      </c>
      <c r="H1536" s="40" t="s">
        <v>467</v>
      </c>
      <c r="I1536" s="40" t="s">
        <v>1269</v>
      </c>
      <c r="J1536" s="40" t="s">
        <v>581</v>
      </c>
      <c r="K1536" s="40" t="s">
        <v>1243</v>
      </c>
      <c r="M1536" s="40">
        <v>1</v>
      </c>
      <c r="Z1536" s="40" t="s">
        <v>5342</v>
      </c>
      <c r="AA1536" s="91">
        <v>400</v>
      </c>
      <c r="AB1536" s="46">
        <f>IF(H2ProjectDB689571011[[#This Row],[Dummy_1]]="Electrolysis",
AA1536/VLOOKUP(G1536,ElectrolysisConvF,3,FALSE),
AC1536*10^6/(H2dens*HoursInYear))</f>
        <v>88888.888888888891</v>
      </c>
      <c r="AC1536" s="47">
        <f t="shared" si="113"/>
        <v>69.301333333333332</v>
      </c>
      <c r="AD1536" s="92"/>
      <c r="AE1536" s="92">
        <f t="shared" si="111"/>
        <v>88888.888888888891</v>
      </c>
      <c r="AF1536" s="43" t="s">
        <v>5344</v>
      </c>
      <c r="AG1536" s="43">
        <v>18.077597410804099</v>
      </c>
      <c r="AH1536" s="43">
        <v>-15.9662688115245</v>
      </c>
      <c r="AI1536" s="122" t="s">
        <v>7286</v>
      </c>
      <c r="AJ1536" s="41">
        <v>0.5</v>
      </c>
    </row>
    <row r="1537" spans="1:36" ht="35.1" hidden="1" customHeight="1" x14ac:dyDescent="0.25">
      <c r="A1537" s="40">
        <v>2167</v>
      </c>
      <c r="B1537" s="40" t="s">
        <v>8111</v>
      </c>
      <c r="C1537" s="40" t="s">
        <v>1995</v>
      </c>
      <c r="D1537" s="90"/>
      <c r="E1537" s="90"/>
      <c r="F1537" s="40" t="s">
        <v>2222</v>
      </c>
      <c r="G1537" s="40" t="s">
        <v>1259</v>
      </c>
      <c r="H1537" s="40" t="s">
        <v>467</v>
      </c>
      <c r="I1537" s="40" t="s">
        <v>1269</v>
      </c>
      <c r="J1537" s="40" t="s">
        <v>581</v>
      </c>
      <c r="K1537" s="40" t="s">
        <v>1243</v>
      </c>
      <c r="M1537" s="40">
        <v>1</v>
      </c>
      <c r="Z1537" s="40" t="s">
        <v>5343</v>
      </c>
      <c r="AA1537" s="91">
        <f>10000-400</f>
        <v>9600</v>
      </c>
      <c r="AB1537" s="46">
        <f>IF(H2ProjectDB689571011[[#This Row],[Dummy_1]]="Electrolysis",
AA1537/VLOOKUP(G1537,ElectrolysisConvF,3,FALSE),
AC1537*10^6/(H2dens*HoursInYear))</f>
        <v>2133333.3333333335</v>
      </c>
      <c r="AC1537" s="47">
        <f t="shared" si="113"/>
        <v>1663.232</v>
      </c>
      <c r="AD1537" s="92"/>
      <c r="AE1537" s="92">
        <f t="shared" si="111"/>
        <v>2133333.3333333335</v>
      </c>
      <c r="AF1537" s="43" t="s">
        <v>5344</v>
      </c>
      <c r="AG1537" s="43">
        <v>18.077597410804099</v>
      </c>
      <c r="AH1537" s="43">
        <v>-15.9662688115245</v>
      </c>
      <c r="AI1537" s="122" t="s">
        <v>7286</v>
      </c>
      <c r="AJ1537" s="41">
        <v>0.5</v>
      </c>
    </row>
    <row r="1538" spans="1:36" ht="35.1" customHeight="1" x14ac:dyDescent="0.25">
      <c r="A1538" s="40">
        <v>2168</v>
      </c>
      <c r="B1538" s="40" t="s">
        <v>5346</v>
      </c>
      <c r="C1538" s="90" t="s">
        <v>1052</v>
      </c>
      <c r="D1538" s="44">
        <v>2027</v>
      </c>
      <c r="E1538" s="44"/>
      <c r="F1538" s="90" t="s">
        <v>2222</v>
      </c>
      <c r="G1538" s="90" t="s">
        <v>1259</v>
      </c>
      <c r="H1538" s="40" t="s">
        <v>467</v>
      </c>
      <c r="I1538" s="90" t="s">
        <v>1269</v>
      </c>
      <c r="J1538" s="90" t="s">
        <v>1392</v>
      </c>
      <c r="K1538" s="90" t="s">
        <v>1243</v>
      </c>
      <c r="L1538" s="90"/>
      <c r="M1538" s="90">
        <v>1</v>
      </c>
      <c r="N1538" s="90"/>
      <c r="O1538" s="90"/>
      <c r="P1538" s="90"/>
      <c r="Q1538" s="90"/>
      <c r="R1538" s="90"/>
      <c r="S1538" s="90"/>
      <c r="T1538" s="90"/>
      <c r="U1538" s="90"/>
      <c r="V1538" s="90"/>
      <c r="W1538" s="90"/>
      <c r="X1538" s="90"/>
      <c r="Y1538" s="90"/>
      <c r="Z1538" s="40" t="s">
        <v>5349</v>
      </c>
      <c r="AA1538" s="91">
        <v>300</v>
      </c>
      <c r="AB1538" s="46">
        <f>IF(H2ProjectDB689571011[[#This Row],[Dummy_1]]="Electrolysis",
AA1538/VLOOKUP(G1538,ElectrolysisConvF,3,FALSE),
AC1538*10^6/(H2dens*HoursInYear))</f>
        <v>66666.666666666672</v>
      </c>
      <c r="AC1538" s="47">
        <f t="shared" si="113"/>
        <v>51.975999999999999</v>
      </c>
      <c r="AD1538" s="92"/>
      <c r="AE1538" s="92">
        <f t="shared" si="111"/>
        <v>66666.666666666672</v>
      </c>
      <c r="AF1538" s="43" t="s">
        <v>5348</v>
      </c>
      <c r="AG1538" s="43">
        <v>-29.299395614926102</v>
      </c>
      <c r="AH1538" s="43">
        <v>-52.393027949611003</v>
      </c>
      <c r="AI1538" s="122" t="s">
        <v>7286</v>
      </c>
      <c r="AJ1538" s="41">
        <v>0.4</v>
      </c>
    </row>
    <row r="1539" spans="1:36" ht="35.1" hidden="1" customHeight="1" x14ac:dyDescent="0.25">
      <c r="A1539" s="40">
        <v>2169</v>
      </c>
      <c r="B1539" s="40" t="s">
        <v>5630</v>
      </c>
      <c r="C1539" s="40" t="s">
        <v>531</v>
      </c>
      <c r="D1539" s="44">
        <v>2027</v>
      </c>
      <c r="E1539" s="44"/>
      <c r="F1539" s="90" t="s">
        <v>1331</v>
      </c>
      <c r="G1539" s="90" t="s">
        <v>1259</v>
      </c>
      <c r="H1539" s="40" t="s">
        <v>467</v>
      </c>
      <c r="I1539" s="40" t="s">
        <v>1269</v>
      </c>
      <c r="J1539" s="90" t="s">
        <v>581</v>
      </c>
      <c r="K1539" s="40" t="s">
        <v>578</v>
      </c>
      <c r="L1539" s="90"/>
      <c r="M1539" s="90"/>
      <c r="N1539" s="90"/>
      <c r="O1539" s="90"/>
      <c r="P1539" s="90"/>
      <c r="Q1539" s="90"/>
      <c r="R1539" s="90"/>
      <c r="S1539" s="90"/>
      <c r="T1539" s="90"/>
      <c r="U1539" s="90"/>
      <c r="V1539" s="90"/>
      <c r="W1539" s="90"/>
      <c r="X1539" s="90"/>
      <c r="Y1539" s="90"/>
      <c r="Z1539" s="40" t="s">
        <v>1495</v>
      </c>
      <c r="AA1539" s="91">
        <v>20</v>
      </c>
      <c r="AB1539" s="46">
        <f>IF(H2ProjectDB689571011[[#This Row],[Dummy_1]]="Electrolysis",
AA1539/VLOOKUP(G1539,ElectrolysisConvF,3,FALSE),
AC1539*10^6/(H2dens*HoursInYear))</f>
        <v>4444.4444444444443</v>
      </c>
      <c r="AC1539" s="47">
        <f t="shared" si="113"/>
        <v>3.4650666666666665</v>
      </c>
      <c r="AD1539" s="92"/>
      <c r="AE1539" s="92">
        <f t="shared" si="111"/>
        <v>4444.4444444444443</v>
      </c>
      <c r="AF1539" s="43" t="s">
        <v>5352</v>
      </c>
      <c r="AG1539" s="43">
        <v>62.476604963654999</v>
      </c>
      <c r="AH1539" s="43">
        <v>6.2211899719915102</v>
      </c>
      <c r="AI1539" s="122" t="s">
        <v>7286</v>
      </c>
      <c r="AJ1539" s="41">
        <v>0.5</v>
      </c>
    </row>
    <row r="1540" spans="1:36" ht="35.1" hidden="1" customHeight="1" x14ac:dyDescent="0.25">
      <c r="A1540" s="40">
        <v>2170</v>
      </c>
      <c r="B1540" s="40" t="s">
        <v>5631</v>
      </c>
      <c r="C1540" s="40" t="s">
        <v>531</v>
      </c>
      <c r="D1540" s="44">
        <v>2027</v>
      </c>
      <c r="E1540" s="44"/>
      <c r="F1540" s="90" t="s">
        <v>2222</v>
      </c>
      <c r="G1540" s="90" t="s">
        <v>1259</v>
      </c>
      <c r="H1540" s="40" t="s">
        <v>467</v>
      </c>
      <c r="I1540" s="40" t="s">
        <v>1269</v>
      </c>
      <c r="J1540" s="90" t="s">
        <v>581</v>
      </c>
      <c r="K1540" s="40" t="s">
        <v>578</v>
      </c>
      <c r="L1540" s="90"/>
      <c r="M1540" s="90"/>
      <c r="N1540" s="90"/>
      <c r="O1540" s="90"/>
      <c r="P1540" s="90"/>
      <c r="Q1540" s="90"/>
      <c r="R1540" s="90"/>
      <c r="S1540" s="90"/>
      <c r="T1540" s="90"/>
      <c r="U1540" s="90"/>
      <c r="V1540" s="90"/>
      <c r="W1540" s="90"/>
      <c r="X1540" s="90"/>
      <c r="Y1540" s="90"/>
      <c r="Z1540" s="40" t="s">
        <v>5350</v>
      </c>
      <c r="AA1540" s="91">
        <f>270-20</f>
        <v>250</v>
      </c>
      <c r="AB1540" s="46">
        <f>IF(H2ProjectDB689571011[[#This Row],[Dummy_1]]="Electrolysis",
AA1540/VLOOKUP(G1540,ElectrolysisConvF,3,FALSE),
AC1540*10^6/(H2dens*HoursInYear))</f>
        <v>55555.555555555562</v>
      </c>
      <c r="AC1540" s="47">
        <f t="shared" si="113"/>
        <v>43.313333333333333</v>
      </c>
      <c r="AD1540" s="92"/>
      <c r="AE1540" s="92">
        <f t="shared" si="111"/>
        <v>55555.555555555562</v>
      </c>
      <c r="AF1540" s="43" t="s">
        <v>5352</v>
      </c>
      <c r="AG1540" s="43">
        <v>62.476604963654999</v>
      </c>
      <c r="AH1540" s="43">
        <v>6.2211899719915102</v>
      </c>
      <c r="AI1540" s="122" t="s">
        <v>7286</v>
      </c>
      <c r="AJ1540" s="41">
        <v>0.5</v>
      </c>
    </row>
    <row r="1541" spans="1:36" ht="35.1" hidden="1" customHeight="1" x14ac:dyDescent="0.25">
      <c r="A1541" s="40">
        <v>2171</v>
      </c>
      <c r="B1541" s="40" t="s">
        <v>8074</v>
      </c>
      <c r="C1541" s="40" t="s">
        <v>1305</v>
      </c>
      <c r="D1541" s="44">
        <v>2028</v>
      </c>
      <c r="E1541" s="44"/>
      <c r="F1541" s="40" t="s">
        <v>5701</v>
      </c>
      <c r="G1541" s="40" t="s">
        <v>1259</v>
      </c>
      <c r="H1541" s="40" t="s">
        <v>467</v>
      </c>
      <c r="I1541" s="90" t="s">
        <v>1257</v>
      </c>
      <c r="J1541" s="40" t="s">
        <v>581</v>
      </c>
      <c r="K1541" s="90" t="s">
        <v>578</v>
      </c>
      <c r="L1541" s="90"/>
      <c r="M1541" s="90"/>
      <c r="N1541" s="90"/>
      <c r="O1541" s="90">
        <v>1</v>
      </c>
      <c r="P1541" s="90"/>
      <c r="Q1541" s="90"/>
      <c r="R1541" s="90"/>
      <c r="S1541" s="90"/>
      <c r="T1541" s="90"/>
      <c r="U1541" s="90"/>
      <c r="V1541" s="90"/>
      <c r="W1541" s="90"/>
      <c r="X1541" s="90"/>
      <c r="Y1541" s="90"/>
      <c r="Z1541" s="40" t="s">
        <v>1483</v>
      </c>
      <c r="AA1541" s="45">
        <v>50</v>
      </c>
      <c r="AB1541" s="46">
        <f>IF(H2ProjectDB689571011[[#This Row],[Dummy_1]]="Electrolysis",
AA1541/VLOOKUP(G1541,ElectrolysisConvF,3,FALSE),
AC1541*10^6/(H2dens*HoursInYear))</f>
        <v>11111.111111111111</v>
      </c>
      <c r="AC1541" s="47">
        <f t="shared" si="113"/>
        <v>8.6626666666666665</v>
      </c>
      <c r="AD1541" s="92"/>
      <c r="AE1541" s="92">
        <f t="shared" si="111"/>
        <v>11111.111111111111</v>
      </c>
      <c r="AF1541" s="43" t="s">
        <v>8077</v>
      </c>
      <c r="AG1541" s="43">
        <v>53.156485353734098</v>
      </c>
      <c r="AH1541" s="43">
        <v>8.6923404873940804</v>
      </c>
      <c r="AI1541" s="122" t="s">
        <v>7286</v>
      </c>
      <c r="AJ1541" s="41">
        <v>0.56999999999999995</v>
      </c>
    </row>
    <row r="1542" spans="1:36" ht="35.1" hidden="1" customHeight="1" x14ac:dyDescent="0.25">
      <c r="A1542" s="40">
        <v>2172</v>
      </c>
      <c r="B1542" s="40" t="s">
        <v>5355</v>
      </c>
      <c r="C1542" s="40" t="s">
        <v>1764</v>
      </c>
      <c r="D1542" s="44">
        <v>2026</v>
      </c>
      <c r="E1542" s="44"/>
      <c r="F1542" s="40" t="s">
        <v>5701</v>
      </c>
      <c r="G1542" s="40" t="s">
        <v>455</v>
      </c>
      <c r="I1542" s="40" t="s">
        <v>5700</v>
      </c>
      <c r="J1542" s="90"/>
      <c r="K1542" s="90" t="s">
        <v>578</v>
      </c>
      <c r="L1542" s="90"/>
      <c r="M1542" s="90"/>
      <c r="N1542" s="90"/>
      <c r="O1542" s="90"/>
      <c r="P1542" s="90">
        <v>1</v>
      </c>
      <c r="Q1542" s="90">
        <v>1</v>
      </c>
      <c r="R1542" s="90"/>
      <c r="S1542" s="90"/>
      <c r="T1542" s="90"/>
      <c r="U1542" s="90"/>
      <c r="V1542" s="90"/>
      <c r="W1542" s="90"/>
      <c r="X1542" s="90"/>
      <c r="Y1542" s="90"/>
      <c r="Z1542" s="40" t="s">
        <v>8039</v>
      </c>
      <c r="AA1542" s="91">
        <v>25</v>
      </c>
      <c r="AB1542" s="46">
        <v>5000</v>
      </c>
      <c r="AC1542" s="47">
        <f t="shared" si="113"/>
        <v>3.8982000000000001</v>
      </c>
      <c r="AD1542" s="92"/>
      <c r="AE1542" s="92">
        <f t="shared" si="111"/>
        <v>5000</v>
      </c>
      <c r="AF1542" s="43" t="s">
        <v>5357</v>
      </c>
      <c r="AG1542" s="43">
        <v>42.573140008733901</v>
      </c>
      <c r="AH1542" s="43">
        <v>-1.2778341280255301</v>
      </c>
      <c r="AI1542" s="122" t="s">
        <v>7286</v>
      </c>
      <c r="AJ1542" s="41">
        <v>0.7</v>
      </c>
    </row>
    <row r="1543" spans="1:36" ht="35.1" hidden="1" customHeight="1" x14ac:dyDescent="0.25">
      <c r="A1543" s="40">
        <v>2173</v>
      </c>
      <c r="B1543" s="40" t="s">
        <v>5358</v>
      </c>
      <c r="C1543" s="40" t="s">
        <v>542</v>
      </c>
      <c r="D1543" s="44">
        <v>2028</v>
      </c>
      <c r="E1543" s="44"/>
      <c r="F1543" s="40" t="s">
        <v>1331</v>
      </c>
      <c r="G1543" s="40" t="s">
        <v>1259</v>
      </c>
      <c r="H1543" s="40" t="s">
        <v>467</v>
      </c>
      <c r="I1543" s="40" t="s">
        <v>1269</v>
      </c>
      <c r="J1543" s="90" t="s">
        <v>1395</v>
      </c>
      <c r="K1543" s="90" t="s">
        <v>578</v>
      </c>
      <c r="L1543" s="90"/>
      <c r="M1543" s="90"/>
      <c r="N1543" s="90"/>
      <c r="O1543" s="90"/>
      <c r="P1543" s="90"/>
      <c r="Q1543" s="90"/>
      <c r="R1543" s="90"/>
      <c r="S1543" s="90"/>
      <c r="T1543" s="90"/>
      <c r="U1543" s="90"/>
      <c r="V1543" s="90"/>
      <c r="W1543" s="90"/>
      <c r="X1543" s="90"/>
      <c r="Y1543" s="90"/>
      <c r="Z1543" s="40" t="s">
        <v>1485</v>
      </c>
      <c r="AA1543" s="91">
        <v>100</v>
      </c>
      <c r="AB1543" s="46">
        <f>IF(H2ProjectDB689571011[[#This Row],[Dummy_1]]="Electrolysis",
AA1543/VLOOKUP(G1543,ElectrolysisConvF,3,FALSE),
AC1543*10^6/(H2dens*HoursInYear))</f>
        <v>22222.222222222223</v>
      </c>
      <c r="AC1543" s="47">
        <f t="shared" si="113"/>
        <v>17.325333333333333</v>
      </c>
      <c r="AD1543" s="92"/>
      <c r="AE1543" s="92">
        <f t="shared" si="111"/>
        <v>22222.222222222223</v>
      </c>
      <c r="AF1543" s="43" t="s">
        <v>5360</v>
      </c>
      <c r="AG1543" s="43">
        <v>53.768807222823099</v>
      </c>
      <c r="AH1543" s="43">
        <v>-0.32657470780237702</v>
      </c>
      <c r="AI1543" s="122" t="s">
        <v>7286</v>
      </c>
      <c r="AJ1543" s="41">
        <v>0.5</v>
      </c>
    </row>
    <row r="1544" spans="1:36" ht="35.1" hidden="1" customHeight="1" x14ac:dyDescent="0.25">
      <c r="A1544" s="40">
        <v>2174</v>
      </c>
      <c r="B1544" s="90" t="s">
        <v>5361</v>
      </c>
      <c r="C1544" s="90" t="s">
        <v>542</v>
      </c>
      <c r="D1544" s="90"/>
      <c r="E1544" s="90"/>
      <c r="F1544" s="40" t="s">
        <v>1331</v>
      </c>
      <c r="G1544" s="40" t="s">
        <v>1259</v>
      </c>
      <c r="H1544" s="40" t="s">
        <v>467</v>
      </c>
      <c r="I1544" s="40" t="s">
        <v>1269</v>
      </c>
      <c r="J1544" s="90" t="s">
        <v>1395</v>
      </c>
      <c r="K1544" s="90" t="s">
        <v>596</v>
      </c>
      <c r="L1544" s="90"/>
      <c r="M1544" s="90"/>
      <c r="N1544" s="90"/>
      <c r="O1544" s="90"/>
      <c r="P1544" s="90"/>
      <c r="Q1544" s="90"/>
      <c r="R1544" s="90"/>
      <c r="S1544" s="90"/>
      <c r="T1544" s="90"/>
      <c r="U1544" s="90"/>
      <c r="V1544" s="90"/>
      <c r="W1544" s="90"/>
      <c r="X1544" s="90"/>
      <c r="Y1544" s="90"/>
      <c r="Z1544" s="90"/>
      <c r="AA1544" s="91">
        <f>IF(OR(G1544="ALK",G1544="PEM",G1544="SOEC",G1544="Other Electrolysis"),
AB1544*VLOOKUP(G1544,ElectrolysisConvF,3,FALSE),
"")</f>
        <v>0</v>
      </c>
      <c r="AB1544" s="92"/>
      <c r="AC1544" s="92"/>
      <c r="AD1544" s="92"/>
      <c r="AE1544" s="92">
        <f t="shared" si="111"/>
        <v>0</v>
      </c>
      <c r="AF1544" s="93" t="s">
        <v>5363</v>
      </c>
      <c r="AG1544" s="43">
        <v>57.160891731484298</v>
      </c>
      <c r="AH1544" s="43">
        <v>-2.0808638837860398</v>
      </c>
      <c r="AI1544" s="122" t="s">
        <v>7286</v>
      </c>
      <c r="AJ1544" s="41">
        <v>0.5</v>
      </c>
    </row>
    <row r="1545" spans="1:36" ht="35.1" hidden="1" customHeight="1" x14ac:dyDescent="0.25">
      <c r="A1545" s="40">
        <v>2175</v>
      </c>
      <c r="B1545" s="90" t="s">
        <v>5364</v>
      </c>
      <c r="C1545" s="90" t="s">
        <v>537</v>
      </c>
      <c r="D1545" s="90"/>
      <c r="E1545" s="90"/>
      <c r="F1545" s="90" t="s">
        <v>5701</v>
      </c>
      <c r="G1545" s="90" t="s">
        <v>455</v>
      </c>
      <c r="H1545" s="90"/>
      <c r="I1545" s="40" t="s">
        <v>1269</v>
      </c>
      <c r="J1545" s="90" t="s">
        <v>1395</v>
      </c>
      <c r="K1545" s="90" t="s">
        <v>578</v>
      </c>
      <c r="L1545" s="90"/>
      <c r="M1545" s="90"/>
      <c r="N1545" s="90"/>
      <c r="O1545" s="90"/>
      <c r="P1545" s="90"/>
      <c r="Q1545" s="90"/>
      <c r="R1545" s="90"/>
      <c r="S1545" s="90"/>
      <c r="T1545" s="90"/>
      <c r="U1545" s="90"/>
      <c r="V1545" s="90"/>
      <c r="W1545" s="90"/>
      <c r="X1545" s="90"/>
      <c r="Y1545" s="90"/>
      <c r="Z1545" s="40" t="s">
        <v>4976</v>
      </c>
      <c r="AA1545" s="47">
        <f>IF(H2ProjectDB689571011[[#This Row],[Dummy_1]]="Electrolysis",
AB1545*VLOOKUP(G1545,ElectrolysisConvF,3,FALSE),
"")</f>
        <v>666.97450105176756</v>
      </c>
      <c r="AB1545" s="46">
        <f>AC1545/(H2dens*HoursInYear/10^6)</f>
        <v>128264.32712533991</v>
      </c>
      <c r="AC1545" s="47">
        <f>50/H2ProjectDB689571011[[#This Row],[LOWE_CF]]</f>
        <v>100</v>
      </c>
      <c r="AD1545" s="92"/>
      <c r="AE1545" s="92">
        <f t="shared" si="111"/>
        <v>128264.32712533991</v>
      </c>
      <c r="AF1545" s="43" t="s">
        <v>5366</v>
      </c>
      <c r="AG1545" s="43">
        <v>40.470786380247297</v>
      </c>
      <c r="AH1545" s="43">
        <v>113.207589612722</v>
      </c>
      <c r="AI1545" s="122" t="s">
        <v>7286</v>
      </c>
      <c r="AJ1545" s="41">
        <v>0.5</v>
      </c>
    </row>
    <row r="1546" spans="1:36" ht="35.1" hidden="1" customHeight="1" x14ac:dyDescent="0.25">
      <c r="A1546" s="40">
        <v>2176</v>
      </c>
      <c r="B1546" s="90" t="s">
        <v>5367</v>
      </c>
      <c r="C1546" s="90" t="s">
        <v>1305</v>
      </c>
      <c r="D1546" s="44">
        <v>2025</v>
      </c>
      <c r="E1546" s="44"/>
      <c r="F1546" s="40" t="s">
        <v>1331</v>
      </c>
      <c r="G1546" s="40" t="s">
        <v>1259</v>
      </c>
      <c r="H1546" s="40" t="s">
        <v>467</v>
      </c>
      <c r="I1546" s="40" t="s">
        <v>1266</v>
      </c>
      <c r="J1546" s="90" t="str">
        <f>IF(I1546&lt;&gt;"Dedicated renewable","N/A",)</f>
        <v>N/A</v>
      </c>
      <c r="K1546" s="90" t="s">
        <v>578</v>
      </c>
      <c r="L1546" s="90"/>
      <c r="M1546" s="90"/>
      <c r="N1546" s="90"/>
      <c r="O1546" s="90"/>
      <c r="P1546" s="90"/>
      <c r="Q1546" s="90">
        <v>1</v>
      </c>
      <c r="R1546" s="90"/>
      <c r="S1546" s="90"/>
      <c r="T1546" s="90"/>
      <c r="U1546" s="90"/>
      <c r="V1546" s="90"/>
      <c r="W1546" s="90"/>
      <c r="X1546" s="90"/>
      <c r="Y1546" s="90"/>
      <c r="Z1546" s="90" t="s">
        <v>1485</v>
      </c>
      <c r="AA1546" s="91">
        <v>100</v>
      </c>
      <c r="AB1546" s="46">
        <f>IF(H2ProjectDB689571011[[#This Row],[Dummy_1]]="Electrolysis",
AA1546/VLOOKUP(G1546,ElectrolysisConvF,3,FALSE),
AC1546*10^6/(H2dens*HoursInYear))</f>
        <v>22222.222222222223</v>
      </c>
      <c r="AC1546" s="47">
        <f t="shared" ref="AC1546:AC1553" si="114">AB1546*H2dens*HoursInYear/10^6</f>
        <v>17.325333333333333</v>
      </c>
      <c r="AD1546" s="92"/>
      <c r="AE1546" s="92">
        <f t="shared" si="111"/>
        <v>22222.222222222223</v>
      </c>
      <c r="AF1546" s="93" t="s">
        <v>5370</v>
      </c>
      <c r="AG1546" s="43">
        <v>51.119537492533503</v>
      </c>
      <c r="AH1546" s="43">
        <v>12.503065695576501</v>
      </c>
      <c r="AI1546" s="122" t="s">
        <v>7286</v>
      </c>
      <c r="AJ1546" s="41">
        <v>0.56999999999999995</v>
      </c>
    </row>
    <row r="1547" spans="1:36" ht="35.1" hidden="1" customHeight="1" x14ac:dyDescent="0.25">
      <c r="A1547" s="40">
        <v>2177</v>
      </c>
      <c r="B1547" s="90" t="s">
        <v>5368</v>
      </c>
      <c r="C1547" s="90" t="s">
        <v>1305</v>
      </c>
      <c r="D1547" s="44">
        <v>2030</v>
      </c>
      <c r="E1547" s="44"/>
      <c r="F1547" s="40" t="s">
        <v>2222</v>
      </c>
      <c r="G1547" s="40" t="s">
        <v>1259</v>
      </c>
      <c r="H1547" s="40" t="s">
        <v>467</v>
      </c>
      <c r="I1547" s="40" t="s">
        <v>1266</v>
      </c>
      <c r="J1547" s="90" t="str">
        <f>IF(I1547&lt;&gt;"Dedicated renewable","N/A",)</f>
        <v>N/A</v>
      </c>
      <c r="K1547" s="90" t="s">
        <v>578</v>
      </c>
      <c r="L1547" s="90"/>
      <c r="M1547" s="90"/>
      <c r="N1547" s="90"/>
      <c r="O1547" s="90"/>
      <c r="P1547" s="90">
        <v>1</v>
      </c>
      <c r="Q1547" s="90">
        <v>1</v>
      </c>
      <c r="R1547" s="90"/>
      <c r="S1547" s="90"/>
      <c r="T1547" s="90"/>
      <c r="U1547" s="90"/>
      <c r="V1547" s="90"/>
      <c r="W1547" s="90"/>
      <c r="X1547" s="90"/>
      <c r="Y1547" s="90"/>
      <c r="Z1547" s="90" t="s">
        <v>1334</v>
      </c>
      <c r="AA1547" s="91">
        <v>900</v>
      </c>
      <c r="AB1547" s="46">
        <f>IF(H2ProjectDB689571011[[#This Row],[Dummy_1]]="Electrolysis",
AA1547/VLOOKUP(G1547,ElectrolysisConvF,3,FALSE),
AC1547*10^6/(H2dens*HoursInYear))</f>
        <v>200000.00000000003</v>
      </c>
      <c r="AC1547" s="47">
        <f t="shared" si="114"/>
        <v>155.928</v>
      </c>
      <c r="AD1547" s="92"/>
      <c r="AE1547" s="92">
        <f t="shared" si="111"/>
        <v>200000.00000000003</v>
      </c>
      <c r="AF1547" s="93" t="s">
        <v>5370</v>
      </c>
      <c r="AG1547" s="43">
        <v>51.119537492533503</v>
      </c>
      <c r="AH1547" s="43">
        <v>12.503065695576501</v>
      </c>
      <c r="AI1547" s="122" t="s">
        <v>7286</v>
      </c>
      <c r="AJ1547" s="41">
        <v>0.56999999999999995</v>
      </c>
    </row>
    <row r="1548" spans="1:36" ht="35.1" hidden="1" customHeight="1" x14ac:dyDescent="0.25">
      <c r="A1548" s="40">
        <v>2178</v>
      </c>
      <c r="B1548" s="90" t="s">
        <v>5371</v>
      </c>
      <c r="C1548" s="90" t="s">
        <v>541</v>
      </c>
      <c r="D1548" s="90"/>
      <c r="E1548" s="90"/>
      <c r="F1548" s="90" t="s">
        <v>2222</v>
      </c>
      <c r="G1548" s="90" t="s">
        <v>455</v>
      </c>
      <c r="H1548" s="90"/>
      <c r="I1548" s="90" t="s">
        <v>1257</v>
      </c>
      <c r="J1548" s="90"/>
      <c r="K1548" s="90" t="s">
        <v>578</v>
      </c>
      <c r="L1548" s="90"/>
      <c r="M1548" s="90"/>
      <c r="N1548" s="90"/>
      <c r="O1548" s="90"/>
      <c r="P1548" s="90"/>
      <c r="Q1548" s="90"/>
      <c r="R1548" s="90"/>
      <c r="S1548" s="90"/>
      <c r="T1548" s="90"/>
      <c r="U1548" s="90"/>
      <c r="V1548" s="90"/>
      <c r="W1548" s="90"/>
      <c r="X1548" s="90"/>
      <c r="Y1548" s="90"/>
      <c r="Z1548" s="40" t="s">
        <v>8443</v>
      </c>
      <c r="AA1548" s="91">
        <v>80</v>
      </c>
      <c r="AB1548" s="46">
        <f>IF(H2ProjectDB689571011[[#This Row],[Dummy_1]]="Electrolysis",
AA1548/VLOOKUP(G1548,ElectrolysisConvF,3,FALSE),
AC1548*10^6/(H2dens*HoursInYear))</f>
        <v>15384.615384615385</v>
      </c>
      <c r="AC1548" s="47">
        <f t="shared" si="114"/>
        <v>11.994461538461538</v>
      </c>
      <c r="AD1548" s="92">
        <v>0.12</v>
      </c>
      <c r="AE1548" s="92">
        <f t="shared" si="111"/>
        <v>15384.615384615385</v>
      </c>
      <c r="AF1548" s="93" t="s">
        <v>5373</v>
      </c>
      <c r="AG1548" s="43">
        <v>37.2247389814287</v>
      </c>
      <c r="AH1548" s="43">
        <v>15.175394925212901</v>
      </c>
      <c r="AI1548" s="122" t="s">
        <v>7286</v>
      </c>
      <c r="AJ1548" s="41">
        <v>0.56999999999999995</v>
      </c>
    </row>
    <row r="1549" spans="1:36" ht="35.1" hidden="1" customHeight="1" x14ac:dyDescent="0.25">
      <c r="A1549" s="40">
        <v>2179</v>
      </c>
      <c r="B1549" s="40" t="s">
        <v>8113</v>
      </c>
      <c r="C1549" s="40" t="s">
        <v>1045</v>
      </c>
      <c r="D1549" s="44">
        <v>2032</v>
      </c>
      <c r="E1549" s="44"/>
      <c r="F1549" s="40" t="s">
        <v>2222</v>
      </c>
      <c r="G1549" s="40" t="s">
        <v>1259</v>
      </c>
      <c r="H1549" s="40" t="s">
        <v>467</v>
      </c>
      <c r="I1549" s="40" t="s">
        <v>1269</v>
      </c>
      <c r="J1549" s="40" t="s">
        <v>1395</v>
      </c>
      <c r="K1549" s="40" t="s">
        <v>578</v>
      </c>
      <c r="M1549" s="40">
        <v>1</v>
      </c>
      <c r="Z1549" s="40" t="s">
        <v>1334</v>
      </c>
      <c r="AA1549" s="45">
        <v>500</v>
      </c>
      <c r="AB1549" s="46">
        <f>IF(H2ProjectDB689571011[[#This Row],[Dummy_1]]="Electrolysis",
AA1549/VLOOKUP(G1549,ElectrolysisConvF,3,FALSE),
AC1549*10^6/(H2dens*HoursInYear))</f>
        <v>111111.11111111112</v>
      </c>
      <c r="AC1549" s="47">
        <f t="shared" si="114"/>
        <v>86.626666666666665</v>
      </c>
      <c r="AE1549" s="46">
        <f t="shared" si="111"/>
        <v>111111.11111111112</v>
      </c>
      <c r="AF1549" s="43" t="s">
        <v>8093</v>
      </c>
      <c r="AG1549" s="43">
        <v>29.6489099140896</v>
      </c>
      <c r="AH1549" s="43">
        <v>32.350730394158397</v>
      </c>
      <c r="AI1549" s="122" t="s">
        <v>7286</v>
      </c>
      <c r="AJ1549" s="41">
        <v>0.5</v>
      </c>
    </row>
    <row r="1550" spans="1:36" ht="35.1" hidden="1" customHeight="1" x14ac:dyDescent="0.25">
      <c r="A1550" s="40">
        <v>2180</v>
      </c>
      <c r="B1550" s="40" t="s">
        <v>5375</v>
      </c>
      <c r="C1550" s="40" t="s">
        <v>533</v>
      </c>
      <c r="D1550" s="44">
        <v>2027</v>
      </c>
      <c r="E1550" s="44"/>
      <c r="F1550" s="90" t="s">
        <v>1331</v>
      </c>
      <c r="G1550" s="90" t="s">
        <v>457</v>
      </c>
      <c r="I1550" s="90" t="s">
        <v>1269</v>
      </c>
      <c r="J1550" s="40" t="s">
        <v>1392</v>
      </c>
      <c r="K1550" s="90" t="s">
        <v>578</v>
      </c>
      <c r="L1550" s="90"/>
      <c r="M1550" s="90">
        <v>1</v>
      </c>
      <c r="N1550" s="90"/>
      <c r="O1550" s="90"/>
      <c r="P1550" s="90"/>
      <c r="Q1550" s="90"/>
      <c r="R1550" s="90">
        <v>1</v>
      </c>
      <c r="S1550" s="90">
        <v>1</v>
      </c>
      <c r="T1550" s="90"/>
      <c r="U1550" s="90"/>
      <c r="V1550" s="90"/>
      <c r="W1550" s="90"/>
      <c r="X1550" s="90"/>
      <c r="Y1550" s="90"/>
      <c r="Z1550" s="40" t="s">
        <v>8829</v>
      </c>
      <c r="AA1550" s="91">
        <v>650</v>
      </c>
      <c r="AB1550" s="46">
        <f>IF(H2ProjectDB689571011[[#This Row],[Dummy_1]]="Electrolysis",
AA1550/VLOOKUP(G1550,ElectrolysisConvF,3,FALSE),
AC1550*10^6/(H2dens*HoursInYear))</f>
        <v>141304.34782608695</v>
      </c>
      <c r="AC1550" s="47">
        <f t="shared" si="114"/>
        <v>110.16652173913042</v>
      </c>
      <c r="AD1550" s="92"/>
      <c r="AE1550" s="92">
        <f t="shared" si="111"/>
        <v>141304.34782608695</v>
      </c>
      <c r="AF1550" s="43" t="s">
        <v>5704</v>
      </c>
      <c r="AG1550" s="43">
        <v>48.522395884275099</v>
      </c>
      <c r="AH1550" s="43">
        <v>-58.434725275561902</v>
      </c>
      <c r="AI1550" s="122" t="s">
        <v>7286</v>
      </c>
      <c r="AJ1550" s="41">
        <v>0.4</v>
      </c>
    </row>
    <row r="1551" spans="1:36" ht="35.1" hidden="1" customHeight="1" x14ac:dyDescent="0.25">
      <c r="A1551" s="40">
        <v>2181</v>
      </c>
      <c r="B1551" s="40" t="s">
        <v>5379</v>
      </c>
      <c r="C1551" s="90" t="s">
        <v>1764</v>
      </c>
      <c r="D1551" s="90"/>
      <c r="E1551" s="90"/>
      <c r="F1551" s="90" t="s">
        <v>2222</v>
      </c>
      <c r="G1551" s="90" t="s">
        <v>1259</v>
      </c>
      <c r="H1551" s="40" t="s">
        <v>467</v>
      </c>
      <c r="I1551" s="40" t="s">
        <v>1269</v>
      </c>
      <c r="J1551" s="90" t="s">
        <v>1391</v>
      </c>
      <c r="K1551" s="90" t="s">
        <v>578</v>
      </c>
      <c r="L1551" s="90"/>
      <c r="M1551" s="90"/>
      <c r="N1551" s="90"/>
      <c r="O1551" s="90"/>
      <c r="P1551" s="90"/>
      <c r="Q1551" s="90"/>
      <c r="R1551" s="90"/>
      <c r="S1551" s="90"/>
      <c r="T1551" s="90"/>
      <c r="U1551" s="90"/>
      <c r="V1551" s="90"/>
      <c r="W1551" s="90"/>
      <c r="X1551" s="90"/>
      <c r="Y1551" s="90"/>
      <c r="Z1551" s="40" t="s">
        <v>1582</v>
      </c>
      <c r="AA1551" s="91">
        <f>15-5</f>
        <v>10</v>
      </c>
      <c r="AB1551" s="46">
        <f>IF(H2ProjectDB689571011[[#This Row],[Dummy_1]]="Electrolysis",
AA1551/VLOOKUP(G1551,ElectrolysisConvF,3,FALSE),
AC1551*10^6/(H2dens*HoursInYear))</f>
        <v>2222.2222222222222</v>
      </c>
      <c r="AC1551" s="47">
        <f t="shared" si="114"/>
        <v>1.7325333333333333</v>
      </c>
      <c r="AD1551" s="92"/>
      <c r="AE1551" s="92">
        <f t="shared" si="111"/>
        <v>2222.2222222222222</v>
      </c>
      <c r="AF1551" s="93" t="s">
        <v>5380</v>
      </c>
      <c r="AG1551" s="43">
        <v>41.618150637937198</v>
      </c>
      <c r="AH1551" s="43">
        <v>-4.8130246079554801</v>
      </c>
      <c r="AI1551" s="122" t="s">
        <v>7286</v>
      </c>
      <c r="AJ1551" s="41">
        <v>0.3</v>
      </c>
    </row>
    <row r="1552" spans="1:36" ht="35.1" hidden="1" customHeight="1" x14ac:dyDescent="0.25">
      <c r="A1552" s="40">
        <v>2182</v>
      </c>
      <c r="B1552" s="40" t="s">
        <v>8084</v>
      </c>
      <c r="C1552" s="90" t="s">
        <v>1764</v>
      </c>
      <c r="D1552" s="44">
        <v>2026</v>
      </c>
      <c r="E1552" s="44"/>
      <c r="F1552" s="90" t="s">
        <v>2222</v>
      </c>
      <c r="G1552" s="90" t="s">
        <v>457</v>
      </c>
      <c r="I1552" s="40" t="s">
        <v>1269</v>
      </c>
      <c r="J1552" s="90" t="s">
        <v>1391</v>
      </c>
      <c r="K1552" s="90" t="s">
        <v>578</v>
      </c>
      <c r="L1552" s="90"/>
      <c r="M1552" s="90"/>
      <c r="N1552" s="90"/>
      <c r="O1552" s="90"/>
      <c r="P1552" s="90"/>
      <c r="Q1552" s="90"/>
      <c r="R1552" s="90"/>
      <c r="S1552" s="90"/>
      <c r="T1552" s="90"/>
      <c r="U1552" s="90"/>
      <c r="V1552" s="90"/>
      <c r="W1552" s="90"/>
      <c r="X1552" s="90"/>
      <c r="Y1552" s="90"/>
      <c r="Z1552" s="40" t="s">
        <v>1485</v>
      </c>
      <c r="AA1552" s="91">
        <v>70</v>
      </c>
      <c r="AB1552" s="46">
        <f>IF(H2ProjectDB689571011[[#This Row],[Dummy_1]]="Electrolysis",
AA1552/VLOOKUP(G1552,ElectrolysisConvF,3,FALSE),
AC1552*10^6/(H2dens*HoursInYear))</f>
        <v>15217.391304347826</v>
      </c>
      <c r="AC1552" s="47">
        <f t="shared" si="114"/>
        <v>11.864086956521739</v>
      </c>
      <c r="AD1552" s="92"/>
      <c r="AE1552" s="92">
        <f t="shared" si="111"/>
        <v>15217.391304347826</v>
      </c>
      <c r="AF1552" s="93" t="s">
        <v>5380</v>
      </c>
      <c r="AG1552" s="43">
        <v>38.716310818132399</v>
      </c>
      <c r="AH1552" s="43">
        <v>-4.1579541462298399</v>
      </c>
      <c r="AI1552" s="122" t="s">
        <v>7286</v>
      </c>
      <c r="AJ1552" s="41">
        <v>0.3</v>
      </c>
    </row>
    <row r="1553" spans="1:36" s="89" customFormat="1" ht="35.1" hidden="1" customHeight="1" x14ac:dyDescent="0.25">
      <c r="A1553" s="40">
        <v>2184</v>
      </c>
      <c r="B1553" s="90" t="s">
        <v>5383</v>
      </c>
      <c r="C1553" s="90" t="s">
        <v>1074</v>
      </c>
      <c r="D1553" s="90"/>
      <c r="E1553" s="90"/>
      <c r="F1553" s="90" t="s">
        <v>1331</v>
      </c>
      <c r="G1553" s="90" t="s">
        <v>455</v>
      </c>
      <c r="H1553" s="90"/>
      <c r="I1553" s="90" t="s">
        <v>1269</v>
      </c>
      <c r="J1553" s="90" t="s">
        <v>1392</v>
      </c>
      <c r="K1553" s="90" t="s">
        <v>578</v>
      </c>
      <c r="L1553" s="90"/>
      <c r="M1553" s="90"/>
      <c r="N1553" s="90"/>
      <c r="O1553" s="90"/>
      <c r="P1553" s="90"/>
      <c r="Q1553" s="90">
        <v>1</v>
      </c>
      <c r="R1553" s="90"/>
      <c r="S1553" s="90"/>
      <c r="T1553" s="90"/>
      <c r="U1553" s="90"/>
      <c r="V1553" s="90"/>
      <c r="W1553" s="90"/>
      <c r="X1553" s="90"/>
      <c r="Y1553" s="90"/>
      <c r="Z1553" s="90" t="s">
        <v>1333</v>
      </c>
      <c r="AA1553" s="91">
        <v>10</v>
      </c>
      <c r="AB1553" s="46">
        <f>IF(H2ProjectDB689571011[[#This Row],[Dummy_1]]="Electrolysis",
AA1553/VLOOKUP(G1553,ElectrolysisConvF,3,FALSE),
AC1553*10^6/(H2dens*HoursInYear))</f>
        <v>1923.0769230769231</v>
      </c>
      <c r="AC1553" s="47">
        <f t="shared" si="114"/>
        <v>1.4993076923076922</v>
      </c>
      <c r="AD1553" s="92"/>
      <c r="AE1553" s="92">
        <f t="shared" si="111"/>
        <v>1923.0769230769231</v>
      </c>
      <c r="AF1553" s="93" t="s">
        <v>5385</v>
      </c>
      <c r="AG1553" s="43">
        <v>46.326365110707101</v>
      </c>
      <c r="AH1553" s="43">
        <v>25.3606556820124</v>
      </c>
      <c r="AI1553" s="122" t="s">
        <v>7286</v>
      </c>
      <c r="AJ1553" s="41">
        <v>0.4</v>
      </c>
    </row>
    <row r="1554" spans="1:36" ht="35.1" hidden="1" customHeight="1" x14ac:dyDescent="0.25">
      <c r="A1554" s="40">
        <v>2185</v>
      </c>
      <c r="B1554" s="90" t="s">
        <v>5386</v>
      </c>
      <c r="C1554" s="90" t="s">
        <v>1764</v>
      </c>
      <c r="D1554" s="44">
        <v>2026</v>
      </c>
      <c r="E1554" s="44"/>
      <c r="F1554" s="90" t="s">
        <v>1331</v>
      </c>
      <c r="G1554" s="90" t="s">
        <v>1259</v>
      </c>
      <c r="H1554" s="40" t="s">
        <v>467</v>
      </c>
      <c r="I1554" s="40" t="s">
        <v>1269</v>
      </c>
      <c r="J1554" s="90" t="s">
        <v>1391</v>
      </c>
      <c r="K1554" s="90" t="s">
        <v>1242</v>
      </c>
      <c r="L1554" s="90"/>
      <c r="M1554" s="90"/>
      <c r="N1554" s="90">
        <v>1</v>
      </c>
      <c r="O1554" s="90"/>
      <c r="P1554" s="90"/>
      <c r="Q1554" s="90"/>
      <c r="R1554" s="90"/>
      <c r="S1554" s="90"/>
      <c r="T1554" s="90"/>
      <c r="U1554" s="90"/>
      <c r="V1554" s="90"/>
      <c r="W1554" s="90"/>
      <c r="X1554" s="90"/>
      <c r="Y1554" s="90"/>
      <c r="Z1554" s="90" t="s">
        <v>5387</v>
      </c>
      <c r="AA1554" s="47">
        <f>IF(H2ProjectDB689571011[[#This Row],[Dummy_1]]="Electrolysis",
AB1554*VLOOKUP(G1554,ElectrolysisConvF,3,FALSE),
"")</f>
        <v>138.52547329536708</v>
      </c>
      <c r="AB1554" s="46">
        <f>AC1554/(H2dens*HoursInYear/10^6)</f>
        <v>30783.438510081578</v>
      </c>
      <c r="AC1554" s="47">
        <f>7.2/H2ProjectDB689571011[[#This Row],[LOWE_CF]]</f>
        <v>24</v>
      </c>
      <c r="AD1554" s="92"/>
      <c r="AE1554" s="92">
        <f t="shared" si="111"/>
        <v>30783.438510081578</v>
      </c>
      <c r="AF1554" s="93" t="s">
        <v>5389</v>
      </c>
      <c r="AG1554" s="43">
        <v>37.052855789299997</v>
      </c>
      <c r="AH1554" s="43">
        <v>-2.3899496781715799</v>
      </c>
      <c r="AI1554" s="122" t="s">
        <v>7286</v>
      </c>
      <c r="AJ1554" s="41">
        <v>0.3</v>
      </c>
    </row>
    <row r="1555" spans="1:36" s="89" customFormat="1" ht="35.1" hidden="1" customHeight="1" x14ac:dyDescent="0.25">
      <c r="A1555" s="40">
        <v>2187</v>
      </c>
      <c r="B1555" s="90" t="s">
        <v>5392</v>
      </c>
      <c r="C1555" s="90" t="s">
        <v>560</v>
      </c>
      <c r="D1555" s="44">
        <v>2030</v>
      </c>
      <c r="E1555" s="44"/>
      <c r="F1555" s="90" t="s">
        <v>2222</v>
      </c>
      <c r="G1555" s="90" t="s">
        <v>1259</v>
      </c>
      <c r="H1555" s="90" t="s">
        <v>467</v>
      </c>
      <c r="I1555" s="40" t="s">
        <v>1269</v>
      </c>
      <c r="J1555" s="90" t="s">
        <v>1392</v>
      </c>
      <c r="K1555" s="90" t="s">
        <v>1243</v>
      </c>
      <c r="L1555" s="90"/>
      <c r="M1555" s="90">
        <v>1</v>
      </c>
      <c r="N1555" s="90"/>
      <c r="O1555" s="90"/>
      <c r="P1555" s="90"/>
      <c r="Q1555" s="90"/>
      <c r="R1555" s="90"/>
      <c r="S1555" s="90"/>
      <c r="T1555" s="90"/>
      <c r="U1555" s="90"/>
      <c r="V1555" s="90"/>
      <c r="W1555" s="90"/>
      <c r="X1555" s="90"/>
      <c r="Y1555" s="90"/>
      <c r="Z1555" s="40" t="s">
        <v>6407</v>
      </c>
      <c r="AA1555" s="91">
        <v>840</v>
      </c>
      <c r="AB1555" s="46">
        <f>IF(H2ProjectDB689571011[[#This Row],[Dummy_1]]="Electrolysis",
AA1555/VLOOKUP(G1555,ElectrolysisConvF,3,FALSE),
AC1555*10^6/(H2dens*HoursInYear))</f>
        <v>186666.66666666669</v>
      </c>
      <c r="AC1555" s="47">
        <f>AB1555*H2dens*HoursInYear/10^6</f>
        <v>145.53280000000004</v>
      </c>
      <c r="AD1555" s="92"/>
      <c r="AE1555" s="92">
        <f t="shared" si="111"/>
        <v>186666.66666666669</v>
      </c>
      <c r="AF1555" s="43" t="s">
        <v>6406</v>
      </c>
      <c r="AG1555" s="43">
        <v>-52.278985256783798</v>
      </c>
      <c r="AH1555" s="43">
        <v>-71.279448645129307</v>
      </c>
      <c r="AI1555" s="122" t="s">
        <v>7286</v>
      </c>
      <c r="AJ1555" s="41">
        <v>0.4</v>
      </c>
    </row>
    <row r="1556" spans="1:36" ht="35.1" hidden="1" customHeight="1" x14ac:dyDescent="0.25">
      <c r="A1556" s="40">
        <v>2188</v>
      </c>
      <c r="B1556" s="90" t="s">
        <v>5394</v>
      </c>
      <c r="C1556" s="90" t="s">
        <v>1305</v>
      </c>
      <c r="D1556" s="90"/>
      <c r="E1556" s="90"/>
      <c r="F1556" s="40" t="s">
        <v>2222</v>
      </c>
      <c r="G1556" s="40" t="s">
        <v>1259</v>
      </c>
      <c r="H1556" s="40" t="s">
        <v>467</v>
      </c>
      <c r="I1556" s="90" t="s">
        <v>1257</v>
      </c>
      <c r="J1556" s="90"/>
      <c r="K1556" s="90" t="s">
        <v>1242</v>
      </c>
      <c r="L1556" s="90"/>
      <c r="M1556" s="90"/>
      <c r="N1556" s="90">
        <v>1</v>
      </c>
      <c r="O1556" s="90"/>
      <c r="P1556" s="90"/>
      <c r="Q1556" s="90"/>
      <c r="R1556" s="90"/>
      <c r="S1556" s="90"/>
      <c r="T1556" s="90"/>
      <c r="U1556" s="90"/>
      <c r="V1556" s="90"/>
      <c r="W1556" s="90"/>
      <c r="X1556" s="90"/>
      <c r="Y1556" s="90"/>
      <c r="Z1556" s="90" t="s">
        <v>5410</v>
      </c>
      <c r="AA1556" s="47">
        <f>IF(H2ProjectDB689571011[[#This Row],[Dummy_1]]="Electrolysis",
AB1556*VLOOKUP(G1556,ElectrolysisConvF,3,FALSE),
"")</f>
        <v>387.48045656699855</v>
      </c>
      <c r="AB1556" s="46">
        <f>AC1556/(H2dens*HoursInYear/10^6)</f>
        <v>86106.76812599969</v>
      </c>
      <c r="AC1556" s="92">
        <f>200*0.191327/H2ProjectDB689571011[[#This Row],[LOWE_CF]]</f>
        <v>67.132280701754397</v>
      </c>
      <c r="AD1556" s="92"/>
      <c r="AE1556" s="92">
        <f t="shared" si="111"/>
        <v>86106.76812599969</v>
      </c>
      <c r="AF1556" s="93" t="s">
        <v>5396</v>
      </c>
      <c r="AG1556" s="43">
        <v>53.569583000442897</v>
      </c>
      <c r="AH1556" s="43">
        <v>9.8701432840946701</v>
      </c>
      <c r="AI1556" s="122" t="s">
        <v>7286</v>
      </c>
      <c r="AJ1556" s="41">
        <v>0.56999999999999995</v>
      </c>
    </row>
    <row r="1557" spans="1:36" ht="35.1" hidden="1" customHeight="1" x14ac:dyDescent="0.25">
      <c r="A1557" s="40">
        <v>2189</v>
      </c>
      <c r="B1557" s="90" t="s">
        <v>5397</v>
      </c>
      <c r="C1557" s="90" t="s">
        <v>531</v>
      </c>
      <c r="D1557" s="90"/>
      <c r="E1557" s="90"/>
      <c r="F1557" s="90" t="s">
        <v>2222</v>
      </c>
      <c r="G1557" s="90" t="s">
        <v>457</v>
      </c>
      <c r="H1557" s="90"/>
      <c r="I1557" s="90" t="s">
        <v>1257</v>
      </c>
      <c r="J1557" s="90"/>
      <c r="K1557" s="90" t="s">
        <v>1242</v>
      </c>
      <c r="L1557" s="90"/>
      <c r="M1557" s="90"/>
      <c r="N1557" s="90">
        <v>1</v>
      </c>
      <c r="O1557" s="90"/>
      <c r="P1557" s="90"/>
      <c r="Q1557" s="90"/>
      <c r="R1557" s="90"/>
      <c r="S1557" s="90"/>
      <c r="T1557" s="90"/>
      <c r="U1557" s="90"/>
      <c r="V1557" s="90"/>
      <c r="W1557" s="90"/>
      <c r="X1557" s="90"/>
      <c r="Y1557" s="90"/>
      <c r="Z1557" s="90" t="s">
        <v>5398</v>
      </c>
      <c r="AA1557" s="47">
        <f>IF(H2ProjectDB689571011[[#This Row],[Dummy_1]]="Electrolysis",
AB1557*VLOOKUP(G1557,ElectrolysisConvF,3,FALSE),
"")</f>
        <v>819.81157295269895</v>
      </c>
      <c r="AB1557" s="46">
        <f>AC1557/(H2dens*HoursInYear/10^6)</f>
        <v>178219.90716363021</v>
      </c>
      <c r="AC1557" s="92">
        <f>100*0.792/H2ProjectDB689571011[[#This Row],[LOWE_CF]]</f>
        <v>138.94736842105266</v>
      </c>
      <c r="AD1557" s="92"/>
      <c r="AE1557" s="92">
        <f t="shared" si="111"/>
        <v>178219.90716363021</v>
      </c>
      <c r="AF1557" s="93" t="s">
        <v>5400</v>
      </c>
      <c r="AG1557" s="43">
        <v>66.310371000000004</v>
      </c>
      <c r="AH1557" s="43">
        <v>14.169271</v>
      </c>
      <c r="AI1557" s="122" t="s">
        <v>7286</v>
      </c>
      <c r="AJ1557" s="41">
        <v>0.56999999999999995</v>
      </c>
    </row>
    <row r="1558" spans="1:36" ht="35.1" hidden="1" customHeight="1" x14ac:dyDescent="0.25">
      <c r="A1558" s="40">
        <v>2190</v>
      </c>
      <c r="B1558" s="90" t="s">
        <v>5402</v>
      </c>
      <c r="C1558" s="90" t="s">
        <v>866</v>
      </c>
      <c r="D1558" s="44">
        <v>2027</v>
      </c>
      <c r="E1558" s="44"/>
      <c r="F1558" s="40" t="s">
        <v>1331</v>
      </c>
      <c r="G1558" s="40" t="s">
        <v>1259</v>
      </c>
      <c r="H1558" s="40" t="s">
        <v>467</v>
      </c>
      <c r="I1558" s="90" t="s">
        <v>1269</v>
      </c>
      <c r="J1558" s="90" t="s">
        <v>1395</v>
      </c>
      <c r="K1558" s="90" t="s">
        <v>1242</v>
      </c>
      <c r="L1558" s="90"/>
      <c r="M1558" s="90"/>
      <c r="N1558" s="90">
        <v>1</v>
      </c>
      <c r="O1558" s="90"/>
      <c r="P1558" s="90"/>
      <c r="Q1558" s="90"/>
      <c r="R1558" s="90"/>
      <c r="S1558" s="90"/>
      <c r="T1558" s="90"/>
      <c r="U1558" s="90"/>
      <c r="V1558" s="90"/>
      <c r="W1558" s="90"/>
      <c r="X1558" s="90"/>
      <c r="Y1558" s="90"/>
      <c r="Z1558" s="90" t="s">
        <v>1527</v>
      </c>
      <c r="AA1558" s="91">
        <v>120</v>
      </c>
      <c r="AB1558" s="46">
        <f>IF(H2ProjectDB689571011[[#This Row],[Dummy_1]]="Electrolysis",
AA1558/VLOOKUP(G1558,ElectrolysisConvF,3,FALSE),
AC1558*10^6/(H2dens*HoursInYear))</f>
        <v>26666.666666666668</v>
      </c>
      <c r="AC1558" s="47">
        <f>AB1558*H2dens*HoursInYear/10^6</f>
        <v>20.790400000000002</v>
      </c>
      <c r="AD1558" s="92"/>
      <c r="AE1558" s="92">
        <f t="shared" si="111"/>
        <v>26666.666666666668</v>
      </c>
      <c r="AF1558" s="93" t="s">
        <v>5404</v>
      </c>
      <c r="AG1558" s="43">
        <v>-34.002821207711897</v>
      </c>
      <c r="AH1558" s="43">
        <v>24.755361830959501</v>
      </c>
      <c r="AI1558" s="122" t="s">
        <v>7286</v>
      </c>
      <c r="AJ1558" s="41">
        <v>0.5</v>
      </c>
    </row>
    <row r="1559" spans="1:36" ht="35.1" hidden="1" customHeight="1" x14ac:dyDescent="0.25">
      <c r="A1559" s="40">
        <v>2191</v>
      </c>
      <c r="B1559" s="90" t="s">
        <v>5405</v>
      </c>
      <c r="C1559" s="90" t="s">
        <v>536</v>
      </c>
      <c r="D1559" s="44">
        <v>2025</v>
      </c>
      <c r="E1559" s="44"/>
      <c r="F1559" s="40" t="s">
        <v>1331</v>
      </c>
      <c r="G1559" s="40" t="s">
        <v>1259</v>
      </c>
      <c r="H1559" s="40" t="s">
        <v>467</v>
      </c>
      <c r="I1559" s="40" t="s">
        <v>1269</v>
      </c>
      <c r="J1559" s="90" t="s">
        <v>1395</v>
      </c>
      <c r="K1559" s="90" t="s">
        <v>1242</v>
      </c>
      <c r="L1559" s="90"/>
      <c r="M1559" s="90"/>
      <c r="N1559" s="90">
        <v>1</v>
      </c>
      <c r="O1559" s="90"/>
      <c r="P1559" s="90"/>
      <c r="Q1559" s="90"/>
      <c r="R1559" s="90"/>
      <c r="S1559" s="90"/>
      <c r="T1559" s="90"/>
      <c r="U1559" s="90"/>
      <c r="V1559" s="90"/>
      <c r="W1559" s="90"/>
      <c r="X1559" s="90"/>
      <c r="Y1559" s="90"/>
      <c r="Z1559" s="90" t="s">
        <v>5406</v>
      </c>
      <c r="AA1559" s="91">
        <v>675</v>
      </c>
      <c r="AB1559" s="46">
        <f>IF(H2ProjectDB689571011[[#This Row],[Dummy_1]]="Electrolysis",
AA1559/VLOOKUP(G1559,ElectrolysisConvF,3,FALSE),
AC1559*10^6/(H2dens*HoursInYear))</f>
        <v>150000</v>
      </c>
      <c r="AC1559" s="47">
        <f>AB1559*H2dens*HoursInYear/10^6</f>
        <v>116.946</v>
      </c>
      <c r="AD1559" s="92"/>
      <c r="AE1559" s="92">
        <f t="shared" si="111"/>
        <v>150000</v>
      </c>
      <c r="AF1559" s="93" t="s">
        <v>5408</v>
      </c>
      <c r="AG1559" s="43">
        <v>29.7631481753487</v>
      </c>
      <c r="AH1559" s="43">
        <v>-85.232823489084296</v>
      </c>
      <c r="AI1559" s="122" t="s">
        <v>7286</v>
      </c>
      <c r="AJ1559" s="41">
        <v>0.5</v>
      </c>
    </row>
    <row r="1560" spans="1:36" ht="35.1" hidden="1" customHeight="1" x14ac:dyDescent="0.25">
      <c r="A1560" s="40">
        <v>2192</v>
      </c>
      <c r="B1560" s="90" t="s">
        <v>5409</v>
      </c>
      <c r="C1560" s="90" t="s">
        <v>536</v>
      </c>
      <c r="D1560" s="44">
        <v>2027</v>
      </c>
      <c r="E1560" s="44"/>
      <c r="F1560" s="40" t="s">
        <v>1331</v>
      </c>
      <c r="G1560" s="40" t="s">
        <v>1259</v>
      </c>
      <c r="H1560" s="40" t="s">
        <v>467</v>
      </c>
      <c r="I1560" s="40" t="s">
        <v>1269</v>
      </c>
      <c r="J1560" s="90" t="s">
        <v>581</v>
      </c>
      <c r="K1560" s="90" t="s">
        <v>1242</v>
      </c>
      <c r="L1560" s="90"/>
      <c r="M1560" s="90"/>
      <c r="N1560" s="90">
        <v>1</v>
      </c>
      <c r="O1560" s="90"/>
      <c r="P1560" s="90"/>
      <c r="Q1560" s="90"/>
      <c r="R1560" s="90"/>
      <c r="S1560" s="90"/>
      <c r="T1560" s="90"/>
      <c r="U1560" s="90"/>
      <c r="V1560" s="90"/>
      <c r="W1560" s="90"/>
      <c r="X1560" s="90"/>
      <c r="Y1560" s="90"/>
      <c r="Z1560" s="90" t="s">
        <v>5411</v>
      </c>
      <c r="AA1560" s="47">
        <f>IF(H2ProjectDB689571011[[#This Row],[Dummy_1]]="Electrolysis",
AB1560*VLOOKUP(G1560,ElectrolysisConvF,3,FALSE),
"")</f>
        <v>220.86386024318918</v>
      </c>
      <c r="AB1560" s="46">
        <f>AC1560/(H2dens*HoursInYear/10^6)</f>
        <v>49080.85783181982</v>
      </c>
      <c r="AC1560" s="92">
        <f>100*0.191327/H2ProjectDB689571011[[#This Row],[LOWE_CF]]</f>
        <v>38.2654</v>
      </c>
      <c r="AD1560" s="92"/>
      <c r="AE1560" s="92">
        <f t="shared" si="111"/>
        <v>49080.85783181982</v>
      </c>
      <c r="AF1560" s="93" t="s">
        <v>5413</v>
      </c>
      <c r="AG1560" s="43">
        <v>45.873866250514297</v>
      </c>
      <c r="AH1560" s="43">
        <v>-96.724023579563195</v>
      </c>
      <c r="AI1560" s="122" t="s">
        <v>7286</v>
      </c>
      <c r="AJ1560" s="41">
        <v>0.5</v>
      </c>
    </row>
    <row r="1561" spans="1:36" ht="35.1" hidden="1" customHeight="1" x14ac:dyDescent="0.25">
      <c r="A1561" s="40">
        <v>2193</v>
      </c>
      <c r="B1561" s="40" t="s">
        <v>6910</v>
      </c>
      <c r="C1561" s="40" t="s">
        <v>1305</v>
      </c>
      <c r="D1561" s="44"/>
      <c r="E1561" s="44"/>
      <c r="F1561" s="90" t="s">
        <v>2222</v>
      </c>
      <c r="G1561" s="90" t="s">
        <v>1259</v>
      </c>
      <c r="H1561" s="90" t="s">
        <v>467</v>
      </c>
      <c r="I1561" s="90" t="s">
        <v>1269</v>
      </c>
      <c r="J1561" s="90" t="s">
        <v>581</v>
      </c>
      <c r="K1561" s="90" t="s">
        <v>578</v>
      </c>
      <c r="L1561" s="90"/>
      <c r="M1561" s="90"/>
      <c r="N1561" s="90"/>
      <c r="O1561" s="90"/>
      <c r="P1561" s="90"/>
      <c r="Q1561" s="90"/>
      <c r="R1561" s="90"/>
      <c r="S1561" s="90"/>
      <c r="T1561" s="90"/>
      <c r="U1561" s="90"/>
      <c r="V1561" s="90"/>
      <c r="W1561" s="90"/>
      <c r="X1561" s="90"/>
      <c r="Y1561" s="90"/>
      <c r="Z1561" s="90" t="s">
        <v>1574</v>
      </c>
      <c r="AA1561" s="91">
        <v>190</v>
      </c>
      <c r="AB1561" s="46">
        <f>IF(H2ProjectDB689571011[[#This Row],[Dummy_1]]="Electrolysis",
AA1561/VLOOKUP(G1561,ElectrolysisConvF,3,FALSE),
AC1561*10^6/(H2dens*HoursInYear))</f>
        <v>42222.222222222226</v>
      </c>
      <c r="AC1561" s="47">
        <f>AB1561*H2dens*HoursInYear/10^6</f>
        <v>32.91813333333333</v>
      </c>
      <c r="AD1561" s="92"/>
      <c r="AE1561" s="92">
        <f t="shared" ref="AE1561:AE1624" si="115">IF(AND(G1561&lt;&gt;"NG w CCUS",G1561&lt;&gt;"Oil w CCUS",G1561&lt;&gt;"Coal w CCUS"),AB1561,AD1561*10^3/(HoursInYear*IF(G1561="NG w CCUS",0.9105,1.9075)))</f>
        <v>42222.222222222226</v>
      </c>
      <c r="AF1561" s="93" t="s">
        <v>5416</v>
      </c>
      <c r="AG1561" s="43">
        <v>53.360246083928203</v>
      </c>
      <c r="AH1561" s="43">
        <v>7.2116416620710497</v>
      </c>
      <c r="AI1561" s="122" t="s">
        <v>7286</v>
      </c>
      <c r="AJ1561" s="41">
        <v>0.5</v>
      </c>
    </row>
    <row r="1562" spans="1:36" ht="35.1" hidden="1" customHeight="1" x14ac:dyDescent="0.25">
      <c r="A1562" s="40">
        <v>2194</v>
      </c>
      <c r="B1562" s="40" t="s">
        <v>7131</v>
      </c>
      <c r="C1562" s="90" t="s">
        <v>545</v>
      </c>
      <c r="D1562" s="44">
        <v>2030</v>
      </c>
      <c r="E1562" s="44"/>
      <c r="F1562" s="90" t="s">
        <v>1331</v>
      </c>
      <c r="G1562" s="90" t="s">
        <v>1259</v>
      </c>
      <c r="H1562" s="90" t="s">
        <v>467</v>
      </c>
      <c r="I1562" s="90" t="s">
        <v>1269</v>
      </c>
      <c r="J1562" s="90" t="s">
        <v>1395</v>
      </c>
      <c r="K1562" s="90" t="s">
        <v>1242</v>
      </c>
      <c r="L1562" s="90"/>
      <c r="M1562" s="90">
        <v>1</v>
      </c>
      <c r="N1562" s="90">
        <v>1</v>
      </c>
      <c r="O1562" s="90"/>
      <c r="P1562" s="90">
        <v>1</v>
      </c>
      <c r="Q1562" s="90">
        <v>1</v>
      </c>
      <c r="R1562" s="90"/>
      <c r="S1562" s="90"/>
      <c r="T1562" s="90"/>
      <c r="U1562" s="90"/>
      <c r="V1562" s="90"/>
      <c r="W1562" s="90"/>
      <c r="X1562" s="90"/>
      <c r="Y1562" s="90"/>
      <c r="Z1562" s="90" t="s">
        <v>3233</v>
      </c>
      <c r="AA1562" s="91">
        <v>2000</v>
      </c>
      <c r="AB1562" s="46">
        <f>IF(H2ProjectDB689571011[[#This Row],[Dummy_1]]="Electrolysis",
AA1562/VLOOKUP(G1562,ElectrolysisConvF,3,FALSE),
AC1562*10^6/(H2dens*HoursInYear))</f>
        <v>444444.4444444445</v>
      </c>
      <c r="AC1562" s="47">
        <f>AB1562*H2dens*HoursInYear/10^6</f>
        <v>346.50666666666666</v>
      </c>
      <c r="AD1562" s="92"/>
      <c r="AE1562" s="92">
        <f t="shared" si="115"/>
        <v>444444.4444444445</v>
      </c>
      <c r="AF1562" s="93" t="s">
        <v>5417</v>
      </c>
      <c r="AG1562" s="43">
        <v>55.892289092146299</v>
      </c>
      <c r="AH1562" s="43">
        <v>8.4788403408343793</v>
      </c>
      <c r="AI1562" s="122" t="s">
        <v>7286</v>
      </c>
      <c r="AJ1562" s="41">
        <v>0.5</v>
      </c>
    </row>
    <row r="1563" spans="1:36" ht="35.1" hidden="1" customHeight="1" x14ac:dyDescent="0.25">
      <c r="A1563" s="40">
        <v>2195</v>
      </c>
      <c r="B1563" s="90" t="s">
        <v>5419</v>
      </c>
      <c r="C1563" s="90" t="s">
        <v>536</v>
      </c>
      <c r="D1563" s="44">
        <v>2025</v>
      </c>
      <c r="E1563" s="44"/>
      <c r="F1563" s="90" t="s">
        <v>2222</v>
      </c>
      <c r="G1563" s="90" t="s">
        <v>457</v>
      </c>
      <c r="H1563" s="90"/>
      <c r="I1563" s="90" t="s">
        <v>1257</v>
      </c>
      <c r="J1563" s="90"/>
      <c r="K1563" s="90" t="s">
        <v>578</v>
      </c>
      <c r="L1563" s="90"/>
      <c r="M1563" s="90"/>
      <c r="N1563" s="90"/>
      <c r="O1563" s="90"/>
      <c r="P1563" s="90">
        <v>1</v>
      </c>
      <c r="Q1563" s="90">
        <v>1</v>
      </c>
      <c r="R1563" s="90"/>
      <c r="S1563" s="90"/>
      <c r="T1563" s="90"/>
      <c r="U1563" s="90"/>
      <c r="V1563" s="90"/>
      <c r="W1563" s="90"/>
      <c r="X1563" s="90"/>
      <c r="Y1563" s="90"/>
      <c r="Z1563" s="90" t="s">
        <v>5420</v>
      </c>
      <c r="AA1563" s="91">
        <v>135</v>
      </c>
      <c r="AB1563" s="46">
        <f>IF(H2ProjectDB689571011[[#This Row],[Dummy_1]]="Electrolysis",
AA1563/VLOOKUP(G1563,ElectrolysisConvF,3,FALSE),
AC1563*10^6/(H2dens*HoursInYear))</f>
        <v>29347.826086956524</v>
      </c>
      <c r="AC1563" s="47">
        <f>AB1563*H2dens*HoursInYear/10^6</f>
        <v>22.88073913043478</v>
      </c>
      <c r="AD1563" s="92"/>
      <c r="AE1563" s="92">
        <f t="shared" si="115"/>
        <v>29347.826086956524</v>
      </c>
      <c r="AF1563" s="93" t="s">
        <v>5422</v>
      </c>
      <c r="AG1563" s="43">
        <v>34.711432971614201</v>
      </c>
      <c r="AH1563" s="43">
        <v>-118.344687390685</v>
      </c>
      <c r="AI1563" s="122" t="s">
        <v>7286</v>
      </c>
      <c r="AJ1563" s="41">
        <v>0.56999999999999995</v>
      </c>
    </row>
    <row r="1564" spans="1:36" ht="35.1" hidden="1" customHeight="1" x14ac:dyDescent="0.25">
      <c r="A1564" s="40">
        <v>2196</v>
      </c>
      <c r="B1564" s="90" t="s">
        <v>5425</v>
      </c>
      <c r="C1564" s="90" t="s">
        <v>535</v>
      </c>
      <c r="D1564" s="44">
        <v>2028</v>
      </c>
      <c r="E1564" s="44"/>
      <c r="F1564" s="40" t="s">
        <v>1331</v>
      </c>
      <c r="G1564" s="40" t="s">
        <v>1259</v>
      </c>
      <c r="H1564" s="40" t="s">
        <v>467</v>
      </c>
      <c r="I1564" s="40" t="s">
        <v>1269</v>
      </c>
      <c r="J1564" s="90" t="s">
        <v>1395</v>
      </c>
      <c r="K1564" s="90" t="s">
        <v>1242</v>
      </c>
      <c r="L1564" s="90"/>
      <c r="M1564" s="90"/>
      <c r="N1564" s="90">
        <v>1</v>
      </c>
      <c r="O1564" s="90"/>
      <c r="P1564" s="90"/>
      <c r="Q1564" s="90"/>
      <c r="R1564" s="90"/>
      <c r="S1564" s="90"/>
      <c r="T1564" s="90"/>
      <c r="U1564" s="90"/>
      <c r="V1564" s="90"/>
      <c r="W1564" s="90"/>
      <c r="X1564" s="90"/>
      <c r="Y1564" s="90"/>
      <c r="Z1564" s="90" t="s">
        <v>1333</v>
      </c>
      <c r="AA1564" s="91">
        <v>10</v>
      </c>
      <c r="AB1564" s="46">
        <f>IF(H2ProjectDB689571011[[#This Row],[Dummy_1]]="Electrolysis",
AA1564/VLOOKUP(G1564,ElectrolysisConvF,3,FALSE),
AC1564*10^6/(H2dens*HoursInYear))</f>
        <v>2222.2222222222222</v>
      </c>
      <c r="AC1564" s="47">
        <f>AB1564*H2dens*HoursInYear/10^6</f>
        <v>1.7325333333333333</v>
      </c>
      <c r="AD1564" s="92"/>
      <c r="AE1564" s="92">
        <f t="shared" si="115"/>
        <v>2222.2222222222222</v>
      </c>
      <c r="AF1564" s="93" t="s">
        <v>5426</v>
      </c>
      <c r="AG1564" s="43">
        <v>-32.465790640681199</v>
      </c>
      <c r="AH1564" s="43">
        <v>137.782015437897</v>
      </c>
      <c r="AI1564" s="122" t="s">
        <v>7286</v>
      </c>
      <c r="AJ1564" s="41">
        <v>0.5</v>
      </c>
    </row>
    <row r="1565" spans="1:36" ht="35.1" hidden="1" customHeight="1" x14ac:dyDescent="0.25">
      <c r="A1565" s="40">
        <v>2197</v>
      </c>
      <c r="B1565" s="90" t="s">
        <v>5428</v>
      </c>
      <c r="C1565" s="90" t="s">
        <v>535</v>
      </c>
      <c r="D1565" s="90"/>
      <c r="E1565" s="90"/>
      <c r="F1565" s="40" t="s">
        <v>1331</v>
      </c>
      <c r="G1565" s="40" t="s">
        <v>1259</v>
      </c>
      <c r="H1565" s="40" t="s">
        <v>467</v>
      </c>
      <c r="I1565" s="40" t="s">
        <v>1269</v>
      </c>
      <c r="J1565" s="90" t="s">
        <v>581</v>
      </c>
      <c r="K1565" s="90" t="s">
        <v>1243</v>
      </c>
      <c r="L1565" s="90"/>
      <c r="M1565" s="90">
        <v>1</v>
      </c>
      <c r="N1565" s="90"/>
      <c r="O1565" s="90"/>
      <c r="P1565" s="90"/>
      <c r="Q1565" s="90"/>
      <c r="R1565" s="90"/>
      <c r="S1565" s="90"/>
      <c r="T1565" s="90"/>
      <c r="U1565" s="90"/>
      <c r="V1565" s="90"/>
      <c r="W1565" s="90"/>
      <c r="X1565" s="90"/>
      <c r="Y1565" s="90"/>
      <c r="Z1565" s="90" t="s">
        <v>1334</v>
      </c>
      <c r="AA1565" s="91">
        <v>1000</v>
      </c>
      <c r="AB1565" s="46">
        <f>IF(H2ProjectDB689571011[[#This Row],[Dummy_1]]="Electrolysis",
AA1565/VLOOKUP(G1565,ElectrolysisConvF,3,FALSE),
AC1565*10^6/(H2dens*HoursInYear))</f>
        <v>222222.22222222225</v>
      </c>
      <c r="AC1565" s="47">
        <f>AB1565*H2dens*HoursInYear/10^6</f>
        <v>173.25333333333333</v>
      </c>
      <c r="AD1565" s="92"/>
      <c r="AE1565" s="92">
        <f t="shared" si="115"/>
        <v>222222.22222222225</v>
      </c>
      <c r="AF1565" s="93" t="s">
        <v>5426</v>
      </c>
      <c r="AG1565" s="43">
        <v>-34.450237901016799</v>
      </c>
      <c r="AH1565" s="43">
        <v>150.77667913110801</v>
      </c>
      <c r="AI1565" s="122" t="s">
        <v>7286</v>
      </c>
      <c r="AJ1565" s="41">
        <v>0.5</v>
      </c>
    </row>
    <row r="1566" spans="1:36" ht="35.1" hidden="1" customHeight="1" x14ac:dyDescent="0.25">
      <c r="A1566" s="40">
        <v>2198</v>
      </c>
      <c r="B1566" s="90" t="s">
        <v>5429</v>
      </c>
      <c r="C1566" s="90" t="s">
        <v>866</v>
      </c>
      <c r="D1566" s="90"/>
      <c r="E1566" s="90"/>
      <c r="F1566" s="40" t="s">
        <v>2222</v>
      </c>
      <c r="G1566" s="40" t="s">
        <v>1259</v>
      </c>
      <c r="H1566" s="40" t="s">
        <v>467</v>
      </c>
      <c r="I1566" s="90" t="s">
        <v>1269</v>
      </c>
      <c r="J1566" s="90" t="s">
        <v>1395</v>
      </c>
      <c r="K1566" s="90" t="s">
        <v>1243</v>
      </c>
      <c r="L1566" s="90"/>
      <c r="M1566" s="90"/>
      <c r="N1566" s="90">
        <v>1</v>
      </c>
      <c r="O1566" s="90"/>
      <c r="P1566" s="90"/>
      <c r="Q1566" s="90"/>
      <c r="R1566" s="90"/>
      <c r="S1566" s="90"/>
      <c r="T1566" s="90"/>
      <c r="U1566" s="90"/>
      <c r="V1566" s="90"/>
      <c r="W1566" s="90"/>
      <c r="X1566" s="90"/>
      <c r="Y1566" s="90"/>
      <c r="Z1566" s="40" t="s">
        <v>5011</v>
      </c>
      <c r="AA1566" s="47">
        <f>IF(H2ProjectDB689571011[[#This Row],[Dummy_1]]="Electrolysis",
AB1566*VLOOKUP(G1566,ElectrolysisConvF,3,FALSE),
"")</f>
        <v>207.87135848644522</v>
      </c>
      <c r="AB1566" s="46">
        <f>AC1566/(H2dens*HoursInYear/10^6)</f>
        <v>46193.635219210053</v>
      </c>
      <c r="AC1566" s="92">
        <f>100*3/17/0.98/H2ProjectDB689571011[[#This Row],[LOWE_CF]]</f>
        <v>36.014405762304925</v>
      </c>
      <c r="AD1566" s="92"/>
      <c r="AE1566" s="92">
        <f t="shared" si="115"/>
        <v>46193.635219210053</v>
      </c>
      <c r="AF1566" s="93" t="s">
        <v>5430</v>
      </c>
      <c r="AG1566" s="43">
        <v>-30.953743630685299</v>
      </c>
      <c r="AH1566" s="43">
        <v>18.286852449285799</v>
      </c>
      <c r="AI1566" s="122" t="s">
        <v>7286</v>
      </c>
      <c r="AJ1566" s="41">
        <v>0.5</v>
      </c>
    </row>
    <row r="1567" spans="1:36" ht="35.1" hidden="1" customHeight="1" x14ac:dyDescent="0.25">
      <c r="A1567" s="40">
        <v>2199</v>
      </c>
      <c r="B1567" s="90" t="s">
        <v>5432</v>
      </c>
      <c r="C1567" s="90" t="s">
        <v>543</v>
      </c>
      <c r="D1567" s="90"/>
      <c r="E1567" s="90"/>
      <c r="F1567" s="90" t="s">
        <v>1331</v>
      </c>
      <c r="G1567" s="90" t="s">
        <v>1259</v>
      </c>
      <c r="H1567" s="40" t="s">
        <v>467</v>
      </c>
      <c r="I1567" s="40" t="s">
        <v>1269</v>
      </c>
      <c r="J1567" s="90" t="s">
        <v>1391</v>
      </c>
      <c r="K1567" s="90" t="s">
        <v>1243</v>
      </c>
      <c r="L1567" s="90"/>
      <c r="M1567" s="90">
        <v>1</v>
      </c>
      <c r="N1567" s="90"/>
      <c r="O1567" s="90"/>
      <c r="P1567" s="90"/>
      <c r="Q1567" s="90"/>
      <c r="R1567" s="90"/>
      <c r="S1567" s="90"/>
      <c r="T1567" s="90"/>
      <c r="U1567" s="90"/>
      <c r="V1567" s="90"/>
      <c r="W1567" s="90"/>
      <c r="X1567" s="90"/>
      <c r="Y1567" s="90"/>
      <c r="Z1567" s="40" t="s">
        <v>5433</v>
      </c>
      <c r="AA1567" s="47">
        <f>IF(H2ProjectDB689571011[[#This Row],[Dummy_1]]="Electrolysis",
AB1567*VLOOKUP(G1567,ElectrolysisConvF,3,FALSE),
"")</f>
        <v>2078.7135848644525</v>
      </c>
      <c r="AB1567" s="46">
        <f>AC1567/(H2dens*HoursInYear/10^6)</f>
        <v>461936.35219210054</v>
      </c>
      <c r="AC1567" s="92">
        <f>600*3/17/0.98/H2ProjectDB689571011[[#This Row],[LOWE_CF]]</f>
        <v>360.14405762304926</v>
      </c>
      <c r="AD1567" s="92"/>
      <c r="AE1567" s="92">
        <f t="shared" si="115"/>
        <v>461936.35219210054</v>
      </c>
      <c r="AF1567" s="93" t="s">
        <v>5435</v>
      </c>
      <c r="AG1567" s="43">
        <v>24.145862495538498</v>
      </c>
      <c r="AH1567" s="43">
        <v>54.325788018588298</v>
      </c>
      <c r="AI1567" s="122" t="s">
        <v>7286</v>
      </c>
      <c r="AJ1567" s="41">
        <v>0.3</v>
      </c>
    </row>
    <row r="1568" spans="1:36" ht="35.1" hidden="1" customHeight="1" x14ac:dyDescent="0.25">
      <c r="A1568" s="40">
        <v>2200</v>
      </c>
      <c r="B1568" s="90" t="s">
        <v>5436</v>
      </c>
      <c r="C1568" s="90" t="s">
        <v>536</v>
      </c>
      <c r="D1568" s="44">
        <v>2028</v>
      </c>
      <c r="E1568" s="44"/>
      <c r="F1568" s="90" t="s">
        <v>2222</v>
      </c>
      <c r="G1568" s="90" t="s">
        <v>1259</v>
      </c>
      <c r="H1568" s="40" t="s">
        <v>467</v>
      </c>
      <c r="I1568" s="40" t="s">
        <v>1269</v>
      </c>
      <c r="J1568" s="90" t="s">
        <v>1395</v>
      </c>
      <c r="K1568" s="90" t="s">
        <v>578</v>
      </c>
      <c r="L1568" s="90"/>
      <c r="M1568" s="90">
        <v>1</v>
      </c>
      <c r="N1568" s="90">
        <v>1</v>
      </c>
      <c r="O1568" s="90"/>
      <c r="P1568" s="90"/>
      <c r="Q1568" s="90"/>
      <c r="R1568" s="90"/>
      <c r="S1568" s="90"/>
      <c r="T1568" s="90"/>
      <c r="U1568" s="90"/>
      <c r="V1568" s="90">
        <v>1</v>
      </c>
      <c r="W1568" s="90">
        <v>1</v>
      </c>
      <c r="X1568" s="90"/>
      <c r="Y1568" s="90"/>
      <c r="Z1568" s="90" t="s">
        <v>1482</v>
      </c>
      <c r="AA1568" s="91">
        <v>1000</v>
      </c>
      <c r="AB1568" s="46">
        <f>IF(H2ProjectDB689571011[[#This Row],[Dummy_1]]="Electrolysis",
AA1568/VLOOKUP(G1568,ElectrolysisConvF,3,FALSE),
AC1568*10^6/(H2dens*HoursInYear))</f>
        <v>222222.22222222225</v>
      </c>
      <c r="AC1568" s="47">
        <f>AB1568*H2dens*HoursInYear/10^6</f>
        <v>173.25333333333333</v>
      </c>
      <c r="AD1568" s="92"/>
      <c r="AE1568" s="92">
        <f t="shared" si="115"/>
        <v>222222.22222222225</v>
      </c>
      <c r="AF1568" s="93" t="s">
        <v>5437</v>
      </c>
      <c r="AG1568" s="43">
        <v>42.736419728516402</v>
      </c>
      <c r="AH1568" s="43">
        <v>-107.598115561326</v>
      </c>
      <c r="AI1568" s="122" t="s">
        <v>7286</v>
      </c>
      <c r="AJ1568" s="41">
        <v>0.5</v>
      </c>
    </row>
    <row r="1569" spans="1:36" ht="35.1" hidden="1" customHeight="1" x14ac:dyDescent="0.25">
      <c r="A1569" s="40">
        <v>2201</v>
      </c>
      <c r="B1569" s="90" t="s">
        <v>5439</v>
      </c>
      <c r="C1569" s="90" t="s">
        <v>1812</v>
      </c>
      <c r="D1569" s="90"/>
      <c r="E1569" s="90"/>
      <c r="F1569" s="90" t="s">
        <v>1331</v>
      </c>
      <c r="G1569" s="90" t="s">
        <v>1259</v>
      </c>
      <c r="H1569" s="40" t="s">
        <v>467</v>
      </c>
      <c r="I1569" s="40" t="s">
        <v>1269</v>
      </c>
      <c r="J1569" s="90" t="s">
        <v>581</v>
      </c>
      <c r="K1569" s="90" t="s">
        <v>578</v>
      </c>
      <c r="L1569" s="90"/>
      <c r="M1569" s="90"/>
      <c r="N1569" s="90"/>
      <c r="O1569" s="90"/>
      <c r="P1569" s="90"/>
      <c r="Q1569" s="90"/>
      <c r="R1569" s="90"/>
      <c r="S1569" s="90"/>
      <c r="T1569" s="90"/>
      <c r="U1569" s="90"/>
      <c r="V1569" s="90"/>
      <c r="W1569" s="90"/>
      <c r="X1569" s="90"/>
      <c r="Y1569" s="90"/>
      <c r="Z1569" s="90" t="s">
        <v>1333</v>
      </c>
      <c r="AA1569" s="91">
        <v>10</v>
      </c>
      <c r="AB1569" s="46">
        <f>IF(H2ProjectDB689571011[[#This Row],[Dummy_1]]="Electrolysis",
AA1569/VLOOKUP(G1569,ElectrolysisConvF,3,FALSE),
AC1569*10^6/(H2dens*HoursInYear))</f>
        <v>2222.2222222222222</v>
      </c>
      <c r="AC1569" s="47">
        <f>AB1569*H2dens*HoursInYear/10^6</f>
        <v>1.7325333333333333</v>
      </c>
      <c r="AD1569" s="92"/>
      <c r="AE1569" s="92">
        <f t="shared" si="115"/>
        <v>2222.2222222222222</v>
      </c>
      <c r="AF1569" s="93" t="s">
        <v>5441</v>
      </c>
      <c r="AG1569" s="43">
        <v>43.3129941226452</v>
      </c>
      <c r="AH1569" s="43">
        <v>107.040545861841</v>
      </c>
      <c r="AI1569" s="122" t="s">
        <v>7286</v>
      </c>
      <c r="AJ1569" s="41">
        <v>0.5</v>
      </c>
    </row>
    <row r="1570" spans="1:36" ht="35.1" hidden="1" customHeight="1" x14ac:dyDescent="0.25">
      <c r="A1570" s="40">
        <v>2202</v>
      </c>
      <c r="B1570" s="90" t="s">
        <v>7564</v>
      </c>
      <c r="C1570" s="90" t="s">
        <v>536</v>
      </c>
      <c r="D1570" s="44">
        <v>2027</v>
      </c>
      <c r="E1570" s="44"/>
      <c r="F1570" s="90" t="s">
        <v>1331</v>
      </c>
      <c r="G1570" s="90" t="s">
        <v>1261</v>
      </c>
      <c r="H1570" s="90" t="s">
        <v>5708</v>
      </c>
      <c r="I1570" s="90"/>
      <c r="J1570" s="90"/>
      <c r="K1570" s="90" t="s">
        <v>1243</v>
      </c>
      <c r="L1570" s="90"/>
      <c r="M1570" s="90">
        <v>1</v>
      </c>
      <c r="N1570" s="90"/>
      <c r="O1570" s="90"/>
      <c r="P1570" s="90"/>
      <c r="Q1570" s="90"/>
      <c r="R1570" s="90"/>
      <c r="S1570" s="90"/>
      <c r="T1570" s="90"/>
      <c r="U1570" s="90"/>
      <c r="V1570" s="90"/>
      <c r="W1570" s="90"/>
      <c r="X1570" s="90"/>
      <c r="Y1570" s="90"/>
      <c r="Z1570" s="90" t="s">
        <v>6313</v>
      </c>
      <c r="AA1570" s="91" t="str">
        <f>IF(OR(G1570="ALK",G1570="PEM",G1570="SOEC",G1570="Other Electrolysis"),
AB1570*VLOOKUP(G1570,ElectrolysisConvF,3,FALSE),
"")</f>
        <v/>
      </c>
      <c r="AB1570" s="46">
        <f>IF(H2ProjectDB689571011[[#This Row],[Dummy_1]]="Electrolysis",
AA1570/VLOOKUP(G1570,ElectrolysisConvF,3,FALSE),
AC1570*10^6/(H2dens*HoursInYear))</f>
        <v>337213.53710023331</v>
      </c>
      <c r="AC1570" s="92">
        <f>4*365*3/17/0.98</f>
        <v>262.9051620648259</v>
      </c>
      <c r="AD1570" s="92"/>
      <c r="AE1570" s="92">
        <f t="shared" si="115"/>
        <v>0</v>
      </c>
      <c r="AF1570" s="93" t="s">
        <v>5442</v>
      </c>
      <c r="AG1570" s="43">
        <v>30.728442543229001</v>
      </c>
      <c r="AH1570" s="43">
        <v>-88.585547230402</v>
      </c>
      <c r="AI1570" s="122" t="s">
        <v>7287</v>
      </c>
      <c r="AJ1570" s="41">
        <v>0.9</v>
      </c>
    </row>
    <row r="1571" spans="1:36" ht="35.1" hidden="1" customHeight="1" x14ac:dyDescent="0.25">
      <c r="A1571" s="40">
        <v>2203</v>
      </c>
      <c r="B1571" s="90" t="s">
        <v>5444</v>
      </c>
      <c r="C1571" s="90" t="s">
        <v>537</v>
      </c>
      <c r="D1571" s="44">
        <v>2026</v>
      </c>
      <c r="E1571" s="44"/>
      <c r="F1571" s="40" t="s">
        <v>1331</v>
      </c>
      <c r="G1571" s="40" t="s">
        <v>457</v>
      </c>
      <c r="I1571" s="40" t="s">
        <v>1269</v>
      </c>
      <c r="J1571" s="90" t="s">
        <v>1392</v>
      </c>
      <c r="K1571" s="90" t="s">
        <v>1242</v>
      </c>
      <c r="L1571" s="90"/>
      <c r="M1571" s="90"/>
      <c r="N1571" s="90">
        <v>1</v>
      </c>
      <c r="O1571" s="90"/>
      <c r="P1571" s="90"/>
      <c r="Q1571" s="90"/>
      <c r="R1571" s="90"/>
      <c r="S1571" s="90"/>
      <c r="T1571" s="90"/>
      <c r="U1571" s="90"/>
      <c r="V1571" s="90"/>
      <c r="W1571" s="90"/>
      <c r="X1571" s="90"/>
      <c r="Y1571" s="90"/>
      <c r="Z1571" s="40" t="s">
        <v>8247</v>
      </c>
      <c r="AA1571" s="47">
        <f>IF(H2ProjectDB689571011[[#This Row],[Dummy_1]]="Electrolysis",
AB1571*VLOOKUP(G1571,ElectrolysisConvF,3,FALSE),
"")</f>
        <v>361.23511364219388</v>
      </c>
      <c r="AB1571" s="46">
        <f>AC1571/(H2dens*HoursInYear/10^6)</f>
        <v>78529.372530911714</v>
      </c>
      <c r="AC1571" s="92">
        <f>(320*0.191327)</f>
        <v>61.224640000000001</v>
      </c>
      <c r="AD1571" s="92"/>
      <c r="AE1571" s="92">
        <f t="shared" si="115"/>
        <v>78529.372530911714</v>
      </c>
      <c r="AF1571" s="43" t="s">
        <v>8246</v>
      </c>
      <c r="AG1571" s="43">
        <v>43.801220846304702</v>
      </c>
      <c r="AH1571" s="43">
        <v>122.251264320879</v>
      </c>
      <c r="AI1571" s="122" t="s">
        <v>7286</v>
      </c>
      <c r="AJ1571" s="41">
        <v>0.4</v>
      </c>
    </row>
    <row r="1572" spans="1:36" ht="35.1" hidden="1" customHeight="1" x14ac:dyDescent="0.25">
      <c r="A1572" s="40">
        <v>2204</v>
      </c>
      <c r="B1572" s="40" t="s">
        <v>8024</v>
      </c>
      <c r="C1572" s="90" t="s">
        <v>1067</v>
      </c>
      <c r="D1572" s="44">
        <v>2028</v>
      </c>
      <c r="E1572" s="44"/>
      <c r="F1572" s="90" t="s">
        <v>2222</v>
      </c>
      <c r="G1572" s="90" t="s">
        <v>457</v>
      </c>
      <c r="H1572" s="90"/>
      <c r="I1572" s="40" t="s">
        <v>1269</v>
      </c>
      <c r="J1572" s="90" t="s">
        <v>1395</v>
      </c>
      <c r="K1572" s="90" t="s">
        <v>1243</v>
      </c>
      <c r="L1572" s="90"/>
      <c r="M1572" s="90">
        <v>1</v>
      </c>
      <c r="N1572" s="90"/>
      <c r="O1572" s="90"/>
      <c r="P1572" s="90"/>
      <c r="Q1572" s="90"/>
      <c r="R1572" s="90"/>
      <c r="S1572" s="90"/>
      <c r="T1572" s="90"/>
      <c r="U1572" s="90"/>
      <c r="V1572" s="90"/>
      <c r="W1572" s="90"/>
      <c r="X1572" s="90"/>
      <c r="Y1572" s="90"/>
      <c r="Z1572" s="90" t="s">
        <v>1575</v>
      </c>
      <c r="AA1572" s="91">
        <v>160</v>
      </c>
      <c r="AB1572" s="46">
        <f>IF(H2ProjectDB689571011[[#This Row],[Dummy_1]]="Electrolysis",
AA1572/VLOOKUP(G1572,ElectrolysisConvF,3,FALSE),
AC1572*10^6/(H2dens*HoursInYear))</f>
        <v>34782.608695652176</v>
      </c>
      <c r="AC1572" s="47">
        <f>AB1572*H2dens*HoursInYear/10^6</f>
        <v>27.117913043478261</v>
      </c>
      <c r="AD1572" s="92"/>
      <c r="AE1572" s="92">
        <f t="shared" si="115"/>
        <v>34782.608695652176</v>
      </c>
      <c r="AF1572" s="93" t="s">
        <v>5446</v>
      </c>
      <c r="AG1572" s="43">
        <v>19.439911375836999</v>
      </c>
      <c r="AH1572" s="43">
        <v>-90.442302739153803</v>
      </c>
      <c r="AI1572" s="122" t="s">
        <v>7286</v>
      </c>
      <c r="AJ1572" s="41">
        <v>0.5</v>
      </c>
    </row>
    <row r="1573" spans="1:36" ht="35.1" hidden="1" customHeight="1" x14ac:dyDescent="0.25">
      <c r="A1573" s="40">
        <v>2205</v>
      </c>
      <c r="B1573" s="40" t="s">
        <v>8025</v>
      </c>
      <c r="C1573" s="90" t="s">
        <v>1067</v>
      </c>
      <c r="D1573" s="44">
        <v>2028</v>
      </c>
      <c r="E1573" s="44"/>
      <c r="F1573" s="90" t="s">
        <v>2222</v>
      </c>
      <c r="G1573" s="90" t="s">
        <v>455</v>
      </c>
      <c r="H1573" s="90"/>
      <c r="I1573" s="40" t="s">
        <v>1269</v>
      </c>
      <c r="J1573" s="90" t="s">
        <v>1395</v>
      </c>
      <c r="K1573" s="90" t="s">
        <v>1243</v>
      </c>
      <c r="L1573" s="90"/>
      <c r="M1573" s="90">
        <v>1</v>
      </c>
      <c r="N1573" s="90"/>
      <c r="O1573" s="90"/>
      <c r="P1573" s="90"/>
      <c r="Q1573" s="90"/>
      <c r="R1573" s="90"/>
      <c r="S1573" s="90"/>
      <c r="T1573" s="90"/>
      <c r="U1573" s="90"/>
      <c r="V1573" s="90"/>
      <c r="W1573" s="90"/>
      <c r="X1573" s="90"/>
      <c r="Y1573" s="90"/>
      <c r="Z1573" s="90" t="s">
        <v>1672</v>
      </c>
      <c r="AA1573" s="91">
        <v>40</v>
      </c>
      <c r="AB1573" s="46">
        <f>IF(H2ProjectDB689571011[[#This Row],[Dummy_1]]="Electrolysis",
AA1573/VLOOKUP(G1573,ElectrolysisConvF,3,FALSE),
AC1573*10^6/(H2dens*HoursInYear))</f>
        <v>7692.3076923076924</v>
      </c>
      <c r="AC1573" s="47">
        <f>AB1573*H2dens*HoursInYear/10^6</f>
        <v>5.9972307692307689</v>
      </c>
      <c r="AD1573" s="92"/>
      <c r="AE1573" s="92">
        <f t="shared" si="115"/>
        <v>7692.3076923076924</v>
      </c>
      <c r="AF1573" s="93" t="s">
        <v>5446</v>
      </c>
      <c r="AG1573" s="43">
        <v>19.439911375836999</v>
      </c>
      <c r="AH1573" s="43">
        <v>-90.442302739153803</v>
      </c>
      <c r="AI1573" s="122" t="s">
        <v>7286</v>
      </c>
      <c r="AJ1573" s="41">
        <v>0.5</v>
      </c>
    </row>
    <row r="1574" spans="1:36" ht="35.1" hidden="1" customHeight="1" x14ac:dyDescent="0.25">
      <c r="A1574" s="40">
        <v>2206</v>
      </c>
      <c r="B1574" s="90" t="s">
        <v>5448</v>
      </c>
      <c r="C1574" s="90" t="s">
        <v>538</v>
      </c>
      <c r="D1574" s="44">
        <v>2024</v>
      </c>
      <c r="E1574" s="44">
        <v>2028</v>
      </c>
      <c r="F1574" s="40" t="s">
        <v>1540</v>
      </c>
      <c r="G1574" s="40" t="s">
        <v>457</v>
      </c>
      <c r="I1574" s="40" t="s">
        <v>1269</v>
      </c>
      <c r="J1574" s="90" t="s">
        <v>581</v>
      </c>
      <c r="K1574" s="90" t="s">
        <v>1243</v>
      </c>
      <c r="L1574" s="90"/>
      <c r="M1574" s="90">
        <v>1</v>
      </c>
      <c r="N1574" s="90"/>
      <c r="O1574" s="90"/>
      <c r="P1574" s="90"/>
      <c r="Q1574" s="90"/>
      <c r="R1574" s="90"/>
      <c r="S1574" s="90"/>
      <c r="T1574" s="90"/>
      <c r="U1574" s="90"/>
      <c r="V1574" s="90"/>
      <c r="W1574" s="90"/>
      <c r="X1574" s="90"/>
      <c r="Y1574" s="90"/>
      <c r="Z1574" s="40" t="s">
        <v>5449</v>
      </c>
      <c r="AA1574" s="47">
        <f>IF(H2ProjectDB689571011[[#This Row],[Dummy_1]]="Electrolysis",
AB1574*VLOOKUP(G1574,ElectrolysisConvF,3,FALSE),
"")</f>
        <v>3.1023645413221468</v>
      </c>
      <c r="AB1574" s="46">
        <f>AC1574/(H2dens*HoursInYear/10^6)</f>
        <v>674.42707420046668</v>
      </c>
      <c r="AC1574" s="92">
        <f>1.46*3/17/0.98/H2ProjectDB689571011[[#This Row],[LOWE_CF]]</f>
        <v>0.52581032412965178</v>
      </c>
      <c r="AD1574" s="92"/>
      <c r="AE1574" s="92">
        <f t="shared" si="115"/>
        <v>674.42707420046668</v>
      </c>
      <c r="AF1574" s="93" t="s">
        <v>5451</v>
      </c>
      <c r="AG1574" s="43">
        <v>37.7514678689435</v>
      </c>
      <c r="AH1574" s="43">
        <v>140.493050925712</v>
      </c>
      <c r="AI1574" s="122" t="s">
        <v>7286</v>
      </c>
      <c r="AJ1574" s="41">
        <v>0.5</v>
      </c>
    </row>
    <row r="1575" spans="1:36" ht="35.1" hidden="1" customHeight="1" x14ac:dyDescent="0.25">
      <c r="A1575" s="40">
        <v>2207</v>
      </c>
      <c r="B1575" s="90" t="s">
        <v>5452</v>
      </c>
      <c r="C1575" s="90" t="s">
        <v>537</v>
      </c>
      <c r="D1575" s="90"/>
      <c r="E1575" s="90"/>
      <c r="F1575" s="90" t="s">
        <v>2222</v>
      </c>
      <c r="G1575" s="90" t="s">
        <v>1259</v>
      </c>
      <c r="H1575" s="40" t="s">
        <v>467</v>
      </c>
      <c r="I1575" s="40" t="s">
        <v>1269</v>
      </c>
      <c r="J1575" s="90" t="s">
        <v>1395</v>
      </c>
      <c r="K1575" s="90" t="s">
        <v>578</v>
      </c>
      <c r="L1575" s="90"/>
      <c r="M1575" s="90"/>
      <c r="N1575" s="90"/>
      <c r="O1575" s="90"/>
      <c r="P1575" s="90"/>
      <c r="Q1575" s="90"/>
      <c r="R1575" s="90"/>
      <c r="S1575" s="90"/>
      <c r="T1575" s="90"/>
      <c r="U1575" s="90"/>
      <c r="V1575" s="90"/>
      <c r="W1575" s="90"/>
      <c r="X1575" s="90"/>
      <c r="Y1575" s="90"/>
      <c r="Z1575" s="90" t="s">
        <v>5453</v>
      </c>
      <c r="AA1575" s="47">
        <f>IF(H2ProjectDB689571011[[#This Row],[Dummy_1]]="Electrolysis",
AB1575*VLOOKUP(G1575,ElectrolysisConvF,3,FALSE),
"")</f>
        <v>38.094505156225942</v>
      </c>
      <c r="AB1575" s="46">
        <f>AC1575/(H2dens*HoursInYear/10^6)</f>
        <v>8465.445590272433</v>
      </c>
      <c r="AC1575" s="92">
        <f>3.3/H2ProjectDB689571011[[#This Row],[LOWE_CF]]</f>
        <v>6.6</v>
      </c>
      <c r="AD1575" s="92"/>
      <c r="AE1575" s="92">
        <f t="shared" si="115"/>
        <v>8465.445590272433</v>
      </c>
      <c r="AF1575" s="93" t="s">
        <v>5454</v>
      </c>
      <c r="AG1575" s="43">
        <v>40.465495858222603</v>
      </c>
      <c r="AH1575" s="43">
        <v>113.22222161487301</v>
      </c>
      <c r="AI1575" s="122" t="s">
        <v>7286</v>
      </c>
      <c r="AJ1575" s="41">
        <v>0.5</v>
      </c>
    </row>
    <row r="1576" spans="1:36" ht="35.1" hidden="1" customHeight="1" x14ac:dyDescent="0.25">
      <c r="A1576" s="40">
        <v>2208</v>
      </c>
      <c r="B1576" s="90" t="s">
        <v>5459</v>
      </c>
      <c r="C1576" s="90" t="s">
        <v>1305</v>
      </c>
      <c r="D1576" s="44">
        <v>2024</v>
      </c>
      <c r="E1576" s="44"/>
      <c r="F1576" s="90" t="s">
        <v>5701</v>
      </c>
      <c r="G1576" s="90" t="s">
        <v>457</v>
      </c>
      <c r="H1576" s="90"/>
      <c r="I1576" s="40" t="s">
        <v>1266</v>
      </c>
      <c r="J1576" s="90" t="s">
        <v>1395</v>
      </c>
      <c r="K1576" s="90" t="s">
        <v>578</v>
      </c>
      <c r="L1576" s="90"/>
      <c r="M1576" s="90"/>
      <c r="N1576" s="90"/>
      <c r="O1576" s="90"/>
      <c r="P1576" s="90">
        <v>1</v>
      </c>
      <c r="Q1576" s="90">
        <v>1</v>
      </c>
      <c r="R1576" s="90"/>
      <c r="S1576" s="90"/>
      <c r="T1576" s="90"/>
      <c r="U1576" s="90"/>
      <c r="V1576" s="90"/>
      <c r="W1576" s="90"/>
      <c r="X1576" s="90"/>
      <c r="Y1576" s="90"/>
      <c r="Z1576" s="90" t="s">
        <v>1333</v>
      </c>
      <c r="AA1576" s="91">
        <v>10</v>
      </c>
      <c r="AB1576" s="46">
        <f>IF(H2ProjectDB689571011[[#This Row],[Dummy_1]]="Electrolysis",
AA1576/VLOOKUP(G1576,ElectrolysisConvF,3,FALSE),
AC1576*10^6/(H2dens*HoursInYear))</f>
        <v>2173.913043478261</v>
      </c>
      <c r="AC1576" s="47">
        <f>AB1576*H2dens*HoursInYear/10^6</f>
        <v>1.6948695652173913</v>
      </c>
      <c r="AD1576" s="92"/>
      <c r="AE1576" s="92">
        <f t="shared" si="115"/>
        <v>2173.913043478261</v>
      </c>
      <c r="AF1576" s="93" t="s">
        <v>5461</v>
      </c>
      <c r="AG1576" s="43">
        <v>48.793715107192497</v>
      </c>
      <c r="AH1576" s="43">
        <v>9.8046161639382099</v>
      </c>
      <c r="AI1576" s="122" t="s">
        <v>7286</v>
      </c>
      <c r="AJ1576" s="41">
        <v>0.56999999999999995</v>
      </c>
    </row>
    <row r="1577" spans="1:36" ht="35.1" hidden="1" customHeight="1" x14ac:dyDescent="0.25">
      <c r="A1577" s="40">
        <v>2209</v>
      </c>
      <c r="B1577" s="90" t="s">
        <v>5462</v>
      </c>
      <c r="C1577" s="90" t="s">
        <v>541</v>
      </c>
      <c r="D1577" s="44"/>
      <c r="E1577" s="44"/>
      <c r="F1577" s="90" t="s">
        <v>1540</v>
      </c>
      <c r="G1577" s="90" t="s">
        <v>455</v>
      </c>
      <c r="H1577" s="90"/>
      <c r="I1577" s="40" t="s">
        <v>1269</v>
      </c>
      <c r="J1577" s="90" t="s">
        <v>581</v>
      </c>
      <c r="K1577" s="90" t="s">
        <v>578</v>
      </c>
      <c r="L1577" s="90"/>
      <c r="M1577" s="90"/>
      <c r="N1577" s="90"/>
      <c r="O1577" s="90"/>
      <c r="P1577" s="90"/>
      <c r="Q1577" s="90"/>
      <c r="R1577" s="90"/>
      <c r="S1577" s="90"/>
      <c r="T1577" s="90"/>
      <c r="U1577" s="90"/>
      <c r="V1577" s="90"/>
      <c r="W1577" s="90"/>
      <c r="X1577" s="90"/>
      <c r="Y1577" s="90"/>
      <c r="Z1577" s="90" t="s">
        <v>1480</v>
      </c>
      <c r="AA1577" s="91">
        <v>1</v>
      </c>
      <c r="AB1577" s="46">
        <f>IF(H2ProjectDB689571011[[#This Row],[Dummy_1]]="Electrolysis",
AA1577/VLOOKUP(G1577,ElectrolysisConvF,3,FALSE),
AC1577*10^6/(H2dens*HoursInYear))</f>
        <v>192.30769230769232</v>
      </c>
      <c r="AC1577" s="47">
        <f>AB1577*H2dens*HoursInYear/10^6</f>
        <v>0.14993076923076926</v>
      </c>
      <c r="AD1577" s="92"/>
      <c r="AE1577" s="92">
        <f t="shared" si="115"/>
        <v>192.30769230769232</v>
      </c>
      <c r="AF1577" s="93" t="s">
        <v>5465</v>
      </c>
      <c r="AG1577" s="43">
        <v>40.791459410926898</v>
      </c>
      <c r="AH1577" s="43">
        <v>8.2702383883496395</v>
      </c>
      <c r="AI1577" s="122" t="s">
        <v>7286</v>
      </c>
      <c r="AJ1577" s="41">
        <v>0.5</v>
      </c>
    </row>
    <row r="1578" spans="1:36" ht="35.1" hidden="1" customHeight="1" x14ac:dyDescent="0.25">
      <c r="A1578" s="40">
        <v>2210</v>
      </c>
      <c r="B1578" s="90" t="s">
        <v>5463</v>
      </c>
      <c r="C1578" s="90" t="s">
        <v>541</v>
      </c>
      <c r="D1578" s="44">
        <v>2030</v>
      </c>
      <c r="E1578" s="44"/>
      <c r="F1578" s="40" t="s">
        <v>1331</v>
      </c>
      <c r="G1578" s="40" t="s">
        <v>1259</v>
      </c>
      <c r="H1578" s="40" t="s">
        <v>467</v>
      </c>
      <c r="I1578" s="40" t="s">
        <v>1269</v>
      </c>
      <c r="J1578" s="90" t="s">
        <v>1395</v>
      </c>
      <c r="K1578" s="90" t="s">
        <v>578</v>
      </c>
      <c r="L1578" s="90"/>
      <c r="M1578" s="90"/>
      <c r="N1578" s="90"/>
      <c r="O1578" s="90"/>
      <c r="P1578" s="90"/>
      <c r="Q1578" s="90"/>
      <c r="R1578" s="90"/>
      <c r="S1578" s="90"/>
      <c r="T1578" s="90"/>
      <c r="U1578" s="90"/>
      <c r="V1578" s="90"/>
      <c r="W1578" s="90"/>
      <c r="X1578" s="90"/>
      <c r="Y1578" s="90"/>
      <c r="Z1578" s="90" t="s">
        <v>1483</v>
      </c>
      <c r="AA1578" s="91">
        <v>50</v>
      </c>
      <c r="AB1578" s="46">
        <f>IF(H2ProjectDB689571011[[#This Row],[Dummy_1]]="Electrolysis",
AA1578/VLOOKUP(G1578,ElectrolysisConvF,3,FALSE),
AC1578*10^6/(H2dens*HoursInYear))</f>
        <v>11111.111111111111</v>
      </c>
      <c r="AC1578" s="47">
        <f>AB1578*H2dens*HoursInYear/10^6</f>
        <v>8.6626666666666665</v>
      </c>
      <c r="AD1578" s="92"/>
      <c r="AE1578" s="92">
        <f t="shared" si="115"/>
        <v>11111.111111111111</v>
      </c>
      <c r="AF1578" s="93" t="s">
        <v>5465</v>
      </c>
      <c r="AG1578" s="43">
        <v>40.791459410926898</v>
      </c>
      <c r="AH1578" s="43">
        <v>8.2702383883496395</v>
      </c>
      <c r="AI1578" s="122" t="s">
        <v>7286</v>
      </c>
      <c r="AJ1578" s="41">
        <v>0.5</v>
      </c>
    </row>
    <row r="1579" spans="1:36" ht="35.1" hidden="1" customHeight="1" x14ac:dyDescent="0.25">
      <c r="A1579" s="40">
        <v>2211</v>
      </c>
      <c r="B1579" s="90" t="s">
        <v>5466</v>
      </c>
      <c r="C1579" s="90" t="s">
        <v>559</v>
      </c>
      <c r="D1579" s="44">
        <v>2030</v>
      </c>
      <c r="E1579" s="44"/>
      <c r="F1579" s="40" t="s">
        <v>2222</v>
      </c>
      <c r="G1579" s="40" t="s">
        <v>1259</v>
      </c>
      <c r="H1579" s="40" t="s">
        <v>467</v>
      </c>
      <c r="I1579" s="40" t="s">
        <v>1269</v>
      </c>
      <c r="J1579" s="90" t="s">
        <v>1393</v>
      </c>
      <c r="K1579" s="90" t="s">
        <v>578</v>
      </c>
      <c r="L1579" s="90"/>
      <c r="M1579" s="90"/>
      <c r="N1579" s="90"/>
      <c r="O1579" s="90"/>
      <c r="P1579" s="90"/>
      <c r="Q1579" s="90"/>
      <c r="R1579" s="90"/>
      <c r="S1579" s="90"/>
      <c r="T1579" s="90"/>
      <c r="U1579" s="90"/>
      <c r="V1579" s="90"/>
      <c r="W1579" s="90"/>
      <c r="X1579" s="90"/>
      <c r="Y1579" s="90"/>
      <c r="Z1579" s="90" t="s">
        <v>5467</v>
      </c>
      <c r="AA1579" s="47">
        <f>IF(H2ProjectDB689571011[[#This Row],[Dummy_1]]="Electrolysis",
AB1579*VLOOKUP(G1579,ElectrolysisConvF,3,FALSE),
"")</f>
        <v>2361.2296584437572</v>
      </c>
      <c r="AB1579" s="46">
        <f>AC1579/(H2dens*HoursInYear/10^6)</f>
        <v>524717.70187639049</v>
      </c>
      <c r="AC1579" s="92">
        <f>225/H2ProjectDB689571011[[#This Row],[LOWE_CF]]</f>
        <v>409.09090909090907</v>
      </c>
      <c r="AD1579" s="92"/>
      <c r="AE1579" s="92">
        <f t="shared" si="115"/>
        <v>524717.70187639049</v>
      </c>
      <c r="AF1579" s="93" t="s">
        <v>5469</v>
      </c>
      <c r="AG1579" s="43">
        <v>55.708349991514403</v>
      </c>
      <c r="AH1579" s="43">
        <v>16.043518293038002</v>
      </c>
      <c r="AI1579" s="122" t="s">
        <v>7286</v>
      </c>
      <c r="AJ1579" s="41">
        <v>0.55000000000000004</v>
      </c>
    </row>
    <row r="1580" spans="1:36" ht="35.1" hidden="1" customHeight="1" x14ac:dyDescent="0.25">
      <c r="A1580" s="40">
        <v>2212</v>
      </c>
      <c r="B1580" s="90" t="s">
        <v>5471</v>
      </c>
      <c r="C1580" s="90" t="s">
        <v>1764</v>
      </c>
      <c r="D1580" s="44">
        <v>2026</v>
      </c>
      <c r="E1580" s="44"/>
      <c r="F1580" s="90" t="s">
        <v>1331</v>
      </c>
      <c r="G1580" s="90" t="s">
        <v>1263</v>
      </c>
      <c r="H1580" s="40" t="s">
        <v>2578</v>
      </c>
      <c r="I1580" s="90"/>
      <c r="J1580" s="90"/>
      <c r="K1580" s="90" t="s">
        <v>1242</v>
      </c>
      <c r="L1580" s="90"/>
      <c r="M1580" s="90"/>
      <c r="N1580" s="90">
        <v>1</v>
      </c>
      <c r="O1580" s="90"/>
      <c r="P1580" s="90"/>
      <c r="Q1580" s="90"/>
      <c r="R1580" s="90"/>
      <c r="S1580" s="90"/>
      <c r="T1580" s="90"/>
      <c r="U1580" s="90"/>
      <c r="V1580" s="90"/>
      <c r="W1580" s="90"/>
      <c r="X1580" s="90"/>
      <c r="Y1580" s="90"/>
      <c r="Z1580" s="90" t="s">
        <v>5470</v>
      </c>
      <c r="AA1580" s="91"/>
      <c r="AB1580" s="46">
        <f>AC1580/(0.089*24*365/10^6)</f>
        <v>10797.760504848391</v>
      </c>
      <c r="AC1580" s="92">
        <f>66*0.127551</f>
        <v>8.4183660000000007</v>
      </c>
      <c r="AD1580" s="92"/>
      <c r="AE1580" s="92">
        <f t="shared" si="115"/>
        <v>10797.760504848391</v>
      </c>
      <c r="AF1580" s="93" t="s">
        <v>5475</v>
      </c>
      <c r="AG1580" s="43">
        <v>41.6833008554961</v>
      </c>
      <c r="AH1580" s="43">
        <v>-0.92244671709777604</v>
      </c>
      <c r="AI1580" s="122" t="s">
        <v>1255</v>
      </c>
      <c r="AJ1580" s="41">
        <v>0.9</v>
      </c>
    </row>
    <row r="1581" spans="1:36" ht="35.1" hidden="1" customHeight="1" x14ac:dyDescent="0.25">
      <c r="A1581" s="40">
        <v>2213</v>
      </c>
      <c r="B1581" s="90" t="s">
        <v>5472</v>
      </c>
      <c r="C1581" s="90" t="s">
        <v>1764</v>
      </c>
      <c r="D1581" s="44">
        <v>2028</v>
      </c>
      <c r="E1581" s="44"/>
      <c r="F1581" s="40" t="s">
        <v>2222</v>
      </c>
      <c r="G1581" s="40" t="s">
        <v>1259</v>
      </c>
      <c r="H1581" s="40" t="s">
        <v>467</v>
      </c>
      <c r="I1581" s="40" t="s">
        <v>1269</v>
      </c>
      <c r="J1581" s="90" t="s">
        <v>581</v>
      </c>
      <c r="K1581" s="90" t="s">
        <v>1242</v>
      </c>
      <c r="L1581" s="90"/>
      <c r="M1581" s="90"/>
      <c r="N1581" s="90">
        <v>1</v>
      </c>
      <c r="O1581" s="90"/>
      <c r="P1581" s="90"/>
      <c r="Q1581" s="90"/>
      <c r="R1581" s="90"/>
      <c r="S1581" s="90"/>
      <c r="T1581" s="90"/>
      <c r="U1581" s="90"/>
      <c r="V1581" s="90"/>
      <c r="W1581" s="90"/>
      <c r="X1581" s="90"/>
      <c r="Y1581" s="90"/>
      <c r="Z1581" s="90" t="s">
        <v>5473</v>
      </c>
      <c r="AA1581" s="47">
        <f>IF(H2ProjectDB689571011[[#This Row],[Dummy_1]]="Electrolysis",
AB1581*VLOOKUP(G1581,ElectrolysisConvF,3,FALSE),
"")</f>
        <v>154.6047021702324</v>
      </c>
      <c r="AB1581" s="46">
        <f>AC1581/(H2dens*HoursInYear/10^6)</f>
        <v>34356.600482273869</v>
      </c>
      <c r="AC1581" s="92">
        <f>70*0.191327/H2ProjectDB689571011[[#This Row],[LOWE_CF]]</f>
        <v>26.785779999999999</v>
      </c>
      <c r="AD1581" s="92"/>
      <c r="AE1581" s="92">
        <f t="shared" si="115"/>
        <v>34356.600482273869</v>
      </c>
      <c r="AF1581" s="93" t="s">
        <v>5475</v>
      </c>
      <c r="AG1581" s="43">
        <v>41.6833008554961</v>
      </c>
      <c r="AH1581" s="43">
        <v>0</v>
      </c>
      <c r="AI1581" s="122" t="s">
        <v>7286</v>
      </c>
      <c r="AJ1581" s="41">
        <v>0.5</v>
      </c>
    </row>
    <row r="1582" spans="1:36" ht="35.1" hidden="1" customHeight="1" x14ac:dyDescent="0.25">
      <c r="A1582" s="40">
        <v>2214</v>
      </c>
      <c r="B1582" s="40" t="s">
        <v>5477</v>
      </c>
      <c r="C1582" s="90" t="s">
        <v>1764</v>
      </c>
      <c r="D1582" s="44">
        <v>2026</v>
      </c>
      <c r="E1582" s="44"/>
      <c r="F1582" s="40" t="s">
        <v>1331</v>
      </c>
      <c r="G1582" s="40" t="s">
        <v>1259</v>
      </c>
      <c r="H1582" s="40" t="s">
        <v>467</v>
      </c>
      <c r="I1582" s="40" t="s">
        <v>1269</v>
      </c>
      <c r="J1582" s="90" t="s">
        <v>1395</v>
      </c>
      <c r="K1582" s="90" t="s">
        <v>578</v>
      </c>
      <c r="L1582" s="90"/>
      <c r="M1582" s="90"/>
      <c r="N1582" s="90"/>
      <c r="O1582" s="90"/>
      <c r="P1582" s="90"/>
      <c r="Q1582" s="90"/>
      <c r="R1582" s="90"/>
      <c r="S1582" s="90"/>
      <c r="T1582" s="90"/>
      <c r="U1582" s="90"/>
      <c r="V1582" s="90"/>
      <c r="W1582" s="90"/>
      <c r="X1582" s="90"/>
      <c r="Y1582" s="90"/>
      <c r="Z1582" s="90" t="s">
        <v>1572</v>
      </c>
      <c r="AA1582" s="91">
        <v>125</v>
      </c>
      <c r="AB1582" s="46">
        <f>IF(H2ProjectDB689571011[[#This Row],[Dummy_1]]="Electrolysis",
AA1582/VLOOKUP(G1582,ElectrolysisConvF,3,FALSE),
AC1582*10^6/(H2dens*HoursInYear))</f>
        <v>27777.777777777781</v>
      </c>
      <c r="AC1582" s="47">
        <f>AB1582*H2dens*HoursInYear/10^6</f>
        <v>21.656666666666666</v>
      </c>
      <c r="AD1582" s="92"/>
      <c r="AE1582" s="92">
        <f t="shared" si="115"/>
        <v>27777.777777777781</v>
      </c>
      <c r="AF1582" s="93" t="s">
        <v>5480</v>
      </c>
      <c r="AG1582" s="43">
        <v>36.185140223750899</v>
      </c>
      <c r="AH1582" s="43">
        <v>-5.4926091681151199</v>
      </c>
      <c r="AI1582" s="122" t="s">
        <v>7286</v>
      </c>
      <c r="AJ1582" s="41">
        <v>0.5</v>
      </c>
    </row>
    <row r="1583" spans="1:36" ht="35.1" hidden="1" customHeight="1" x14ac:dyDescent="0.25">
      <c r="A1583" s="40">
        <v>2215</v>
      </c>
      <c r="B1583" s="40" t="s">
        <v>5478</v>
      </c>
      <c r="C1583" s="90" t="s">
        <v>1764</v>
      </c>
      <c r="D1583" s="44">
        <v>2030</v>
      </c>
      <c r="E1583" s="44"/>
      <c r="F1583" s="40" t="s">
        <v>2222</v>
      </c>
      <c r="G1583" s="40" t="s">
        <v>1259</v>
      </c>
      <c r="H1583" s="40" t="s">
        <v>467</v>
      </c>
      <c r="I1583" s="40" t="s">
        <v>1269</v>
      </c>
      <c r="J1583" s="90" t="s">
        <v>1395</v>
      </c>
      <c r="K1583" s="90" t="s">
        <v>578</v>
      </c>
      <c r="L1583" s="90"/>
      <c r="M1583" s="90"/>
      <c r="N1583" s="90"/>
      <c r="O1583" s="90"/>
      <c r="P1583" s="90"/>
      <c r="Q1583" s="90"/>
      <c r="R1583" s="90"/>
      <c r="S1583" s="90"/>
      <c r="T1583" s="90"/>
      <c r="U1583" s="90"/>
      <c r="V1583" s="90"/>
      <c r="W1583" s="90"/>
      <c r="X1583" s="90"/>
      <c r="Y1583" s="90"/>
      <c r="Z1583" s="90" t="s">
        <v>2393</v>
      </c>
      <c r="AA1583" s="91">
        <v>400</v>
      </c>
      <c r="AB1583" s="46">
        <f>IF(H2ProjectDB689571011[[#This Row],[Dummy_1]]="Electrolysis",
AA1583/VLOOKUP(G1583,ElectrolysisConvF,3,FALSE),
AC1583*10^6/(H2dens*HoursInYear))</f>
        <v>88888.888888888891</v>
      </c>
      <c r="AC1583" s="47">
        <f>AB1583*H2dens*HoursInYear/10^6</f>
        <v>69.301333333333332</v>
      </c>
      <c r="AD1583" s="92"/>
      <c r="AE1583" s="92">
        <f t="shared" si="115"/>
        <v>88888.888888888891</v>
      </c>
      <c r="AF1583" s="93" t="s">
        <v>5480</v>
      </c>
      <c r="AG1583" s="43">
        <v>36.185140223750899</v>
      </c>
      <c r="AH1583" s="43">
        <v>-5.4926091681151199</v>
      </c>
      <c r="AI1583" s="122" t="s">
        <v>7286</v>
      </c>
      <c r="AJ1583" s="41">
        <v>0.5</v>
      </c>
    </row>
    <row r="1584" spans="1:36" ht="35.1" hidden="1" customHeight="1" x14ac:dyDescent="0.25">
      <c r="A1584" s="40">
        <v>2216</v>
      </c>
      <c r="B1584" s="40" t="s">
        <v>3081</v>
      </c>
      <c r="C1584" s="90" t="s">
        <v>1756</v>
      </c>
      <c r="D1584" s="90"/>
      <c r="E1584" s="90"/>
      <c r="F1584" s="40" t="s">
        <v>1331</v>
      </c>
      <c r="G1584" s="40" t="s">
        <v>1263</v>
      </c>
      <c r="H1584" s="40" t="s">
        <v>2578</v>
      </c>
      <c r="I1584" s="90"/>
      <c r="J1584" s="90"/>
      <c r="K1584" s="90" t="s">
        <v>578</v>
      </c>
      <c r="L1584" s="90"/>
      <c r="M1584" s="90"/>
      <c r="N1584" s="90"/>
      <c r="O1584" s="90"/>
      <c r="P1584" s="90"/>
      <c r="Q1584" s="90"/>
      <c r="R1584" s="90"/>
      <c r="S1584" s="90"/>
      <c r="T1584" s="90"/>
      <c r="U1584" s="90"/>
      <c r="V1584" s="90"/>
      <c r="W1584" s="90"/>
      <c r="X1584" s="90"/>
      <c r="Y1584" s="90"/>
      <c r="Z1584" s="90"/>
      <c r="AA1584" s="91" t="str">
        <f>IF(OR(G1584="ALK",G1584="PEM",G1584="SOEC",G1584="Other Electrolysis"),
AB1584*VLOOKUP(G1584,ElectrolysisConvF,3,FALSE),
"")</f>
        <v/>
      </c>
      <c r="AB1584" s="92"/>
      <c r="AC1584" s="92"/>
      <c r="AD1584" s="92"/>
      <c r="AE1584" s="92">
        <f t="shared" si="115"/>
        <v>0</v>
      </c>
      <c r="AF1584" s="93" t="s">
        <v>5482</v>
      </c>
      <c r="AG1584" s="43">
        <v>53.699652055567</v>
      </c>
      <c r="AH1584" s="43">
        <v>-7.7283791606363401</v>
      </c>
      <c r="AI1584" s="122" t="s">
        <v>1255</v>
      </c>
      <c r="AJ1584" s="41">
        <v>0.9</v>
      </c>
    </row>
    <row r="1585" spans="1:36" ht="35.1" hidden="1" customHeight="1" x14ac:dyDescent="0.25">
      <c r="A1585" s="40">
        <v>2217</v>
      </c>
      <c r="B1585" s="90" t="s">
        <v>5483</v>
      </c>
      <c r="C1585" s="90" t="s">
        <v>533</v>
      </c>
      <c r="D1585" s="44">
        <v>2027</v>
      </c>
      <c r="E1585" s="44"/>
      <c r="F1585" s="40" t="s">
        <v>1331</v>
      </c>
      <c r="G1585" s="40" t="s">
        <v>1259</v>
      </c>
      <c r="H1585" s="40" t="s">
        <v>467</v>
      </c>
      <c r="I1585" s="40" t="s">
        <v>1269</v>
      </c>
      <c r="J1585" s="40" t="s">
        <v>1392</v>
      </c>
      <c r="K1585" s="90" t="s">
        <v>578</v>
      </c>
      <c r="L1585" s="90">
        <v>1</v>
      </c>
      <c r="M1585" s="90"/>
      <c r="N1585" s="90"/>
      <c r="O1585" s="90"/>
      <c r="P1585" s="90"/>
      <c r="Q1585" s="90"/>
      <c r="R1585" s="90"/>
      <c r="S1585" s="90"/>
      <c r="T1585" s="90"/>
      <c r="U1585" s="90"/>
      <c r="V1585" s="90"/>
      <c r="W1585" s="90">
        <v>1</v>
      </c>
      <c r="X1585" s="90"/>
      <c r="Y1585" s="90"/>
      <c r="Z1585" s="40" t="s">
        <v>5503</v>
      </c>
      <c r="AA1585" s="47">
        <f>IF(H2ProjectDB689571011[[#This Row],[Dummy_1]]="Electrolysis",
AB1585*VLOOKUP(G1585,ElectrolysisConvF,3,FALSE),
"")</f>
        <v>505.0407880560258</v>
      </c>
      <c r="AB1585" s="46">
        <f>AC1585/(H2dens*HoursInYear/10^6)</f>
        <v>112231.28623467241</v>
      </c>
      <c r="AC1585" s="92">
        <f>35/H2ProjectDB689571011[[#This Row],[LOWE_CF]]</f>
        <v>87.5</v>
      </c>
      <c r="AD1585" s="92"/>
      <c r="AE1585" s="92">
        <f t="shared" si="115"/>
        <v>112231.28623467241</v>
      </c>
      <c r="AF1585" s="43" t="s">
        <v>6399</v>
      </c>
      <c r="AG1585" s="43">
        <v>47.812085051561503</v>
      </c>
      <c r="AH1585" s="43">
        <v>-53.911984755762902</v>
      </c>
      <c r="AI1585" s="122" t="s">
        <v>7286</v>
      </c>
      <c r="AJ1585" s="41">
        <v>0.4</v>
      </c>
    </row>
    <row r="1586" spans="1:36" ht="35.1" hidden="1" customHeight="1" x14ac:dyDescent="0.25">
      <c r="A1586" s="40">
        <v>2218</v>
      </c>
      <c r="B1586" s="90" t="s">
        <v>8697</v>
      </c>
      <c r="C1586" s="90" t="s">
        <v>531</v>
      </c>
      <c r="D1586" s="44">
        <v>2027</v>
      </c>
      <c r="E1586" s="44"/>
      <c r="F1586" s="40" t="s">
        <v>1331</v>
      </c>
      <c r="G1586" s="40" t="s">
        <v>455</v>
      </c>
      <c r="I1586" s="40" t="s">
        <v>1266</v>
      </c>
      <c r="J1586" s="90"/>
      <c r="K1586" s="90" t="s">
        <v>1243</v>
      </c>
      <c r="L1586" s="90"/>
      <c r="M1586" s="90">
        <v>1</v>
      </c>
      <c r="N1586" s="90"/>
      <c r="O1586" s="90"/>
      <c r="P1586" s="90"/>
      <c r="Q1586" s="90"/>
      <c r="R1586" s="90"/>
      <c r="S1586" s="90"/>
      <c r="T1586" s="90"/>
      <c r="U1586" s="90"/>
      <c r="V1586" s="90"/>
      <c r="W1586" s="90"/>
      <c r="X1586" s="90"/>
      <c r="Y1586" s="90"/>
      <c r="Z1586" s="90" t="s">
        <v>2024</v>
      </c>
      <c r="AA1586" s="91">
        <v>300</v>
      </c>
      <c r="AB1586" s="46">
        <f>IF(H2ProjectDB689571011[[#This Row],[Dummy_1]]="Electrolysis",
AA1586/VLOOKUP(G1586,ElectrolysisConvF,3,FALSE),
AC1586*10^6/(H2dens*HoursInYear))</f>
        <v>57692.307692307695</v>
      </c>
      <c r="AC1586" s="47">
        <f>AB1586*H2dens*HoursInYear/10^6</f>
        <v>44.979230769230767</v>
      </c>
      <c r="AD1586" s="92"/>
      <c r="AE1586" s="92">
        <f t="shared" si="115"/>
        <v>57692.307692307695</v>
      </c>
      <c r="AF1586" s="93" t="s">
        <v>5485</v>
      </c>
      <c r="AG1586" s="43">
        <v>61.768579188047802</v>
      </c>
      <c r="AH1586" s="43">
        <v>5.2972789466846804</v>
      </c>
      <c r="AI1586" s="122" t="s">
        <v>7286</v>
      </c>
      <c r="AJ1586" s="41">
        <v>0.56999999999999995</v>
      </c>
    </row>
    <row r="1587" spans="1:36" ht="35.1" hidden="1" customHeight="1" x14ac:dyDescent="0.25">
      <c r="A1587" s="40">
        <v>2219</v>
      </c>
      <c r="B1587" s="90" t="s">
        <v>5486</v>
      </c>
      <c r="C1587" s="90" t="s">
        <v>546</v>
      </c>
      <c r="D1587" s="44">
        <v>2028</v>
      </c>
      <c r="E1587" s="44"/>
      <c r="F1587" s="90" t="s">
        <v>1331</v>
      </c>
      <c r="G1587" s="90" t="s">
        <v>1261</v>
      </c>
      <c r="H1587" s="90" t="s">
        <v>5708</v>
      </c>
      <c r="I1587" s="90"/>
      <c r="J1587" s="90"/>
      <c r="K1587" s="90" t="s">
        <v>578</v>
      </c>
      <c r="L1587" s="90"/>
      <c r="M1587" s="90"/>
      <c r="N1587" s="90"/>
      <c r="O1587" s="90"/>
      <c r="P1587" s="90"/>
      <c r="Q1587" s="90"/>
      <c r="R1587" s="90"/>
      <c r="S1587" s="90"/>
      <c r="T1587" s="90"/>
      <c r="U1587" s="90"/>
      <c r="V1587" s="90"/>
      <c r="W1587" s="90"/>
      <c r="X1587" s="90"/>
      <c r="Y1587" s="90"/>
      <c r="Z1587" s="90" t="s">
        <v>5487</v>
      </c>
      <c r="AA1587" s="91"/>
      <c r="AB1587" s="46">
        <f>AC1587/(0.089*24*365/10^6)</f>
        <v>384792.98137601966</v>
      </c>
      <c r="AC1587" s="92">
        <v>300</v>
      </c>
      <c r="AD1587" s="92"/>
      <c r="AE1587" s="92">
        <f t="shared" si="115"/>
        <v>0</v>
      </c>
      <c r="AF1587" s="93" t="s">
        <v>5489</v>
      </c>
      <c r="AG1587" s="43">
        <v>51.958861608753999</v>
      </c>
      <c r="AH1587" s="43">
        <v>4.0563419055455601</v>
      </c>
      <c r="AI1587" s="122" t="s">
        <v>7287</v>
      </c>
      <c r="AJ1587" s="41">
        <v>0.9</v>
      </c>
    </row>
    <row r="1588" spans="1:36" ht="35.1" hidden="1" customHeight="1" x14ac:dyDescent="0.25">
      <c r="A1588" s="40">
        <v>2220</v>
      </c>
      <c r="B1588" s="90" t="s">
        <v>5490</v>
      </c>
      <c r="C1588" s="90" t="s">
        <v>1083</v>
      </c>
      <c r="D1588" s="90"/>
      <c r="E1588" s="90"/>
      <c r="F1588" s="90" t="s">
        <v>1331</v>
      </c>
      <c r="G1588" s="90" t="s">
        <v>1259</v>
      </c>
      <c r="H1588" s="40" t="s">
        <v>467</v>
      </c>
      <c r="I1588" s="90" t="s">
        <v>1269</v>
      </c>
      <c r="J1588" s="90" t="s">
        <v>581</v>
      </c>
      <c r="K1588" s="90" t="s">
        <v>578</v>
      </c>
      <c r="L1588" s="90"/>
      <c r="M1588" s="90"/>
      <c r="N1588" s="90">
        <v>1</v>
      </c>
      <c r="O1588" s="90"/>
      <c r="P1588" s="90"/>
      <c r="Q1588" s="90"/>
      <c r="R1588" s="90"/>
      <c r="S1588" s="90"/>
      <c r="T1588" s="90"/>
      <c r="U1588" s="90"/>
      <c r="V1588" s="90">
        <v>1</v>
      </c>
      <c r="W1588" s="90"/>
      <c r="X1588" s="90"/>
      <c r="Y1588" s="90"/>
      <c r="Z1588" s="90" t="s">
        <v>5491</v>
      </c>
      <c r="AA1588" s="47">
        <f>IF(H2ProjectDB689571011[[#This Row],[Dummy_1]]="Electrolysis",
AB1588*VLOOKUP(G1588,ElectrolysisConvF,3,FALSE),
"")</f>
        <v>207.78820994305062</v>
      </c>
      <c r="AB1588" s="46">
        <f>AC1588/(H2dens*HoursInYear/10^6)</f>
        <v>46175.157765122363</v>
      </c>
      <c r="AC1588" s="92">
        <f>18/H2ProjectDB689571011[[#This Row],[LOWE_CF]]</f>
        <v>36</v>
      </c>
      <c r="AD1588" s="92"/>
      <c r="AE1588" s="92">
        <f t="shared" si="115"/>
        <v>46175.157765122363</v>
      </c>
      <c r="AF1588" s="93" t="s">
        <v>5492</v>
      </c>
      <c r="AG1588" s="43">
        <v>10.1559214055513</v>
      </c>
      <c r="AH1588" s="43">
        <v>-73.987443641148403</v>
      </c>
      <c r="AI1588" s="122" t="s">
        <v>7286</v>
      </c>
      <c r="AJ1588" s="41">
        <v>0.5</v>
      </c>
    </row>
    <row r="1589" spans="1:36" ht="35.1" hidden="1" customHeight="1" x14ac:dyDescent="0.25">
      <c r="A1589" s="40">
        <v>2221</v>
      </c>
      <c r="B1589" s="90" t="s">
        <v>5495</v>
      </c>
      <c r="C1589" s="90" t="s">
        <v>538</v>
      </c>
      <c r="D1589" s="44">
        <v>2030</v>
      </c>
      <c r="E1589" s="44"/>
      <c r="F1589" s="40" t="s">
        <v>2222</v>
      </c>
      <c r="G1589" s="40" t="s">
        <v>1255</v>
      </c>
      <c r="H1589" s="90" t="s">
        <v>2727</v>
      </c>
      <c r="I1589" s="90"/>
      <c r="J1589" s="90"/>
      <c r="K1589" s="90" t="s">
        <v>578</v>
      </c>
      <c r="L1589" s="90"/>
      <c r="M1589" s="90"/>
      <c r="N1589" s="90"/>
      <c r="O1589" s="90"/>
      <c r="P1589" s="90">
        <v>1</v>
      </c>
      <c r="Q1589" s="90">
        <v>1</v>
      </c>
      <c r="R1589" s="90">
        <v>1</v>
      </c>
      <c r="S1589" s="90"/>
      <c r="T1589" s="90"/>
      <c r="U1589" s="90"/>
      <c r="V1589" s="90"/>
      <c r="W1589" s="90"/>
      <c r="X1589" s="90"/>
      <c r="Y1589" s="90"/>
      <c r="Z1589" s="90" t="s">
        <v>5494</v>
      </c>
      <c r="AA1589" s="91"/>
      <c r="AB1589" s="46">
        <f>AC1589/(H2dens*HoursInYear/10^6)</f>
        <v>8016.5204453337446</v>
      </c>
      <c r="AC1589" s="92">
        <f>6.25</f>
        <v>6.25</v>
      </c>
      <c r="AD1589" s="92"/>
      <c r="AE1589" s="92">
        <f t="shared" si="115"/>
        <v>8016.5204453337446</v>
      </c>
      <c r="AF1589" s="93" t="s">
        <v>5499</v>
      </c>
      <c r="AG1589" s="43">
        <v>35.366318764869199</v>
      </c>
      <c r="AH1589" s="43">
        <v>136.859727407587</v>
      </c>
      <c r="AI1589" s="122" t="s">
        <v>1255</v>
      </c>
      <c r="AJ1589" s="41">
        <v>0.9</v>
      </c>
    </row>
    <row r="1590" spans="1:36" ht="35.1" hidden="1" customHeight="1" x14ac:dyDescent="0.25">
      <c r="A1590" s="40">
        <v>2222</v>
      </c>
      <c r="B1590" s="90" t="s">
        <v>5496</v>
      </c>
      <c r="C1590" s="90" t="s">
        <v>538</v>
      </c>
      <c r="D1590" s="44"/>
      <c r="E1590" s="44"/>
      <c r="F1590" s="40" t="s">
        <v>2222</v>
      </c>
      <c r="G1590" s="40" t="s">
        <v>1255</v>
      </c>
      <c r="H1590" s="90" t="s">
        <v>2727</v>
      </c>
      <c r="I1590" s="90"/>
      <c r="J1590" s="90"/>
      <c r="K1590" s="90" t="s">
        <v>578</v>
      </c>
      <c r="L1590" s="90"/>
      <c r="M1590" s="90"/>
      <c r="N1590" s="90"/>
      <c r="O1590" s="90"/>
      <c r="P1590" s="90">
        <v>1</v>
      </c>
      <c r="Q1590" s="90">
        <v>1</v>
      </c>
      <c r="R1590" s="90">
        <v>1</v>
      </c>
      <c r="S1590" s="90"/>
      <c r="T1590" s="90"/>
      <c r="U1590" s="90"/>
      <c r="V1590" s="90"/>
      <c r="W1590" s="90"/>
      <c r="X1590" s="90"/>
      <c r="Y1590" s="90"/>
      <c r="Z1590" s="90" t="s">
        <v>5497</v>
      </c>
      <c r="AA1590" s="91"/>
      <c r="AB1590" s="46">
        <f>AC1590/(H2dens*HoursInYear/10^6)</f>
        <v>96198.245344004928</v>
      </c>
      <c r="AC1590" s="92">
        <v>75</v>
      </c>
      <c r="AD1590" s="92"/>
      <c r="AE1590" s="92">
        <f t="shared" si="115"/>
        <v>96198.245344004928</v>
      </c>
      <c r="AF1590" s="93" t="s">
        <v>5499</v>
      </c>
      <c r="AG1590" s="43">
        <v>35.366318764869199</v>
      </c>
      <c r="AH1590" s="43">
        <v>136.859727407587</v>
      </c>
      <c r="AI1590" s="122" t="s">
        <v>1255</v>
      </c>
      <c r="AJ1590" s="41">
        <v>0.9</v>
      </c>
    </row>
    <row r="1591" spans="1:36" ht="35.1" hidden="1" customHeight="1" x14ac:dyDescent="0.25">
      <c r="A1591" s="40">
        <v>2223</v>
      </c>
      <c r="B1591" s="90" t="s">
        <v>5520</v>
      </c>
      <c r="C1591" s="90" t="s">
        <v>536</v>
      </c>
      <c r="D1591" s="44">
        <v>2028</v>
      </c>
      <c r="E1591" s="44"/>
      <c r="F1591" s="90" t="s">
        <v>2222</v>
      </c>
      <c r="G1591" s="90" t="s">
        <v>1261</v>
      </c>
      <c r="H1591" s="90" t="s">
        <v>5708</v>
      </c>
      <c r="I1591" s="90" t="str">
        <f>IF(AND(G1591&lt;&gt;"ALK",G1591&lt;&gt;"PEM",G1591&lt;&gt;"SOEC",G1591&lt;&gt;"Other electrolysis"),"N/A","")</f>
        <v>N/A</v>
      </c>
      <c r="J1591" s="90" t="str">
        <f>IF(I1591&lt;&gt;"Dedicated renewable","N/A",)</f>
        <v>N/A</v>
      </c>
      <c r="K1591" s="90" t="s">
        <v>1243</v>
      </c>
      <c r="L1591" s="90"/>
      <c r="M1591" s="90"/>
      <c r="N1591" s="90"/>
      <c r="O1591" s="90"/>
      <c r="P1591" s="90"/>
      <c r="Q1591" s="90"/>
      <c r="R1591" s="90"/>
      <c r="S1591" s="90"/>
      <c r="T1591" s="90"/>
      <c r="U1591" s="90"/>
      <c r="V1591" s="90"/>
      <c r="W1591" s="90"/>
      <c r="X1591" s="90"/>
      <c r="Y1591" s="90"/>
      <c r="Z1591" s="90" t="s">
        <v>7570</v>
      </c>
      <c r="AA1591" s="91"/>
      <c r="AB1591" s="46">
        <f>IF(H2ProjectDB689571011[[#This Row],[Dummy_1]]="Electrolysis",
AA1591/VLOOKUP(G1591,ElectrolysisConvF,3,FALSE),
AC1591*10^6/(H2dens*HoursInYear))</f>
        <v>505820.30565035011</v>
      </c>
      <c r="AC1591" s="92">
        <f>6*365*3/17/0.98</f>
        <v>394.35774309723894</v>
      </c>
      <c r="AD1591" s="92">
        <v>3600000</v>
      </c>
      <c r="AE1591" s="92">
        <f t="shared" si="115"/>
        <v>451355.19396989461</v>
      </c>
      <c r="AF1591" s="93" t="s">
        <v>5501</v>
      </c>
      <c r="AG1591" s="43">
        <v>37.756675056214597</v>
      </c>
      <c r="AH1591" s="43">
        <v>-82.167074506760201</v>
      </c>
      <c r="AI1591" s="122" t="s">
        <v>7287</v>
      </c>
      <c r="AJ1591" s="41">
        <v>0.9</v>
      </c>
    </row>
    <row r="1592" spans="1:36" ht="35.1" hidden="1" customHeight="1" x14ac:dyDescent="0.25">
      <c r="A1592" s="40">
        <v>2224</v>
      </c>
      <c r="B1592" s="40" t="s">
        <v>7987</v>
      </c>
      <c r="C1592" s="90" t="s">
        <v>1094</v>
      </c>
      <c r="D1592" s="44">
        <v>2027</v>
      </c>
      <c r="E1592" s="44"/>
      <c r="F1592" s="40" t="s">
        <v>2222</v>
      </c>
      <c r="G1592" s="40" t="s">
        <v>1259</v>
      </c>
      <c r="H1592" s="40" t="s">
        <v>467</v>
      </c>
      <c r="I1592" s="40" t="s">
        <v>1269</v>
      </c>
      <c r="J1592" s="90" t="s">
        <v>581</v>
      </c>
      <c r="K1592" s="90" t="s">
        <v>1243</v>
      </c>
      <c r="L1592" s="90"/>
      <c r="M1592" s="90">
        <v>1</v>
      </c>
      <c r="N1592" s="90"/>
      <c r="O1592" s="90"/>
      <c r="P1592" s="90"/>
      <c r="Q1592" s="90"/>
      <c r="R1592" s="90"/>
      <c r="S1592" s="90"/>
      <c r="T1592" s="90"/>
      <c r="U1592" s="90"/>
      <c r="V1592" s="90"/>
      <c r="W1592" s="90"/>
      <c r="X1592" s="90"/>
      <c r="Y1592" s="90"/>
      <c r="Z1592" s="40" t="s">
        <v>7989</v>
      </c>
      <c r="AA1592" s="47">
        <f>IF(H2ProjectDB689571011[[#This Row],[Dummy_1]]="Electrolysis",
AB1592*VLOOKUP(G1592,ElectrolysisConvF,3,FALSE),
"")</f>
        <v>873.05970564306983</v>
      </c>
      <c r="AB1592" s="46">
        <f>AC1592/(H2dens*HoursInYear/10^6)</f>
        <v>194013.26792068221</v>
      </c>
      <c r="AC1592" s="92">
        <f>((0.42*1000)*3/17/0.98/H2ProjectDB689571011[[#This Row],[LOWE_CF]])</f>
        <v>151.26050420168067</v>
      </c>
      <c r="AD1592" s="92"/>
      <c r="AE1592" s="92">
        <f t="shared" si="115"/>
        <v>194013.26792068221</v>
      </c>
      <c r="AF1592" s="43" t="s">
        <v>7992</v>
      </c>
      <c r="AG1592" s="43">
        <v>-16.409153153123601</v>
      </c>
      <c r="AH1592" s="43">
        <v>-71.534721166134901</v>
      </c>
      <c r="AI1592" s="122" t="s">
        <v>7286</v>
      </c>
      <c r="AJ1592" s="41">
        <v>0.5</v>
      </c>
    </row>
    <row r="1593" spans="1:36" ht="35.1" hidden="1" customHeight="1" x14ac:dyDescent="0.25">
      <c r="A1593" s="40">
        <v>2225</v>
      </c>
      <c r="B1593" s="90" t="s">
        <v>5502</v>
      </c>
      <c r="C1593" s="90" t="s">
        <v>563</v>
      </c>
      <c r="D1593" s="44">
        <v>2030</v>
      </c>
      <c r="E1593" s="44"/>
      <c r="F1593" s="40" t="s">
        <v>1331</v>
      </c>
      <c r="G1593" s="40" t="s">
        <v>1259</v>
      </c>
      <c r="H1593" s="40" t="s">
        <v>467</v>
      </c>
      <c r="I1593" s="90" t="s">
        <v>1269</v>
      </c>
      <c r="J1593" s="90" t="s">
        <v>581</v>
      </c>
      <c r="K1593" s="90" t="s">
        <v>578</v>
      </c>
      <c r="L1593" s="90"/>
      <c r="M1593" s="90">
        <v>1</v>
      </c>
      <c r="N1593" s="90">
        <v>1</v>
      </c>
      <c r="O1593" s="90"/>
      <c r="P1593" s="90">
        <v>1</v>
      </c>
      <c r="Q1593" s="90"/>
      <c r="R1593" s="90"/>
      <c r="S1593" s="90"/>
      <c r="T1593" s="90"/>
      <c r="U1593" s="90"/>
      <c r="V1593" s="90"/>
      <c r="W1593" s="90"/>
      <c r="X1593" s="90"/>
      <c r="Y1593" s="90"/>
      <c r="Z1593" s="90" t="s">
        <v>5503</v>
      </c>
      <c r="AA1593" s="47">
        <f>IF(H2ProjectDB689571011[[#This Row],[Dummy_1]]="Electrolysis",
AB1593*VLOOKUP(G1593,ElectrolysisConvF,3,FALSE),
"")</f>
        <v>404.03263044482071</v>
      </c>
      <c r="AB1593" s="46">
        <f>AC1593/(H2dens*HoursInYear/10^6)</f>
        <v>89785.02898773794</v>
      </c>
      <c r="AC1593" s="92">
        <f>35/H2ProjectDB689571011[[#This Row],[LOWE_CF]]</f>
        <v>70</v>
      </c>
      <c r="AD1593" s="92"/>
      <c r="AE1593" s="92">
        <f t="shared" si="115"/>
        <v>89785.02898773794</v>
      </c>
      <c r="AF1593" s="93" t="s">
        <v>5505</v>
      </c>
      <c r="AG1593" s="43">
        <v>-51.0322502875594</v>
      </c>
      <c r="AH1593" s="43">
        <v>-69.456876743641899</v>
      </c>
      <c r="AI1593" s="122" t="s">
        <v>7286</v>
      </c>
      <c r="AJ1593" s="41">
        <v>0.5</v>
      </c>
    </row>
    <row r="1594" spans="1:36" ht="35.1" hidden="1" customHeight="1" x14ac:dyDescent="0.25">
      <c r="A1594" s="40">
        <v>2226</v>
      </c>
      <c r="B1594" s="90" t="s">
        <v>5507</v>
      </c>
      <c r="C1594" s="90" t="s">
        <v>533</v>
      </c>
      <c r="D1594" s="44">
        <v>2028</v>
      </c>
      <c r="E1594" s="44"/>
      <c r="F1594" s="40" t="s">
        <v>1331</v>
      </c>
      <c r="G1594" s="40" t="s">
        <v>1259</v>
      </c>
      <c r="H1594" s="40" t="s">
        <v>467</v>
      </c>
      <c r="I1594" s="40" t="s">
        <v>1269</v>
      </c>
      <c r="J1594" s="90" t="s">
        <v>1392</v>
      </c>
      <c r="K1594" s="90" t="s">
        <v>1243</v>
      </c>
      <c r="L1594" s="90"/>
      <c r="M1594" s="90">
        <v>1</v>
      </c>
      <c r="N1594" s="90"/>
      <c r="O1594" s="90"/>
      <c r="P1594" s="90"/>
      <c r="Q1594" s="90"/>
      <c r="R1594" s="90"/>
      <c r="S1594" s="90"/>
      <c r="T1594" s="90"/>
      <c r="U1594" s="90"/>
      <c r="V1594" s="90"/>
      <c r="W1594" s="90"/>
      <c r="X1594" s="90"/>
      <c r="Y1594" s="90"/>
      <c r="Z1594" s="90" t="s">
        <v>5508</v>
      </c>
      <c r="AA1594" s="47">
        <f>IF(H2ProjectDB689571011[[#This Row],[Dummy_1]]="Electrolysis",
AB1594*VLOOKUP(G1594,ElectrolysisConvF,3,FALSE),
"")</f>
        <v>5196.7839621611292</v>
      </c>
      <c r="AB1594" s="46">
        <f>AC1594/(H2dens*HoursInYear/10^6)</f>
        <v>1154840.880480251</v>
      </c>
      <c r="AC1594" s="92">
        <f>2000*3/17/0.98/H2ProjectDB689571011[[#This Row],[LOWE_CF]]</f>
        <v>900.36014405762296</v>
      </c>
      <c r="AD1594" s="92"/>
      <c r="AE1594" s="92">
        <f t="shared" si="115"/>
        <v>1154840.880480251</v>
      </c>
      <c r="AF1594" s="93" t="s">
        <v>5510</v>
      </c>
      <c r="AG1594" s="43">
        <v>45.583347000000003</v>
      </c>
      <c r="AH1594" s="43">
        <v>-61.339879000000003</v>
      </c>
      <c r="AI1594" s="122" t="s">
        <v>7286</v>
      </c>
      <c r="AJ1594" s="41">
        <v>0.4</v>
      </c>
    </row>
    <row r="1595" spans="1:36" ht="35.1" hidden="1" customHeight="1" x14ac:dyDescent="0.25">
      <c r="A1595" s="40">
        <v>2227</v>
      </c>
      <c r="B1595" s="90" t="s">
        <v>5511</v>
      </c>
      <c r="C1595" s="90" t="s">
        <v>1764</v>
      </c>
      <c r="D1595" s="44">
        <v>2027</v>
      </c>
      <c r="E1595" s="44"/>
      <c r="F1595" s="40" t="s">
        <v>1331</v>
      </c>
      <c r="G1595" s="40" t="s">
        <v>1259</v>
      </c>
      <c r="H1595" s="40" t="s">
        <v>467</v>
      </c>
      <c r="I1595" s="40" t="s">
        <v>1269</v>
      </c>
      <c r="J1595" s="90" t="s">
        <v>1395</v>
      </c>
      <c r="K1595" s="90" t="s">
        <v>578</v>
      </c>
      <c r="L1595" s="90"/>
      <c r="M1595" s="90"/>
      <c r="N1595" s="90"/>
      <c r="O1595" s="90"/>
      <c r="P1595" s="90"/>
      <c r="Q1595" s="90"/>
      <c r="R1595" s="90"/>
      <c r="S1595" s="90"/>
      <c r="T1595" s="90"/>
      <c r="U1595" s="90"/>
      <c r="V1595" s="90"/>
      <c r="W1595" s="90"/>
      <c r="X1595" s="90"/>
      <c r="Y1595" s="90"/>
      <c r="Z1595" s="90" t="s">
        <v>3968</v>
      </c>
      <c r="AA1595" s="91">
        <v>800</v>
      </c>
      <c r="AB1595" s="46">
        <f>IF(H2ProjectDB689571011[[#This Row],[Dummy_1]]="Electrolysis",
AA1595/VLOOKUP(G1595,ElectrolysisConvF,3,FALSE),
AC1595*10^6/(H2dens*HoursInYear))</f>
        <v>177777.77777777778</v>
      </c>
      <c r="AC1595" s="47">
        <f>AB1595*H2dens*HoursInYear/10^6</f>
        <v>138.60266666666666</v>
      </c>
      <c r="AD1595" s="92"/>
      <c r="AE1595" s="92">
        <f t="shared" si="115"/>
        <v>177777.77777777778</v>
      </c>
      <c r="AF1595" s="93" t="s">
        <v>5513</v>
      </c>
      <c r="AG1595" s="43">
        <v>38.999236788918701</v>
      </c>
      <c r="AH1595" s="43">
        <v>-1.8554395584503001</v>
      </c>
      <c r="AI1595" s="122" t="s">
        <v>7286</v>
      </c>
      <c r="AJ1595" s="41">
        <v>0.5</v>
      </c>
    </row>
    <row r="1596" spans="1:36" ht="35.1" hidden="1" customHeight="1" x14ac:dyDescent="0.25">
      <c r="A1596" s="40">
        <v>2228</v>
      </c>
      <c r="B1596" s="90" t="s">
        <v>5514</v>
      </c>
      <c r="C1596" s="90" t="s">
        <v>1764</v>
      </c>
      <c r="D1596" s="44">
        <v>2030</v>
      </c>
      <c r="E1596" s="44"/>
      <c r="F1596" s="40" t="s">
        <v>2222</v>
      </c>
      <c r="G1596" s="40" t="s">
        <v>1259</v>
      </c>
      <c r="H1596" s="40" t="s">
        <v>467</v>
      </c>
      <c r="I1596" s="40" t="s">
        <v>1269</v>
      </c>
      <c r="J1596" s="90" t="s">
        <v>1395</v>
      </c>
      <c r="K1596" s="90" t="s">
        <v>578</v>
      </c>
      <c r="L1596" s="90"/>
      <c r="M1596" s="90"/>
      <c r="N1596" s="90"/>
      <c r="O1596" s="90"/>
      <c r="P1596" s="90"/>
      <c r="Q1596" s="90"/>
      <c r="R1596" s="90"/>
      <c r="S1596" s="90"/>
      <c r="T1596" s="90"/>
      <c r="U1596" s="90"/>
      <c r="V1596" s="90"/>
      <c r="W1596" s="90"/>
      <c r="X1596" s="90"/>
      <c r="Y1596" s="90"/>
      <c r="Z1596" s="90" t="s">
        <v>3968</v>
      </c>
      <c r="AA1596" s="91">
        <v>800</v>
      </c>
      <c r="AB1596" s="46">
        <f>IF(H2ProjectDB689571011[[#This Row],[Dummy_1]]="Electrolysis",
AA1596/VLOOKUP(G1596,ElectrolysisConvF,3,FALSE),
AC1596*10^6/(H2dens*HoursInYear))</f>
        <v>177777.77777777778</v>
      </c>
      <c r="AC1596" s="47">
        <f>AB1596*H2dens*HoursInYear/10^6</f>
        <v>138.60266666666666</v>
      </c>
      <c r="AD1596" s="92"/>
      <c r="AE1596" s="92">
        <f t="shared" si="115"/>
        <v>177777.77777777778</v>
      </c>
      <c r="AF1596" s="93" t="s">
        <v>5513</v>
      </c>
      <c r="AG1596" s="43">
        <v>38.999236788918701</v>
      </c>
      <c r="AH1596" s="43">
        <v>-1.8554395584503001</v>
      </c>
      <c r="AI1596" s="122" t="s">
        <v>7286</v>
      </c>
      <c r="AJ1596" s="41">
        <v>0.5</v>
      </c>
    </row>
    <row r="1597" spans="1:36" ht="35.1" hidden="1" customHeight="1" x14ac:dyDescent="0.25">
      <c r="A1597" s="40">
        <v>2229</v>
      </c>
      <c r="B1597" s="90" t="s">
        <v>5515</v>
      </c>
      <c r="C1597" s="90" t="s">
        <v>1064</v>
      </c>
      <c r="D1597" s="44">
        <v>2027</v>
      </c>
      <c r="E1597" s="44"/>
      <c r="F1597" s="40" t="s">
        <v>1331</v>
      </c>
      <c r="G1597" s="40" t="s">
        <v>1259</v>
      </c>
      <c r="H1597" s="40" t="s">
        <v>467</v>
      </c>
      <c r="I1597" s="40" t="s">
        <v>5700</v>
      </c>
      <c r="J1597" s="90"/>
      <c r="K1597" s="90" t="s">
        <v>578</v>
      </c>
      <c r="L1597" s="90"/>
      <c r="M1597" s="90"/>
      <c r="N1597" s="90"/>
      <c r="O1597" s="90"/>
      <c r="P1597" s="90"/>
      <c r="Q1597" s="90"/>
      <c r="R1597" s="90"/>
      <c r="S1597" s="90"/>
      <c r="T1597" s="90"/>
      <c r="U1597" s="90"/>
      <c r="V1597" s="90"/>
      <c r="W1597" s="90"/>
      <c r="X1597" s="90"/>
      <c r="Y1597" s="90"/>
      <c r="Z1597" s="40" t="s">
        <v>8285</v>
      </c>
      <c r="AA1597" s="91">
        <v>171</v>
      </c>
      <c r="AB1597" s="46">
        <f>IF(H2ProjectDB689571011[[#This Row],[Dummy_1]]="Electrolysis",
AA1597/VLOOKUP(G1597,ElectrolysisConvF,3,FALSE),
AC1597*10^6/(H2dens*HoursInYear))</f>
        <v>38000</v>
      </c>
      <c r="AC1597" s="47">
        <f>AB1597*H2dens*HoursInYear/10^6</f>
        <v>29.62632</v>
      </c>
      <c r="AD1597" s="92"/>
      <c r="AE1597" s="92">
        <f t="shared" si="115"/>
        <v>38000</v>
      </c>
      <c r="AF1597" s="43" t="s">
        <v>8287</v>
      </c>
      <c r="AG1597" s="43">
        <v>55.134756659357699</v>
      </c>
      <c r="AH1597" s="43">
        <v>21.906131757502902</v>
      </c>
      <c r="AI1597" s="122" t="s">
        <v>7286</v>
      </c>
      <c r="AJ1597" s="41">
        <v>0.7</v>
      </c>
    </row>
    <row r="1598" spans="1:36" ht="35.1" hidden="1" customHeight="1" x14ac:dyDescent="0.25">
      <c r="A1598" s="40">
        <v>2230</v>
      </c>
      <c r="B1598" s="90" t="s">
        <v>5519</v>
      </c>
      <c r="C1598" s="90" t="s">
        <v>536</v>
      </c>
      <c r="D1598" s="90"/>
      <c r="E1598" s="90"/>
      <c r="F1598" s="40" t="s">
        <v>2222</v>
      </c>
      <c r="G1598" s="40" t="s">
        <v>1259</v>
      </c>
      <c r="H1598" s="40" t="s">
        <v>467</v>
      </c>
      <c r="I1598" s="40" t="s">
        <v>1269</v>
      </c>
      <c r="J1598" s="90" t="s">
        <v>1392</v>
      </c>
      <c r="K1598" s="90" t="s">
        <v>1243</v>
      </c>
      <c r="L1598" s="90"/>
      <c r="M1598" s="90">
        <v>1</v>
      </c>
      <c r="N1598" s="90"/>
      <c r="O1598" s="90"/>
      <c r="P1598" s="90"/>
      <c r="Q1598" s="90"/>
      <c r="R1598" s="90"/>
      <c r="S1598" s="90"/>
      <c r="T1598" s="90"/>
      <c r="U1598" s="90"/>
      <c r="V1598" s="90"/>
      <c r="W1598" s="90"/>
      <c r="X1598" s="90"/>
      <c r="Y1598" s="90"/>
      <c r="Z1598" s="90" t="s">
        <v>1485</v>
      </c>
      <c r="AA1598" s="91">
        <v>100</v>
      </c>
      <c r="AB1598" s="46">
        <f>IF(H2ProjectDB689571011[[#This Row],[Dummy_1]]="Electrolysis",
AA1598/VLOOKUP(G1598,ElectrolysisConvF,3,FALSE),
AC1598*10^6/(H2dens*HoursInYear))</f>
        <v>22222.222222222223</v>
      </c>
      <c r="AC1598" s="47">
        <f>AB1598*H2dens*HoursInYear/10^6</f>
        <v>17.325333333333333</v>
      </c>
      <c r="AD1598" s="92"/>
      <c r="AE1598" s="92">
        <f t="shared" si="115"/>
        <v>22222.222222222223</v>
      </c>
      <c r="AF1598" s="93" t="s">
        <v>5517</v>
      </c>
      <c r="AG1598" s="43">
        <v>36.241328999765898</v>
      </c>
      <c r="AH1598" s="43">
        <v>-95.681402058910805</v>
      </c>
      <c r="AI1598" s="122" t="s">
        <v>7286</v>
      </c>
      <c r="AJ1598" s="41">
        <v>0.4</v>
      </c>
    </row>
    <row r="1599" spans="1:36" ht="35.1" hidden="1" customHeight="1" x14ac:dyDescent="0.25">
      <c r="A1599" s="40">
        <v>2231</v>
      </c>
      <c r="B1599" s="90" t="s">
        <v>5521</v>
      </c>
      <c r="C1599" s="90" t="s">
        <v>1889</v>
      </c>
      <c r="D1599" s="90"/>
      <c r="E1599" s="90"/>
      <c r="F1599" s="40" t="s">
        <v>2222</v>
      </c>
      <c r="G1599" s="40" t="s">
        <v>1259</v>
      </c>
      <c r="H1599" s="40" t="s">
        <v>467</v>
      </c>
      <c r="I1599" s="40" t="s">
        <v>1269</v>
      </c>
      <c r="J1599" s="90" t="s">
        <v>1395</v>
      </c>
      <c r="K1599" s="90" t="s">
        <v>578</v>
      </c>
      <c r="L1599" s="90"/>
      <c r="M1599" s="90"/>
      <c r="N1599" s="90"/>
      <c r="O1599" s="90"/>
      <c r="P1599" s="90"/>
      <c r="Q1599" s="90"/>
      <c r="R1599" s="90"/>
      <c r="S1599" s="90"/>
      <c r="T1599" s="90"/>
      <c r="U1599" s="90"/>
      <c r="V1599" s="90"/>
      <c r="W1599" s="90"/>
      <c r="X1599" s="90"/>
      <c r="Y1599" s="90"/>
      <c r="Z1599" s="90" t="s">
        <v>5522</v>
      </c>
      <c r="AA1599" s="47">
        <f>IF(H2ProjectDB689571011[[#This Row],[Dummy_1]]="Electrolysis",
AB1599*VLOOKUP(G1599,ElectrolysisConvF,3,FALSE),
"")</f>
        <v>164.49899953824843</v>
      </c>
      <c r="AB1599" s="46">
        <f>AC1599/(H2dens*HoursInYear/10^6)</f>
        <v>36555.333230721873</v>
      </c>
      <c r="AC1599" s="92">
        <f>28.5</f>
        <v>28.5</v>
      </c>
      <c r="AD1599" s="92"/>
      <c r="AE1599" s="92">
        <f t="shared" si="115"/>
        <v>36555.333230721873</v>
      </c>
      <c r="AF1599" s="93" t="s">
        <v>5523</v>
      </c>
      <c r="AG1599" s="43">
        <v>15.563585209942</v>
      </c>
      <c r="AH1599" s="43">
        <v>-61.455553080573303</v>
      </c>
      <c r="AI1599" s="122" t="s">
        <v>7286</v>
      </c>
      <c r="AJ1599" s="41">
        <v>0.5</v>
      </c>
    </row>
    <row r="1600" spans="1:36" ht="35.1" hidden="1" customHeight="1" x14ac:dyDescent="0.25">
      <c r="A1600" s="40">
        <v>2232</v>
      </c>
      <c r="B1600" s="40" t="s">
        <v>5528</v>
      </c>
      <c r="C1600" s="40" t="s">
        <v>1764</v>
      </c>
      <c r="D1600" s="44">
        <v>2025</v>
      </c>
      <c r="E1600" s="44"/>
      <c r="F1600" s="40" t="s">
        <v>1331</v>
      </c>
      <c r="G1600" s="40" t="s">
        <v>1259</v>
      </c>
      <c r="H1600" s="40" t="s">
        <v>467</v>
      </c>
      <c r="I1600" s="40" t="s">
        <v>1269</v>
      </c>
      <c r="J1600" s="90" t="s">
        <v>1391</v>
      </c>
      <c r="K1600" s="90" t="s">
        <v>578</v>
      </c>
      <c r="L1600" s="90"/>
      <c r="M1600" s="90"/>
      <c r="N1600" s="90"/>
      <c r="O1600" s="90"/>
      <c r="P1600" s="90"/>
      <c r="Q1600" s="90"/>
      <c r="R1600" s="90"/>
      <c r="S1600" s="90"/>
      <c r="T1600" s="90"/>
      <c r="U1600" s="90"/>
      <c r="V1600" s="90"/>
      <c r="W1600" s="90"/>
      <c r="X1600" s="90"/>
      <c r="Y1600" s="90"/>
      <c r="Z1600" s="40" t="s">
        <v>2054</v>
      </c>
      <c r="AA1600" s="91">
        <v>500</v>
      </c>
      <c r="AB1600" s="46">
        <f>IF(H2ProjectDB689571011[[#This Row],[Dummy_1]]="Electrolysis",
AA1600/VLOOKUP(G1600,ElectrolysisConvF,3,FALSE),
AC1600*10^6/(H2dens*HoursInYear))</f>
        <v>111111.11111111112</v>
      </c>
      <c r="AC1600" s="47">
        <f>AB1600*H2dens*HoursInYear/10^6</f>
        <v>86.626666666666665</v>
      </c>
      <c r="AD1600" s="92"/>
      <c r="AE1600" s="92">
        <f t="shared" si="115"/>
        <v>111111.11111111112</v>
      </c>
      <c r="AF1600" s="43" t="s">
        <v>6471</v>
      </c>
      <c r="AG1600" s="43">
        <v>38.716310818132399</v>
      </c>
      <c r="AH1600" s="43">
        <v>-4.1579541462298399</v>
      </c>
      <c r="AI1600" s="122" t="s">
        <v>7286</v>
      </c>
      <c r="AJ1600" s="41">
        <v>0.3</v>
      </c>
    </row>
    <row r="1601" spans="1:36" ht="35.1" hidden="1" customHeight="1" x14ac:dyDescent="0.25">
      <c r="A1601" s="40">
        <v>2233</v>
      </c>
      <c r="B1601" s="40" t="s">
        <v>5529</v>
      </c>
      <c r="C1601" s="40" t="s">
        <v>1305</v>
      </c>
      <c r="D1601" s="44">
        <v>2027</v>
      </c>
      <c r="E1601" s="44"/>
      <c r="F1601" s="90" t="s">
        <v>1331</v>
      </c>
      <c r="G1601" s="90" t="s">
        <v>1259</v>
      </c>
      <c r="H1601" s="90" t="s">
        <v>467</v>
      </c>
      <c r="I1601" s="90" t="s">
        <v>1269</v>
      </c>
      <c r="J1601" s="90" t="s">
        <v>581</v>
      </c>
      <c r="K1601" s="90" t="s">
        <v>578</v>
      </c>
      <c r="L1601" s="90"/>
      <c r="M1601" s="90"/>
      <c r="N1601" s="90"/>
      <c r="O1601" s="90"/>
      <c r="P1601" s="90"/>
      <c r="Q1601" s="90"/>
      <c r="R1601" s="90"/>
      <c r="S1601" s="90"/>
      <c r="T1601" s="90"/>
      <c r="U1601" s="90"/>
      <c r="V1601" s="90"/>
      <c r="W1601" s="90"/>
      <c r="X1601" s="90"/>
      <c r="Y1601" s="90"/>
      <c r="Z1601" s="40" t="s">
        <v>5530</v>
      </c>
      <c r="AA1601" s="91">
        <v>210</v>
      </c>
      <c r="AB1601" s="46">
        <f>IF(H2ProjectDB689571011[[#This Row],[Dummy_1]]="Electrolysis",
AA1601/VLOOKUP(G1601,ElectrolysisConvF,3,FALSE),
AC1601*10^6/(H2dens*HoursInYear))</f>
        <v>46666.666666666672</v>
      </c>
      <c r="AC1601" s="47">
        <f>AB1601*H2dens*HoursInYear/10^6</f>
        <v>36.383200000000009</v>
      </c>
      <c r="AD1601" s="92"/>
      <c r="AE1601" s="92">
        <f t="shared" si="115"/>
        <v>46666.666666666672</v>
      </c>
      <c r="AF1601" s="43" t="s">
        <v>5532</v>
      </c>
      <c r="AG1601" s="43">
        <v>0</v>
      </c>
      <c r="AH1601" s="43">
        <v>0</v>
      </c>
      <c r="AI1601" s="122" t="s">
        <v>7286</v>
      </c>
      <c r="AJ1601" s="41">
        <v>0.5</v>
      </c>
    </row>
    <row r="1602" spans="1:36" ht="35.1" hidden="1" customHeight="1" x14ac:dyDescent="0.25">
      <c r="A1602" s="40">
        <v>2234</v>
      </c>
      <c r="B1602" s="40" t="s">
        <v>5533</v>
      </c>
      <c r="C1602" s="90" t="s">
        <v>560</v>
      </c>
      <c r="D1602" s="90"/>
      <c r="E1602" s="90"/>
      <c r="F1602" s="90" t="s">
        <v>2222</v>
      </c>
      <c r="G1602" s="90" t="s">
        <v>1259</v>
      </c>
      <c r="H1602" s="90" t="s">
        <v>467</v>
      </c>
      <c r="I1602" s="40" t="s">
        <v>1269</v>
      </c>
      <c r="J1602" s="90" t="s">
        <v>1391</v>
      </c>
      <c r="K1602" s="90" t="s">
        <v>1243</v>
      </c>
      <c r="L1602" s="90"/>
      <c r="M1602" s="90">
        <v>1</v>
      </c>
      <c r="N1602" s="90"/>
      <c r="O1602" s="90"/>
      <c r="P1602" s="90"/>
      <c r="Q1602" s="90"/>
      <c r="R1602" s="90"/>
      <c r="S1602" s="90"/>
      <c r="T1602" s="90"/>
      <c r="U1602" s="90"/>
      <c r="V1602" s="90"/>
      <c r="W1602" s="90"/>
      <c r="X1602" s="90"/>
      <c r="Y1602" s="90"/>
      <c r="Z1602" s="40" t="s">
        <v>5687</v>
      </c>
      <c r="AA1602" s="47">
        <f>IF(H2ProjectDB689571011[[#This Row],[Dummy_1]]="Electrolysis",
AB1602*VLOOKUP(G1602,ElectrolysisConvF,3,FALSE),
"")</f>
        <v>1590.2158924213063</v>
      </c>
      <c r="AB1602" s="46">
        <f>AC1602/(H2dens*HoursInYear/10^6)</f>
        <v>353381.30942695698</v>
      </c>
      <c r="AC1602" s="92">
        <f>(459*3/17/0.98/H2ProjectDB689571011[[#This Row],[LOWE_CF]])</f>
        <v>275.51020408163271</v>
      </c>
      <c r="AD1602" s="92"/>
      <c r="AE1602" s="92">
        <f t="shared" si="115"/>
        <v>353381.30942695698</v>
      </c>
      <c r="AF1602" s="43" t="s">
        <v>5535</v>
      </c>
      <c r="AG1602" s="43">
        <v>-26.749998784626399</v>
      </c>
      <c r="AH1602" s="43">
        <v>-70.554560885654396</v>
      </c>
      <c r="AI1602" s="122" t="s">
        <v>7286</v>
      </c>
      <c r="AJ1602" s="41">
        <v>0.3</v>
      </c>
    </row>
    <row r="1603" spans="1:36" ht="35.1" hidden="1" customHeight="1" x14ac:dyDescent="0.25">
      <c r="A1603" s="40">
        <v>2235</v>
      </c>
      <c r="B1603" s="40" t="s">
        <v>5538</v>
      </c>
      <c r="C1603" s="40" t="s">
        <v>530</v>
      </c>
      <c r="D1603" s="44"/>
      <c r="E1603" s="44"/>
      <c r="F1603" s="40" t="s">
        <v>2222</v>
      </c>
      <c r="G1603" s="40" t="s">
        <v>1255</v>
      </c>
      <c r="H1603" s="90" t="s">
        <v>2727</v>
      </c>
      <c r="I1603" s="90"/>
      <c r="J1603" s="90"/>
      <c r="K1603" s="90" t="s">
        <v>578</v>
      </c>
      <c r="L1603" s="90"/>
      <c r="M1603" s="90"/>
      <c r="N1603" s="90"/>
      <c r="O1603" s="90"/>
      <c r="P1603" s="90"/>
      <c r="Q1603" s="90"/>
      <c r="R1603" s="90"/>
      <c r="S1603" s="90"/>
      <c r="T1603" s="90"/>
      <c r="U1603" s="90"/>
      <c r="V1603" s="90"/>
      <c r="W1603" s="90"/>
      <c r="X1603" s="90"/>
      <c r="Y1603" s="90"/>
      <c r="Z1603" s="40" t="s">
        <v>5539</v>
      </c>
      <c r="AB1603" s="46">
        <f>AC1603/(H2dens*HoursInYear/10^6)</f>
        <v>3562.897975703886</v>
      </c>
      <c r="AC1603" s="92">
        <f>2.5/H2ProjectDB689571011[[#This Row],[LOWE_CF]]</f>
        <v>2.7777777777777777</v>
      </c>
      <c r="AD1603" s="92"/>
      <c r="AE1603" s="92">
        <f t="shared" si="115"/>
        <v>3562.897975703886</v>
      </c>
      <c r="AF1603" s="43" t="s">
        <v>5537</v>
      </c>
      <c r="AG1603" s="43">
        <v>47.216910694201303</v>
      </c>
      <c r="AH1603" s="43">
        <v>-1.5528022967003201</v>
      </c>
      <c r="AI1603" s="122" t="s">
        <v>1255</v>
      </c>
      <c r="AJ1603" s="41">
        <v>0.9</v>
      </c>
    </row>
    <row r="1604" spans="1:36" ht="35.1" hidden="1" customHeight="1" x14ac:dyDescent="0.25">
      <c r="A1604" s="40">
        <v>2236</v>
      </c>
      <c r="B1604" s="40" t="s">
        <v>5540</v>
      </c>
      <c r="C1604" s="40" t="s">
        <v>539</v>
      </c>
      <c r="D1604" s="44">
        <v>2025</v>
      </c>
      <c r="E1604" s="44"/>
      <c r="F1604" s="90" t="s">
        <v>1331</v>
      </c>
      <c r="G1604" s="90" t="s">
        <v>457</v>
      </c>
      <c r="H1604" s="90"/>
      <c r="I1604" s="40" t="s">
        <v>1269</v>
      </c>
      <c r="J1604" s="90" t="s">
        <v>581</v>
      </c>
      <c r="K1604" s="90" t="s">
        <v>578</v>
      </c>
      <c r="L1604" s="90"/>
      <c r="M1604" s="90"/>
      <c r="N1604" s="90"/>
      <c r="O1604" s="90">
        <v>1</v>
      </c>
      <c r="P1604" s="90"/>
      <c r="Q1604" s="90"/>
      <c r="R1604" s="90"/>
      <c r="S1604" s="90"/>
      <c r="T1604" s="90"/>
      <c r="U1604" s="90"/>
      <c r="V1604" s="90"/>
      <c r="W1604" s="90"/>
      <c r="X1604" s="90"/>
      <c r="Y1604" s="90"/>
      <c r="Z1604" s="40" t="s">
        <v>2675</v>
      </c>
      <c r="AA1604" s="91">
        <v>12</v>
      </c>
      <c r="AB1604" s="46">
        <f>IF(H2ProjectDB689571011[[#This Row],[Dummy_1]]="Electrolysis",
AA1604/VLOOKUP(G1604,ElectrolysisConvF,3,FALSE),
AC1604*10^6/(H2dens*HoursInYear))</f>
        <v>2608.695652173913</v>
      </c>
      <c r="AC1604" s="47">
        <f>AB1604*H2dens*HoursInYear/10^6</f>
        <v>2.0338434782608692</v>
      </c>
      <c r="AD1604" s="92"/>
      <c r="AE1604" s="92">
        <f t="shared" si="115"/>
        <v>2608.695652173913</v>
      </c>
      <c r="AF1604" s="43" t="s">
        <v>5697</v>
      </c>
      <c r="AG1604" s="43">
        <v>12.9759638400835</v>
      </c>
      <c r="AH1604" s="43">
        <v>77.534802158773104</v>
      </c>
      <c r="AI1604" s="122" t="s">
        <v>7286</v>
      </c>
      <c r="AJ1604" s="41">
        <v>0.5</v>
      </c>
    </row>
    <row r="1605" spans="1:36" ht="35.1" hidden="1" customHeight="1" x14ac:dyDescent="0.25">
      <c r="A1605" s="40">
        <v>2237</v>
      </c>
      <c r="B1605" s="40" t="s">
        <v>5543</v>
      </c>
      <c r="C1605" s="40" t="s">
        <v>538</v>
      </c>
      <c r="D1605" s="44">
        <v>2030</v>
      </c>
      <c r="E1605" s="44"/>
      <c r="F1605" s="90" t="s">
        <v>2222</v>
      </c>
      <c r="G1605" s="90" t="s">
        <v>1264</v>
      </c>
      <c r="H1605" s="90" t="s">
        <v>2578</v>
      </c>
      <c r="I1605" s="90"/>
      <c r="J1605" s="90"/>
      <c r="K1605" s="90" t="s">
        <v>578</v>
      </c>
      <c r="L1605" s="90">
        <v>1</v>
      </c>
      <c r="M1605" s="90"/>
      <c r="N1605" s="90"/>
      <c r="O1605" s="90"/>
      <c r="P1605" s="90"/>
      <c r="Q1605" s="90"/>
      <c r="R1605" s="90"/>
      <c r="S1605" s="90"/>
      <c r="T1605" s="90"/>
      <c r="U1605" s="90"/>
      <c r="V1605" s="90"/>
      <c r="W1605" s="90"/>
      <c r="X1605" s="90"/>
      <c r="Y1605" s="90"/>
      <c r="Z1605" s="40" t="s">
        <v>4984</v>
      </c>
      <c r="AA1605" s="91"/>
      <c r="AB1605" s="46">
        <f>AC1605/(H2dens*HoursInYear/10^6)</f>
        <v>7802.7465667915103</v>
      </c>
      <c r="AC1605" s="92">
        <f>(15/1000*365)/H2ProjectDB689571011[[#This Row],[LOWE_CF]]</f>
        <v>6.083333333333333</v>
      </c>
      <c r="AD1605" s="92"/>
      <c r="AE1605" s="92">
        <f t="shared" si="115"/>
        <v>7802.7465667915103</v>
      </c>
      <c r="AF1605" s="43" t="s">
        <v>5542</v>
      </c>
      <c r="AG1605" s="43">
        <v>34.979131847205601</v>
      </c>
      <c r="AH1605" s="43">
        <v>136.84508777325999</v>
      </c>
      <c r="AI1605" s="122" t="s">
        <v>1255</v>
      </c>
      <c r="AJ1605" s="41">
        <v>0.9</v>
      </c>
    </row>
    <row r="1606" spans="1:36" ht="35.1" hidden="1" customHeight="1" x14ac:dyDescent="0.25">
      <c r="A1606" s="40">
        <v>2238</v>
      </c>
      <c r="B1606" s="40" t="s">
        <v>5545</v>
      </c>
      <c r="C1606" s="40" t="s">
        <v>533</v>
      </c>
      <c r="D1606" s="90"/>
      <c r="E1606" s="90"/>
      <c r="F1606" s="40" t="s">
        <v>2222</v>
      </c>
      <c r="G1606" s="40" t="s">
        <v>1259</v>
      </c>
      <c r="H1606" s="40" t="s">
        <v>467</v>
      </c>
      <c r="I1606" s="40" t="s">
        <v>1269</v>
      </c>
      <c r="J1606" s="90" t="s">
        <v>1392</v>
      </c>
      <c r="K1606" s="90" t="s">
        <v>1243</v>
      </c>
      <c r="L1606" s="90"/>
      <c r="M1606" s="90"/>
      <c r="N1606" s="90"/>
      <c r="O1606" s="90"/>
      <c r="P1606" s="90"/>
      <c r="Q1606" s="90"/>
      <c r="R1606" s="90"/>
      <c r="S1606" s="90"/>
      <c r="T1606" s="90"/>
      <c r="U1606" s="90"/>
      <c r="V1606" s="90"/>
      <c r="W1606" s="90"/>
      <c r="X1606" s="90"/>
      <c r="Y1606" s="90"/>
      <c r="Z1606" s="90"/>
      <c r="AA1606" s="91">
        <f>IF(OR(G1606="ALK",G1606="PEM",G1606="SOEC",G1606="Other Electrolysis"),
AB1606*VLOOKUP(G1606,ElectrolysisConvF,3,FALSE),
"")</f>
        <v>0</v>
      </c>
      <c r="AB1606" s="92"/>
      <c r="AC1606" s="92"/>
      <c r="AD1606" s="92"/>
      <c r="AE1606" s="92">
        <f t="shared" si="115"/>
        <v>0</v>
      </c>
      <c r="AF1606" s="43" t="s">
        <v>5547</v>
      </c>
      <c r="AG1606" s="43">
        <v>47.293764603266297</v>
      </c>
      <c r="AH1606" s="43">
        <v>-53.9742061399226</v>
      </c>
      <c r="AI1606" s="122" t="s">
        <v>7286</v>
      </c>
      <c r="AJ1606" s="41">
        <v>0.4</v>
      </c>
    </row>
    <row r="1607" spans="1:36" ht="35.1" customHeight="1" x14ac:dyDescent="0.25">
      <c r="A1607" s="40">
        <v>2239</v>
      </c>
      <c r="B1607" s="40" t="s">
        <v>8259</v>
      </c>
      <c r="C1607" s="40" t="s">
        <v>1052</v>
      </c>
      <c r="D1607" s="44">
        <v>2028</v>
      </c>
      <c r="E1607" s="44"/>
      <c r="F1607" s="90" t="s">
        <v>2222</v>
      </c>
      <c r="G1607" s="90" t="s">
        <v>1259</v>
      </c>
      <c r="H1607" s="40" t="s">
        <v>467</v>
      </c>
      <c r="I1607" s="90" t="s">
        <v>1269</v>
      </c>
      <c r="J1607" s="40" t="s">
        <v>1391</v>
      </c>
      <c r="K1607" s="90" t="s">
        <v>1243</v>
      </c>
      <c r="L1607" s="90"/>
      <c r="M1607" s="90">
        <v>1</v>
      </c>
      <c r="N1607" s="90"/>
      <c r="O1607" s="90"/>
      <c r="P1607" s="90">
        <v>1</v>
      </c>
      <c r="Q1607" s="90"/>
      <c r="R1607" s="90"/>
      <c r="S1607" s="90"/>
      <c r="T1607" s="90"/>
      <c r="U1607" s="90"/>
      <c r="V1607" s="90"/>
      <c r="W1607" s="90"/>
      <c r="X1607" s="90"/>
      <c r="Y1607" s="90"/>
      <c r="Z1607" s="40" t="s">
        <v>8261</v>
      </c>
      <c r="AA1607" s="47">
        <f>IF(H2ProjectDB689571011[[#This Row],[Dummy_1]]="Electrolysis",
AB1607*VLOOKUP(G1607,ElectrolysisConvF,3,FALSE),
"")</f>
        <v>1633.4462059412035</v>
      </c>
      <c r="AB1607" s="46">
        <f>AC1607/(H2dens*HoursInYear/10^6)</f>
        <v>362988.04576471192</v>
      </c>
      <c r="AC1607" s="92">
        <v>283</v>
      </c>
      <c r="AD1607" s="92"/>
      <c r="AE1607" s="92">
        <f t="shared" si="115"/>
        <v>362988.04576471192</v>
      </c>
      <c r="AF1607" s="43" t="s">
        <v>8342</v>
      </c>
      <c r="AG1607" s="43">
        <v>-7.6821737666255503</v>
      </c>
      <c r="AH1607" s="43">
        <v>-42.5222369705834</v>
      </c>
      <c r="AI1607" s="122" t="s">
        <v>7286</v>
      </c>
      <c r="AJ1607" s="41">
        <v>0.3</v>
      </c>
    </row>
    <row r="1608" spans="1:36" ht="35.1" customHeight="1" x14ac:dyDescent="0.25">
      <c r="A1608" s="40">
        <v>2240</v>
      </c>
      <c r="B1608" s="40" t="s">
        <v>8260</v>
      </c>
      <c r="C1608" s="40" t="s">
        <v>1052</v>
      </c>
      <c r="D1608" s="44"/>
      <c r="E1608" s="44"/>
      <c r="F1608" s="90" t="s">
        <v>2222</v>
      </c>
      <c r="G1608" s="90" t="s">
        <v>1259</v>
      </c>
      <c r="H1608" s="40" t="s">
        <v>467</v>
      </c>
      <c r="I1608" s="90" t="s">
        <v>1269</v>
      </c>
      <c r="J1608" s="40" t="s">
        <v>1391</v>
      </c>
      <c r="K1608" s="90" t="s">
        <v>1243</v>
      </c>
      <c r="L1608" s="90"/>
      <c r="M1608" s="90">
        <v>1</v>
      </c>
      <c r="N1608" s="90"/>
      <c r="O1608" s="90"/>
      <c r="P1608" s="90">
        <v>1</v>
      </c>
      <c r="Q1608" s="90"/>
      <c r="R1608" s="90"/>
      <c r="S1608" s="90"/>
      <c r="T1608" s="90"/>
      <c r="U1608" s="90"/>
      <c r="V1608" s="90"/>
      <c r="W1608" s="90"/>
      <c r="X1608" s="90"/>
      <c r="Y1608" s="90"/>
      <c r="Z1608" s="40" t="s">
        <v>8262</v>
      </c>
      <c r="AA1608" s="47">
        <f>IF(H2ProjectDB689571011[[#This Row],[Dummy_1]]="Electrolysis",
AB1608*VLOOKUP(G1608,ElectrolysisConvF,3,FALSE),
"")</f>
        <v>8178.7748191472983</v>
      </c>
      <c r="AB1608" s="46">
        <f>AC1608/(H2dens*HoursInYear/10^6)</f>
        <v>1817505.5153660665</v>
      </c>
      <c r="AC1608" s="92">
        <v>1417</v>
      </c>
      <c r="AD1608" s="92"/>
      <c r="AE1608" s="92">
        <f t="shared" si="115"/>
        <v>1817505.5153660665</v>
      </c>
      <c r="AF1608" s="43" t="s">
        <v>8342</v>
      </c>
      <c r="AG1608" s="43">
        <v>-7.6821737666255503</v>
      </c>
      <c r="AH1608" s="43">
        <v>-42.5222369705834</v>
      </c>
      <c r="AI1608" s="122" t="s">
        <v>7286</v>
      </c>
      <c r="AJ1608" s="41">
        <v>0.3</v>
      </c>
    </row>
    <row r="1609" spans="1:36" ht="35.1" hidden="1" customHeight="1" x14ac:dyDescent="0.25">
      <c r="A1609" s="40">
        <v>2241</v>
      </c>
      <c r="B1609" s="40" t="s">
        <v>5549</v>
      </c>
      <c r="C1609" s="40" t="s">
        <v>559</v>
      </c>
      <c r="E1609" s="90"/>
      <c r="F1609" s="90" t="s">
        <v>1331</v>
      </c>
      <c r="G1609" s="90" t="s">
        <v>1264</v>
      </c>
      <c r="H1609" s="40" t="s">
        <v>2578</v>
      </c>
      <c r="I1609" s="90"/>
      <c r="J1609" s="90"/>
      <c r="K1609" s="90" t="s">
        <v>578</v>
      </c>
      <c r="L1609" s="90"/>
      <c r="M1609" s="90"/>
      <c r="N1609" s="90"/>
      <c r="O1609" s="90"/>
      <c r="P1609" s="90"/>
      <c r="Q1609" s="90"/>
      <c r="R1609" s="90"/>
      <c r="S1609" s="90"/>
      <c r="T1609" s="90"/>
      <c r="U1609" s="90"/>
      <c r="V1609" s="90"/>
      <c r="W1609" s="90"/>
      <c r="X1609" s="90"/>
      <c r="Y1609" s="90"/>
      <c r="Z1609" s="40" t="s">
        <v>5550</v>
      </c>
      <c r="AA1609" s="91"/>
      <c r="AB1609" s="46">
        <f>AC1609/(H2dens*HoursInYear/10^6)</f>
        <v>17101.910283378653</v>
      </c>
      <c r="AC1609" s="92">
        <f>12/H2ProjectDB689571011[[#This Row],[LOWE_CF]]</f>
        <v>13.333333333333332</v>
      </c>
      <c r="AD1609" s="92"/>
      <c r="AE1609" s="92">
        <f t="shared" si="115"/>
        <v>17101.910283378653</v>
      </c>
      <c r="AF1609" s="43" t="s">
        <v>5551</v>
      </c>
      <c r="AG1609" s="43">
        <v>59.512429288605901</v>
      </c>
      <c r="AH1609" s="43">
        <v>15.9947878967248</v>
      </c>
      <c r="AI1609" s="122" t="s">
        <v>1255</v>
      </c>
      <c r="AJ1609" s="41">
        <v>0.9</v>
      </c>
    </row>
    <row r="1610" spans="1:36" ht="35.1" hidden="1" customHeight="1" x14ac:dyDescent="0.25">
      <c r="A1610" s="40">
        <v>2242</v>
      </c>
      <c r="B1610" s="40" t="s">
        <v>5553</v>
      </c>
      <c r="C1610" s="40" t="s">
        <v>533</v>
      </c>
      <c r="D1610" s="44">
        <v>2025</v>
      </c>
      <c r="E1610" s="44"/>
      <c r="F1610" s="90" t="s">
        <v>2222</v>
      </c>
      <c r="G1610" s="90" t="s">
        <v>3239</v>
      </c>
      <c r="H1610" s="90"/>
      <c r="I1610" s="90" t="s">
        <v>1257</v>
      </c>
      <c r="J1610" s="90" t="s">
        <v>1395</v>
      </c>
      <c r="K1610" s="90" t="s">
        <v>578</v>
      </c>
      <c r="L1610" s="90"/>
      <c r="M1610" s="90"/>
      <c r="N1610" s="90"/>
      <c r="O1610" s="90"/>
      <c r="P1610" s="90">
        <v>1</v>
      </c>
      <c r="Q1610" s="90">
        <v>1</v>
      </c>
      <c r="R1610" s="90"/>
      <c r="S1610" s="90"/>
      <c r="T1610" s="90"/>
      <c r="U1610" s="90"/>
      <c r="V1610" s="90"/>
      <c r="W1610" s="90"/>
      <c r="X1610" s="90"/>
      <c r="Y1610" s="90"/>
      <c r="Z1610" s="40" t="s">
        <v>1493</v>
      </c>
      <c r="AA1610" s="91">
        <v>2</v>
      </c>
      <c r="AB1610" s="46">
        <f>IF(H2ProjectDB689571011[[#This Row],[Dummy_1]]="Electrolysis",
AA1610/VLOOKUP(G1610,ElectrolysisConvF,3,FALSE),
AC1610*10^6/(H2dens*HoursInYear))</f>
        <v>444.44444444444446</v>
      </c>
      <c r="AC1610" s="47">
        <f>AB1610*H2dens*HoursInYear/10^6</f>
        <v>0.34650666666666669</v>
      </c>
      <c r="AD1610" s="92"/>
      <c r="AE1610" s="92">
        <f t="shared" si="115"/>
        <v>444.44444444444446</v>
      </c>
      <c r="AF1610" s="43" t="s">
        <v>5557</v>
      </c>
      <c r="AG1610" s="43">
        <v>46.350401091184402</v>
      </c>
      <c r="AH1610" s="43">
        <v>-63.4115572100728</v>
      </c>
      <c r="AI1610" s="122" t="s">
        <v>7286</v>
      </c>
      <c r="AJ1610" s="41">
        <v>0.56999999999999995</v>
      </c>
    </row>
    <row r="1611" spans="1:36" ht="35.1" hidden="1" customHeight="1" x14ac:dyDescent="0.25">
      <c r="A1611" s="40">
        <v>2243</v>
      </c>
      <c r="B1611" s="40" t="s">
        <v>5554</v>
      </c>
      <c r="C1611" s="40" t="s">
        <v>546</v>
      </c>
      <c r="D1611" s="44">
        <v>2025</v>
      </c>
      <c r="E1611" s="44"/>
      <c r="F1611" s="90" t="s">
        <v>5701</v>
      </c>
      <c r="G1611" s="90" t="s">
        <v>3239</v>
      </c>
      <c r="H1611" s="90"/>
      <c r="I1611" s="90" t="s">
        <v>1257</v>
      </c>
      <c r="J1611" s="90" t="s">
        <v>581</v>
      </c>
      <c r="K1611" s="90" t="s">
        <v>578</v>
      </c>
      <c r="L1611" s="90"/>
      <c r="M1611" s="90"/>
      <c r="N1611" s="90"/>
      <c r="O1611" s="90"/>
      <c r="P1611" s="90"/>
      <c r="Q1611" s="90">
        <v>1</v>
      </c>
      <c r="R1611" s="90"/>
      <c r="S1611" s="90"/>
      <c r="T1611" s="90"/>
      <c r="U1611" s="90"/>
      <c r="V1611" s="90"/>
      <c r="W1611" s="90"/>
      <c r="X1611" s="90"/>
      <c r="Y1611" s="90"/>
      <c r="Z1611" s="40" t="s">
        <v>1480</v>
      </c>
      <c r="AA1611" s="91">
        <v>1</v>
      </c>
      <c r="AB1611" s="46">
        <f>IF(H2ProjectDB689571011[[#This Row],[Dummy_1]]="Electrolysis",
AA1611/VLOOKUP(G1611,ElectrolysisConvF,3,FALSE),
AC1611*10^6/(H2dens*HoursInYear))</f>
        <v>222.22222222222223</v>
      </c>
      <c r="AC1611" s="47">
        <f>AB1611*H2dens*HoursInYear/10^6</f>
        <v>0.17325333333333334</v>
      </c>
      <c r="AD1611" s="92"/>
      <c r="AE1611" s="92">
        <f t="shared" si="115"/>
        <v>222.22222222222223</v>
      </c>
      <c r="AF1611" s="43" t="s">
        <v>5559</v>
      </c>
      <c r="AG1611" s="43">
        <v>51.691843802807703</v>
      </c>
      <c r="AH1611" s="43">
        <v>4.2095220352995097</v>
      </c>
      <c r="AI1611" s="122" t="s">
        <v>7286</v>
      </c>
      <c r="AJ1611" s="41">
        <v>0.56999999999999995</v>
      </c>
    </row>
    <row r="1612" spans="1:36" ht="35.1" hidden="1" customHeight="1" x14ac:dyDescent="0.25">
      <c r="A1612" s="40">
        <v>2244</v>
      </c>
      <c r="B1612" s="40" t="s">
        <v>5555</v>
      </c>
      <c r="C1612" s="40" t="s">
        <v>1305</v>
      </c>
      <c r="D1612" s="44">
        <v>2024</v>
      </c>
      <c r="E1612" s="44"/>
      <c r="F1612" s="90" t="s">
        <v>5701</v>
      </c>
      <c r="G1612" s="90" t="s">
        <v>3239</v>
      </c>
      <c r="H1612" s="90"/>
      <c r="I1612" s="90" t="s">
        <v>1257</v>
      </c>
      <c r="J1612" s="90" t="s">
        <v>1391</v>
      </c>
      <c r="K1612" s="90" t="s">
        <v>578</v>
      </c>
      <c r="L1612" s="90"/>
      <c r="M1612" s="90"/>
      <c r="N1612" s="90"/>
      <c r="O1612" s="90"/>
      <c r="P1612" s="90"/>
      <c r="Q1612" s="90">
        <v>1</v>
      </c>
      <c r="R1612" s="90"/>
      <c r="S1612" s="90"/>
      <c r="T1612" s="90"/>
      <c r="U1612" s="90"/>
      <c r="V1612" s="90"/>
      <c r="W1612" s="90"/>
      <c r="X1612" s="90"/>
      <c r="Y1612" s="90"/>
      <c r="Z1612" s="40" t="s">
        <v>1480</v>
      </c>
      <c r="AA1612" s="91">
        <v>1</v>
      </c>
      <c r="AB1612" s="46">
        <f>IF(H2ProjectDB689571011[[#This Row],[Dummy_1]]="Electrolysis",
AA1612/VLOOKUP(G1612,ElectrolysisConvF,3,FALSE),
AC1612*10^6/(H2dens*HoursInYear))</f>
        <v>222.22222222222223</v>
      </c>
      <c r="AC1612" s="47">
        <f>AB1612*H2dens*HoursInYear/10^6</f>
        <v>0.17325333333333334</v>
      </c>
      <c r="AD1612" s="92"/>
      <c r="AE1612" s="92">
        <f t="shared" si="115"/>
        <v>222.22222222222223</v>
      </c>
      <c r="AF1612" s="43" t="s">
        <v>5561</v>
      </c>
      <c r="AG1612" s="43">
        <v>52.2687162354093</v>
      </c>
      <c r="AH1612" s="43">
        <v>10.510017648906601</v>
      </c>
      <c r="AI1612" s="122" t="s">
        <v>7286</v>
      </c>
      <c r="AJ1612" s="41">
        <v>0.56999999999999995</v>
      </c>
    </row>
    <row r="1613" spans="1:36" ht="35.1" hidden="1" customHeight="1" x14ac:dyDescent="0.25">
      <c r="A1613" s="40">
        <v>2246</v>
      </c>
      <c r="B1613" s="90" t="s">
        <v>5790</v>
      </c>
      <c r="C1613" s="90" t="s">
        <v>1764</v>
      </c>
      <c r="D1613" s="44">
        <v>2028</v>
      </c>
      <c r="E1613" s="44"/>
      <c r="F1613" s="90" t="s">
        <v>1331</v>
      </c>
      <c r="G1613" s="90" t="s">
        <v>457</v>
      </c>
      <c r="I1613" s="90" t="s">
        <v>1266</v>
      </c>
      <c r="J1613" s="90"/>
      <c r="K1613" s="90" t="s">
        <v>578</v>
      </c>
      <c r="L1613" s="90">
        <v>1</v>
      </c>
      <c r="M1613" s="90"/>
      <c r="N1613" s="90"/>
      <c r="O1613" s="90"/>
      <c r="P1613" s="90"/>
      <c r="Q1613" s="90"/>
      <c r="R1613" s="90"/>
      <c r="S1613" s="90">
        <v>1</v>
      </c>
      <c r="T1613" s="90"/>
      <c r="U1613" s="90"/>
      <c r="V1613" s="90"/>
      <c r="W1613" s="90"/>
      <c r="X1613" s="90"/>
      <c r="Y1613" s="90"/>
      <c r="Z1613" s="90" t="s">
        <v>1576</v>
      </c>
      <c r="AA1613" s="91">
        <v>150</v>
      </c>
      <c r="AB1613" s="46">
        <f>IF(H2ProjectDB689571011[[#This Row],[Dummy_1]]="Electrolysis",
AA1613/VLOOKUP(G1613,ElectrolysisConvF,3,FALSE),
AC1613*10^6/(H2dens*HoursInYear))</f>
        <v>32608.695652173912</v>
      </c>
      <c r="AC1613" s="47">
        <f>AB1613*H2dens*HoursInYear/10^6</f>
        <v>25.423043478260869</v>
      </c>
      <c r="AD1613" s="92"/>
      <c r="AE1613" s="92">
        <f t="shared" si="115"/>
        <v>32608.695652173912</v>
      </c>
      <c r="AF1613" s="93" t="s">
        <v>5564</v>
      </c>
      <c r="AG1613" s="43">
        <v>41.185674809843597</v>
      </c>
      <c r="AH1613" s="43">
        <v>1.21743273719217</v>
      </c>
      <c r="AI1613" s="122" t="s">
        <v>7286</v>
      </c>
      <c r="AJ1613" s="41">
        <v>0.56999999999999995</v>
      </c>
    </row>
    <row r="1614" spans="1:36" ht="35.1" hidden="1" customHeight="1" x14ac:dyDescent="0.25">
      <c r="A1614" s="40">
        <v>2248</v>
      </c>
      <c r="B1614" s="90" t="s">
        <v>5566</v>
      </c>
      <c r="C1614" s="90" t="s">
        <v>1764</v>
      </c>
      <c r="D1614" s="90"/>
      <c r="E1614" s="90"/>
      <c r="F1614" s="90" t="s">
        <v>1331</v>
      </c>
      <c r="G1614" s="90" t="s">
        <v>1259</v>
      </c>
      <c r="H1614" s="40" t="s">
        <v>467</v>
      </c>
      <c r="I1614" s="90" t="s">
        <v>1269</v>
      </c>
      <c r="J1614" s="90" t="s">
        <v>581</v>
      </c>
      <c r="K1614" s="90" t="s">
        <v>1267</v>
      </c>
      <c r="L1614" s="90"/>
      <c r="M1614" s="90"/>
      <c r="N1614" s="90"/>
      <c r="O1614" s="90"/>
      <c r="P1614" s="90"/>
      <c r="Q1614" s="90"/>
      <c r="R1614" s="90"/>
      <c r="S1614" s="90"/>
      <c r="T1614" s="90"/>
      <c r="U1614" s="90"/>
      <c r="V1614" s="90"/>
      <c r="W1614" s="90">
        <v>1</v>
      </c>
      <c r="X1614" s="90"/>
      <c r="Y1614" s="90"/>
      <c r="Z1614" s="90" t="s">
        <v>5567</v>
      </c>
      <c r="AA1614" s="47">
        <f>IF(H2ProjectDB689571011[[#This Row],[Dummy_1]]="Electrolysis",
AB1614*VLOOKUP(G1614,ElectrolysisConvF,3,FALSE),
"")</f>
        <v>115.43789441280592</v>
      </c>
      <c r="AB1614" s="46">
        <f>AC1614/(H2dens*HoursInYear/10^6)</f>
        <v>25652.865425067983</v>
      </c>
      <c r="AC1614" s="92">
        <f>10/H2ProjectDB689571011[[#This Row],[LOWE_CF]]</f>
        <v>20</v>
      </c>
      <c r="AD1614" s="92"/>
      <c r="AE1614" s="92">
        <f t="shared" si="115"/>
        <v>25652.865425067983</v>
      </c>
      <c r="AF1614" s="93" t="s">
        <v>5569</v>
      </c>
      <c r="AG1614" s="43">
        <v>43.157763785710898</v>
      </c>
      <c r="AH1614" s="43">
        <v>-8.0093215248075094</v>
      </c>
      <c r="AI1614" s="122" t="s">
        <v>7286</v>
      </c>
      <c r="AJ1614" s="41">
        <v>0.5</v>
      </c>
    </row>
    <row r="1615" spans="1:36" s="89" customFormat="1" ht="35.1" hidden="1" customHeight="1" x14ac:dyDescent="0.25">
      <c r="A1615" s="40">
        <v>2250</v>
      </c>
      <c r="B1615" s="90" t="s">
        <v>5571</v>
      </c>
      <c r="C1615" s="90" t="s">
        <v>556</v>
      </c>
      <c r="D1615" s="90"/>
      <c r="E1615" s="90"/>
      <c r="F1615" s="90" t="s">
        <v>1331</v>
      </c>
      <c r="G1615" s="90" t="s">
        <v>1259</v>
      </c>
      <c r="H1615" s="40" t="s">
        <v>467</v>
      </c>
      <c r="I1615" s="90" t="s">
        <v>1269</v>
      </c>
      <c r="J1615" s="90" t="s">
        <v>1393</v>
      </c>
      <c r="K1615" s="90" t="s">
        <v>578</v>
      </c>
      <c r="L1615" s="90"/>
      <c r="M1615" s="90"/>
      <c r="N1615" s="90"/>
      <c r="O1615" s="90"/>
      <c r="P1615" s="90"/>
      <c r="Q1615" s="90"/>
      <c r="R1615" s="90"/>
      <c r="S1615" s="90"/>
      <c r="T1615" s="90"/>
      <c r="U1615" s="90"/>
      <c r="V1615" s="90"/>
      <c r="W1615" s="90"/>
      <c r="X1615" s="90"/>
      <c r="Y1615" s="90"/>
      <c r="Z1615" s="90" t="s">
        <v>5572</v>
      </c>
      <c r="AA1615" s="47">
        <f>IF(H2ProjectDB689571011[[#This Row],[Dummy_1]]="Electrolysis",
AB1615*VLOOKUP(G1615,ElectrolysisConvF,3,FALSE),
"")</f>
        <v>1049.435403752781</v>
      </c>
      <c r="AB1615" s="46">
        <f>AC1615/(H2dens*HoursInYear/10^6)</f>
        <v>233207.86750061801</v>
      </c>
      <c r="AC1615" s="92">
        <f>100/H2ProjectDB689571011[[#This Row],[LOWE_CF]]</f>
        <v>181.81818181818181</v>
      </c>
      <c r="AD1615" s="92"/>
      <c r="AE1615" s="92">
        <f t="shared" si="115"/>
        <v>233207.86750061801</v>
      </c>
      <c r="AF1615" s="93" t="s">
        <v>5574</v>
      </c>
      <c r="AG1615" s="43">
        <v>59.902934716440598</v>
      </c>
      <c r="AH1615" s="43">
        <v>24.509581335737199</v>
      </c>
      <c r="AI1615" s="122" t="s">
        <v>7286</v>
      </c>
      <c r="AJ1615" s="41">
        <v>0.55000000000000004</v>
      </c>
    </row>
    <row r="1616" spans="1:36" ht="35.1" hidden="1" customHeight="1" x14ac:dyDescent="0.25">
      <c r="A1616" s="40">
        <v>2251</v>
      </c>
      <c r="B1616" s="40" t="s">
        <v>8083</v>
      </c>
      <c r="C1616" s="90" t="s">
        <v>1764</v>
      </c>
      <c r="D1616" s="44">
        <v>2026</v>
      </c>
      <c r="E1616" s="44"/>
      <c r="F1616" s="90" t="s">
        <v>1331</v>
      </c>
      <c r="G1616" s="90" t="s">
        <v>457</v>
      </c>
      <c r="I1616" s="40" t="s">
        <v>1269</v>
      </c>
      <c r="J1616" s="90" t="s">
        <v>1391</v>
      </c>
      <c r="K1616" s="90" t="s">
        <v>578</v>
      </c>
      <c r="L1616" s="90">
        <v>1</v>
      </c>
      <c r="M1616" s="90">
        <v>1</v>
      </c>
      <c r="N1616" s="90"/>
      <c r="O1616" s="90"/>
      <c r="P1616" s="90"/>
      <c r="Q1616" s="90"/>
      <c r="R1616" s="90"/>
      <c r="S1616" s="90"/>
      <c r="T1616" s="90"/>
      <c r="U1616" s="90"/>
      <c r="V1616" s="90"/>
      <c r="W1616" s="90"/>
      <c r="X1616" s="90"/>
      <c r="Y1616" s="90"/>
      <c r="Z1616" s="90" t="s">
        <v>1510</v>
      </c>
      <c r="AA1616" s="91">
        <v>30</v>
      </c>
      <c r="AB1616" s="46">
        <f>IF(H2ProjectDB689571011[[#This Row],[Dummy_1]]="Electrolysis",
AA1616/VLOOKUP(G1616,ElectrolysisConvF,3,FALSE),
AC1616*10^6/(H2dens*HoursInYear))</f>
        <v>6521.739130434783</v>
      </c>
      <c r="AC1616" s="47">
        <f>AB1616*H2dens*HoursInYear/10^6</f>
        <v>5.0846086956521734</v>
      </c>
      <c r="AD1616" s="92"/>
      <c r="AE1616" s="92">
        <f t="shared" si="115"/>
        <v>6521.739130434783</v>
      </c>
      <c r="AF1616" s="93" t="s">
        <v>5579</v>
      </c>
      <c r="AG1616" s="43">
        <v>38.676022674153501</v>
      </c>
      <c r="AH1616" s="43">
        <v>-4.0577736465471599</v>
      </c>
      <c r="AI1616" s="122" t="s">
        <v>7286</v>
      </c>
      <c r="AJ1616" s="41">
        <v>0.3</v>
      </c>
    </row>
    <row r="1617" spans="1:36" ht="35.1" hidden="1" customHeight="1" x14ac:dyDescent="0.25">
      <c r="A1617" s="40">
        <v>2252</v>
      </c>
      <c r="B1617" s="90" t="s">
        <v>5580</v>
      </c>
      <c r="C1617" s="90" t="s">
        <v>535</v>
      </c>
      <c r="D1617" s="90"/>
      <c r="E1617" s="90"/>
      <c r="F1617" s="90" t="s">
        <v>1331</v>
      </c>
      <c r="G1617" s="90" t="s">
        <v>1259</v>
      </c>
      <c r="H1617" s="40" t="s">
        <v>467</v>
      </c>
      <c r="I1617" s="90" t="s">
        <v>1269</v>
      </c>
      <c r="J1617" s="90" t="s">
        <v>581</v>
      </c>
      <c r="K1617" s="90" t="s">
        <v>578</v>
      </c>
      <c r="L1617" s="90"/>
      <c r="M1617" s="90"/>
      <c r="N1617" s="90"/>
      <c r="O1617" s="90">
        <v>1</v>
      </c>
      <c r="P1617" s="90"/>
      <c r="Q1617" s="90"/>
      <c r="R1617" s="90"/>
      <c r="S1617" s="90"/>
      <c r="T1617" s="90"/>
      <c r="U1617" s="90"/>
      <c r="V1617" s="90"/>
      <c r="W1617" s="90"/>
      <c r="X1617" s="90"/>
      <c r="Y1617" s="90"/>
      <c r="Z1617" s="90" t="s">
        <v>5581</v>
      </c>
      <c r="AA1617" s="47">
        <f>IF(H2ProjectDB689571011[[#This Row],[Dummy_1]]="Electrolysis",
AB1617*VLOOKUP(G1617,ElectrolysisConvF,3,FALSE),
"")</f>
        <v>10.389410497152532</v>
      </c>
      <c r="AB1617" s="46">
        <f>AC1617/(H2dens*HoursInYear/10^6)</f>
        <v>2308.7578882561183</v>
      </c>
      <c r="AC1617" s="92">
        <v>1.8</v>
      </c>
      <c r="AD1617" s="92"/>
      <c r="AE1617" s="92">
        <f t="shared" si="115"/>
        <v>2308.7578882561183</v>
      </c>
      <c r="AF1617" s="93" t="s">
        <v>5583</v>
      </c>
      <c r="AG1617" s="43">
        <v>-37.913675146585497</v>
      </c>
      <c r="AH1617" s="43">
        <v>145.44816995039301</v>
      </c>
      <c r="AI1617" s="122" t="s">
        <v>7286</v>
      </c>
      <c r="AJ1617" s="41">
        <v>0.5</v>
      </c>
    </row>
    <row r="1618" spans="1:36" ht="35.1" hidden="1" customHeight="1" x14ac:dyDescent="0.25">
      <c r="A1618" s="40">
        <v>2253</v>
      </c>
      <c r="B1618" s="40" t="s">
        <v>8502</v>
      </c>
      <c r="C1618" s="90" t="s">
        <v>542</v>
      </c>
      <c r="D1618" s="44">
        <v>2026</v>
      </c>
      <c r="E1618" s="44"/>
      <c r="F1618" s="90" t="s">
        <v>5701</v>
      </c>
      <c r="G1618" s="90" t="s">
        <v>1259</v>
      </c>
      <c r="H1618" s="40" t="s">
        <v>467</v>
      </c>
      <c r="I1618" s="90" t="s">
        <v>1269</v>
      </c>
      <c r="J1618" s="90" t="s">
        <v>581</v>
      </c>
      <c r="K1618" s="90" t="s">
        <v>578</v>
      </c>
      <c r="L1618" s="90"/>
      <c r="M1618" s="90"/>
      <c r="N1618" s="90"/>
      <c r="O1618" s="90"/>
      <c r="P1618" s="90">
        <v>1</v>
      </c>
      <c r="Q1618" s="90"/>
      <c r="R1618" s="90"/>
      <c r="S1618" s="90"/>
      <c r="T1618" s="90"/>
      <c r="U1618" s="90"/>
      <c r="V1618" s="90"/>
      <c r="W1618" s="90"/>
      <c r="X1618" s="90"/>
      <c r="Y1618" s="90"/>
      <c r="Z1618" s="40" t="s">
        <v>8503</v>
      </c>
      <c r="AA1618" s="91">
        <v>17</v>
      </c>
      <c r="AB1618" s="46">
        <f>IF(H2ProjectDB689571011[[#This Row],[Dummy_1]]="Electrolysis",
AA1618/VLOOKUP(G1618,ElectrolysisConvF,3,FALSE),
AC1618*10^6/(H2dens*HoursInYear))</f>
        <v>3777.7777777777783</v>
      </c>
      <c r="AC1618" s="47">
        <f>AB1618*H2dens*HoursInYear/10^6</f>
        <v>2.9453066666666663</v>
      </c>
      <c r="AD1618" s="92"/>
      <c r="AE1618" s="92">
        <f t="shared" si="115"/>
        <v>3777.7777777777783</v>
      </c>
      <c r="AF1618" s="93" t="s">
        <v>5584</v>
      </c>
      <c r="AG1618" s="43">
        <v>51.4311670747446</v>
      </c>
      <c r="AH1618" s="43">
        <v>0.32877815496766799</v>
      </c>
      <c r="AI1618" s="122" t="s">
        <v>7286</v>
      </c>
      <c r="AJ1618" s="41">
        <v>0.5</v>
      </c>
    </row>
    <row r="1619" spans="1:36" ht="35.1" hidden="1" customHeight="1" x14ac:dyDescent="0.25">
      <c r="A1619" s="40">
        <v>2254</v>
      </c>
      <c r="B1619" s="90" t="s">
        <v>5586</v>
      </c>
      <c r="C1619" s="90" t="s">
        <v>1764</v>
      </c>
      <c r="D1619" s="44"/>
      <c r="E1619" s="44"/>
      <c r="F1619" s="90" t="s">
        <v>1331</v>
      </c>
      <c r="G1619" s="90" t="s">
        <v>1259</v>
      </c>
      <c r="H1619" s="40" t="s">
        <v>467</v>
      </c>
      <c r="I1619" s="90" t="s">
        <v>1269</v>
      </c>
      <c r="J1619" s="90" t="s">
        <v>581</v>
      </c>
      <c r="K1619" s="90" t="s">
        <v>578</v>
      </c>
      <c r="L1619" s="90"/>
      <c r="M1619" s="90"/>
      <c r="N1619" s="90"/>
      <c r="O1619" s="90"/>
      <c r="P1619" s="90"/>
      <c r="Q1619" s="90"/>
      <c r="R1619" s="90"/>
      <c r="S1619" s="90"/>
      <c r="T1619" s="90"/>
      <c r="U1619" s="90"/>
      <c r="V1619" s="90"/>
      <c r="W1619" s="90"/>
      <c r="X1619" s="90"/>
      <c r="Y1619" s="90"/>
      <c r="Z1619" s="40" t="s">
        <v>1481</v>
      </c>
      <c r="AA1619" s="95">
        <v>25</v>
      </c>
      <c r="AB1619" s="46">
        <f>IF(H2ProjectDB689571011[[#This Row],[Dummy_1]]="Electrolysis",
AA1619/VLOOKUP(G1619,ElectrolysisConvF,3,FALSE),
AC1619*10^6/(H2dens*HoursInYear))</f>
        <v>5555.5555555555557</v>
      </c>
      <c r="AC1619" s="47">
        <f>AB1619*H2dens*HoursInYear/10^6</f>
        <v>4.3313333333333333</v>
      </c>
      <c r="AD1619" s="92"/>
      <c r="AE1619" s="92">
        <f t="shared" si="115"/>
        <v>5555.5555555555557</v>
      </c>
      <c r="AF1619" s="93" t="s">
        <v>5587</v>
      </c>
      <c r="AG1619" s="43">
        <v>40.341248033925297</v>
      </c>
      <c r="AH1619" s="43">
        <v>-1.12173587383863</v>
      </c>
      <c r="AI1619" s="122" t="s">
        <v>7286</v>
      </c>
      <c r="AJ1619" s="41">
        <v>0.5</v>
      </c>
    </row>
    <row r="1620" spans="1:36" ht="35.1" hidden="1" customHeight="1" x14ac:dyDescent="0.25">
      <c r="A1620" s="40">
        <v>2255</v>
      </c>
      <c r="B1620" s="90" t="s">
        <v>5589</v>
      </c>
      <c r="C1620" s="90" t="s">
        <v>1764</v>
      </c>
      <c r="D1620" s="90"/>
      <c r="E1620" s="90"/>
      <c r="F1620" s="90" t="s">
        <v>1331</v>
      </c>
      <c r="G1620" s="90" t="s">
        <v>1259</v>
      </c>
      <c r="H1620" s="40" t="s">
        <v>467</v>
      </c>
      <c r="I1620" s="90" t="s">
        <v>1269</v>
      </c>
      <c r="J1620" s="90" t="s">
        <v>581</v>
      </c>
      <c r="K1620" s="90" t="s">
        <v>1243</v>
      </c>
      <c r="L1620" s="90"/>
      <c r="M1620" s="90">
        <v>1</v>
      </c>
      <c r="N1620" s="90"/>
      <c r="O1620" s="90"/>
      <c r="P1620" s="90"/>
      <c r="Q1620" s="90"/>
      <c r="R1620" s="90"/>
      <c r="S1620" s="90"/>
      <c r="T1620" s="90"/>
      <c r="U1620" s="90"/>
      <c r="V1620" s="90"/>
      <c r="W1620" s="90"/>
      <c r="X1620" s="90"/>
      <c r="Y1620" s="90"/>
      <c r="Z1620" s="90" t="s">
        <v>5590</v>
      </c>
      <c r="AA1620" s="47">
        <f>IF(H2ProjectDB689571011[[#This Row],[Dummy_1]]="Electrolysis",
AB1620*VLOOKUP(G1620,ElectrolysisConvF,3,FALSE),
"")</f>
        <v>311.8070377296678</v>
      </c>
      <c r="AB1620" s="46">
        <f>AC1620/(H2dens*HoursInYear/10^6)</f>
        <v>69290.452828815076</v>
      </c>
      <c r="AC1620" s="92">
        <f>150*3/17/0.98/H2ProjectDB689571011[[#This Row],[LOWE_CF]]</f>
        <v>54.021608643457384</v>
      </c>
      <c r="AD1620" s="92"/>
      <c r="AE1620" s="92">
        <f t="shared" si="115"/>
        <v>69290.452828815076</v>
      </c>
      <c r="AF1620" s="93" t="s">
        <v>5592</v>
      </c>
      <c r="AG1620" s="43">
        <v>43.360553631283302</v>
      </c>
      <c r="AH1620" s="43">
        <v>-8.4900237186019591</v>
      </c>
      <c r="AI1620" s="122" t="s">
        <v>7286</v>
      </c>
      <c r="AJ1620" s="41">
        <v>0.5</v>
      </c>
    </row>
    <row r="1621" spans="1:36" ht="35.1" hidden="1" customHeight="1" x14ac:dyDescent="0.25">
      <c r="A1621" s="40">
        <v>2256</v>
      </c>
      <c r="B1621" s="90" t="s">
        <v>5593</v>
      </c>
      <c r="C1621" s="90" t="s">
        <v>1764</v>
      </c>
      <c r="D1621" s="44">
        <v>2025</v>
      </c>
      <c r="E1621" s="44"/>
      <c r="F1621" s="90" t="s">
        <v>1331</v>
      </c>
      <c r="G1621" s="90" t="s">
        <v>1263</v>
      </c>
      <c r="H1621" s="90" t="s">
        <v>2578</v>
      </c>
      <c r="I1621" s="90"/>
      <c r="J1621" s="90"/>
      <c r="K1621" s="90" t="s">
        <v>578</v>
      </c>
      <c r="L1621" s="90"/>
      <c r="M1621" s="90"/>
      <c r="N1621" s="90"/>
      <c r="O1621" s="90"/>
      <c r="P1621" s="90"/>
      <c r="Q1621" s="90"/>
      <c r="R1621" s="90"/>
      <c r="S1621" s="90"/>
      <c r="T1621" s="90"/>
      <c r="U1621" s="90"/>
      <c r="V1621" s="90"/>
      <c r="W1621" s="90"/>
      <c r="X1621" s="90"/>
      <c r="Y1621" s="90"/>
      <c r="Z1621" s="90" t="s">
        <v>5594</v>
      </c>
      <c r="AA1621" s="91"/>
      <c r="AB1621" s="46">
        <f>AC1621/(H2dens*HoursInYear/10^6)</f>
        <v>2280.2547044504872</v>
      </c>
      <c r="AC1621" s="92">
        <f>1.6/H2ProjectDB689571011[[#This Row],[LOWE_CF]]</f>
        <v>1.7777777777777779</v>
      </c>
      <c r="AD1621" s="92"/>
      <c r="AE1621" s="92">
        <f t="shared" si="115"/>
        <v>2280.2547044504872</v>
      </c>
      <c r="AF1621" s="93" t="s">
        <v>5595</v>
      </c>
      <c r="AG1621" s="43">
        <v>41.652396704588497</v>
      </c>
      <c r="AH1621" s="43">
        <v>-0.903048983772471</v>
      </c>
      <c r="AI1621" s="122" t="s">
        <v>1255</v>
      </c>
      <c r="AJ1621" s="41">
        <v>0.9</v>
      </c>
    </row>
    <row r="1622" spans="1:36" ht="35.1" hidden="1" customHeight="1" x14ac:dyDescent="0.25">
      <c r="A1622" s="40">
        <v>2257</v>
      </c>
      <c r="B1622" s="90" t="s">
        <v>5597</v>
      </c>
      <c r="C1622" s="90" t="s">
        <v>536</v>
      </c>
      <c r="D1622" s="44">
        <v>2026</v>
      </c>
      <c r="E1622" s="44"/>
      <c r="F1622" s="90" t="s">
        <v>2222</v>
      </c>
      <c r="G1622" s="90" t="s">
        <v>1259</v>
      </c>
      <c r="H1622" s="40" t="s">
        <v>467</v>
      </c>
      <c r="I1622" s="90" t="s">
        <v>1269</v>
      </c>
      <c r="J1622" s="90" t="s">
        <v>581</v>
      </c>
      <c r="K1622" s="90" t="s">
        <v>578</v>
      </c>
      <c r="L1622" s="90"/>
      <c r="M1622" s="90"/>
      <c r="N1622" s="90"/>
      <c r="O1622" s="90"/>
      <c r="P1622" s="90"/>
      <c r="Q1622" s="90"/>
      <c r="R1622" s="90"/>
      <c r="S1622" s="90"/>
      <c r="T1622" s="90"/>
      <c r="U1622" s="90"/>
      <c r="V1622" s="90"/>
      <c r="W1622" s="90"/>
      <c r="X1622" s="90"/>
      <c r="Y1622" s="90"/>
      <c r="Z1622" s="90" t="s">
        <v>5598</v>
      </c>
      <c r="AA1622" s="47">
        <f>IF(H2ProjectDB689571011[[#This Row],[Dummy_1]]="Electrolysis",
AB1622*VLOOKUP(G1622,ElectrolysisConvF,3,FALSE),
"")</f>
        <v>189.60674157303373</v>
      </c>
      <c r="AB1622" s="46">
        <f>AC1622/(H2dens*HoursInYear/10^6)</f>
        <v>42134.831460674162</v>
      </c>
      <c r="AC1622" s="92">
        <f>45*0.365/H2ProjectDB689571011[[#This Row],[LOWE_CF]]</f>
        <v>32.85</v>
      </c>
      <c r="AD1622" s="92"/>
      <c r="AE1622" s="92">
        <f t="shared" si="115"/>
        <v>42134.831460674162</v>
      </c>
      <c r="AF1622" s="93" t="s">
        <v>5599</v>
      </c>
      <c r="AG1622" s="43">
        <v>46.955277215226097</v>
      </c>
      <c r="AH1622" s="43">
        <v>-123.841915417813</v>
      </c>
      <c r="AI1622" s="122" t="s">
        <v>7286</v>
      </c>
      <c r="AJ1622" s="41">
        <v>0.5</v>
      </c>
    </row>
    <row r="1623" spans="1:36" ht="35.1" hidden="1" customHeight="1" x14ac:dyDescent="0.25">
      <c r="A1623" s="40">
        <v>2258</v>
      </c>
      <c r="B1623" s="40" t="s">
        <v>5601</v>
      </c>
      <c r="C1623" s="90" t="s">
        <v>1305</v>
      </c>
      <c r="D1623" s="44">
        <v>2025</v>
      </c>
      <c r="E1623" s="44"/>
      <c r="F1623" s="90" t="s">
        <v>1331</v>
      </c>
      <c r="G1623" s="90" t="s">
        <v>1259</v>
      </c>
      <c r="H1623" s="40" t="s">
        <v>467</v>
      </c>
      <c r="I1623" s="90" t="s">
        <v>1269</v>
      </c>
      <c r="J1623" s="90" t="s">
        <v>581</v>
      </c>
      <c r="K1623" s="90" t="s">
        <v>578</v>
      </c>
      <c r="L1623" s="90"/>
      <c r="M1623" s="90"/>
      <c r="N1623" s="90"/>
      <c r="O1623" s="90"/>
      <c r="P1623" s="90">
        <v>1</v>
      </c>
      <c r="Q1623" s="90"/>
      <c r="R1623" s="90"/>
      <c r="S1623" s="90"/>
      <c r="T1623" s="90"/>
      <c r="U1623" s="90"/>
      <c r="V1623" s="90"/>
      <c r="W1623" s="90"/>
      <c r="X1623" s="90"/>
      <c r="Y1623" s="90"/>
      <c r="Z1623" s="90" t="s">
        <v>1582</v>
      </c>
      <c r="AA1623" s="91">
        <v>15</v>
      </c>
      <c r="AB1623" s="46">
        <f>IF(H2ProjectDB689571011[[#This Row],[Dummy_1]]="Electrolysis",
AA1623/VLOOKUP(G1623,ElectrolysisConvF,3,FALSE),
AC1623*10^6/(H2dens*HoursInYear))</f>
        <v>3333.3333333333335</v>
      </c>
      <c r="AC1623" s="47">
        <f>AB1623*H2dens*HoursInYear/10^6</f>
        <v>2.5988000000000002</v>
      </c>
      <c r="AD1623" s="92"/>
      <c r="AE1623" s="92">
        <f t="shared" si="115"/>
        <v>3333.3333333333335</v>
      </c>
      <c r="AF1623" s="93" t="s">
        <v>5602</v>
      </c>
      <c r="AG1623" s="43">
        <v>49.5728858476376</v>
      </c>
      <c r="AH1623" s="43">
        <v>10.876167386282299</v>
      </c>
      <c r="AI1623" s="122" t="s">
        <v>7286</v>
      </c>
      <c r="AJ1623" s="41">
        <v>0.5</v>
      </c>
    </row>
    <row r="1624" spans="1:36" ht="35.1" hidden="1" customHeight="1" x14ac:dyDescent="0.25">
      <c r="A1624" s="40">
        <v>2259</v>
      </c>
      <c r="B1624" s="90" t="s">
        <v>5604</v>
      </c>
      <c r="C1624" s="90" t="s">
        <v>536</v>
      </c>
      <c r="D1624" s="44">
        <v>2026</v>
      </c>
      <c r="E1624" s="44"/>
      <c r="F1624" s="40" t="s">
        <v>1331</v>
      </c>
      <c r="G1624" s="40" t="s">
        <v>1259</v>
      </c>
      <c r="H1624" s="40" t="s">
        <v>467</v>
      </c>
      <c r="I1624" s="40" t="s">
        <v>1269</v>
      </c>
      <c r="J1624" s="90" t="s">
        <v>581</v>
      </c>
      <c r="K1624" s="90" t="s">
        <v>1242</v>
      </c>
      <c r="L1624" s="90"/>
      <c r="M1624" s="90"/>
      <c r="N1624" s="90">
        <v>1</v>
      </c>
      <c r="O1624" s="90"/>
      <c r="P1624" s="90"/>
      <c r="Q1624" s="90"/>
      <c r="R1624" s="90"/>
      <c r="S1624" s="90"/>
      <c r="T1624" s="90"/>
      <c r="U1624" s="90"/>
      <c r="V1624" s="90"/>
      <c r="W1624" s="90"/>
      <c r="X1624" s="90"/>
      <c r="Y1624" s="90"/>
      <c r="Z1624" s="90" t="s">
        <v>5607</v>
      </c>
      <c r="AA1624" s="47">
        <f>IF(H2ProjectDB689571011[[#This Row],[Dummy_1]]="Electrolysis",
AB1624*VLOOKUP(G1624,ElectrolysisConvF,3,FALSE),
"")</f>
        <v>430.6845274742189</v>
      </c>
      <c r="AB1624" s="46">
        <f>AC1624/(H2dens*HoursInYear/10^6)</f>
        <v>95707.672772048652</v>
      </c>
      <c r="AC1624" s="92">
        <f>390*0.191327</f>
        <v>74.617530000000002</v>
      </c>
      <c r="AD1624" s="92"/>
      <c r="AE1624" s="92">
        <f t="shared" si="115"/>
        <v>95707.672772048652</v>
      </c>
      <c r="AF1624" s="93" t="s">
        <v>5606</v>
      </c>
      <c r="AG1624" s="43">
        <v>34.7906481479028</v>
      </c>
      <c r="AH1624" s="43">
        <v>-82.855171489932204</v>
      </c>
      <c r="AI1624" s="122" t="s">
        <v>7286</v>
      </c>
      <c r="AJ1624" s="41">
        <v>0.5</v>
      </c>
    </row>
    <row r="1625" spans="1:36" ht="35.1" hidden="1" customHeight="1" x14ac:dyDescent="0.25">
      <c r="A1625" s="40">
        <v>2260</v>
      </c>
      <c r="B1625" s="90" t="s">
        <v>5611</v>
      </c>
      <c r="C1625" s="90" t="s">
        <v>1764</v>
      </c>
      <c r="D1625" s="44">
        <v>2025</v>
      </c>
      <c r="E1625" s="44"/>
      <c r="F1625" s="40" t="s">
        <v>1331</v>
      </c>
      <c r="G1625" s="40" t="s">
        <v>1259</v>
      </c>
      <c r="H1625" s="40" t="s">
        <v>467</v>
      </c>
      <c r="I1625" s="40" t="s">
        <v>1269</v>
      </c>
      <c r="J1625" s="90" t="s">
        <v>581</v>
      </c>
      <c r="K1625" s="90" t="s">
        <v>578</v>
      </c>
      <c r="L1625" s="90"/>
      <c r="M1625" s="90"/>
      <c r="N1625" s="90"/>
      <c r="O1625" s="90"/>
      <c r="P1625" s="90"/>
      <c r="Q1625" s="90"/>
      <c r="R1625" s="90"/>
      <c r="S1625" s="90"/>
      <c r="T1625" s="90"/>
      <c r="U1625" s="90"/>
      <c r="V1625" s="90"/>
      <c r="W1625" s="90"/>
      <c r="X1625" s="90"/>
      <c r="Y1625" s="90"/>
      <c r="Z1625" s="90" t="s">
        <v>3309</v>
      </c>
      <c r="AA1625" s="91">
        <v>70</v>
      </c>
      <c r="AB1625" s="46">
        <f>IF(H2ProjectDB689571011[[#This Row],[Dummy_1]]="Electrolysis",
AA1625/VLOOKUP(G1625,ElectrolysisConvF,3,FALSE),
AC1625*10^6/(H2dens*HoursInYear))</f>
        <v>15555.555555555557</v>
      </c>
      <c r="AC1625" s="47">
        <f>AB1625*H2dens*HoursInYear/10^6</f>
        <v>12.127733333333333</v>
      </c>
      <c r="AD1625" s="92"/>
      <c r="AE1625" s="92">
        <f t="shared" ref="AE1625:AE1688" si="116">IF(AND(G1625&lt;&gt;"NG w CCUS",G1625&lt;&gt;"Oil w CCUS",G1625&lt;&gt;"Coal w CCUS"),AB1625,AD1625*10^3/(HoursInYear*IF(G1625="NG w CCUS",0.9105,1.9075)))</f>
        <v>15555.555555555557</v>
      </c>
      <c r="AF1625" s="93" t="s">
        <v>5613</v>
      </c>
      <c r="AG1625" s="43">
        <v>39.417838099762399</v>
      </c>
      <c r="AH1625" s="43">
        <v>-3.21761548796866</v>
      </c>
      <c r="AI1625" s="122" t="s">
        <v>7286</v>
      </c>
      <c r="AJ1625" s="41">
        <v>0.5</v>
      </c>
    </row>
    <row r="1626" spans="1:36" ht="35.1" hidden="1" customHeight="1" x14ac:dyDescent="0.25">
      <c r="A1626" s="40">
        <v>2261</v>
      </c>
      <c r="B1626" s="90" t="s">
        <v>5614</v>
      </c>
      <c r="C1626" s="90" t="s">
        <v>561</v>
      </c>
      <c r="D1626" s="44">
        <v>2025</v>
      </c>
      <c r="E1626" s="44"/>
      <c r="F1626" s="90" t="s">
        <v>1331</v>
      </c>
      <c r="G1626" s="90" t="s">
        <v>1259</v>
      </c>
      <c r="H1626" s="90" t="s">
        <v>467</v>
      </c>
      <c r="I1626" s="90" t="s">
        <v>1269</v>
      </c>
      <c r="J1626" s="90" t="s">
        <v>1391</v>
      </c>
      <c r="K1626" s="90" t="s">
        <v>578</v>
      </c>
      <c r="L1626" s="90"/>
      <c r="M1626" s="90"/>
      <c r="N1626" s="90"/>
      <c r="O1626" s="90"/>
      <c r="P1626" s="90"/>
      <c r="Q1626" s="90"/>
      <c r="R1626" s="90"/>
      <c r="S1626" s="90"/>
      <c r="T1626" s="90"/>
      <c r="U1626" s="90"/>
      <c r="V1626" s="90"/>
      <c r="W1626" s="90"/>
      <c r="X1626" s="90"/>
      <c r="Y1626" s="90"/>
      <c r="Z1626" s="90" t="s">
        <v>1484</v>
      </c>
      <c r="AA1626" s="91">
        <v>5</v>
      </c>
      <c r="AB1626" s="46">
        <f>IF(H2ProjectDB689571011[[#This Row],[Dummy_1]]="Electrolysis",
AA1626/VLOOKUP(G1626,ElectrolysisConvF,3,FALSE),
AC1626*10^6/(H2dens*HoursInYear))</f>
        <v>1111.1111111111111</v>
      </c>
      <c r="AC1626" s="47">
        <f>AB1626*H2dens*HoursInYear/10^6</f>
        <v>0.86626666666666663</v>
      </c>
      <c r="AD1626" s="92"/>
      <c r="AE1626" s="92">
        <f t="shared" si="116"/>
        <v>1111.1111111111111</v>
      </c>
      <c r="AF1626" s="93" t="s">
        <v>5616</v>
      </c>
      <c r="AG1626" s="43">
        <v>50.255287628679802</v>
      </c>
      <c r="AH1626" s="43">
        <v>19.0350018398115</v>
      </c>
      <c r="AI1626" s="122" t="s">
        <v>7286</v>
      </c>
      <c r="AJ1626" s="41">
        <v>0.3</v>
      </c>
    </row>
    <row r="1627" spans="1:36" ht="35.1" hidden="1" customHeight="1" x14ac:dyDescent="0.25">
      <c r="A1627" s="40">
        <v>2262</v>
      </c>
      <c r="B1627" s="90" t="s">
        <v>5617</v>
      </c>
      <c r="C1627" s="90" t="s">
        <v>542</v>
      </c>
      <c r="D1627" s="44">
        <v>2025</v>
      </c>
      <c r="E1627" s="44"/>
      <c r="F1627" s="90" t="s">
        <v>5701</v>
      </c>
      <c r="G1627" s="90" t="s">
        <v>1259</v>
      </c>
      <c r="H1627" s="90" t="s">
        <v>467</v>
      </c>
      <c r="I1627" s="90" t="s">
        <v>1269</v>
      </c>
      <c r="J1627" s="90" t="s">
        <v>581</v>
      </c>
      <c r="K1627" s="90" t="s">
        <v>578</v>
      </c>
      <c r="L1627" s="90"/>
      <c r="M1627" s="90"/>
      <c r="N1627" s="90"/>
      <c r="O1627" s="90"/>
      <c r="P1627" s="90"/>
      <c r="Q1627" s="90">
        <v>1</v>
      </c>
      <c r="R1627" s="90"/>
      <c r="S1627" s="90"/>
      <c r="T1627" s="90"/>
      <c r="U1627" s="90"/>
      <c r="V1627" s="90"/>
      <c r="W1627" s="90"/>
      <c r="X1627" s="90"/>
      <c r="Y1627" s="90"/>
      <c r="Z1627" s="40" t="s">
        <v>8481</v>
      </c>
      <c r="AA1627" s="91">
        <v>24.5</v>
      </c>
      <c r="AB1627" s="46">
        <f>IF(H2ProjectDB689571011[[#This Row],[Dummy_1]]="Electrolysis",
AA1627/VLOOKUP(G1627,ElectrolysisConvF,3,FALSE),
AC1627*10^6/(H2dens*HoursInYear))</f>
        <v>5444.4444444444453</v>
      </c>
      <c r="AC1627" s="47">
        <f>AB1627*H2dens*HoursInYear/10^6</f>
        <v>4.2447066666666666</v>
      </c>
      <c r="AD1627" s="92"/>
      <c r="AE1627" s="92">
        <f t="shared" si="116"/>
        <v>5444.4444444444453</v>
      </c>
      <c r="AF1627" s="93" t="s">
        <v>5622</v>
      </c>
      <c r="AG1627" s="43">
        <v>53.7981119410234</v>
      </c>
      <c r="AH1627" s="43">
        <v>-1.79487248021921</v>
      </c>
      <c r="AI1627" s="122" t="s">
        <v>7286</v>
      </c>
      <c r="AJ1627" s="41">
        <v>0.5</v>
      </c>
    </row>
    <row r="1628" spans="1:36" ht="35.1" hidden="1" customHeight="1" x14ac:dyDescent="0.25">
      <c r="A1628" s="40">
        <v>2263</v>
      </c>
      <c r="B1628" s="40" t="s">
        <v>8483</v>
      </c>
      <c r="C1628" s="90" t="s">
        <v>542</v>
      </c>
      <c r="D1628" s="44">
        <v>2026</v>
      </c>
      <c r="E1628" s="44"/>
      <c r="F1628" s="90" t="s">
        <v>5701</v>
      </c>
      <c r="G1628" s="90" t="s">
        <v>1259</v>
      </c>
      <c r="H1628" s="90" t="s">
        <v>467</v>
      </c>
      <c r="I1628" s="90" t="s">
        <v>1269</v>
      </c>
      <c r="J1628" s="90" t="s">
        <v>581</v>
      </c>
      <c r="K1628" s="90" t="s">
        <v>578</v>
      </c>
      <c r="L1628" s="90"/>
      <c r="M1628" s="90"/>
      <c r="N1628" s="90"/>
      <c r="O1628" s="90"/>
      <c r="P1628" s="90">
        <v>1</v>
      </c>
      <c r="Q1628" s="90">
        <v>1</v>
      </c>
      <c r="R1628" s="90"/>
      <c r="S1628" s="90"/>
      <c r="T1628" s="90"/>
      <c r="U1628" s="90"/>
      <c r="V1628" s="90"/>
      <c r="W1628" s="90"/>
      <c r="X1628" s="90"/>
      <c r="Y1628" s="90"/>
      <c r="Z1628" s="40" t="s">
        <v>8485</v>
      </c>
      <c r="AA1628" s="91">
        <v>10.6</v>
      </c>
      <c r="AB1628" s="46">
        <f>IF(H2ProjectDB689571011[[#This Row],[Dummy_1]]="Electrolysis",
AA1628/VLOOKUP(G1628,ElectrolysisConvF,3,FALSE),
AC1628*10^6/(H2dens*HoursInYear))</f>
        <v>2355.5555555555557</v>
      </c>
      <c r="AC1628" s="47">
        <f>AB1628*H2dens*HoursInYear/10^6</f>
        <v>1.8364853333333333</v>
      </c>
      <c r="AD1628" s="92"/>
      <c r="AE1628" s="92">
        <f t="shared" si="116"/>
        <v>2355.5555555555557</v>
      </c>
      <c r="AF1628" s="93" t="s">
        <v>6066</v>
      </c>
      <c r="AG1628" s="43">
        <v>57.682156449099097</v>
      </c>
      <c r="AH1628" s="43">
        <v>-4.0336844164554204</v>
      </c>
      <c r="AI1628" s="122" t="s">
        <v>7286</v>
      </c>
      <c r="AJ1628" s="41">
        <v>0.5</v>
      </c>
    </row>
    <row r="1629" spans="1:36" ht="35.1" hidden="1" customHeight="1" x14ac:dyDescent="0.25">
      <c r="A1629" s="40">
        <v>2265</v>
      </c>
      <c r="B1629" s="90" t="s">
        <v>5618</v>
      </c>
      <c r="C1629" s="90" t="s">
        <v>542</v>
      </c>
      <c r="D1629" s="44">
        <v>2028</v>
      </c>
      <c r="E1629" s="44"/>
      <c r="F1629" s="90" t="s">
        <v>1331</v>
      </c>
      <c r="G1629" s="90" t="s">
        <v>1259</v>
      </c>
      <c r="H1629" s="90" t="s">
        <v>467</v>
      </c>
      <c r="I1629" s="90" t="s">
        <v>1269</v>
      </c>
      <c r="J1629" s="90" t="s">
        <v>581</v>
      </c>
      <c r="K1629" s="90" t="s">
        <v>578</v>
      </c>
      <c r="L1629" s="90"/>
      <c r="M1629" s="90"/>
      <c r="N1629" s="90"/>
      <c r="O1629" s="90"/>
      <c r="P1629" s="90"/>
      <c r="Q1629" s="90"/>
      <c r="R1629" s="90"/>
      <c r="S1629" s="90"/>
      <c r="T1629" s="90"/>
      <c r="U1629" s="90"/>
      <c r="V1629" s="90"/>
      <c r="W1629" s="90"/>
      <c r="X1629" s="90"/>
      <c r="Y1629" s="90"/>
      <c r="Z1629" s="90"/>
      <c r="AA1629" s="91">
        <f>IF(OR(G1629="ALK",G1629="PEM",G1629="SOEC",G1629="Other Electrolysis"),
AB1629*VLOOKUP(G1629,ElectrolysisConvF,3,FALSE),
"")</f>
        <v>0</v>
      </c>
      <c r="AB1629" s="92"/>
      <c r="AC1629" s="92"/>
      <c r="AD1629" s="92"/>
      <c r="AE1629" s="92">
        <f t="shared" si="116"/>
        <v>0</v>
      </c>
      <c r="AF1629" s="93" t="s">
        <v>5622</v>
      </c>
      <c r="AG1629" s="43">
        <v>53.226330612409797</v>
      </c>
      <c r="AH1629" s="43">
        <v>-0.80409343634497599</v>
      </c>
      <c r="AI1629" s="122" t="s">
        <v>7286</v>
      </c>
      <c r="AJ1629" s="41">
        <v>0.5</v>
      </c>
    </row>
    <row r="1630" spans="1:36" ht="35.1" hidden="1" customHeight="1" x14ac:dyDescent="0.25">
      <c r="A1630" s="40">
        <v>2266</v>
      </c>
      <c r="B1630" s="90" t="s">
        <v>5619</v>
      </c>
      <c r="C1630" s="90" t="s">
        <v>542</v>
      </c>
      <c r="D1630" s="44">
        <v>2025</v>
      </c>
      <c r="E1630" s="44"/>
      <c r="F1630" s="90" t="s">
        <v>5701</v>
      </c>
      <c r="G1630" s="90" t="s">
        <v>1259</v>
      </c>
      <c r="H1630" s="90" t="s">
        <v>467</v>
      </c>
      <c r="I1630" s="90" t="s">
        <v>1269</v>
      </c>
      <c r="J1630" s="90" t="s">
        <v>581</v>
      </c>
      <c r="K1630" s="90" t="s">
        <v>578</v>
      </c>
      <c r="L1630" s="90"/>
      <c r="M1630" s="90"/>
      <c r="N1630" s="90"/>
      <c r="O1630" s="90"/>
      <c r="P1630" s="90"/>
      <c r="Q1630" s="90"/>
      <c r="R1630" s="90"/>
      <c r="S1630" s="90"/>
      <c r="T1630" s="90"/>
      <c r="U1630" s="90"/>
      <c r="V1630" s="90"/>
      <c r="W1630" s="90"/>
      <c r="X1630" s="90"/>
      <c r="Y1630" s="90"/>
      <c r="Z1630" s="40" t="s">
        <v>8522</v>
      </c>
      <c r="AA1630" s="91">
        <v>5.2</v>
      </c>
      <c r="AB1630" s="46">
        <f>IF(H2ProjectDB689571011[[#This Row],[Dummy_1]]="Electrolysis",
AA1630/VLOOKUP(G1630,ElectrolysisConvF,3,FALSE),
AC1630*10^6/(H2dens*HoursInYear))</f>
        <v>1155.5555555555557</v>
      </c>
      <c r="AC1630" s="47">
        <f>AB1630*H2dens*HoursInYear/10^6</f>
        <v>0.90091733333333335</v>
      </c>
      <c r="AD1630" s="92"/>
      <c r="AE1630" s="92">
        <f t="shared" si="116"/>
        <v>1155.5555555555557</v>
      </c>
      <c r="AF1630" s="93" t="s">
        <v>5622</v>
      </c>
      <c r="AG1630" s="43">
        <v>51.5538880842306</v>
      </c>
      <c r="AH1630" s="43">
        <v>-3.5733780844277101</v>
      </c>
      <c r="AI1630" s="122" t="s">
        <v>7286</v>
      </c>
      <c r="AJ1630" s="41">
        <v>0.5</v>
      </c>
    </row>
    <row r="1631" spans="1:36" ht="35.1" hidden="1" customHeight="1" x14ac:dyDescent="0.25">
      <c r="A1631" s="40">
        <v>2267</v>
      </c>
      <c r="B1631" s="90" t="s">
        <v>5620</v>
      </c>
      <c r="C1631" s="90" t="s">
        <v>542</v>
      </c>
      <c r="D1631" s="44">
        <v>2030</v>
      </c>
      <c r="E1631" s="44"/>
      <c r="F1631" s="90" t="s">
        <v>1331</v>
      </c>
      <c r="G1631" s="90" t="s">
        <v>1259</v>
      </c>
      <c r="H1631" s="90" t="s">
        <v>467</v>
      </c>
      <c r="I1631" s="90" t="s">
        <v>1269</v>
      </c>
      <c r="J1631" s="90" t="s">
        <v>581</v>
      </c>
      <c r="K1631" s="90" t="s">
        <v>578</v>
      </c>
      <c r="L1631" s="90"/>
      <c r="M1631" s="90"/>
      <c r="N1631" s="90"/>
      <c r="O1631" s="90"/>
      <c r="P1631" s="90"/>
      <c r="Q1631" s="90"/>
      <c r="R1631" s="90"/>
      <c r="S1631" s="90">
        <v>1</v>
      </c>
      <c r="T1631" s="90"/>
      <c r="U1631" s="90"/>
      <c r="V1631" s="90"/>
      <c r="W1631" s="90"/>
      <c r="X1631" s="90"/>
      <c r="Y1631" s="90"/>
      <c r="Z1631" s="40" t="s">
        <v>8547</v>
      </c>
      <c r="AA1631" s="91">
        <v>8</v>
      </c>
      <c r="AB1631" s="46">
        <f>IF(H2ProjectDB689571011[[#This Row],[Dummy_1]]="Electrolysis",
AA1631/VLOOKUP(G1631,ElectrolysisConvF,3,FALSE),
AC1631*10^6/(H2dens*HoursInYear))</f>
        <v>1777.7777777777778</v>
      </c>
      <c r="AC1631" s="47">
        <f>AB1631*H2dens*HoursInYear/10^6</f>
        <v>1.3860266666666667</v>
      </c>
      <c r="AD1631" s="92"/>
      <c r="AE1631" s="92">
        <f t="shared" si="116"/>
        <v>1777.7777777777778</v>
      </c>
      <c r="AF1631" s="93" t="s">
        <v>5622</v>
      </c>
      <c r="AG1631" s="43">
        <v>54.042769479767202</v>
      </c>
      <c r="AH1631" s="43">
        <v>-2.66632948079446</v>
      </c>
      <c r="AI1631" s="122" t="s">
        <v>7286</v>
      </c>
      <c r="AJ1631" s="41">
        <v>0.5</v>
      </c>
    </row>
    <row r="1632" spans="1:36" ht="35.1" hidden="1" customHeight="1" x14ac:dyDescent="0.25">
      <c r="A1632" s="40">
        <v>2268</v>
      </c>
      <c r="B1632" s="40" t="s">
        <v>6618</v>
      </c>
      <c r="C1632" s="90" t="s">
        <v>542</v>
      </c>
      <c r="D1632" s="44">
        <v>2026</v>
      </c>
      <c r="E1632" s="44"/>
      <c r="F1632" s="90" t="s">
        <v>1331</v>
      </c>
      <c r="G1632" s="90" t="s">
        <v>1259</v>
      </c>
      <c r="H1632" s="90" t="s">
        <v>467</v>
      </c>
      <c r="I1632" s="90" t="s">
        <v>1269</v>
      </c>
      <c r="J1632" s="90" t="s">
        <v>581</v>
      </c>
      <c r="K1632" s="90" t="s">
        <v>578</v>
      </c>
      <c r="L1632" s="90"/>
      <c r="M1632" s="90"/>
      <c r="N1632" s="90"/>
      <c r="O1632" s="90"/>
      <c r="P1632" s="90">
        <v>1</v>
      </c>
      <c r="Q1632" s="90">
        <v>1</v>
      </c>
      <c r="R1632" s="90">
        <v>1</v>
      </c>
      <c r="S1632" s="90"/>
      <c r="T1632" s="90"/>
      <c r="U1632" s="90"/>
      <c r="V1632" s="90"/>
      <c r="W1632" s="90"/>
      <c r="X1632" s="90"/>
      <c r="Y1632" s="90"/>
      <c r="Z1632" s="40" t="s">
        <v>1495</v>
      </c>
      <c r="AA1632" s="91">
        <v>20</v>
      </c>
      <c r="AB1632" s="46">
        <f>IF(H2ProjectDB689571011[[#This Row],[Dummy_1]]="Electrolysis",
AA1632/VLOOKUP(G1632,ElectrolysisConvF,3,FALSE),
AC1632*10^6/(H2dens*HoursInYear))</f>
        <v>4444.4444444444443</v>
      </c>
      <c r="AC1632" s="47">
        <f>AB1632*H2dens*HoursInYear/10^6</f>
        <v>3.4650666666666665</v>
      </c>
      <c r="AD1632" s="92"/>
      <c r="AE1632" s="92">
        <f t="shared" si="116"/>
        <v>4444.4444444444443</v>
      </c>
      <c r="AF1632" s="43" t="s">
        <v>6620</v>
      </c>
      <c r="AG1632" s="43">
        <v>51.713821067564801</v>
      </c>
      <c r="AH1632" s="43">
        <v>-5.0350331589246604</v>
      </c>
      <c r="AI1632" s="122" t="s">
        <v>7286</v>
      </c>
      <c r="AJ1632" s="41">
        <v>0.5</v>
      </c>
    </row>
    <row r="1633" spans="1:36" ht="35.1" hidden="1" customHeight="1" x14ac:dyDescent="0.25">
      <c r="A1633" s="40">
        <v>2269</v>
      </c>
      <c r="B1633" s="90" t="s">
        <v>5627</v>
      </c>
      <c r="C1633" s="90" t="s">
        <v>538</v>
      </c>
      <c r="D1633" s="44">
        <v>2025</v>
      </c>
      <c r="E1633" s="44"/>
      <c r="F1633" s="40" t="s">
        <v>1331</v>
      </c>
      <c r="G1633" s="40" t="s">
        <v>1259</v>
      </c>
      <c r="H1633" s="40" t="s">
        <v>467</v>
      </c>
      <c r="I1633" s="40" t="s">
        <v>1269</v>
      </c>
      <c r="J1633" s="40" t="s">
        <v>1391</v>
      </c>
      <c r="K1633" s="90" t="s">
        <v>578</v>
      </c>
      <c r="L1633" s="90"/>
      <c r="M1633" s="90"/>
      <c r="N1633" s="90"/>
      <c r="O1633" s="90"/>
      <c r="P1633" s="90">
        <v>1</v>
      </c>
      <c r="Q1633" s="90"/>
      <c r="R1633" s="90"/>
      <c r="S1633" s="90"/>
      <c r="T1633" s="90"/>
      <c r="U1633" s="90"/>
      <c r="V1633" s="90"/>
      <c r="W1633" s="90"/>
      <c r="X1633" s="90"/>
      <c r="Y1633" s="90"/>
      <c r="Z1633" s="90" t="s">
        <v>3313</v>
      </c>
      <c r="AA1633" s="91">
        <v>16</v>
      </c>
      <c r="AB1633" s="46">
        <f>IF(H2ProjectDB689571011[[#This Row],[Dummy_1]]="Electrolysis",
AA1633/VLOOKUP(G1633,ElectrolysisConvF,3,FALSE),
AC1633*10^6/(H2dens*HoursInYear))</f>
        <v>3555.5555555555557</v>
      </c>
      <c r="AC1633" s="47">
        <f>AB1633*H2dens*HoursInYear/10^6</f>
        <v>2.7720533333333335</v>
      </c>
      <c r="AD1633" s="92"/>
      <c r="AE1633" s="92">
        <f t="shared" si="116"/>
        <v>3555.5555555555557</v>
      </c>
      <c r="AF1633" s="93" t="s">
        <v>5629</v>
      </c>
      <c r="AG1633" s="43">
        <v>35.581786877735397</v>
      </c>
      <c r="AH1633" s="43">
        <v>138.629752182902</v>
      </c>
      <c r="AI1633" s="122" t="s">
        <v>7286</v>
      </c>
      <c r="AJ1633" s="41">
        <v>0.3</v>
      </c>
    </row>
    <row r="1634" spans="1:36" ht="35.1" hidden="1" customHeight="1" x14ac:dyDescent="0.25">
      <c r="A1634" s="40">
        <v>2270</v>
      </c>
      <c r="B1634" s="40" t="s">
        <v>5632</v>
      </c>
      <c r="C1634" s="40" t="s">
        <v>975</v>
      </c>
      <c r="D1634" s="90"/>
      <c r="E1634" s="90"/>
      <c r="F1634" s="90" t="s">
        <v>2222</v>
      </c>
      <c r="G1634" s="90" t="s">
        <v>1263</v>
      </c>
      <c r="H1634" s="40" t="s">
        <v>5633</v>
      </c>
      <c r="I1634" s="90"/>
      <c r="J1634" s="90"/>
      <c r="K1634" s="40" t="s">
        <v>578</v>
      </c>
      <c r="L1634" s="90"/>
      <c r="M1634" s="90"/>
      <c r="N1634" s="90"/>
      <c r="O1634" s="90"/>
      <c r="P1634" s="90"/>
      <c r="Q1634" s="90"/>
      <c r="R1634" s="90"/>
      <c r="S1634" s="90"/>
      <c r="T1634" s="90"/>
      <c r="U1634" s="90"/>
      <c r="V1634" s="90"/>
      <c r="W1634" s="90"/>
      <c r="X1634" s="90"/>
      <c r="Y1634" s="90"/>
      <c r="Z1634" s="90"/>
      <c r="AA1634" s="91" t="str">
        <f>IF(OR(G1634="ALK",G1634="PEM",G1634="SOEC",G1634="Other Electrolysis"),
AB1634*VLOOKUP(G1634,ElectrolysisConvF,3,FALSE),
"")</f>
        <v/>
      </c>
      <c r="AB1634" s="92"/>
      <c r="AC1634" s="92"/>
      <c r="AD1634" s="92"/>
      <c r="AE1634" s="92">
        <f t="shared" si="116"/>
        <v>0</v>
      </c>
      <c r="AF1634" s="43" t="s">
        <v>5634</v>
      </c>
      <c r="AG1634" s="43">
        <v>0</v>
      </c>
      <c r="AH1634" s="43">
        <v>0</v>
      </c>
      <c r="AI1634" s="122" t="s">
        <v>1255</v>
      </c>
      <c r="AJ1634" s="41">
        <v>0.9</v>
      </c>
    </row>
    <row r="1635" spans="1:36" ht="35.1" hidden="1" customHeight="1" x14ac:dyDescent="0.25">
      <c r="A1635" s="40">
        <v>2271</v>
      </c>
      <c r="B1635" s="40" t="s">
        <v>5636</v>
      </c>
      <c r="C1635" s="40" t="s">
        <v>1097</v>
      </c>
      <c r="D1635" s="44">
        <v>2027</v>
      </c>
      <c r="E1635" s="44"/>
      <c r="F1635" s="90" t="s">
        <v>2222</v>
      </c>
      <c r="G1635" s="90" t="s">
        <v>1259</v>
      </c>
      <c r="H1635" s="40" t="s">
        <v>467</v>
      </c>
      <c r="I1635" s="90" t="s">
        <v>1269</v>
      </c>
      <c r="J1635" s="90" t="s">
        <v>1395</v>
      </c>
      <c r="K1635" s="40" t="s">
        <v>1243</v>
      </c>
      <c r="L1635" s="90"/>
      <c r="M1635" s="90">
        <v>1</v>
      </c>
      <c r="N1635" s="90"/>
      <c r="O1635" s="90"/>
      <c r="P1635" s="90"/>
      <c r="Q1635" s="90"/>
      <c r="R1635" s="90"/>
      <c r="S1635" s="90"/>
      <c r="T1635" s="90"/>
      <c r="U1635" s="90"/>
      <c r="V1635" s="90"/>
      <c r="W1635" s="90"/>
      <c r="X1635" s="90"/>
      <c r="Y1635" s="90"/>
      <c r="Z1635" s="40" t="s">
        <v>4890</v>
      </c>
      <c r="AA1635" s="47">
        <f>IF(H2ProjectDB689571011[[#This Row],[Dummy_1]]="Electrolysis",
AB1635*VLOOKUP(G1635,ElectrolysisConvF,3,FALSE),
"")</f>
        <v>2078.7135848644521</v>
      </c>
      <c r="AB1635" s="46">
        <f>AC1635/(H2dens*HoursInYear/10^6)</f>
        <v>461936.35219210049</v>
      </c>
      <c r="AC1635" s="92">
        <f>1000*3/17/0.98/H2ProjectDB689571011[[#This Row],[LOWE_CF]]</f>
        <v>360.14405762304921</v>
      </c>
      <c r="AD1635" s="92"/>
      <c r="AE1635" s="92">
        <f t="shared" si="116"/>
        <v>461936.35219210049</v>
      </c>
      <c r="AF1635" s="43" t="s">
        <v>5638</v>
      </c>
      <c r="AG1635" s="43">
        <v>31.915080218670401</v>
      </c>
      <c r="AH1635" s="43">
        <v>-6.1342362977161597</v>
      </c>
      <c r="AI1635" s="122" t="s">
        <v>7286</v>
      </c>
      <c r="AJ1635" s="41">
        <v>0.5</v>
      </c>
    </row>
    <row r="1636" spans="1:36" ht="35.1" hidden="1" customHeight="1" x14ac:dyDescent="0.25">
      <c r="A1636" s="40">
        <v>2272</v>
      </c>
      <c r="B1636" s="40" t="s">
        <v>5639</v>
      </c>
      <c r="C1636" s="40" t="s">
        <v>541</v>
      </c>
      <c r="D1636" s="90"/>
      <c r="E1636" s="90"/>
      <c r="F1636" s="40" t="s">
        <v>1331</v>
      </c>
      <c r="G1636" s="40" t="s">
        <v>1259</v>
      </c>
      <c r="H1636" s="40" t="s">
        <v>467</v>
      </c>
      <c r="I1636" s="40" t="s">
        <v>1269</v>
      </c>
      <c r="J1636" s="90" t="s">
        <v>581</v>
      </c>
      <c r="K1636" s="90" t="s">
        <v>1242</v>
      </c>
      <c r="L1636" s="90"/>
      <c r="M1636" s="90"/>
      <c r="N1636" s="90"/>
      <c r="O1636" s="90"/>
      <c r="P1636" s="90"/>
      <c r="Q1636" s="90"/>
      <c r="R1636" s="90"/>
      <c r="S1636" s="90"/>
      <c r="T1636" s="90"/>
      <c r="U1636" s="90"/>
      <c r="V1636" s="90"/>
      <c r="W1636" s="90"/>
      <c r="X1636" s="90"/>
      <c r="Y1636" s="90"/>
      <c r="Z1636" s="90"/>
      <c r="AA1636" s="91">
        <f>IF(OR(G1636="ALK",G1636="PEM",G1636="SOEC",G1636="Other Electrolysis"),
AB1636*VLOOKUP(G1636,ElectrolysisConvF,3,FALSE),
"")</f>
        <v>0</v>
      </c>
      <c r="AB1636" s="92"/>
      <c r="AC1636" s="92"/>
      <c r="AD1636" s="92"/>
      <c r="AE1636" s="92">
        <f t="shared" si="116"/>
        <v>0</v>
      </c>
      <c r="AF1636" s="43" t="s">
        <v>5641</v>
      </c>
      <c r="AG1636" s="43">
        <v>41.179920744462898</v>
      </c>
      <c r="AH1636" s="43">
        <v>16.656108079593601</v>
      </c>
      <c r="AI1636" s="122" t="s">
        <v>7286</v>
      </c>
      <c r="AJ1636" s="41">
        <v>0.5</v>
      </c>
    </row>
    <row r="1637" spans="1:36" ht="35.1" hidden="1" customHeight="1" x14ac:dyDescent="0.25">
      <c r="A1637" s="40">
        <v>2273</v>
      </c>
      <c r="B1637" s="40" t="s">
        <v>3081</v>
      </c>
      <c r="C1637" s="40" t="s">
        <v>556</v>
      </c>
      <c r="D1637" s="90"/>
      <c r="E1637" s="90"/>
      <c r="F1637" s="40" t="s">
        <v>2222</v>
      </c>
      <c r="G1637" s="40" t="s">
        <v>1263</v>
      </c>
      <c r="H1637" s="40" t="s">
        <v>2578</v>
      </c>
      <c r="I1637" s="90"/>
      <c r="J1637" s="90"/>
      <c r="K1637" s="90" t="s">
        <v>578</v>
      </c>
      <c r="L1637" s="90"/>
      <c r="M1637" s="90"/>
      <c r="N1637" s="90"/>
      <c r="O1637" s="90"/>
      <c r="P1637" s="90"/>
      <c r="Q1637" s="90"/>
      <c r="R1637" s="90"/>
      <c r="S1637" s="90"/>
      <c r="T1637" s="90"/>
      <c r="U1637" s="90"/>
      <c r="V1637" s="90"/>
      <c r="W1637" s="90"/>
      <c r="X1637" s="90"/>
      <c r="Y1637" s="90"/>
      <c r="Z1637" s="90"/>
      <c r="AA1637" s="91" t="str">
        <f>IF(OR(G1637="ALK",G1637="PEM",G1637="SOEC",G1637="Other Electrolysis"),
AB1637*VLOOKUP(G1637,ElectrolysisConvF,3,FALSE),
"")</f>
        <v/>
      </c>
      <c r="AB1637" s="92"/>
      <c r="AC1637" s="92"/>
      <c r="AD1637" s="92"/>
      <c r="AE1637" s="92">
        <f t="shared" si="116"/>
        <v>0</v>
      </c>
      <c r="AF1637" s="43" t="s">
        <v>5643</v>
      </c>
      <c r="AG1637" s="43">
        <v>58.694922816026398</v>
      </c>
      <c r="AH1637" s="43">
        <v>25.557039459678801</v>
      </c>
      <c r="AI1637" s="122" t="s">
        <v>1255</v>
      </c>
      <c r="AJ1637" s="41">
        <v>0.9</v>
      </c>
    </row>
    <row r="1638" spans="1:36" ht="35.1" hidden="1" customHeight="1" x14ac:dyDescent="0.25">
      <c r="A1638" s="40">
        <v>2274</v>
      </c>
      <c r="B1638" s="40" t="s">
        <v>5646</v>
      </c>
      <c r="C1638" s="40" t="s">
        <v>530</v>
      </c>
      <c r="D1638" s="90"/>
      <c r="E1638" s="90"/>
      <c r="F1638" s="40" t="s">
        <v>2222</v>
      </c>
      <c r="G1638" s="40" t="s">
        <v>1263</v>
      </c>
      <c r="H1638" s="40" t="s">
        <v>990</v>
      </c>
      <c r="K1638" s="40" t="s">
        <v>578</v>
      </c>
      <c r="L1638" s="90"/>
      <c r="M1638" s="90"/>
      <c r="N1638" s="90"/>
      <c r="O1638" s="90"/>
      <c r="P1638" s="90"/>
      <c r="Q1638" s="90"/>
      <c r="R1638" s="90"/>
      <c r="S1638" s="90"/>
      <c r="T1638" s="90"/>
      <c r="U1638" s="90"/>
      <c r="V1638" s="90"/>
      <c r="W1638" s="90"/>
      <c r="X1638" s="90"/>
      <c r="Y1638" s="90"/>
      <c r="Z1638" s="40" t="s">
        <v>5647</v>
      </c>
      <c r="AA1638" s="91"/>
      <c r="AB1638" s="46">
        <f>AC1638/(H2dens*HoursInYear/10^6)</f>
        <v>320.66081781334975</v>
      </c>
      <c r="AC1638" s="92">
        <f>225/1000/H2ProjectDB689571011[[#This Row],[LOWE_CF]]</f>
        <v>0.25</v>
      </c>
      <c r="AD1638" s="92"/>
      <c r="AE1638" s="92">
        <f t="shared" si="116"/>
        <v>320.66081781334975</v>
      </c>
      <c r="AF1638" s="43" t="s">
        <v>5645</v>
      </c>
      <c r="AG1638" s="43">
        <v>48.589552203981199</v>
      </c>
      <c r="AH1638" s="43">
        <v>2.45483706966318</v>
      </c>
      <c r="AI1638" s="122" t="s">
        <v>1255</v>
      </c>
      <c r="AJ1638" s="41">
        <v>0.9</v>
      </c>
    </row>
    <row r="1639" spans="1:36" ht="40.35" hidden="1" customHeight="1" x14ac:dyDescent="0.25">
      <c r="A1639" s="40">
        <v>2275</v>
      </c>
      <c r="B1639" s="40" t="s">
        <v>5648</v>
      </c>
      <c r="C1639" s="40" t="s">
        <v>975</v>
      </c>
      <c r="D1639" s="44">
        <v>2026</v>
      </c>
      <c r="E1639" s="44"/>
      <c r="F1639" s="40" t="s">
        <v>2222</v>
      </c>
      <c r="G1639" s="40" t="s">
        <v>456</v>
      </c>
      <c r="H1639" s="90"/>
      <c r="I1639" s="40" t="s">
        <v>1680</v>
      </c>
      <c r="K1639" s="40" t="s">
        <v>578</v>
      </c>
      <c r="L1639" s="90"/>
      <c r="M1639" s="90"/>
      <c r="N1639" s="90"/>
      <c r="O1639" s="90"/>
      <c r="P1639" s="90"/>
      <c r="Q1639" s="90"/>
      <c r="R1639" s="90"/>
      <c r="S1639" s="90"/>
      <c r="T1639" s="90"/>
      <c r="U1639" s="90"/>
      <c r="V1639" s="90"/>
      <c r="W1639" s="90"/>
      <c r="X1639" s="90"/>
      <c r="Y1639" s="90"/>
      <c r="Z1639" s="90"/>
      <c r="AA1639" s="91">
        <f>IF(OR(G1639="ALK",G1639="PEM",G1639="SOEC",G1639="Other Electrolysis"),
AB1639*VLOOKUP(G1639,ElectrolysisConvF,3,FALSE),
"")</f>
        <v>0</v>
      </c>
      <c r="AB1639" s="92"/>
      <c r="AC1639" s="92"/>
      <c r="AD1639" s="92"/>
      <c r="AE1639" s="92">
        <f t="shared" si="116"/>
        <v>0</v>
      </c>
      <c r="AF1639" s="43" t="s">
        <v>5649</v>
      </c>
      <c r="AG1639" s="43">
        <v>37.558229454882898</v>
      </c>
      <c r="AH1639" s="43">
        <v>127.008457909337</v>
      </c>
      <c r="AI1639" s="122" t="s">
        <v>7286</v>
      </c>
      <c r="AJ1639" s="41">
        <v>0.8</v>
      </c>
    </row>
    <row r="1640" spans="1:36" ht="35.1" hidden="1" customHeight="1" x14ac:dyDescent="0.25">
      <c r="A1640" s="40">
        <v>2276</v>
      </c>
      <c r="B1640" s="40" t="s">
        <v>5651</v>
      </c>
      <c r="C1640" s="90" t="s">
        <v>1764</v>
      </c>
      <c r="D1640" s="90"/>
      <c r="E1640" s="90"/>
      <c r="F1640" s="90" t="s">
        <v>1540</v>
      </c>
      <c r="G1640" s="90" t="s">
        <v>1259</v>
      </c>
      <c r="H1640" s="40" t="s">
        <v>467</v>
      </c>
      <c r="I1640" s="90" t="s">
        <v>1269</v>
      </c>
      <c r="J1640" s="90" t="s">
        <v>1392</v>
      </c>
      <c r="K1640" s="90" t="s">
        <v>578</v>
      </c>
      <c r="L1640" s="90"/>
      <c r="M1640" s="90"/>
      <c r="N1640" s="90"/>
      <c r="O1640" s="90"/>
      <c r="P1640" s="90"/>
      <c r="Q1640" s="90"/>
      <c r="R1640" s="90"/>
      <c r="S1640" s="90"/>
      <c r="T1640" s="90"/>
      <c r="U1640" s="90"/>
      <c r="V1640" s="90"/>
      <c r="W1640" s="90"/>
      <c r="X1640" s="90"/>
      <c r="Y1640" s="90"/>
      <c r="Z1640" s="40" t="s">
        <v>5652</v>
      </c>
      <c r="AA1640" s="91">
        <v>0.4</v>
      </c>
      <c r="AB1640" s="46">
        <f>IF(H2ProjectDB689571011[[#This Row],[Dummy_1]]="Electrolysis",
AA1640/VLOOKUP(G1640,ElectrolysisConvF,3,FALSE),
AC1640*10^6/(H2dens*HoursInYear))</f>
        <v>88.8888888888889</v>
      </c>
      <c r="AC1640" s="47">
        <f>AB1640*H2dens*HoursInYear/10^6</f>
        <v>6.930133333333334E-2</v>
      </c>
      <c r="AD1640" s="92"/>
      <c r="AE1640" s="92">
        <f t="shared" si="116"/>
        <v>88.8888888888889</v>
      </c>
      <c r="AF1640" s="43" t="s">
        <v>5653</v>
      </c>
      <c r="AG1640" s="43">
        <v>42.938365590160899</v>
      </c>
      <c r="AH1640" s="43">
        <v>-1.7122214152162201</v>
      </c>
      <c r="AI1640" s="122" t="s">
        <v>7286</v>
      </c>
      <c r="AJ1640" s="41">
        <v>0.4</v>
      </c>
    </row>
    <row r="1641" spans="1:36" ht="35.1" hidden="1" customHeight="1" x14ac:dyDescent="0.25">
      <c r="A1641" s="40">
        <v>2277</v>
      </c>
      <c r="B1641" s="40" t="s">
        <v>5655</v>
      </c>
      <c r="C1641" s="40" t="s">
        <v>1756</v>
      </c>
      <c r="D1641" s="44">
        <v>2026</v>
      </c>
      <c r="E1641" s="44"/>
      <c r="F1641" s="40" t="s">
        <v>1331</v>
      </c>
      <c r="G1641" s="40" t="s">
        <v>1259</v>
      </c>
      <c r="H1641" s="40" t="s">
        <v>467</v>
      </c>
      <c r="I1641" s="40" t="s">
        <v>1257</v>
      </c>
      <c r="J1641" s="90" t="s">
        <v>581</v>
      </c>
      <c r="K1641" s="90" t="s">
        <v>578</v>
      </c>
      <c r="L1641" s="90"/>
      <c r="M1641" s="90"/>
      <c r="N1641" s="90"/>
      <c r="O1641" s="90"/>
      <c r="P1641" s="90">
        <v>1</v>
      </c>
      <c r="Q1641" s="90">
        <v>1</v>
      </c>
      <c r="R1641" s="90"/>
      <c r="S1641" s="90"/>
      <c r="T1641" s="90"/>
      <c r="U1641" s="90"/>
      <c r="V1641" s="90"/>
      <c r="W1641" s="90"/>
      <c r="X1641" s="90"/>
      <c r="Y1641" s="90"/>
      <c r="Z1641" s="40" t="s">
        <v>1333</v>
      </c>
      <c r="AA1641" s="91">
        <v>10</v>
      </c>
      <c r="AB1641" s="46">
        <f>IF(H2ProjectDB689571011[[#This Row],[Dummy_1]]="Electrolysis",
AA1641/VLOOKUP(G1641,ElectrolysisConvF,3,FALSE),
AC1641*10^6/(H2dens*HoursInYear))</f>
        <v>2222.2222222222222</v>
      </c>
      <c r="AC1641" s="47">
        <f>AB1641*H2dens*HoursInYear/10^6</f>
        <v>1.7325333333333333</v>
      </c>
      <c r="AD1641" s="92"/>
      <c r="AE1641" s="92">
        <f t="shared" si="116"/>
        <v>2222.2222222222222</v>
      </c>
      <c r="AF1641" s="43" t="s">
        <v>5656</v>
      </c>
      <c r="AG1641" s="43">
        <v>53.8245248086156</v>
      </c>
      <c r="AH1641" s="43">
        <v>-6.4289739374468704</v>
      </c>
      <c r="AI1641" s="122" t="s">
        <v>7286</v>
      </c>
      <c r="AJ1641" s="41">
        <v>0.56999999999999995</v>
      </c>
    </row>
    <row r="1642" spans="1:36" ht="35.1" hidden="1" customHeight="1" x14ac:dyDescent="0.25">
      <c r="A1642" s="40">
        <v>2278</v>
      </c>
      <c r="B1642" s="40" t="s">
        <v>5660</v>
      </c>
      <c r="C1642" s="40" t="s">
        <v>1756</v>
      </c>
      <c r="D1642" s="44">
        <v>2025</v>
      </c>
      <c r="E1642" s="44"/>
      <c r="F1642" s="40" t="s">
        <v>5701</v>
      </c>
      <c r="G1642" s="40" t="s">
        <v>1259</v>
      </c>
      <c r="H1642" s="40" t="s">
        <v>467</v>
      </c>
      <c r="I1642" s="40" t="s">
        <v>1269</v>
      </c>
      <c r="J1642" s="90" t="s">
        <v>1392</v>
      </c>
      <c r="K1642" s="90" t="s">
        <v>578</v>
      </c>
      <c r="L1642" s="90"/>
      <c r="M1642" s="90"/>
      <c r="N1642" s="90"/>
      <c r="O1642" s="90"/>
      <c r="P1642" s="90"/>
      <c r="Q1642" s="90"/>
      <c r="R1642" s="90"/>
      <c r="S1642" s="90"/>
      <c r="T1642" s="90"/>
      <c r="U1642" s="90"/>
      <c r="V1642" s="90"/>
      <c r="W1642" s="90"/>
      <c r="X1642" s="90"/>
      <c r="Y1642" s="90"/>
      <c r="Z1642" s="40" t="s">
        <v>1493</v>
      </c>
      <c r="AA1642" s="91">
        <v>2</v>
      </c>
      <c r="AB1642" s="46">
        <f>IF(H2ProjectDB689571011[[#This Row],[Dummy_1]]="Electrolysis",
AA1642/VLOOKUP(G1642,ElectrolysisConvF,3,FALSE),
AC1642*10^6/(H2dens*HoursInYear))</f>
        <v>444.44444444444446</v>
      </c>
      <c r="AC1642" s="47">
        <f>AB1642*H2dens*HoursInYear/10^6</f>
        <v>0.34650666666666669</v>
      </c>
      <c r="AD1642" s="92"/>
      <c r="AE1642" s="92">
        <f t="shared" si="116"/>
        <v>444.44444444444446</v>
      </c>
      <c r="AF1642" s="43" t="s">
        <v>5659</v>
      </c>
      <c r="AG1642" s="43">
        <v>53.2966089746484</v>
      </c>
      <c r="AH1642" s="43">
        <v>-7.2209610434986198</v>
      </c>
      <c r="AI1642" s="122" t="s">
        <v>7286</v>
      </c>
      <c r="AJ1642" s="41">
        <v>0.4</v>
      </c>
    </row>
    <row r="1643" spans="1:36" ht="35.1" hidden="1" customHeight="1" x14ac:dyDescent="0.25">
      <c r="A1643" s="40">
        <v>2279</v>
      </c>
      <c r="B1643" s="40" t="s">
        <v>5661</v>
      </c>
      <c r="C1643" s="40" t="s">
        <v>1756</v>
      </c>
      <c r="D1643" s="90"/>
      <c r="E1643" s="90"/>
      <c r="F1643" s="40" t="s">
        <v>1331</v>
      </c>
      <c r="G1643" s="40" t="s">
        <v>1259</v>
      </c>
      <c r="H1643" s="40" t="s">
        <v>467</v>
      </c>
      <c r="I1643" s="40" t="s">
        <v>1269</v>
      </c>
      <c r="J1643" s="90" t="s">
        <v>1392</v>
      </c>
      <c r="K1643" s="90" t="s">
        <v>578</v>
      </c>
      <c r="L1643" s="90"/>
      <c r="M1643" s="90"/>
      <c r="N1643" s="90"/>
      <c r="O1643" s="90"/>
      <c r="P1643" s="90"/>
      <c r="Q1643" s="90">
        <v>1</v>
      </c>
      <c r="R1643" s="90"/>
      <c r="S1643" s="90"/>
      <c r="T1643" s="90"/>
      <c r="U1643" s="90"/>
      <c r="V1643" s="90"/>
      <c r="W1643" s="90"/>
      <c r="X1643" s="90"/>
      <c r="Y1643" s="90"/>
      <c r="Z1643" s="40" t="s">
        <v>2605</v>
      </c>
      <c r="AA1643" s="91">
        <v>80</v>
      </c>
      <c r="AB1643" s="46">
        <f>IF(H2ProjectDB689571011[[#This Row],[Dummy_1]]="Electrolysis",
AA1643/VLOOKUP(G1643,ElectrolysisConvF,3,FALSE),
AC1643*10^6/(H2dens*HoursInYear))</f>
        <v>17777.777777777777</v>
      </c>
      <c r="AC1643" s="47">
        <f>AB1643*H2dens*HoursInYear/10^6</f>
        <v>13.860266666666666</v>
      </c>
      <c r="AD1643" s="92"/>
      <c r="AE1643" s="92">
        <f t="shared" si="116"/>
        <v>17777.777777777777</v>
      </c>
      <c r="AF1643" s="43" t="s">
        <v>5662</v>
      </c>
      <c r="AG1643" s="43">
        <v>53.9957672401246</v>
      </c>
      <c r="AH1643" s="43">
        <v>-9.5201525590172196</v>
      </c>
      <c r="AI1643" s="122" t="s">
        <v>7286</v>
      </c>
      <c r="AJ1643" s="41">
        <v>0.4</v>
      </c>
    </row>
    <row r="1644" spans="1:36" ht="35.1" hidden="1" customHeight="1" x14ac:dyDescent="0.25">
      <c r="A1644" s="40">
        <v>2280</v>
      </c>
      <c r="B1644" s="40" t="s">
        <v>5666</v>
      </c>
      <c r="C1644" s="40" t="s">
        <v>1756</v>
      </c>
      <c r="D1644" s="44">
        <v>2030</v>
      </c>
      <c r="E1644" s="44"/>
      <c r="F1644" s="40" t="s">
        <v>2222</v>
      </c>
      <c r="G1644" s="40" t="s">
        <v>1259</v>
      </c>
      <c r="H1644" s="40" t="s">
        <v>467</v>
      </c>
      <c r="I1644" s="40" t="s">
        <v>1269</v>
      </c>
      <c r="J1644" s="90" t="s">
        <v>1393</v>
      </c>
      <c r="K1644" s="90" t="s">
        <v>578</v>
      </c>
      <c r="L1644" s="90"/>
      <c r="M1644" s="90"/>
      <c r="N1644" s="90"/>
      <c r="O1644" s="90"/>
      <c r="P1644" s="90"/>
      <c r="Q1644" s="90"/>
      <c r="R1644" s="90"/>
      <c r="S1644" s="90"/>
      <c r="T1644" s="90"/>
      <c r="U1644" s="90"/>
      <c r="V1644" s="90"/>
      <c r="W1644" s="90"/>
      <c r="X1644" s="90"/>
      <c r="Y1644" s="90"/>
      <c r="Z1644" s="90"/>
      <c r="AA1644" s="91">
        <f>IF(OR(G1644="ALK",G1644="PEM",G1644="SOEC",G1644="Other Electrolysis"),
AB1644*VLOOKUP(G1644,ElectrolysisConvF,3,FALSE),
"")</f>
        <v>0</v>
      </c>
      <c r="AB1644" s="92"/>
      <c r="AC1644" s="92"/>
      <c r="AD1644" s="92"/>
      <c r="AE1644" s="92">
        <f t="shared" si="116"/>
        <v>0</v>
      </c>
      <c r="AF1644" s="43" t="s">
        <v>5665</v>
      </c>
      <c r="AG1644" s="43">
        <v>52.6791165999513</v>
      </c>
      <c r="AH1644" s="43">
        <v>-9.06425607643631</v>
      </c>
      <c r="AI1644" s="122" t="s">
        <v>7286</v>
      </c>
      <c r="AJ1644" s="41">
        <v>0.55000000000000004</v>
      </c>
    </row>
    <row r="1645" spans="1:36" ht="35.1" hidden="1" customHeight="1" x14ac:dyDescent="0.25">
      <c r="A1645" s="40">
        <v>2281</v>
      </c>
      <c r="B1645" s="40" t="s">
        <v>5669</v>
      </c>
      <c r="C1645" s="40" t="s">
        <v>1756</v>
      </c>
      <c r="D1645" s="44">
        <v>2026</v>
      </c>
      <c r="E1645" s="44"/>
      <c r="F1645" s="40" t="s">
        <v>1331</v>
      </c>
      <c r="G1645" s="40" t="s">
        <v>1259</v>
      </c>
      <c r="H1645" s="40" t="s">
        <v>467</v>
      </c>
      <c r="I1645" s="40" t="s">
        <v>1269</v>
      </c>
      <c r="J1645" s="90" t="s">
        <v>581</v>
      </c>
      <c r="K1645" s="90" t="s">
        <v>578</v>
      </c>
      <c r="L1645" s="90"/>
      <c r="M1645" s="90"/>
      <c r="N1645" s="90"/>
      <c r="O1645" s="90"/>
      <c r="P1645" s="90"/>
      <c r="Q1645" s="90"/>
      <c r="R1645" s="90"/>
      <c r="S1645" s="90"/>
      <c r="T1645" s="90"/>
      <c r="U1645" s="90"/>
      <c r="V1645" s="90"/>
      <c r="W1645" s="90"/>
      <c r="X1645" s="90"/>
      <c r="Y1645" s="90"/>
      <c r="Z1645" s="40" t="s">
        <v>1483</v>
      </c>
      <c r="AA1645" s="91">
        <v>50</v>
      </c>
      <c r="AB1645" s="46">
        <f>IF(H2ProjectDB689571011[[#This Row],[Dummy_1]]="Electrolysis",
AA1645/VLOOKUP(G1645,ElectrolysisConvF,3,FALSE),
AC1645*10^6/(H2dens*HoursInYear))</f>
        <v>11111.111111111111</v>
      </c>
      <c r="AC1645" s="47">
        <f>AB1645*H2dens*HoursInYear/10^6</f>
        <v>8.6626666666666665</v>
      </c>
      <c r="AD1645" s="92"/>
      <c r="AE1645" s="92">
        <f t="shared" si="116"/>
        <v>11111.111111111111</v>
      </c>
      <c r="AF1645" s="43" t="s">
        <v>5668</v>
      </c>
      <c r="AG1645" s="43">
        <v>51.837718509054604</v>
      </c>
      <c r="AH1645" s="43">
        <v>-8.2052203408670294</v>
      </c>
      <c r="AI1645" s="122" t="s">
        <v>7286</v>
      </c>
      <c r="AJ1645" s="41">
        <v>0.5</v>
      </c>
    </row>
    <row r="1646" spans="1:36" ht="35.1" hidden="1" customHeight="1" x14ac:dyDescent="0.25">
      <c r="A1646" s="40">
        <v>2282</v>
      </c>
      <c r="B1646" s="40" t="s">
        <v>5670</v>
      </c>
      <c r="C1646" s="40" t="s">
        <v>1305</v>
      </c>
      <c r="D1646" s="44">
        <v>2025</v>
      </c>
      <c r="E1646" s="44"/>
      <c r="F1646" s="90" t="s">
        <v>1331</v>
      </c>
      <c r="G1646" s="90" t="s">
        <v>1259</v>
      </c>
      <c r="H1646" s="40" t="s">
        <v>467</v>
      </c>
      <c r="I1646" s="90" t="s">
        <v>1269</v>
      </c>
      <c r="J1646" s="90" t="s">
        <v>581</v>
      </c>
      <c r="K1646" s="90" t="s">
        <v>578</v>
      </c>
      <c r="L1646" s="90"/>
      <c r="M1646" s="90"/>
      <c r="N1646" s="90"/>
      <c r="O1646" s="90"/>
      <c r="P1646" s="90"/>
      <c r="Q1646" s="90"/>
      <c r="R1646" s="90"/>
      <c r="S1646" s="90"/>
      <c r="T1646" s="90"/>
      <c r="U1646" s="90"/>
      <c r="V1646" s="90"/>
      <c r="W1646" s="90"/>
      <c r="X1646" s="90"/>
      <c r="Y1646" s="90"/>
      <c r="Z1646" s="40" t="s">
        <v>1495</v>
      </c>
      <c r="AA1646" s="91">
        <v>20</v>
      </c>
      <c r="AB1646" s="46">
        <f>IF(H2ProjectDB689571011[[#This Row],[Dummy_1]]="Electrolysis",
AA1646/VLOOKUP(G1646,ElectrolysisConvF,3,FALSE),
AC1646*10^6/(H2dens*HoursInYear))</f>
        <v>4444.4444444444443</v>
      </c>
      <c r="AC1646" s="47">
        <f>AB1646*H2dens*HoursInYear/10^6</f>
        <v>3.4650666666666665</v>
      </c>
      <c r="AD1646" s="92"/>
      <c r="AE1646" s="92">
        <f t="shared" si="116"/>
        <v>4444.4444444444443</v>
      </c>
      <c r="AF1646" s="43" t="s">
        <v>5671</v>
      </c>
      <c r="AG1646" s="43">
        <v>51.455654458730002</v>
      </c>
      <c r="AH1646" s="43">
        <v>6.7688863881307899</v>
      </c>
      <c r="AI1646" s="122" t="s">
        <v>7286</v>
      </c>
      <c r="AJ1646" s="41">
        <v>0.5</v>
      </c>
    </row>
    <row r="1647" spans="1:36" ht="35.1" hidden="1" customHeight="1" x14ac:dyDescent="0.25">
      <c r="A1647" s="40">
        <v>2283</v>
      </c>
      <c r="B1647" s="40" t="s">
        <v>5674</v>
      </c>
      <c r="C1647" s="40" t="s">
        <v>2013</v>
      </c>
      <c r="D1647" s="44">
        <v>2028</v>
      </c>
      <c r="E1647" s="44"/>
      <c r="F1647" s="90" t="s">
        <v>1331</v>
      </c>
      <c r="G1647" s="90" t="s">
        <v>1259</v>
      </c>
      <c r="H1647" s="40" t="s">
        <v>467</v>
      </c>
      <c r="I1647" s="90" t="s">
        <v>1269</v>
      </c>
      <c r="J1647" s="40" t="s">
        <v>1391</v>
      </c>
      <c r="K1647" s="40" t="s">
        <v>1243</v>
      </c>
      <c r="L1647" s="90"/>
      <c r="M1647" s="90">
        <v>1</v>
      </c>
      <c r="N1647" s="90"/>
      <c r="O1647" s="90"/>
      <c r="P1647" s="90"/>
      <c r="Q1647" s="90"/>
      <c r="R1647" s="90"/>
      <c r="S1647" s="90">
        <v>1</v>
      </c>
      <c r="T1647" s="90"/>
      <c r="U1647" s="90"/>
      <c r="V1647" s="90"/>
      <c r="W1647" s="90"/>
      <c r="X1647" s="90"/>
      <c r="Y1647" s="90"/>
      <c r="Z1647" s="40" t="s">
        <v>6576</v>
      </c>
      <c r="AA1647" s="47">
        <f>IF(H2ProjectDB689571011[[#This Row],[Dummy_1]]="Electrolysis",
AB1647*VLOOKUP(G1647,ElectrolysisConvF,3,FALSE),
"")</f>
        <v>346.45226414407534</v>
      </c>
      <c r="AB1647" s="46">
        <f>AC1647/(H2dens*HoursInYear/10^6)</f>
        <v>76989.392032016753</v>
      </c>
      <c r="AC1647" s="92">
        <f>(100*3/17/0.98/H2ProjectDB689571011[[#This Row],[LOWE_CF]])</f>
        <v>60.024009603841542</v>
      </c>
      <c r="AD1647" s="92"/>
      <c r="AE1647" s="92">
        <f t="shared" si="116"/>
        <v>76989.392032016753</v>
      </c>
      <c r="AF1647" s="43" t="s">
        <v>7041</v>
      </c>
      <c r="AG1647" s="43">
        <v>29.4906412867415</v>
      </c>
      <c r="AH1647" s="43">
        <v>34.988208201008</v>
      </c>
      <c r="AI1647" s="122" t="s">
        <v>7286</v>
      </c>
      <c r="AJ1647" s="41">
        <v>0.3</v>
      </c>
    </row>
    <row r="1648" spans="1:36" ht="35.1" hidden="1" customHeight="1" x14ac:dyDescent="0.25">
      <c r="A1648" s="40">
        <v>2284</v>
      </c>
      <c r="B1648" s="40" t="s">
        <v>7743</v>
      </c>
      <c r="C1648" s="40" t="s">
        <v>1764</v>
      </c>
      <c r="D1648" s="44"/>
      <c r="E1648" s="44"/>
      <c r="F1648" s="40" t="s">
        <v>2222</v>
      </c>
      <c r="G1648" s="40" t="s">
        <v>455</v>
      </c>
      <c r="I1648" s="40" t="s">
        <v>1269</v>
      </c>
      <c r="J1648" s="90" t="s">
        <v>581</v>
      </c>
      <c r="K1648" s="90" t="s">
        <v>578</v>
      </c>
      <c r="L1648" s="90"/>
      <c r="M1648" s="90"/>
      <c r="N1648" s="90"/>
      <c r="O1648" s="90"/>
      <c r="P1648" s="90">
        <v>1</v>
      </c>
      <c r="Q1648" s="90"/>
      <c r="R1648" s="90"/>
      <c r="S1648" s="90"/>
      <c r="T1648" s="90"/>
      <c r="U1648" s="90"/>
      <c r="V1648" s="90"/>
      <c r="W1648" s="90"/>
      <c r="X1648" s="90"/>
      <c r="Y1648" s="90"/>
      <c r="Z1648" s="40" t="s">
        <v>4964</v>
      </c>
      <c r="AA1648" s="47">
        <f>IF(H2ProjectDB689571011[[#This Row],[Dummy_1]]="Electrolysis",
AB1648*VLOOKUP(G1648,ElectrolysisConvF,3,FALSE),
"")</f>
        <v>13339.49002103535</v>
      </c>
      <c r="AB1648" s="46">
        <f>AC1648/(H2dens*HoursInYear/10^6)</f>
        <v>2565286.5425067982</v>
      </c>
      <c r="AC1648" s="92">
        <f>1000/H2ProjectDB689571011[[#This Row],[LOWE_CF]]</f>
        <v>2000</v>
      </c>
      <c r="AD1648" s="92"/>
      <c r="AE1648" s="92">
        <f t="shared" si="116"/>
        <v>2565286.5425067982</v>
      </c>
      <c r="AF1648" s="43" t="s">
        <v>7745</v>
      </c>
      <c r="AG1648" s="43">
        <v>38.600923883964697</v>
      </c>
      <c r="AH1648" s="43">
        <v>-3.8582154564244799</v>
      </c>
      <c r="AI1648" s="122" t="s">
        <v>7286</v>
      </c>
      <c r="AJ1648" s="41">
        <v>0.5</v>
      </c>
    </row>
    <row r="1649" spans="1:36" ht="35.1" hidden="1" customHeight="1" x14ac:dyDescent="0.25">
      <c r="A1649" s="40">
        <v>2285</v>
      </c>
      <c r="B1649" s="40" t="s">
        <v>5676</v>
      </c>
      <c r="C1649" s="40" t="s">
        <v>535</v>
      </c>
      <c r="D1649" s="90"/>
      <c r="E1649" s="90"/>
      <c r="F1649" s="90" t="s">
        <v>2222</v>
      </c>
      <c r="G1649" s="90" t="s">
        <v>1259</v>
      </c>
      <c r="H1649" s="40" t="s">
        <v>467</v>
      </c>
      <c r="I1649" s="90" t="s">
        <v>1269</v>
      </c>
      <c r="J1649" s="40" t="s">
        <v>1391</v>
      </c>
      <c r="K1649" s="90" t="s">
        <v>578</v>
      </c>
      <c r="L1649" s="90"/>
      <c r="M1649" s="90"/>
      <c r="N1649" s="90"/>
      <c r="O1649" s="90"/>
      <c r="P1649" s="90"/>
      <c r="Q1649" s="90"/>
      <c r="R1649" s="90"/>
      <c r="S1649" s="90"/>
      <c r="T1649" s="90"/>
      <c r="U1649" s="90"/>
      <c r="V1649" s="90"/>
      <c r="W1649" s="90"/>
      <c r="X1649" s="90"/>
      <c r="Y1649" s="90"/>
      <c r="Z1649" s="40" t="s">
        <v>1483</v>
      </c>
      <c r="AA1649" s="91">
        <v>50</v>
      </c>
      <c r="AB1649" s="46">
        <f>IF(H2ProjectDB689571011[[#This Row],[Dummy_1]]="Electrolysis",
AA1649/VLOOKUP(G1649,ElectrolysisConvF,3,FALSE),
AC1649*10^6/(H2dens*HoursInYear))</f>
        <v>11111.111111111111</v>
      </c>
      <c r="AC1649" s="47">
        <f>AB1649*H2dens*HoursInYear/10^6</f>
        <v>8.6626666666666665</v>
      </c>
      <c r="AD1649" s="92"/>
      <c r="AE1649" s="92">
        <f t="shared" si="116"/>
        <v>11111.111111111111</v>
      </c>
      <c r="AF1649" s="43" t="s">
        <v>5678</v>
      </c>
      <c r="AG1649" s="43">
        <v>-26.7463521256063</v>
      </c>
      <c r="AH1649" s="43">
        <v>150.625441390265</v>
      </c>
      <c r="AI1649" s="122" t="s">
        <v>7286</v>
      </c>
      <c r="AJ1649" s="41">
        <v>0.3</v>
      </c>
    </row>
    <row r="1650" spans="1:36" ht="35.1" hidden="1" customHeight="1" x14ac:dyDescent="0.25">
      <c r="A1650" s="40">
        <v>2286</v>
      </c>
      <c r="B1650" s="40" t="s">
        <v>5681</v>
      </c>
      <c r="C1650" s="40" t="s">
        <v>535</v>
      </c>
      <c r="D1650" s="44">
        <v>2024</v>
      </c>
      <c r="E1650" s="44"/>
      <c r="F1650" s="90" t="s">
        <v>1331</v>
      </c>
      <c r="G1650" s="90" t="s">
        <v>1259</v>
      </c>
      <c r="H1650" s="40" t="s">
        <v>467</v>
      </c>
      <c r="I1650" s="90" t="s">
        <v>1269</v>
      </c>
      <c r="J1650" s="40" t="s">
        <v>1391</v>
      </c>
      <c r="K1650" s="90" t="s">
        <v>578</v>
      </c>
      <c r="L1650" s="90"/>
      <c r="M1650" s="90"/>
      <c r="N1650" s="90"/>
      <c r="O1650" s="90"/>
      <c r="P1650" s="90"/>
      <c r="Q1650" s="90"/>
      <c r="R1650" s="90"/>
      <c r="S1650" s="90"/>
      <c r="T1650" s="90"/>
      <c r="U1650" s="90"/>
      <c r="V1650" s="90"/>
      <c r="W1650" s="90"/>
      <c r="X1650" s="90"/>
      <c r="Y1650" s="90"/>
      <c r="Z1650" s="40" t="s">
        <v>5683</v>
      </c>
      <c r="AA1650" s="91">
        <v>0.25</v>
      </c>
      <c r="AB1650" s="46">
        <f>IF(H2ProjectDB689571011[[#This Row],[Dummy_1]]="Electrolysis",
AA1650/VLOOKUP(G1650,ElectrolysisConvF,3,FALSE),
AC1650*10^6/(H2dens*HoursInYear))</f>
        <v>55.555555555555557</v>
      </c>
      <c r="AC1650" s="47">
        <f>AB1650*H2dens*HoursInYear/10^6</f>
        <v>4.3313333333333336E-2</v>
      </c>
      <c r="AD1650" s="92"/>
      <c r="AE1650" s="92">
        <f t="shared" si="116"/>
        <v>55.555555555555557</v>
      </c>
      <c r="AF1650" s="43" t="s">
        <v>5680</v>
      </c>
      <c r="AG1650" s="43">
        <v>-27.263129293557402</v>
      </c>
      <c r="AH1650" s="43">
        <v>150.942306277066</v>
      </c>
      <c r="AI1650" s="122" t="s">
        <v>7286</v>
      </c>
      <c r="AJ1650" s="41">
        <v>0.3</v>
      </c>
    </row>
    <row r="1651" spans="1:36" ht="35.1" hidden="1" customHeight="1" x14ac:dyDescent="0.25">
      <c r="A1651" s="40">
        <v>2287</v>
      </c>
      <c r="B1651" s="40" t="s">
        <v>5682</v>
      </c>
      <c r="C1651" s="40" t="s">
        <v>535</v>
      </c>
      <c r="D1651" s="44">
        <v>2024</v>
      </c>
      <c r="E1651" s="44"/>
      <c r="F1651" s="90" t="s">
        <v>1331</v>
      </c>
      <c r="G1651" s="90" t="s">
        <v>1259</v>
      </c>
      <c r="H1651" s="40" t="s">
        <v>467</v>
      </c>
      <c r="I1651" s="90" t="s">
        <v>1269</v>
      </c>
      <c r="J1651" s="40" t="s">
        <v>1391</v>
      </c>
      <c r="K1651" s="90" t="s">
        <v>578</v>
      </c>
      <c r="L1651" s="90"/>
      <c r="M1651" s="90"/>
      <c r="N1651" s="90"/>
      <c r="O1651" s="90"/>
      <c r="P1651" s="90"/>
      <c r="Q1651" s="90"/>
      <c r="R1651" s="90"/>
      <c r="S1651" s="90"/>
      <c r="T1651" s="90"/>
      <c r="U1651" s="90"/>
      <c r="V1651" s="90"/>
      <c r="W1651" s="90"/>
      <c r="X1651" s="90"/>
      <c r="Y1651" s="90"/>
      <c r="Z1651" s="40" t="s">
        <v>2605</v>
      </c>
      <c r="AA1651" s="91">
        <v>80</v>
      </c>
      <c r="AB1651" s="46">
        <f>IF(H2ProjectDB689571011[[#This Row],[Dummy_1]]="Electrolysis",
AA1651/VLOOKUP(G1651,ElectrolysisConvF,3,FALSE),
AC1651*10^6/(H2dens*HoursInYear))</f>
        <v>17777.777777777777</v>
      </c>
      <c r="AC1651" s="47">
        <f>AB1651*H2dens*HoursInYear/10^6</f>
        <v>13.860266666666666</v>
      </c>
      <c r="AD1651" s="92"/>
      <c r="AE1651" s="92">
        <f t="shared" si="116"/>
        <v>17777.777777777777</v>
      </c>
      <c r="AF1651" s="43" t="s">
        <v>5680</v>
      </c>
      <c r="AG1651" s="43">
        <v>-27.263129293557402</v>
      </c>
      <c r="AH1651" s="43">
        <v>150.942306277066</v>
      </c>
      <c r="AI1651" s="122" t="s">
        <v>7286</v>
      </c>
      <c r="AJ1651" s="41">
        <v>0.3</v>
      </c>
    </row>
    <row r="1652" spans="1:36" ht="35.1" hidden="1" customHeight="1" x14ac:dyDescent="0.25">
      <c r="A1652" s="40">
        <v>2288</v>
      </c>
      <c r="B1652" s="90" t="s">
        <v>5688</v>
      </c>
      <c r="C1652" s="90" t="s">
        <v>537</v>
      </c>
      <c r="D1652" s="90">
        <v>2023</v>
      </c>
      <c r="E1652" s="90"/>
      <c r="F1652" s="90" t="s">
        <v>1339</v>
      </c>
      <c r="G1652" s="90" t="s">
        <v>457</v>
      </c>
      <c r="H1652" s="90"/>
      <c r="I1652" s="90" t="s">
        <v>1269</v>
      </c>
      <c r="J1652" s="90" t="s">
        <v>1391</v>
      </c>
      <c r="K1652" s="90" t="s">
        <v>578</v>
      </c>
      <c r="L1652" s="90"/>
      <c r="M1652" s="90"/>
      <c r="N1652" s="90"/>
      <c r="O1652" s="90"/>
      <c r="P1652" s="90">
        <v>1</v>
      </c>
      <c r="Q1652" s="90">
        <v>1</v>
      </c>
      <c r="R1652" s="90"/>
      <c r="S1652" s="90"/>
      <c r="T1652" s="90"/>
      <c r="U1652" s="90"/>
      <c r="V1652" s="90"/>
      <c r="W1652" s="90"/>
      <c r="X1652" s="90"/>
      <c r="Y1652" s="90"/>
      <c r="Z1652" s="40" t="s">
        <v>5810</v>
      </c>
      <c r="AA1652" s="47">
        <f>IF(H2ProjectDB689571011[[#This Row],[Dummy_1]]="Electrolysis",
AB1652*VLOOKUP(G1652,ElectrolysisConvF,3,FALSE),
"")</f>
        <v>69</v>
      </c>
      <c r="AB1652" s="46">
        <f>15*1000</f>
        <v>15000</v>
      </c>
      <c r="AC1652" s="92">
        <f>AB1652*H2dens*HoursInYear/10^6</f>
        <v>11.694599999999999</v>
      </c>
      <c r="AD1652" s="92"/>
      <c r="AE1652" s="92">
        <f t="shared" si="116"/>
        <v>15000</v>
      </c>
      <c r="AF1652" s="93" t="s">
        <v>5812</v>
      </c>
      <c r="AG1652" s="43">
        <v>39.6217064512335</v>
      </c>
      <c r="AH1652" s="43">
        <v>109.728046667016</v>
      </c>
      <c r="AI1652" s="122" t="s">
        <v>7286</v>
      </c>
      <c r="AJ1652" s="41">
        <v>0.3</v>
      </c>
    </row>
    <row r="1653" spans="1:36" ht="35.1" hidden="1" customHeight="1" x14ac:dyDescent="0.25">
      <c r="A1653" s="40">
        <v>2289</v>
      </c>
      <c r="B1653" s="90" t="s">
        <v>5690</v>
      </c>
      <c r="C1653" s="90" t="s">
        <v>536</v>
      </c>
      <c r="D1653" s="44">
        <v>2024</v>
      </c>
      <c r="E1653" s="44"/>
      <c r="F1653" s="90" t="s">
        <v>5701</v>
      </c>
      <c r="G1653" s="90" t="s">
        <v>455</v>
      </c>
      <c r="H1653" s="90"/>
      <c r="I1653" s="90" t="s">
        <v>1269</v>
      </c>
      <c r="J1653" s="90" t="s">
        <v>581</v>
      </c>
      <c r="K1653" s="90" t="s">
        <v>1267</v>
      </c>
      <c r="L1653" s="90"/>
      <c r="M1653" s="90"/>
      <c r="N1653" s="90"/>
      <c r="O1653" s="90"/>
      <c r="P1653" s="90"/>
      <c r="Q1653" s="90"/>
      <c r="R1653" s="90"/>
      <c r="S1653" s="90"/>
      <c r="T1653" s="90"/>
      <c r="U1653" s="90"/>
      <c r="V1653" s="90"/>
      <c r="W1653" s="90">
        <v>1</v>
      </c>
      <c r="X1653" s="90"/>
      <c r="Y1653" s="90"/>
      <c r="Z1653" s="90" t="s">
        <v>5691</v>
      </c>
      <c r="AA1653" s="47">
        <f>IF(H2ProjectDB689571011[[#This Row],[Dummy_1]]="Electrolysis",
AB1653*VLOOKUP(G1653,ElectrolysisConvF,3,FALSE),
"")</f>
        <v>0.83308450053871042</v>
      </c>
      <c r="AB1653" s="46">
        <f>AC1653/(H2dens*HoursInYear/10^6)</f>
        <v>160.20855779590585</v>
      </c>
      <c r="AC1653" s="92">
        <f>40000*3.785*0.803*45/0.73/120/1000000/H2ProjectDB689571011[[#This Row],[LOWE_CF]]</f>
        <v>0.12490500000000003</v>
      </c>
      <c r="AD1653" s="92"/>
      <c r="AE1653" s="92">
        <f t="shared" si="116"/>
        <v>160.20855779590585</v>
      </c>
      <c r="AF1653" s="93" t="s">
        <v>5693</v>
      </c>
      <c r="AG1653" s="43">
        <v>47.144361886255197</v>
      </c>
      <c r="AH1653" s="43">
        <v>-119.244050681904</v>
      </c>
      <c r="AI1653" s="122" t="s">
        <v>7286</v>
      </c>
      <c r="AJ1653" s="41">
        <v>0.5</v>
      </c>
    </row>
    <row r="1654" spans="1:36" ht="35.1" hidden="1" customHeight="1" x14ac:dyDescent="0.25">
      <c r="A1654" s="40">
        <v>2292</v>
      </c>
      <c r="B1654" s="40" t="s">
        <v>5702</v>
      </c>
      <c r="C1654" s="40" t="s">
        <v>533</v>
      </c>
      <c r="D1654" s="44">
        <v>2030</v>
      </c>
      <c r="E1654" s="44"/>
      <c r="F1654" s="90" t="s">
        <v>1331</v>
      </c>
      <c r="G1654" s="90" t="s">
        <v>457</v>
      </c>
      <c r="I1654" s="90" t="s">
        <v>1269</v>
      </c>
      <c r="J1654" s="40" t="s">
        <v>1392</v>
      </c>
      <c r="K1654" s="90" t="s">
        <v>578</v>
      </c>
      <c r="L1654" s="90"/>
      <c r="M1654" s="90">
        <v>1</v>
      </c>
      <c r="N1654" s="90"/>
      <c r="O1654" s="90"/>
      <c r="P1654" s="90"/>
      <c r="Q1654" s="90"/>
      <c r="R1654" s="90">
        <v>1</v>
      </c>
      <c r="S1654" s="90">
        <v>1</v>
      </c>
      <c r="T1654" s="90"/>
      <c r="U1654" s="90"/>
      <c r="V1654" s="90"/>
      <c r="W1654" s="90"/>
      <c r="X1654" s="90"/>
      <c r="Y1654" s="90"/>
      <c r="Z1654" s="40" t="s">
        <v>8830</v>
      </c>
      <c r="AA1654" s="91">
        <v>650</v>
      </c>
      <c r="AB1654" s="46">
        <f>IF(H2ProjectDB689571011[[#This Row],[Dummy_1]]="Electrolysis",
AA1654/VLOOKUP(G1654,ElectrolysisConvF,3,FALSE),
AC1654*10^6/(H2dens*HoursInYear))</f>
        <v>141304.34782608695</v>
      </c>
      <c r="AC1654" s="47">
        <f t="shared" ref="AC1654:AC1662" si="117">AB1654*H2dens*HoursInYear/10^6</f>
        <v>110.16652173913042</v>
      </c>
      <c r="AD1654" s="92"/>
      <c r="AE1654" s="92">
        <f t="shared" si="116"/>
        <v>141304.34782608695</v>
      </c>
      <c r="AF1654" s="43" t="s">
        <v>5704</v>
      </c>
      <c r="AG1654" s="43">
        <v>48.522395884275099</v>
      </c>
      <c r="AH1654" s="43">
        <v>-58.434725275561902</v>
      </c>
      <c r="AI1654" s="122" t="s">
        <v>7286</v>
      </c>
      <c r="AJ1654" s="41">
        <v>0.4</v>
      </c>
    </row>
    <row r="1655" spans="1:36" ht="35.1" hidden="1" customHeight="1" x14ac:dyDescent="0.25">
      <c r="A1655" s="40">
        <v>2293</v>
      </c>
      <c r="B1655" s="90" t="s">
        <v>5707</v>
      </c>
      <c r="C1655" s="90" t="s">
        <v>537</v>
      </c>
      <c r="D1655" s="44">
        <v>2028</v>
      </c>
      <c r="E1655" s="44"/>
      <c r="F1655" s="90" t="s">
        <v>2222</v>
      </c>
      <c r="G1655" s="90" t="s">
        <v>1261</v>
      </c>
      <c r="H1655" s="90" t="s">
        <v>5709</v>
      </c>
      <c r="I1655" s="90"/>
      <c r="J1655" s="90"/>
      <c r="K1655" s="90" t="s">
        <v>578</v>
      </c>
      <c r="L1655" s="90"/>
      <c r="M1655" s="90"/>
      <c r="N1655" s="90"/>
      <c r="O1655" s="90"/>
      <c r="P1655" s="90">
        <v>1</v>
      </c>
      <c r="Q1655" s="90"/>
      <c r="R1655" s="90"/>
      <c r="S1655" s="90"/>
      <c r="T1655" s="90"/>
      <c r="U1655" s="90"/>
      <c r="V1655" s="90"/>
      <c r="W1655" s="90"/>
      <c r="X1655" s="90"/>
      <c r="Y1655" s="90"/>
      <c r="Z1655" s="90" t="s">
        <v>5718</v>
      </c>
      <c r="AA1655" s="91"/>
      <c r="AB1655" s="92">
        <v>70000</v>
      </c>
      <c r="AC1655" s="47">
        <f t="shared" si="117"/>
        <v>54.574800000000003</v>
      </c>
      <c r="AD1655" s="92"/>
      <c r="AE1655" s="92">
        <f t="shared" si="116"/>
        <v>0</v>
      </c>
      <c r="AF1655" s="43" t="s">
        <v>6833</v>
      </c>
      <c r="AG1655" s="43">
        <v>31.219684664568199</v>
      </c>
      <c r="AH1655" s="43">
        <v>121.444600993447</v>
      </c>
      <c r="AI1655" s="122" t="s">
        <v>7287</v>
      </c>
      <c r="AJ1655" s="41">
        <v>0.9</v>
      </c>
    </row>
    <row r="1656" spans="1:36" ht="35.1" hidden="1" customHeight="1" x14ac:dyDescent="0.25">
      <c r="A1656" s="40">
        <v>2294</v>
      </c>
      <c r="B1656" s="90" t="s">
        <v>5722</v>
      </c>
      <c r="C1656" s="90" t="s">
        <v>548</v>
      </c>
      <c r="D1656" s="44">
        <v>2025</v>
      </c>
      <c r="E1656" s="44"/>
      <c r="F1656" s="90" t="s">
        <v>5701</v>
      </c>
      <c r="G1656" s="90" t="s">
        <v>1259</v>
      </c>
      <c r="H1656" s="40" t="s">
        <v>467</v>
      </c>
      <c r="I1656" s="90" t="s">
        <v>1257</v>
      </c>
      <c r="J1656" s="90" t="str">
        <f>IF(I1656&lt;&gt;"Dedicated renewable","N/A",)</f>
        <v>N/A</v>
      </c>
      <c r="K1656" s="90" t="s">
        <v>578</v>
      </c>
      <c r="L1656" s="90"/>
      <c r="M1656" s="90"/>
      <c r="N1656" s="90"/>
      <c r="O1656" s="90"/>
      <c r="P1656" s="90"/>
      <c r="Q1656" s="90">
        <v>1</v>
      </c>
      <c r="R1656" s="90"/>
      <c r="S1656" s="90"/>
      <c r="T1656" s="90"/>
      <c r="U1656" s="90"/>
      <c r="V1656" s="90"/>
      <c r="W1656" s="90"/>
      <c r="X1656" s="90"/>
      <c r="Y1656" s="90"/>
      <c r="Z1656" s="90" t="s">
        <v>1336</v>
      </c>
      <c r="AA1656" s="91">
        <v>2.5</v>
      </c>
      <c r="AB1656" s="46">
        <f>IF(H2ProjectDB689571011[[#This Row],[Dummy_1]]="Electrolysis",
AA1656/VLOOKUP(G1656,ElectrolysisConvF,3,FALSE),
AC1656*10^6/(H2dens*HoursInYear))</f>
        <v>555.55555555555554</v>
      </c>
      <c r="AC1656" s="47">
        <f t="shared" si="117"/>
        <v>0.43313333333333331</v>
      </c>
      <c r="AD1656" s="92"/>
      <c r="AE1656" s="92">
        <f t="shared" si="116"/>
        <v>555.55555555555554</v>
      </c>
      <c r="AF1656" s="93" t="s">
        <v>5723</v>
      </c>
      <c r="AG1656" s="43">
        <v>51.1721815456294</v>
      </c>
      <c r="AH1656" s="43">
        <v>3.8668386603931699</v>
      </c>
      <c r="AI1656" s="122" t="s">
        <v>7286</v>
      </c>
      <c r="AJ1656" s="41">
        <v>0.56999999999999995</v>
      </c>
    </row>
    <row r="1657" spans="1:36" ht="35.1" hidden="1" customHeight="1" x14ac:dyDescent="0.25">
      <c r="A1657" s="40">
        <v>2296</v>
      </c>
      <c r="B1657" s="90" t="s">
        <v>5732</v>
      </c>
      <c r="C1657" s="90" t="s">
        <v>530</v>
      </c>
      <c r="D1657" s="44">
        <v>2026</v>
      </c>
      <c r="E1657" s="44"/>
      <c r="F1657" s="90" t="s">
        <v>1331</v>
      </c>
      <c r="G1657" s="90" t="s">
        <v>1259</v>
      </c>
      <c r="H1657" s="40" t="s">
        <v>467</v>
      </c>
      <c r="I1657" s="90" t="s">
        <v>1266</v>
      </c>
      <c r="J1657" s="90"/>
      <c r="K1657" s="90" t="s">
        <v>578</v>
      </c>
      <c r="L1657" s="90"/>
      <c r="M1657" s="90"/>
      <c r="N1657" s="90"/>
      <c r="O1657" s="90"/>
      <c r="P1657" s="90"/>
      <c r="Q1657" s="90">
        <v>1</v>
      </c>
      <c r="R1657" s="90"/>
      <c r="S1657" s="90"/>
      <c r="T1657" s="90"/>
      <c r="U1657" s="90"/>
      <c r="V1657" s="90"/>
      <c r="W1657" s="90"/>
      <c r="X1657" s="90"/>
      <c r="Y1657" s="90"/>
      <c r="Z1657" s="90" t="s">
        <v>1336</v>
      </c>
      <c r="AA1657" s="91">
        <v>2.5</v>
      </c>
      <c r="AB1657" s="46">
        <f>IF(H2ProjectDB689571011[[#This Row],[Dummy_1]]="Electrolysis",
AA1657/VLOOKUP(G1657,ElectrolysisConvF,3,FALSE),
AC1657*10^6/(H2dens*HoursInYear))</f>
        <v>555.55555555555554</v>
      </c>
      <c r="AC1657" s="47">
        <f t="shared" si="117"/>
        <v>0.43313333333333331</v>
      </c>
      <c r="AD1657" s="92"/>
      <c r="AE1657" s="92">
        <f t="shared" si="116"/>
        <v>555.55555555555554</v>
      </c>
      <c r="AF1657" s="93"/>
      <c r="AG1657" s="43">
        <v>50.319257999999998</v>
      </c>
      <c r="AH1657" s="43">
        <v>3.385513</v>
      </c>
      <c r="AI1657" s="122" t="s">
        <v>7286</v>
      </c>
      <c r="AJ1657" s="41">
        <v>0.56999999999999995</v>
      </c>
    </row>
    <row r="1658" spans="1:36" ht="35.1" hidden="1" customHeight="1" x14ac:dyDescent="0.25">
      <c r="A1658" s="40">
        <v>2297</v>
      </c>
      <c r="B1658" s="90" t="s">
        <v>5733</v>
      </c>
      <c r="C1658" s="90" t="s">
        <v>530</v>
      </c>
      <c r="D1658" s="44">
        <v>2029</v>
      </c>
      <c r="E1658" s="44"/>
      <c r="F1658" s="90" t="s">
        <v>1331</v>
      </c>
      <c r="G1658" s="90" t="s">
        <v>1259</v>
      </c>
      <c r="H1658" s="40" t="s">
        <v>467</v>
      </c>
      <c r="I1658" s="90" t="s">
        <v>1266</v>
      </c>
      <c r="J1658" s="90"/>
      <c r="K1658" s="90" t="s">
        <v>578</v>
      </c>
      <c r="L1658" s="90"/>
      <c r="M1658" s="90"/>
      <c r="N1658" s="90"/>
      <c r="O1658" s="90"/>
      <c r="P1658" s="90">
        <v>1</v>
      </c>
      <c r="Q1658" s="90"/>
      <c r="R1658" s="90"/>
      <c r="S1658" s="90"/>
      <c r="T1658" s="90"/>
      <c r="U1658" s="90"/>
      <c r="V1658" s="90"/>
      <c r="W1658" s="90"/>
      <c r="X1658" s="90"/>
      <c r="Y1658" s="90"/>
      <c r="Z1658" s="90" t="s">
        <v>1527</v>
      </c>
      <c r="AA1658" s="91">
        <v>120</v>
      </c>
      <c r="AB1658" s="46">
        <f>IF(H2ProjectDB689571011[[#This Row],[Dummy_1]]="Electrolysis",
AA1658/VLOOKUP(G1658,ElectrolysisConvF,3,FALSE),
AC1658*10^6/(H2dens*HoursInYear))</f>
        <v>26666.666666666668</v>
      </c>
      <c r="AC1658" s="47">
        <f t="shared" si="117"/>
        <v>20.790400000000002</v>
      </c>
      <c r="AD1658" s="92"/>
      <c r="AE1658" s="92">
        <f t="shared" si="116"/>
        <v>26666.666666666668</v>
      </c>
      <c r="AF1658" s="93"/>
      <c r="AG1658" s="43">
        <v>50.319257999999998</v>
      </c>
      <c r="AH1658" s="43">
        <v>3.385513</v>
      </c>
      <c r="AI1658" s="122" t="s">
        <v>7286</v>
      </c>
      <c r="AJ1658" s="41">
        <v>0.56999999999999995</v>
      </c>
    </row>
    <row r="1659" spans="1:36" ht="35.1" hidden="1" customHeight="1" x14ac:dyDescent="0.25">
      <c r="A1659" s="40">
        <v>2298</v>
      </c>
      <c r="B1659" s="90" t="s">
        <v>5734</v>
      </c>
      <c r="C1659" s="90" t="s">
        <v>530</v>
      </c>
      <c r="D1659" s="44">
        <v>2028</v>
      </c>
      <c r="E1659" s="44"/>
      <c r="F1659" s="90" t="s">
        <v>1331</v>
      </c>
      <c r="G1659" s="90" t="s">
        <v>455</v>
      </c>
      <c r="H1659" s="90"/>
      <c r="I1659" s="90" t="s">
        <v>1266</v>
      </c>
      <c r="J1659" s="90"/>
      <c r="K1659" s="90" t="s">
        <v>578</v>
      </c>
      <c r="L1659" s="90"/>
      <c r="M1659" s="90"/>
      <c r="N1659" s="90"/>
      <c r="O1659" s="90">
        <v>1</v>
      </c>
      <c r="P1659" s="90"/>
      <c r="Q1659" s="90"/>
      <c r="R1659" s="90"/>
      <c r="S1659" s="90"/>
      <c r="T1659" s="90"/>
      <c r="U1659" s="90"/>
      <c r="V1659" s="90"/>
      <c r="W1659" s="90"/>
      <c r="X1659" s="90"/>
      <c r="Y1659" s="90"/>
      <c r="Z1659" s="90" t="s">
        <v>2024</v>
      </c>
      <c r="AA1659" s="91">
        <v>300</v>
      </c>
      <c r="AB1659" s="46">
        <f>IF(H2ProjectDB689571011[[#This Row],[Dummy_1]]="Electrolysis",
AA1659/VLOOKUP(G1659,ElectrolysisConvF,3,FALSE),
AC1659*10^6/(H2dens*HoursInYear))</f>
        <v>57692.307692307695</v>
      </c>
      <c r="AC1659" s="47">
        <f t="shared" si="117"/>
        <v>44.979230769230767</v>
      </c>
      <c r="AD1659" s="92"/>
      <c r="AE1659" s="92">
        <f t="shared" si="116"/>
        <v>57692.307692307695</v>
      </c>
      <c r="AF1659" s="93"/>
      <c r="AG1659" s="43">
        <v>49.158541999999997</v>
      </c>
      <c r="AH1659" s="43">
        <v>6.7072430000000001</v>
      </c>
      <c r="AI1659" s="122" t="s">
        <v>7286</v>
      </c>
      <c r="AJ1659" s="41">
        <v>0.56999999999999995</v>
      </c>
    </row>
    <row r="1660" spans="1:36" ht="35.1" hidden="1" customHeight="1" x14ac:dyDescent="0.25">
      <c r="A1660" s="40">
        <v>2299</v>
      </c>
      <c r="B1660" s="90" t="s">
        <v>5735</v>
      </c>
      <c r="C1660" s="90" t="s">
        <v>530</v>
      </c>
      <c r="D1660" s="44">
        <v>2025</v>
      </c>
      <c r="E1660" s="44"/>
      <c r="F1660" s="90" t="s">
        <v>1331</v>
      </c>
      <c r="G1660" s="90" t="s">
        <v>1259</v>
      </c>
      <c r="H1660" s="40" t="s">
        <v>467</v>
      </c>
      <c r="I1660" s="90" t="s">
        <v>1266</v>
      </c>
      <c r="J1660" s="90"/>
      <c r="K1660" s="90" t="s">
        <v>578</v>
      </c>
      <c r="L1660" s="90"/>
      <c r="M1660" s="90"/>
      <c r="N1660" s="90"/>
      <c r="O1660" s="90"/>
      <c r="P1660" s="90"/>
      <c r="Q1660" s="90">
        <v>1</v>
      </c>
      <c r="R1660" s="90"/>
      <c r="S1660" s="90"/>
      <c r="T1660" s="90"/>
      <c r="U1660" s="90"/>
      <c r="V1660" s="90"/>
      <c r="W1660" s="90"/>
      <c r="X1660" s="90"/>
      <c r="Y1660" s="90"/>
      <c r="Z1660" s="90" t="s">
        <v>1493</v>
      </c>
      <c r="AA1660" s="91">
        <v>2</v>
      </c>
      <c r="AB1660" s="46">
        <f>IF(H2ProjectDB689571011[[#This Row],[Dummy_1]]="Electrolysis",
AA1660/VLOOKUP(G1660,ElectrolysisConvF,3,FALSE),
AC1660*10^6/(H2dens*HoursInYear))</f>
        <v>444.44444444444446</v>
      </c>
      <c r="AC1660" s="47">
        <f t="shared" si="117"/>
        <v>0.34650666666666669</v>
      </c>
      <c r="AD1660" s="92"/>
      <c r="AE1660" s="92">
        <f t="shared" si="116"/>
        <v>444.44444444444446</v>
      </c>
      <c r="AF1660" s="93"/>
      <c r="AG1660" s="43">
        <v>46.070766999999996</v>
      </c>
      <c r="AH1660" s="43">
        <v>6.4264989999999997</v>
      </c>
      <c r="AI1660" s="122" t="s">
        <v>7286</v>
      </c>
      <c r="AJ1660" s="41">
        <v>0.56999999999999995</v>
      </c>
    </row>
    <row r="1661" spans="1:36" ht="35.1" hidden="1" customHeight="1" x14ac:dyDescent="0.25">
      <c r="A1661" s="40">
        <v>2300</v>
      </c>
      <c r="B1661" s="90" t="s">
        <v>5736</v>
      </c>
      <c r="C1661" s="90" t="s">
        <v>530</v>
      </c>
      <c r="D1661" s="44">
        <v>2025</v>
      </c>
      <c r="E1661" s="44"/>
      <c r="F1661" s="90" t="s">
        <v>1331</v>
      </c>
      <c r="G1661" s="90" t="s">
        <v>1259</v>
      </c>
      <c r="H1661" s="40" t="s">
        <v>467</v>
      </c>
      <c r="I1661" s="90" t="s">
        <v>1266</v>
      </c>
      <c r="J1661" s="90"/>
      <c r="K1661" s="90" t="s">
        <v>578</v>
      </c>
      <c r="L1661" s="90"/>
      <c r="M1661" s="90"/>
      <c r="N1661" s="90"/>
      <c r="O1661" s="90"/>
      <c r="P1661" s="90"/>
      <c r="Q1661" s="90">
        <v>1</v>
      </c>
      <c r="R1661" s="90"/>
      <c r="S1661" s="90"/>
      <c r="T1661" s="90"/>
      <c r="U1661" s="90"/>
      <c r="V1661" s="90"/>
      <c r="W1661" s="90"/>
      <c r="X1661" s="90"/>
      <c r="Y1661" s="90"/>
      <c r="Z1661" s="90" t="s">
        <v>1480</v>
      </c>
      <c r="AA1661" s="91">
        <v>1</v>
      </c>
      <c r="AB1661" s="46">
        <f>IF(H2ProjectDB689571011[[#This Row],[Dummy_1]]="Electrolysis",
AA1661/VLOOKUP(G1661,ElectrolysisConvF,3,FALSE),
AC1661*10^6/(H2dens*HoursInYear))</f>
        <v>222.22222222222223</v>
      </c>
      <c r="AC1661" s="47">
        <f t="shared" si="117"/>
        <v>0.17325333333333334</v>
      </c>
      <c r="AD1661" s="92"/>
      <c r="AE1661" s="92">
        <f t="shared" si="116"/>
        <v>222.22222222222223</v>
      </c>
      <c r="AF1661" s="93"/>
      <c r="AG1661" s="43">
        <v>48.707408999999998</v>
      </c>
      <c r="AH1661" s="43">
        <v>2.2968130000000002</v>
      </c>
      <c r="AI1661" s="122" t="s">
        <v>7286</v>
      </c>
      <c r="AJ1661" s="41">
        <v>0.56999999999999995</v>
      </c>
    </row>
    <row r="1662" spans="1:36" ht="35.1" hidden="1" customHeight="1" x14ac:dyDescent="0.25">
      <c r="A1662" s="40">
        <v>2301</v>
      </c>
      <c r="B1662" s="90" t="s">
        <v>5737</v>
      </c>
      <c r="C1662" s="90" t="s">
        <v>536</v>
      </c>
      <c r="D1662" s="90"/>
      <c r="E1662" s="90"/>
      <c r="F1662" s="90" t="s">
        <v>2222</v>
      </c>
      <c r="G1662" s="90" t="s">
        <v>1259</v>
      </c>
      <c r="H1662" s="40" t="s">
        <v>467</v>
      </c>
      <c r="I1662" s="90" t="s">
        <v>1269</v>
      </c>
      <c r="J1662" s="90" t="s">
        <v>1395</v>
      </c>
      <c r="K1662" s="90" t="s">
        <v>578</v>
      </c>
      <c r="L1662" s="90"/>
      <c r="M1662" s="90"/>
      <c r="N1662" s="90"/>
      <c r="O1662" s="90"/>
      <c r="P1662" s="90"/>
      <c r="Q1662" s="90"/>
      <c r="R1662" s="90"/>
      <c r="S1662" s="90">
        <v>1</v>
      </c>
      <c r="T1662" s="90"/>
      <c r="U1662" s="90"/>
      <c r="V1662" s="90"/>
      <c r="W1662" s="90"/>
      <c r="X1662" s="90"/>
      <c r="Y1662" s="90"/>
      <c r="Z1662" s="90" t="s">
        <v>5738</v>
      </c>
      <c r="AA1662" s="91">
        <v>15000</v>
      </c>
      <c r="AB1662" s="46">
        <f>IF(H2ProjectDB689571011[[#This Row],[Dummy_1]]="Electrolysis",
AA1662/VLOOKUP(G1662,ElectrolysisConvF,3,FALSE),
AC1662*10^6/(H2dens*HoursInYear))</f>
        <v>3333333.3333333335</v>
      </c>
      <c r="AC1662" s="47">
        <f t="shared" si="117"/>
        <v>2598.8000000000002</v>
      </c>
      <c r="AD1662" s="92"/>
      <c r="AE1662" s="92">
        <f t="shared" si="116"/>
        <v>3333333.3333333335</v>
      </c>
      <c r="AF1662" s="93" t="s">
        <v>5740</v>
      </c>
      <c r="AG1662" s="43">
        <v>34.611987429994002</v>
      </c>
      <c r="AH1662" s="43">
        <v>-117.543812578548</v>
      </c>
      <c r="AI1662" s="122" t="s">
        <v>7286</v>
      </c>
      <c r="AJ1662" s="41">
        <v>0.5</v>
      </c>
    </row>
    <row r="1663" spans="1:36" ht="35.1" hidden="1" customHeight="1" x14ac:dyDescent="0.25">
      <c r="A1663" s="40">
        <v>2302</v>
      </c>
      <c r="B1663" s="90" t="s">
        <v>5741</v>
      </c>
      <c r="C1663" s="90" t="s">
        <v>1045</v>
      </c>
      <c r="D1663" s="90"/>
      <c r="E1663" s="90"/>
      <c r="F1663" s="90" t="s">
        <v>2222</v>
      </c>
      <c r="G1663" s="90" t="s">
        <v>1259</v>
      </c>
      <c r="H1663" s="40" t="s">
        <v>467</v>
      </c>
      <c r="I1663" s="90" t="s">
        <v>1269</v>
      </c>
      <c r="J1663" s="90" t="s">
        <v>1395</v>
      </c>
      <c r="K1663" s="90" t="s">
        <v>1243</v>
      </c>
      <c r="L1663" s="90"/>
      <c r="M1663" s="90"/>
      <c r="N1663" s="90"/>
      <c r="O1663" s="90"/>
      <c r="P1663" s="90"/>
      <c r="Q1663" s="90"/>
      <c r="R1663" s="90"/>
      <c r="S1663" s="90"/>
      <c r="T1663" s="90"/>
      <c r="U1663" s="90"/>
      <c r="V1663" s="90"/>
      <c r="W1663" s="90"/>
      <c r="X1663" s="90"/>
      <c r="Y1663" s="90"/>
      <c r="Z1663" s="90" t="s">
        <v>5742</v>
      </c>
      <c r="AA1663" s="47">
        <f>IF(H2ProjectDB689571011[[#This Row],[Dummy_1]]="Electrolysis",
AB1663*VLOOKUP(G1663,ElectrolysisConvF,3,FALSE),
"")</f>
        <v>25396.336770817303</v>
      </c>
      <c r="AB1663" s="46">
        <f>AC1663/(H2dens*HoursInYear/10^6)</f>
        <v>5643630.3935149563</v>
      </c>
      <c r="AC1663" s="92">
        <f>2200/H2ProjectDB689571011[[#This Row],[LOWE_CF]]</f>
        <v>4400</v>
      </c>
      <c r="AD1663" s="92"/>
      <c r="AE1663" s="92">
        <f t="shared" si="116"/>
        <v>5643630.3935149563</v>
      </c>
      <c r="AF1663" s="93" t="s">
        <v>5744</v>
      </c>
      <c r="AG1663" s="43">
        <v>29.693182438978901</v>
      </c>
      <c r="AH1663" s="43">
        <v>32.316615414009497</v>
      </c>
      <c r="AI1663" s="122" t="s">
        <v>7286</v>
      </c>
      <c r="AJ1663" s="41">
        <v>0.5</v>
      </c>
    </row>
    <row r="1664" spans="1:36" ht="35.1" hidden="1" customHeight="1" x14ac:dyDescent="0.25">
      <c r="A1664" s="40">
        <v>2303</v>
      </c>
      <c r="B1664" s="90" t="s">
        <v>5745</v>
      </c>
      <c r="C1664" s="90" t="s">
        <v>1045</v>
      </c>
      <c r="D1664" s="90"/>
      <c r="E1664" s="90"/>
      <c r="F1664" s="90" t="s">
        <v>2222</v>
      </c>
      <c r="G1664" s="90" t="s">
        <v>1259</v>
      </c>
      <c r="H1664" s="90" t="s">
        <v>467</v>
      </c>
      <c r="I1664" s="90" t="s">
        <v>1269</v>
      </c>
      <c r="J1664" s="90" t="s">
        <v>1395</v>
      </c>
      <c r="K1664" s="90" t="s">
        <v>1243</v>
      </c>
      <c r="L1664" s="90"/>
      <c r="M1664" s="90">
        <v>1</v>
      </c>
      <c r="N1664" s="90"/>
      <c r="O1664" s="90"/>
      <c r="P1664" s="90"/>
      <c r="Q1664" s="90"/>
      <c r="R1664" s="90"/>
      <c r="S1664" s="90"/>
      <c r="T1664" s="90"/>
      <c r="U1664" s="90"/>
      <c r="V1664" s="90"/>
      <c r="W1664" s="90"/>
      <c r="X1664" s="90"/>
      <c r="Y1664" s="90"/>
      <c r="Z1664" s="40" t="s">
        <v>8370</v>
      </c>
      <c r="AA1664" s="47">
        <f>IF(H2ProjectDB689571011[[#This Row],[Dummy_1]]="Electrolysis",
AB1664*VLOOKUP(G1664,ElectrolysisConvF,3,FALSE),
"")</f>
        <v>103.93567924322261</v>
      </c>
      <c r="AB1664" s="46">
        <f>AC1664/(H2dens*HoursInYear/10^6)</f>
        <v>23096.817609605027</v>
      </c>
      <c r="AC1664" s="92">
        <f>(100*3/17/0.98)</f>
        <v>18.007202881152462</v>
      </c>
      <c r="AD1664" s="92"/>
      <c r="AE1664" s="92">
        <f t="shared" si="116"/>
        <v>23096.817609605027</v>
      </c>
      <c r="AF1664" s="93" t="s">
        <v>5748</v>
      </c>
      <c r="AG1664" s="43">
        <v>30.482681587405398</v>
      </c>
      <c r="AH1664" s="43">
        <v>32.419101279952201</v>
      </c>
      <c r="AI1664" s="122" t="s">
        <v>7286</v>
      </c>
      <c r="AJ1664" s="41">
        <v>0.5</v>
      </c>
    </row>
    <row r="1665" spans="1:36" ht="35.1" hidden="1" customHeight="1" x14ac:dyDescent="0.25">
      <c r="A1665" s="40">
        <v>2304</v>
      </c>
      <c r="B1665" s="40" t="s">
        <v>6911</v>
      </c>
      <c r="C1665" s="90" t="s">
        <v>1045</v>
      </c>
      <c r="D1665" s="90"/>
      <c r="E1665" s="90"/>
      <c r="F1665" s="90" t="s">
        <v>2222</v>
      </c>
      <c r="G1665" s="90" t="s">
        <v>1259</v>
      </c>
      <c r="H1665" s="90" t="s">
        <v>467</v>
      </c>
      <c r="I1665" s="90" t="s">
        <v>1269</v>
      </c>
      <c r="J1665" s="90" t="s">
        <v>1395</v>
      </c>
      <c r="K1665" s="90" t="s">
        <v>578</v>
      </c>
      <c r="L1665" s="90"/>
      <c r="M1665" s="90">
        <v>1</v>
      </c>
      <c r="N1665" s="90"/>
      <c r="O1665" s="90"/>
      <c r="P1665" s="90"/>
      <c r="Q1665" s="90">
        <v>1</v>
      </c>
      <c r="R1665" s="90"/>
      <c r="S1665" s="90"/>
      <c r="T1665" s="90"/>
      <c r="U1665" s="90"/>
      <c r="V1665" s="90"/>
      <c r="W1665" s="90"/>
      <c r="X1665" s="90"/>
      <c r="Y1665" s="90"/>
      <c r="Z1665" s="90" t="s">
        <v>5746</v>
      </c>
      <c r="AA1665" s="91">
        <v>3500</v>
      </c>
      <c r="AB1665" s="46">
        <f>IF(H2ProjectDB689571011[[#This Row],[Dummy_1]]="Electrolysis",
AA1665/VLOOKUP(G1665,ElectrolysisConvF,3,FALSE),
AC1665*10^6/(H2dens*HoursInYear))</f>
        <v>777777.77777777787</v>
      </c>
      <c r="AC1665" s="47">
        <f t="shared" ref="AC1665:AC1680" si="118">AB1665*H2dens*HoursInYear/10^6</f>
        <v>606.38666666666677</v>
      </c>
      <c r="AD1665" s="92"/>
      <c r="AE1665" s="92">
        <f t="shared" si="116"/>
        <v>777777.77777777787</v>
      </c>
      <c r="AF1665" s="93" t="s">
        <v>5748</v>
      </c>
      <c r="AG1665" s="43">
        <v>30.482681587405398</v>
      </c>
      <c r="AH1665" s="43">
        <v>32.419101279952201</v>
      </c>
      <c r="AI1665" s="122" t="s">
        <v>7286</v>
      </c>
      <c r="AJ1665" s="41">
        <v>0.5</v>
      </c>
    </row>
    <row r="1666" spans="1:36" ht="35.1" hidden="1" customHeight="1" x14ac:dyDescent="0.25">
      <c r="A1666" s="40">
        <v>2305</v>
      </c>
      <c r="B1666" s="90" t="s">
        <v>5749</v>
      </c>
      <c r="C1666" s="90" t="s">
        <v>1945</v>
      </c>
      <c r="D1666" s="44">
        <v>2024</v>
      </c>
      <c r="E1666" s="44"/>
      <c r="F1666" s="90" t="s">
        <v>5701</v>
      </c>
      <c r="G1666" s="90" t="s">
        <v>1259</v>
      </c>
      <c r="H1666" s="90" t="s">
        <v>467</v>
      </c>
      <c r="I1666" s="90" t="s">
        <v>1269</v>
      </c>
      <c r="J1666" s="90" t="s">
        <v>1391</v>
      </c>
      <c r="K1666" s="90" t="s">
        <v>1243</v>
      </c>
      <c r="L1666" s="90"/>
      <c r="M1666" s="90">
        <v>1</v>
      </c>
      <c r="N1666" s="90"/>
      <c r="O1666" s="90"/>
      <c r="P1666" s="90"/>
      <c r="Q1666" s="90"/>
      <c r="R1666" s="90"/>
      <c r="S1666" s="90"/>
      <c r="T1666" s="90"/>
      <c r="U1666" s="90"/>
      <c r="V1666" s="90"/>
      <c r="W1666" s="90"/>
      <c r="X1666" s="90"/>
      <c r="Y1666" s="90"/>
      <c r="Z1666" s="40" t="s">
        <v>7334</v>
      </c>
      <c r="AA1666" s="91">
        <v>0.25</v>
      </c>
      <c r="AB1666" s="46">
        <f>IF(H2ProjectDB689571011[[#This Row],[Dummy_1]]="Electrolysis",
AA1666/VLOOKUP(G1666,ElectrolysisConvF,3,FALSE),
AC1666*10^6/(H2dens*HoursInYear))</f>
        <v>55.555555555555557</v>
      </c>
      <c r="AC1666" s="78">
        <f t="shared" si="118"/>
        <v>4.3313333333333336E-2</v>
      </c>
      <c r="AD1666" s="92"/>
      <c r="AE1666" s="92">
        <f t="shared" si="116"/>
        <v>55.555555555555557</v>
      </c>
      <c r="AF1666" s="43" t="s">
        <v>7331</v>
      </c>
      <c r="AG1666" s="43">
        <v>-22.4897205431696</v>
      </c>
      <c r="AH1666" s="43">
        <v>16.954427073368301</v>
      </c>
      <c r="AI1666" s="122" t="s">
        <v>7286</v>
      </c>
      <c r="AJ1666" s="41">
        <v>0.3</v>
      </c>
    </row>
    <row r="1667" spans="1:36" ht="35.1" hidden="1" customHeight="1" x14ac:dyDescent="0.25">
      <c r="A1667" s="40">
        <v>2306</v>
      </c>
      <c r="B1667" s="90" t="s">
        <v>5750</v>
      </c>
      <c r="C1667" s="90" t="s">
        <v>1945</v>
      </c>
      <c r="D1667" s="44">
        <v>2027</v>
      </c>
      <c r="E1667" s="44"/>
      <c r="F1667" s="90" t="s">
        <v>1331</v>
      </c>
      <c r="G1667" s="90" t="s">
        <v>1259</v>
      </c>
      <c r="H1667" s="90" t="s">
        <v>467</v>
      </c>
      <c r="I1667" s="90" t="s">
        <v>1269</v>
      </c>
      <c r="J1667" s="90" t="s">
        <v>1395</v>
      </c>
      <c r="K1667" s="90" t="s">
        <v>1243</v>
      </c>
      <c r="L1667" s="90"/>
      <c r="M1667" s="90">
        <v>1</v>
      </c>
      <c r="N1667" s="90"/>
      <c r="O1667" s="90"/>
      <c r="P1667" s="90"/>
      <c r="Q1667" s="90"/>
      <c r="R1667" s="90"/>
      <c r="S1667" s="90"/>
      <c r="T1667" s="90"/>
      <c r="U1667" s="90"/>
      <c r="V1667" s="90"/>
      <c r="W1667" s="90"/>
      <c r="X1667" s="90"/>
      <c r="Y1667" s="90"/>
      <c r="Z1667" s="40" t="s">
        <v>7332</v>
      </c>
      <c r="AA1667" s="91">
        <f>5-AA1666</f>
        <v>4.75</v>
      </c>
      <c r="AB1667" s="46">
        <f>IF(H2ProjectDB689571011[[#This Row],[Dummy_1]]="Electrolysis",
AA1667/VLOOKUP(G1667,ElectrolysisConvF,3,FALSE),
AC1667*10^6/(H2dens*HoursInYear))</f>
        <v>1055.5555555555557</v>
      </c>
      <c r="AC1667" s="47">
        <f t="shared" si="118"/>
        <v>0.82295333333333343</v>
      </c>
      <c r="AD1667" s="92"/>
      <c r="AE1667" s="92">
        <f t="shared" si="116"/>
        <v>1055.5555555555557</v>
      </c>
      <c r="AF1667" s="43" t="s">
        <v>7331</v>
      </c>
      <c r="AG1667" s="43">
        <v>-22.4897205431696</v>
      </c>
      <c r="AH1667" s="43">
        <v>16.954427073368301</v>
      </c>
      <c r="AI1667" s="122" t="s">
        <v>7286</v>
      </c>
      <c r="AJ1667" s="41">
        <v>0.5</v>
      </c>
    </row>
    <row r="1668" spans="1:36" ht="35.1" hidden="1" customHeight="1" x14ac:dyDescent="0.25">
      <c r="A1668" s="40">
        <v>2307</v>
      </c>
      <c r="B1668" s="90" t="s">
        <v>5751</v>
      </c>
      <c r="C1668" s="90" t="s">
        <v>1945</v>
      </c>
      <c r="D1668" s="44">
        <v>2032</v>
      </c>
      <c r="E1668" s="44"/>
      <c r="F1668" s="90" t="s">
        <v>1331</v>
      </c>
      <c r="G1668" s="90" t="s">
        <v>1259</v>
      </c>
      <c r="H1668" s="90" t="s">
        <v>467</v>
      </c>
      <c r="I1668" s="90" t="s">
        <v>1269</v>
      </c>
      <c r="J1668" s="90" t="s">
        <v>1395</v>
      </c>
      <c r="K1668" s="90" t="s">
        <v>1243</v>
      </c>
      <c r="L1668" s="90"/>
      <c r="M1668" s="90">
        <v>1</v>
      </c>
      <c r="N1668" s="90"/>
      <c r="O1668" s="90"/>
      <c r="P1668" s="90"/>
      <c r="Q1668" s="90"/>
      <c r="R1668" s="90"/>
      <c r="S1668" s="90"/>
      <c r="T1668" s="90"/>
      <c r="U1668" s="90"/>
      <c r="V1668" s="90"/>
      <c r="W1668" s="90"/>
      <c r="X1668" s="90"/>
      <c r="Y1668" s="90"/>
      <c r="Z1668" s="40" t="s">
        <v>7333</v>
      </c>
      <c r="AA1668" s="91">
        <f>420-AA1667</f>
        <v>415.25</v>
      </c>
      <c r="AB1668" s="46">
        <f>IF(H2ProjectDB689571011[[#This Row],[Dummy_1]]="Electrolysis",
AA1668/VLOOKUP(G1668,ElectrolysisConvF,3,FALSE),
AC1668*10^6/(H2dens*HoursInYear))</f>
        <v>92277.777777777781</v>
      </c>
      <c r="AC1668" s="47">
        <f t="shared" si="118"/>
        <v>71.943446666666674</v>
      </c>
      <c r="AD1668" s="92"/>
      <c r="AE1668" s="92">
        <f t="shared" si="116"/>
        <v>92277.777777777781</v>
      </c>
      <c r="AF1668" s="43" t="s">
        <v>7331</v>
      </c>
      <c r="AG1668" s="43">
        <v>-22.4897205431696</v>
      </c>
      <c r="AH1668" s="43">
        <v>16.954427073368301</v>
      </c>
      <c r="AI1668" s="122" t="s">
        <v>7286</v>
      </c>
      <c r="AJ1668" s="41">
        <v>0.5</v>
      </c>
    </row>
    <row r="1669" spans="1:36" ht="35.1" hidden="1" customHeight="1" x14ac:dyDescent="0.25">
      <c r="A1669" s="40">
        <v>2308</v>
      </c>
      <c r="B1669" s="90" t="s">
        <v>5752</v>
      </c>
      <c r="C1669" s="90" t="s">
        <v>1945</v>
      </c>
      <c r="D1669" s="44">
        <v>2032</v>
      </c>
      <c r="E1669" s="44"/>
      <c r="F1669" s="90" t="s">
        <v>2222</v>
      </c>
      <c r="G1669" s="90" t="s">
        <v>1259</v>
      </c>
      <c r="H1669" s="90" t="s">
        <v>467</v>
      </c>
      <c r="I1669" s="90" t="s">
        <v>1269</v>
      </c>
      <c r="J1669" s="90" t="s">
        <v>1395</v>
      </c>
      <c r="K1669" s="90" t="s">
        <v>1243</v>
      </c>
      <c r="L1669" s="90"/>
      <c r="M1669" s="90">
        <v>1</v>
      </c>
      <c r="N1669" s="90"/>
      <c r="O1669" s="90"/>
      <c r="P1669" s="90"/>
      <c r="Q1669" s="90"/>
      <c r="R1669" s="90"/>
      <c r="S1669" s="90"/>
      <c r="T1669" s="90"/>
      <c r="U1669" s="90"/>
      <c r="V1669" s="90"/>
      <c r="W1669" s="90"/>
      <c r="X1669" s="90"/>
      <c r="Y1669" s="90"/>
      <c r="Z1669" s="40" t="s">
        <v>7335</v>
      </c>
      <c r="AA1669" s="91">
        <f>840-AA1668</f>
        <v>424.75</v>
      </c>
      <c r="AB1669" s="46">
        <f>IF(H2ProjectDB689571011[[#This Row],[Dummy_1]]="Electrolysis",
AA1669/VLOOKUP(G1669,ElectrolysisConvF,3,FALSE),
AC1669*10^6/(H2dens*HoursInYear))</f>
        <v>94388.888888888891</v>
      </c>
      <c r="AC1669" s="47">
        <f t="shared" si="118"/>
        <v>73.589353333333335</v>
      </c>
      <c r="AD1669" s="92"/>
      <c r="AE1669" s="92">
        <f t="shared" si="116"/>
        <v>94388.888888888891</v>
      </c>
      <c r="AF1669" s="43" t="s">
        <v>7331</v>
      </c>
      <c r="AG1669" s="43">
        <v>-22.4897205431696</v>
      </c>
      <c r="AH1669" s="43">
        <v>16.954427073368301</v>
      </c>
      <c r="AI1669" s="122" t="s">
        <v>7286</v>
      </c>
      <c r="AJ1669" s="41">
        <v>0.5</v>
      </c>
    </row>
    <row r="1670" spans="1:36" ht="35.1" hidden="1" customHeight="1" x14ac:dyDescent="0.25">
      <c r="A1670" s="40">
        <v>2309</v>
      </c>
      <c r="B1670" s="90" t="s">
        <v>5756</v>
      </c>
      <c r="C1670" s="90" t="s">
        <v>530</v>
      </c>
      <c r="D1670" s="44">
        <v>2025</v>
      </c>
      <c r="E1670" s="44"/>
      <c r="F1670" s="90" t="s">
        <v>5701</v>
      </c>
      <c r="G1670" s="90" t="s">
        <v>457</v>
      </c>
      <c r="H1670" s="90"/>
      <c r="I1670" s="90" t="s">
        <v>1266</v>
      </c>
      <c r="J1670" s="90"/>
      <c r="K1670" s="90" t="s">
        <v>578</v>
      </c>
      <c r="L1670" s="90"/>
      <c r="M1670" s="90"/>
      <c r="N1670" s="90"/>
      <c r="O1670" s="90"/>
      <c r="P1670" s="90"/>
      <c r="Q1670" s="90">
        <v>1</v>
      </c>
      <c r="R1670" s="90"/>
      <c r="S1670" s="90"/>
      <c r="T1670" s="90"/>
      <c r="U1670" s="90"/>
      <c r="V1670" s="90"/>
      <c r="W1670" s="90"/>
      <c r="X1670" s="90"/>
      <c r="Y1670" s="90"/>
      <c r="Z1670" s="90" t="s">
        <v>1480</v>
      </c>
      <c r="AA1670" s="91">
        <v>1</v>
      </c>
      <c r="AB1670" s="46">
        <f>IF(H2ProjectDB689571011[[#This Row],[Dummy_1]]="Electrolysis",
AA1670/VLOOKUP(G1670,ElectrolysisConvF,3,FALSE),
AC1670*10^6/(H2dens*HoursInYear))</f>
        <v>217.39130434782609</v>
      </c>
      <c r="AC1670" s="47">
        <f t="shared" si="118"/>
        <v>0.16948695652173912</v>
      </c>
      <c r="AD1670" s="92"/>
      <c r="AE1670" s="92">
        <f t="shared" si="116"/>
        <v>217.39130434782609</v>
      </c>
      <c r="AF1670" s="93" t="s">
        <v>5757</v>
      </c>
      <c r="AG1670" s="43">
        <v>51.017174882995597</v>
      </c>
      <c r="AH1670" s="43">
        <v>2.4190311628046701</v>
      </c>
      <c r="AI1670" s="122" t="s">
        <v>7286</v>
      </c>
      <c r="AJ1670" s="41">
        <v>0.56999999999999995</v>
      </c>
    </row>
    <row r="1671" spans="1:36" ht="35.1" hidden="1" customHeight="1" x14ac:dyDescent="0.25">
      <c r="A1671" s="40">
        <v>2310</v>
      </c>
      <c r="B1671" s="90" t="s">
        <v>5758</v>
      </c>
      <c r="C1671" s="90" t="s">
        <v>530</v>
      </c>
      <c r="D1671" s="44">
        <v>2025</v>
      </c>
      <c r="E1671" s="44"/>
      <c r="F1671" s="90" t="s">
        <v>1331</v>
      </c>
      <c r="G1671" s="90" t="s">
        <v>457</v>
      </c>
      <c r="H1671" s="90"/>
      <c r="I1671" s="90" t="s">
        <v>1266</v>
      </c>
      <c r="J1671" s="90"/>
      <c r="K1671" s="90" t="s">
        <v>578</v>
      </c>
      <c r="L1671" s="90"/>
      <c r="M1671" s="90"/>
      <c r="N1671" s="90"/>
      <c r="O1671" s="90"/>
      <c r="P1671" s="90"/>
      <c r="Q1671" s="90">
        <v>1</v>
      </c>
      <c r="R1671" s="90"/>
      <c r="S1671" s="90"/>
      <c r="T1671" s="90"/>
      <c r="U1671" s="90"/>
      <c r="V1671" s="90"/>
      <c r="W1671" s="90"/>
      <c r="X1671" s="90"/>
      <c r="Y1671" s="90"/>
      <c r="Z1671" s="90" t="s">
        <v>1493</v>
      </c>
      <c r="AA1671" s="91">
        <v>2</v>
      </c>
      <c r="AB1671" s="46">
        <f>IF(H2ProjectDB689571011[[#This Row],[Dummy_1]]="Electrolysis",
AA1671/VLOOKUP(G1671,ElectrolysisConvF,3,FALSE),
AC1671*10^6/(H2dens*HoursInYear))</f>
        <v>434.78260869565219</v>
      </c>
      <c r="AC1671" s="47">
        <f t="shared" si="118"/>
        <v>0.33897391304347824</v>
      </c>
      <c r="AD1671" s="92"/>
      <c r="AE1671" s="92">
        <f t="shared" si="116"/>
        <v>434.78260869565219</v>
      </c>
      <c r="AF1671" s="93" t="s">
        <v>5757</v>
      </c>
      <c r="AG1671" s="43">
        <v>43.207012086897301</v>
      </c>
      <c r="AH1671" s="43">
        <v>1.0114732607372801</v>
      </c>
      <c r="AI1671" s="122" t="s">
        <v>7286</v>
      </c>
      <c r="AJ1671" s="41">
        <v>0.56999999999999995</v>
      </c>
    </row>
    <row r="1672" spans="1:36" ht="35.1" hidden="1" customHeight="1" x14ac:dyDescent="0.25">
      <c r="A1672" s="40">
        <v>2311</v>
      </c>
      <c r="B1672" s="90" t="s">
        <v>5759</v>
      </c>
      <c r="C1672" s="90" t="s">
        <v>530</v>
      </c>
      <c r="D1672" s="44">
        <v>2025</v>
      </c>
      <c r="E1672" s="44"/>
      <c r="F1672" s="90" t="s">
        <v>1331</v>
      </c>
      <c r="G1672" s="90" t="s">
        <v>457</v>
      </c>
      <c r="H1672" s="90"/>
      <c r="I1672" s="90" t="s">
        <v>1266</v>
      </c>
      <c r="J1672" s="90"/>
      <c r="K1672" s="90" t="s">
        <v>578</v>
      </c>
      <c r="L1672" s="90"/>
      <c r="M1672" s="90"/>
      <c r="N1672" s="90"/>
      <c r="O1672" s="90"/>
      <c r="P1672" s="90"/>
      <c r="Q1672" s="90">
        <v>1</v>
      </c>
      <c r="R1672" s="90"/>
      <c r="S1672" s="90"/>
      <c r="T1672" s="90"/>
      <c r="U1672" s="90"/>
      <c r="V1672" s="90"/>
      <c r="W1672" s="90"/>
      <c r="X1672" s="90"/>
      <c r="Y1672" s="90"/>
      <c r="Z1672" s="90" t="s">
        <v>1493</v>
      </c>
      <c r="AA1672" s="91">
        <v>2</v>
      </c>
      <c r="AB1672" s="46">
        <f>IF(H2ProjectDB689571011[[#This Row],[Dummy_1]]="Electrolysis",
AA1672/VLOOKUP(G1672,ElectrolysisConvF,3,FALSE),
AC1672*10^6/(H2dens*HoursInYear))</f>
        <v>434.78260869565219</v>
      </c>
      <c r="AC1672" s="47">
        <f t="shared" si="118"/>
        <v>0.33897391304347824</v>
      </c>
      <c r="AD1672" s="92"/>
      <c r="AE1672" s="92">
        <f t="shared" si="116"/>
        <v>434.78260869565219</v>
      </c>
      <c r="AF1672" s="93" t="s">
        <v>5757</v>
      </c>
      <c r="AG1672" s="43">
        <v>48.784304934083998</v>
      </c>
      <c r="AH1672" s="43">
        <v>2.4024716398699701</v>
      </c>
      <c r="AI1672" s="122" t="s">
        <v>7286</v>
      </c>
      <c r="AJ1672" s="41">
        <v>0.56999999999999995</v>
      </c>
    </row>
    <row r="1673" spans="1:36" ht="35.1" hidden="1" customHeight="1" x14ac:dyDescent="0.25">
      <c r="A1673" s="40">
        <v>2312</v>
      </c>
      <c r="B1673" s="90" t="s">
        <v>5760</v>
      </c>
      <c r="C1673" s="90" t="s">
        <v>530</v>
      </c>
      <c r="D1673" s="44">
        <v>2025</v>
      </c>
      <c r="E1673" s="44"/>
      <c r="F1673" s="90" t="s">
        <v>1331</v>
      </c>
      <c r="G1673" s="90" t="s">
        <v>457</v>
      </c>
      <c r="H1673" s="90"/>
      <c r="I1673" s="90" t="s">
        <v>1266</v>
      </c>
      <c r="J1673" s="90"/>
      <c r="K1673" s="90" t="s">
        <v>578</v>
      </c>
      <c r="L1673" s="90"/>
      <c r="M1673" s="90"/>
      <c r="N1673" s="90"/>
      <c r="O1673" s="90"/>
      <c r="P1673" s="90"/>
      <c r="Q1673" s="90">
        <v>1</v>
      </c>
      <c r="R1673" s="90"/>
      <c r="S1673" s="90"/>
      <c r="T1673" s="90"/>
      <c r="U1673" s="90"/>
      <c r="V1673" s="90"/>
      <c r="W1673" s="90"/>
      <c r="X1673" s="90"/>
      <c r="Y1673" s="90"/>
      <c r="Z1673" s="90" t="s">
        <v>1493</v>
      </c>
      <c r="AA1673" s="91">
        <v>2</v>
      </c>
      <c r="AB1673" s="46">
        <f>IF(H2ProjectDB689571011[[#This Row],[Dummy_1]]="Electrolysis",
AA1673/VLOOKUP(G1673,ElectrolysisConvF,3,FALSE),
AC1673*10^6/(H2dens*HoursInYear))</f>
        <v>434.78260869565219</v>
      </c>
      <c r="AC1673" s="47">
        <f t="shared" si="118"/>
        <v>0.33897391304347824</v>
      </c>
      <c r="AD1673" s="92"/>
      <c r="AE1673" s="92">
        <f t="shared" si="116"/>
        <v>434.78260869565219</v>
      </c>
      <c r="AF1673" s="93" t="s">
        <v>5757</v>
      </c>
      <c r="AG1673" s="43">
        <v>49.491026444604699</v>
      </c>
      <c r="AH1673" s="43">
        <v>0.141837155546191</v>
      </c>
      <c r="AI1673" s="122" t="s">
        <v>7286</v>
      </c>
      <c r="AJ1673" s="41">
        <v>0.56999999999999995</v>
      </c>
    </row>
    <row r="1674" spans="1:36" ht="35.1" hidden="1" customHeight="1" x14ac:dyDescent="0.25">
      <c r="A1674" s="40">
        <v>2313</v>
      </c>
      <c r="B1674" s="90" t="s">
        <v>5761</v>
      </c>
      <c r="C1674" s="90" t="s">
        <v>530</v>
      </c>
      <c r="D1674" s="44">
        <v>2025</v>
      </c>
      <c r="E1674" s="44"/>
      <c r="F1674" s="90" t="s">
        <v>1331</v>
      </c>
      <c r="G1674" s="90" t="s">
        <v>457</v>
      </c>
      <c r="H1674" s="90"/>
      <c r="I1674" s="90" t="s">
        <v>1266</v>
      </c>
      <c r="J1674" s="90"/>
      <c r="K1674" s="90" t="s">
        <v>578</v>
      </c>
      <c r="L1674" s="90"/>
      <c r="M1674" s="90"/>
      <c r="N1674" s="90"/>
      <c r="O1674" s="90"/>
      <c r="P1674" s="90"/>
      <c r="Q1674" s="90">
        <v>1</v>
      </c>
      <c r="R1674" s="90"/>
      <c r="S1674" s="90"/>
      <c r="T1674" s="90"/>
      <c r="U1674" s="90"/>
      <c r="V1674" s="90"/>
      <c r="W1674" s="90"/>
      <c r="X1674" s="90"/>
      <c r="Y1674" s="90"/>
      <c r="Z1674" s="90" t="s">
        <v>1493</v>
      </c>
      <c r="AA1674" s="91">
        <v>2</v>
      </c>
      <c r="AB1674" s="46">
        <f>IF(H2ProjectDB689571011[[#This Row],[Dummy_1]]="Electrolysis",
AA1674/VLOOKUP(G1674,ElectrolysisConvF,3,FALSE),
AC1674*10^6/(H2dens*HoursInYear))</f>
        <v>434.78260869565219</v>
      </c>
      <c r="AC1674" s="47">
        <f t="shared" si="118"/>
        <v>0.33897391304347824</v>
      </c>
      <c r="AD1674" s="92"/>
      <c r="AE1674" s="92">
        <f t="shared" si="116"/>
        <v>434.78260869565219</v>
      </c>
      <c r="AF1674" s="93" t="s">
        <v>5757</v>
      </c>
      <c r="AG1674" s="43">
        <v>48.767849526452203</v>
      </c>
      <c r="AH1674" s="43">
        <v>2.30620581628347</v>
      </c>
      <c r="AI1674" s="122" t="s">
        <v>7286</v>
      </c>
      <c r="AJ1674" s="41">
        <v>0.56999999999999995</v>
      </c>
    </row>
    <row r="1675" spans="1:36" ht="35.1" hidden="1" customHeight="1" x14ac:dyDescent="0.25">
      <c r="A1675" s="40">
        <v>2314</v>
      </c>
      <c r="B1675" s="90" t="s">
        <v>5762</v>
      </c>
      <c r="C1675" s="90" t="s">
        <v>530</v>
      </c>
      <c r="D1675" s="44">
        <v>2025</v>
      </c>
      <c r="E1675" s="44"/>
      <c r="F1675" s="90" t="s">
        <v>1331</v>
      </c>
      <c r="G1675" s="90" t="s">
        <v>457</v>
      </c>
      <c r="H1675" s="90"/>
      <c r="I1675" s="90" t="s">
        <v>1266</v>
      </c>
      <c r="J1675" s="90"/>
      <c r="K1675" s="90" t="s">
        <v>578</v>
      </c>
      <c r="L1675" s="90"/>
      <c r="M1675" s="90"/>
      <c r="N1675" s="90"/>
      <c r="O1675" s="90"/>
      <c r="P1675" s="90"/>
      <c r="Q1675" s="90">
        <v>1</v>
      </c>
      <c r="R1675" s="90"/>
      <c r="S1675" s="90"/>
      <c r="T1675" s="90"/>
      <c r="U1675" s="90"/>
      <c r="V1675" s="90"/>
      <c r="W1675" s="90"/>
      <c r="X1675" s="90"/>
      <c r="Y1675" s="90"/>
      <c r="Z1675" s="90" t="s">
        <v>1493</v>
      </c>
      <c r="AA1675" s="91">
        <v>2</v>
      </c>
      <c r="AB1675" s="46">
        <f>IF(H2ProjectDB689571011[[#This Row],[Dummy_1]]="Electrolysis",
AA1675/VLOOKUP(G1675,ElectrolysisConvF,3,FALSE),
AC1675*10^6/(H2dens*HoursInYear))</f>
        <v>434.78260869565219</v>
      </c>
      <c r="AC1675" s="47">
        <f t="shared" si="118"/>
        <v>0.33897391304347824</v>
      </c>
      <c r="AD1675" s="92"/>
      <c r="AE1675" s="92">
        <f t="shared" si="116"/>
        <v>434.78260869565219</v>
      </c>
      <c r="AF1675" s="93" t="s">
        <v>5757</v>
      </c>
      <c r="AG1675" s="43">
        <v>43.574676632095901</v>
      </c>
      <c r="AH1675" s="43">
        <v>7.0019739904060598</v>
      </c>
      <c r="AI1675" s="122" t="s">
        <v>7286</v>
      </c>
      <c r="AJ1675" s="41">
        <v>0.56999999999999995</v>
      </c>
    </row>
    <row r="1676" spans="1:36" ht="35.1" hidden="1" customHeight="1" x14ac:dyDescent="0.25">
      <c r="A1676" s="40">
        <v>2315</v>
      </c>
      <c r="B1676" s="90" t="s">
        <v>5763</v>
      </c>
      <c r="C1676" s="90" t="s">
        <v>530</v>
      </c>
      <c r="D1676" s="44">
        <v>2027</v>
      </c>
      <c r="E1676" s="44"/>
      <c r="F1676" s="90" t="s">
        <v>1331</v>
      </c>
      <c r="G1676" s="90" t="s">
        <v>457</v>
      </c>
      <c r="H1676" s="90"/>
      <c r="I1676" s="90" t="s">
        <v>1266</v>
      </c>
      <c r="J1676" s="90"/>
      <c r="K1676" s="90" t="s">
        <v>578</v>
      </c>
      <c r="L1676" s="90"/>
      <c r="M1676" s="90"/>
      <c r="N1676" s="90"/>
      <c r="O1676" s="90"/>
      <c r="P1676" s="90">
        <v>1</v>
      </c>
      <c r="Q1676" s="90"/>
      <c r="R1676" s="90"/>
      <c r="S1676" s="90"/>
      <c r="T1676" s="90"/>
      <c r="U1676" s="90"/>
      <c r="V1676" s="90"/>
      <c r="W1676" s="90"/>
      <c r="X1676" s="90"/>
      <c r="Y1676" s="90"/>
      <c r="Z1676" s="90" t="s">
        <v>3044</v>
      </c>
      <c r="AA1676" s="91">
        <v>85</v>
      </c>
      <c r="AB1676" s="46">
        <f>IF(H2ProjectDB689571011[[#This Row],[Dummy_1]]="Electrolysis",
AA1676/VLOOKUP(G1676,ElectrolysisConvF,3,FALSE),
AC1676*10^6/(H2dens*HoursInYear))</f>
        <v>18478.260869565216</v>
      </c>
      <c r="AC1676" s="47">
        <f t="shared" si="118"/>
        <v>14.406391304347826</v>
      </c>
      <c r="AD1676" s="92"/>
      <c r="AE1676" s="92">
        <f t="shared" si="116"/>
        <v>18478.260869565216</v>
      </c>
      <c r="AF1676" s="43" t="s">
        <v>5998</v>
      </c>
      <c r="AG1676" s="43">
        <v>45.709174597537597</v>
      </c>
      <c r="AH1676" s="43">
        <v>4.8494934982903404</v>
      </c>
      <c r="AI1676" s="122" t="s">
        <v>7286</v>
      </c>
      <c r="AJ1676" s="41">
        <v>0.56999999999999995</v>
      </c>
    </row>
    <row r="1677" spans="1:36" ht="35.1" hidden="1" customHeight="1" x14ac:dyDescent="0.25">
      <c r="A1677" s="40">
        <v>2316</v>
      </c>
      <c r="B1677" s="90" t="s">
        <v>5764</v>
      </c>
      <c r="C1677" s="90" t="s">
        <v>530</v>
      </c>
      <c r="D1677" s="44">
        <v>2030</v>
      </c>
      <c r="E1677" s="44"/>
      <c r="F1677" s="90" t="s">
        <v>1331</v>
      </c>
      <c r="G1677" s="90" t="s">
        <v>1259</v>
      </c>
      <c r="H1677" s="90" t="s">
        <v>467</v>
      </c>
      <c r="I1677" s="90" t="s">
        <v>1266</v>
      </c>
      <c r="J1677" s="90"/>
      <c r="K1677" s="90" t="s">
        <v>1267</v>
      </c>
      <c r="L1677" s="90"/>
      <c r="M1677" s="90"/>
      <c r="N1677" s="90"/>
      <c r="O1677" s="90"/>
      <c r="P1677" s="90"/>
      <c r="Q1677" s="90"/>
      <c r="R1677" s="90"/>
      <c r="S1677" s="90"/>
      <c r="T1677" s="90"/>
      <c r="U1677" s="90"/>
      <c r="V1677" s="90"/>
      <c r="W1677" s="90">
        <v>1</v>
      </c>
      <c r="X1677" s="90"/>
      <c r="Y1677" s="90"/>
      <c r="Z1677" s="40" t="s">
        <v>8818</v>
      </c>
      <c r="AA1677" s="47">
        <v>200</v>
      </c>
      <c r="AB1677" s="46">
        <f>IF(H2ProjectDB689571011[[#This Row],[Dummy_1]]="Electrolysis",
AA1677/VLOOKUP(G1677,ElectrolysisConvF,3,FALSE),
AC1677*10^6/(H2dens*HoursInYear))</f>
        <v>44444.444444444445</v>
      </c>
      <c r="AC1677" s="47">
        <f t="shared" si="118"/>
        <v>34.650666666666666</v>
      </c>
      <c r="AD1677" s="92"/>
      <c r="AE1677" s="92">
        <f t="shared" si="116"/>
        <v>44444.444444444445</v>
      </c>
      <c r="AF1677" s="43" t="s">
        <v>8817</v>
      </c>
      <c r="AG1677" s="43">
        <v>48.109705041218199</v>
      </c>
      <c r="AH1677" s="43">
        <v>-1.0119903655790901</v>
      </c>
      <c r="AI1677" s="122" t="s">
        <v>7286</v>
      </c>
      <c r="AJ1677" s="41">
        <v>0.56999999999999995</v>
      </c>
    </row>
    <row r="1678" spans="1:36" ht="35.1" hidden="1" customHeight="1" x14ac:dyDescent="0.25">
      <c r="A1678" s="40">
        <v>2317</v>
      </c>
      <c r="B1678" s="90" t="s">
        <v>5766</v>
      </c>
      <c r="C1678" s="90" t="s">
        <v>542</v>
      </c>
      <c r="D1678" s="44">
        <v>2026</v>
      </c>
      <c r="E1678" s="44"/>
      <c r="F1678" s="90" t="s">
        <v>5701</v>
      </c>
      <c r="G1678" s="90" t="s">
        <v>457</v>
      </c>
      <c r="H1678" s="90"/>
      <c r="I1678" s="90" t="s">
        <v>1269</v>
      </c>
      <c r="J1678" s="90" t="s">
        <v>581</v>
      </c>
      <c r="K1678" s="90" t="s">
        <v>578</v>
      </c>
      <c r="L1678" s="90"/>
      <c r="M1678" s="90"/>
      <c r="N1678" s="90"/>
      <c r="O1678" s="90"/>
      <c r="P1678" s="90"/>
      <c r="Q1678" s="90">
        <v>1</v>
      </c>
      <c r="R1678" s="90"/>
      <c r="S1678" s="90"/>
      <c r="T1678" s="90"/>
      <c r="U1678" s="90"/>
      <c r="V1678" s="90"/>
      <c r="W1678" s="90"/>
      <c r="X1678" s="90"/>
      <c r="Y1678" s="90"/>
      <c r="Z1678" s="40" t="s">
        <v>1372</v>
      </c>
      <c r="AA1678" s="91">
        <v>1</v>
      </c>
      <c r="AB1678" s="46">
        <f>IF(H2ProjectDB689571011[[#This Row],[Dummy_1]]="Electrolysis",
AA1678/VLOOKUP(G1678,ElectrolysisConvF,3,FALSE),
AC1678*10^6/(H2dens*HoursInYear))</f>
        <v>217.39130434782609</v>
      </c>
      <c r="AC1678" s="47">
        <f t="shared" si="118"/>
        <v>0.16948695652173912</v>
      </c>
      <c r="AD1678" s="92"/>
      <c r="AE1678" s="92">
        <f t="shared" si="116"/>
        <v>217.39130434782609</v>
      </c>
      <c r="AF1678" s="93" t="s">
        <v>5768</v>
      </c>
      <c r="AG1678" s="43">
        <v>53.307071534991998</v>
      </c>
      <c r="AH1678" s="43">
        <v>-4.6377564668921103</v>
      </c>
      <c r="AI1678" s="122" t="s">
        <v>7286</v>
      </c>
      <c r="AJ1678" s="41">
        <v>0.5</v>
      </c>
    </row>
    <row r="1679" spans="1:36" ht="35.1" hidden="1" customHeight="1" x14ac:dyDescent="0.25">
      <c r="A1679" s="40">
        <v>2318</v>
      </c>
      <c r="B1679" s="90" t="s">
        <v>5769</v>
      </c>
      <c r="C1679" s="90" t="s">
        <v>535</v>
      </c>
      <c r="D1679" s="44">
        <v>2025</v>
      </c>
      <c r="E1679" s="44"/>
      <c r="F1679" s="90" t="s">
        <v>1540</v>
      </c>
      <c r="G1679" s="90" t="s">
        <v>457</v>
      </c>
      <c r="H1679" s="90" t="s">
        <v>5770</v>
      </c>
      <c r="I1679" s="90" t="s">
        <v>1257</v>
      </c>
      <c r="J1679" s="90"/>
      <c r="K1679" s="90" t="s">
        <v>578</v>
      </c>
      <c r="L1679" s="90"/>
      <c r="M1679" s="90"/>
      <c r="N1679" s="90"/>
      <c r="O1679" s="90"/>
      <c r="P1679" s="90"/>
      <c r="Q1679" s="90"/>
      <c r="R1679" s="90"/>
      <c r="S1679" s="90"/>
      <c r="T1679" s="90"/>
      <c r="U1679" s="90"/>
      <c r="V1679" s="90"/>
      <c r="W1679" s="90"/>
      <c r="X1679" s="90"/>
      <c r="Y1679" s="90"/>
      <c r="Z1679" s="90" t="s">
        <v>1484</v>
      </c>
      <c r="AA1679" s="91">
        <v>5</v>
      </c>
      <c r="AB1679" s="46">
        <f>IF(H2ProjectDB689571011[[#This Row],[Dummy_1]]="Electrolysis",
AA1679/VLOOKUP(G1679,ElectrolysisConvF,3,FALSE),
AC1679*10^6/(H2dens*HoursInYear))</f>
        <v>1086.9565217391305</v>
      </c>
      <c r="AC1679" s="47">
        <f t="shared" si="118"/>
        <v>0.84743478260869565</v>
      </c>
      <c r="AD1679" s="92"/>
      <c r="AE1679" s="92">
        <f t="shared" si="116"/>
        <v>1086.9565217391305</v>
      </c>
      <c r="AF1679" s="93" t="s">
        <v>5773</v>
      </c>
      <c r="AG1679" s="43">
        <v>-23.5084044634193</v>
      </c>
      <c r="AH1679" s="43">
        <v>150.32124575344901</v>
      </c>
      <c r="AI1679" s="122" t="s">
        <v>7286</v>
      </c>
      <c r="AJ1679" s="41">
        <v>0.56999999999999995</v>
      </c>
    </row>
    <row r="1680" spans="1:36" ht="35.1" hidden="1" customHeight="1" x14ac:dyDescent="0.25">
      <c r="A1680" s="40">
        <v>2319</v>
      </c>
      <c r="B1680" s="90" t="s">
        <v>5774</v>
      </c>
      <c r="C1680" s="90" t="s">
        <v>541</v>
      </c>
      <c r="D1680" s="44">
        <v>2028</v>
      </c>
      <c r="E1680" s="44"/>
      <c r="F1680" s="90" t="s">
        <v>1331</v>
      </c>
      <c r="G1680" s="90" t="s">
        <v>1255</v>
      </c>
      <c r="H1680" s="90" t="s">
        <v>2578</v>
      </c>
      <c r="I1680" s="90"/>
      <c r="J1680" s="90"/>
      <c r="K1680" s="90" t="s">
        <v>578</v>
      </c>
      <c r="L1680" s="90">
        <v>1</v>
      </c>
      <c r="M1680" s="90"/>
      <c r="N1680" s="90">
        <v>1</v>
      </c>
      <c r="O1680" s="90"/>
      <c r="P1680" s="90"/>
      <c r="Q1680" s="90"/>
      <c r="R1680" s="90"/>
      <c r="S1680" s="90"/>
      <c r="T1680" s="90"/>
      <c r="U1680" s="90"/>
      <c r="V1680" s="90"/>
      <c r="W1680" s="90"/>
      <c r="X1680" s="90"/>
      <c r="Y1680" s="90"/>
      <c r="Z1680" s="40" t="s">
        <v>8425</v>
      </c>
      <c r="AA1680" s="91"/>
      <c r="AB1680" s="92">
        <v>2000</v>
      </c>
      <c r="AC1680" s="47">
        <f t="shared" si="118"/>
        <v>1.55928</v>
      </c>
      <c r="AD1680" s="92"/>
      <c r="AE1680" s="92">
        <f t="shared" si="116"/>
        <v>2000</v>
      </c>
      <c r="AF1680" s="93" t="s">
        <v>5775</v>
      </c>
      <c r="AG1680" s="43">
        <v>45.100783542313103</v>
      </c>
      <c r="AH1680" s="43">
        <v>8.9177921279506407</v>
      </c>
      <c r="AI1680" s="122" t="s">
        <v>1255</v>
      </c>
      <c r="AJ1680" s="41">
        <v>0.9</v>
      </c>
    </row>
    <row r="1681" spans="1:36" ht="35.1" hidden="1" customHeight="1" x14ac:dyDescent="0.25">
      <c r="A1681" s="40">
        <v>2320</v>
      </c>
      <c r="B1681" s="40" t="s">
        <v>5778</v>
      </c>
      <c r="C1681" s="40" t="s">
        <v>542</v>
      </c>
      <c r="D1681" s="44"/>
      <c r="E1681" s="44"/>
      <c r="F1681" s="40" t="s">
        <v>1331</v>
      </c>
      <c r="G1681" s="40" t="s">
        <v>1261</v>
      </c>
      <c r="H1681" s="40" t="s">
        <v>5708</v>
      </c>
      <c r="K1681" s="40" t="s">
        <v>578</v>
      </c>
      <c r="P1681" s="40">
        <v>1</v>
      </c>
      <c r="R1681" s="40">
        <v>1</v>
      </c>
      <c r="S1681" s="40">
        <v>1</v>
      </c>
      <c r="Z1681" s="90" t="s">
        <v>7590</v>
      </c>
      <c r="AA1681" s="91"/>
      <c r="AB1681" s="46">
        <f>IF(H2ProjectDB689571011[[#This Row],[Dummy_1]]="Electrolysis",
AA1681/VLOOKUP(G1681,ElectrolysisConvF,3,FALSE),
AC1681*10^6/(H2dens*HoursInYear))</f>
        <v>192134.83146067415</v>
      </c>
      <c r="AC1681" s="47">
        <f>600*HoursInYear*0.95*3600/120/10^6</f>
        <v>149.79599999999999</v>
      </c>
      <c r="AD1681" s="92">
        <v>1000000</v>
      </c>
      <c r="AE1681" s="92">
        <f t="shared" si="116"/>
        <v>125376.44276941518</v>
      </c>
      <c r="AF1681" s="93" t="s">
        <v>5783</v>
      </c>
      <c r="AG1681" s="43">
        <v>53.743618917531002</v>
      </c>
      <c r="AH1681" s="43">
        <v>-0.24953475046034901</v>
      </c>
      <c r="AI1681" s="122" t="s">
        <v>7287</v>
      </c>
      <c r="AJ1681" s="41">
        <v>0.9</v>
      </c>
    </row>
    <row r="1682" spans="1:36" ht="35.1" hidden="1" customHeight="1" x14ac:dyDescent="0.25">
      <c r="A1682" s="40">
        <v>2322</v>
      </c>
      <c r="B1682" s="90" t="s">
        <v>5781</v>
      </c>
      <c r="C1682" s="90" t="s">
        <v>531</v>
      </c>
      <c r="D1682" s="44">
        <v>2030</v>
      </c>
      <c r="E1682" s="44"/>
      <c r="F1682" s="90" t="s">
        <v>1331</v>
      </c>
      <c r="G1682" s="90" t="s">
        <v>1261</v>
      </c>
      <c r="H1682" s="40" t="s">
        <v>5708</v>
      </c>
      <c r="I1682" s="90"/>
      <c r="J1682" s="90"/>
      <c r="K1682" s="90" t="s">
        <v>578</v>
      </c>
      <c r="L1682" s="90"/>
      <c r="M1682" s="90"/>
      <c r="N1682" s="90"/>
      <c r="O1682" s="90">
        <v>1</v>
      </c>
      <c r="P1682" s="90">
        <v>1</v>
      </c>
      <c r="Q1682" s="90"/>
      <c r="R1682" s="90">
        <v>1</v>
      </c>
      <c r="S1682" s="90">
        <v>1</v>
      </c>
      <c r="T1682" s="90"/>
      <c r="U1682" s="90"/>
      <c r="V1682" s="90"/>
      <c r="W1682" s="90"/>
      <c r="X1682" s="90"/>
      <c r="Y1682" s="90"/>
      <c r="Z1682" s="90" t="s">
        <v>5782</v>
      </c>
      <c r="AA1682" s="91"/>
      <c r="AB1682" s="46">
        <f>IF(H2ProjectDB689571011[[#This Row],[Dummy_1]]="Electrolysis",
AA1682/VLOOKUP(G1682,ElectrolysisConvF,3,FALSE),
AC1682*10^6/(H2dens*HoursInYear))</f>
        <v>640449.43820224726</v>
      </c>
      <c r="AC1682" s="47">
        <f>2000*HoursInYear*0.95*3600/120/10^6</f>
        <v>499.32</v>
      </c>
      <c r="AD1682" s="92">
        <v>3600000</v>
      </c>
      <c r="AE1682" s="92">
        <f t="shared" si="116"/>
        <v>451355.19396989461</v>
      </c>
      <c r="AF1682" s="93" t="s">
        <v>5785</v>
      </c>
      <c r="AG1682" s="43">
        <v>61.065254385473402</v>
      </c>
      <c r="AH1682" s="43">
        <v>5.6936597975908496</v>
      </c>
      <c r="AI1682" s="122" t="s">
        <v>7287</v>
      </c>
      <c r="AJ1682" s="41">
        <v>0.9</v>
      </c>
    </row>
    <row r="1683" spans="1:36" ht="35.1" hidden="1" customHeight="1" x14ac:dyDescent="0.25">
      <c r="A1683" s="40">
        <v>2323</v>
      </c>
      <c r="B1683" s="90" t="s">
        <v>5791</v>
      </c>
      <c r="C1683" s="90" t="s">
        <v>1761</v>
      </c>
      <c r="D1683" s="44">
        <v>2025</v>
      </c>
      <c r="E1683" s="44"/>
      <c r="F1683" s="90" t="s">
        <v>1331</v>
      </c>
      <c r="G1683" s="90" t="s">
        <v>455</v>
      </c>
      <c r="H1683" s="90"/>
      <c r="I1683" s="90" t="s">
        <v>5700</v>
      </c>
      <c r="J1683" s="90" t="s">
        <v>1391</v>
      </c>
      <c r="K1683" s="90" t="s">
        <v>578</v>
      </c>
      <c r="L1683" s="90"/>
      <c r="M1683" s="90"/>
      <c r="N1683" s="90">
        <v>1</v>
      </c>
      <c r="O1683" s="90"/>
      <c r="P1683" s="90"/>
      <c r="Q1683" s="90"/>
      <c r="R1683" s="90"/>
      <c r="S1683" s="90"/>
      <c r="T1683" s="90"/>
      <c r="U1683" s="90"/>
      <c r="V1683" s="90"/>
      <c r="W1683" s="90"/>
      <c r="X1683" s="90"/>
      <c r="Y1683" s="90"/>
      <c r="Z1683" s="90" t="s">
        <v>1648</v>
      </c>
      <c r="AA1683" s="91">
        <v>4</v>
      </c>
      <c r="AB1683" s="46">
        <f>IF(H2ProjectDB689571011[[#This Row],[Dummy_1]]="Electrolysis",
AA1683/VLOOKUP(G1683,ElectrolysisConvF,3,FALSE),
AC1683*10^6/(H2dens*HoursInYear))</f>
        <v>769.23076923076928</v>
      </c>
      <c r="AC1683" s="47">
        <f t="shared" ref="AC1683:AC1692" si="119">AB1683*H2dens*HoursInYear/10^6</f>
        <v>0.59972307692307703</v>
      </c>
      <c r="AD1683" s="92"/>
      <c r="AE1683" s="92">
        <f t="shared" si="116"/>
        <v>769.23076923076928</v>
      </c>
      <c r="AF1683" s="93" t="s">
        <v>5792</v>
      </c>
      <c r="AG1683" s="43">
        <v>37.958893568872803</v>
      </c>
      <c r="AH1683" s="43">
        <v>-8.8600732888896907</v>
      </c>
      <c r="AI1683" s="122" t="s">
        <v>7286</v>
      </c>
      <c r="AJ1683" s="41">
        <v>0.7</v>
      </c>
    </row>
    <row r="1684" spans="1:36" ht="35.1" hidden="1" customHeight="1" x14ac:dyDescent="0.25">
      <c r="A1684" s="40">
        <v>2324</v>
      </c>
      <c r="B1684" s="90" t="s">
        <v>5795</v>
      </c>
      <c r="C1684" s="90" t="s">
        <v>541</v>
      </c>
      <c r="D1684" s="44">
        <v>2031</v>
      </c>
      <c r="E1684" s="44"/>
      <c r="F1684" s="90" t="s">
        <v>2222</v>
      </c>
      <c r="G1684" s="90" t="s">
        <v>1259</v>
      </c>
      <c r="H1684" s="90" t="s">
        <v>467</v>
      </c>
      <c r="I1684" s="90" t="s">
        <v>1266</v>
      </c>
      <c r="J1684" s="90"/>
      <c r="K1684" s="90" t="s">
        <v>578</v>
      </c>
      <c r="L1684" s="90"/>
      <c r="M1684" s="90"/>
      <c r="N1684" s="90"/>
      <c r="O1684" s="90"/>
      <c r="P1684" s="90"/>
      <c r="Q1684" s="90"/>
      <c r="R1684" s="90"/>
      <c r="S1684" s="90">
        <v>1</v>
      </c>
      <c r="T1684" s="90"/>
      <c r="U1684" s="90"/>
      <c r="V1684" s="90"/>
      <c r="W1684" s="90"/>
      <c r="X1684" s="90"/>
      <c r="Y1684" s="90"/>
      <c r="Z1684" s="90" t="s">
        <v>3968</v>
      </c>
      <c r="AA1684" s="91">
        <v>710</v>
      </c>
      <c r="AB1684" s="46">
        <f>IF(H2ProjectDB689571011[[#This Row],[Dummy_1]]="Electrolysis",
AA1684/VLOOKUP(G1684,ElectrolysisConvF,3,FALSE),
AC1684*10^6/(H2dens*HoursInYear))</f>
        <v>157777.77777777778</v>
      </c>
      <c r="AC1684" s="47">
        <f t="shared" si="119"/>
        <v>123.00986666666667</v>
      </c>
      <c r="AD1684" s="92"/>
      <c r="AE1684" s="92">
        <f t="shared" si="116"/>
        <v>157777.77777777778</v>
      </c>
      <c r="AF1684" s="93" t="s">
        <v>5798</v>
      </c>
      <c r="AG1684" s="43">
        <v>41.066878976334301</v>
      </c>
      <c r="AH1684" s="43">
        <v>16.6825775917671</v>
      </c>
      <c r="AI1684" s="122" t="s">
        <v>7286</v>
      </c>
      <c r="AJ1684" s="41">
        <v>0.56999999999999995</v>
      </c>
    </row>
    <row r="1685" spans="1:36" ht="35.1" hidden="1" customHeight="1" x14ac:dyDescent="0.25">
      <c r="A1685" s="40">
        <v>2325</v>
      </c>
      <c r="B1685" s="90" t="s">
        <v>5796</v>
      </c>
      <c r="C1685" s="90" t="s">
        <v>541</v>
      </c>
      <c r="D1685" s="44">
        <v>2026</v>
      </c>
      <c r="E1685" s="44"/>
      <c r="F1685" s="90" t="s">
        <v>2222</v>
      </c>
      <c r="G1685" s="90" t="s">
        <v>1259</v>
      </c>
      <c r="H1685" s="90" t="s">
        <v>467</v>
      </c>
      <c r="I1685" s="90" t="s">
        <v>1266</v>
      </c>
      <c r="J1685" s="90"/>
      <c r="K1685" s="90" t="s">
        <v>612</v>
      </c>
      <c r="L1685" s="90"/>
      <c r="M1685" s="90"/>
      <c r="N1685" s="90"/>
      <c r="O1685" s="90"/>
      <c r="P1685" s="90"/>
      <c r="Q1685" s="90"/>
      <c r="R1685" s="90"/>
      <c r="S1685" s="90"/>
      <c r="T1685" s="90"/>
      <c r="U1685" s="90"/>
      <c r="V1685" s="90"/>
      <c r="W1685" s="90"/>
      <c r="X1685" s="90">
        <v>1</v>
      </c>
      <c r="Y1685" s="90"/>
      <c r="Z1685" s="90" t="s">
        <v>5218</v>
      </c>
      <c r="AA1685" s="91">
        <v>90</v>
      </c>
      <c r="AB1685" s="46">
        <f>IF(H2ProjectDB689571011[[#This Row],[Dummy_1]]="Electrolysis",
AA1685/VLOOKUP(G1685,ElectrolysisConvF,3,FALSE),
AC1685*10^6/(H2dens*HoursInYear))</f>
        <v>20000</v>
      </c>
      <c r="AC1685" s="47">
        <f t="shared" si="119"/>
        <v>15.5928</v>
      </c>
      <c r="AD1685" s="92"/>
      <c r="AE1685" s="92">
        <f t="shared" si="116"/>
        <v>20000</v>
      </c>
      <c r="AF1685" s="93" t="s">
        <v>5798</v>
      </c>
      <c r="AG1685" s="43">
        <v>37.107399843224698</v>
      </c>
      <c r="AH1685" s="43">
        <v>15.017018203213301</v>
      </c>
      <c r="AI1685" s="122" t="s">
        <v>7286</v>
      </c>
      <c r="AJ1685" s="41">
        <v>0.56999999999999995</v>
      </c>
    </row>
    <row r="1686" spans="1:36" ht="35.1" hidden="1" customHeight="1" x14ac:dyDescent="0.25">
      <c r="A1686" s="40">
        <v>2326</v>
      </c>
      <c r="B1686" s="90" t="s">
        <v>5797</v>
      </c>
      <c r="C1686" s="90" t="s">
        <v>541</v>
      </c>
      <c r="D1686" s="44">
        <v>2031</v>
      </c>
      <c r="E1686" s="44"/>
      <c r="F1686" s="90" t="s">
        <v>2222</v>
      </c>
      <c r="G1686" s="90" t="s">
        <v>1259</v>
      </c>
      <c r="H1686" s="90" t="s">
        <v>467</v>
      </c>
      <c r="I1686" s="90" t="s">
        <v>1266</v>
      </c>
      <c r="J1686" s="90"/>
      <c r="K1686" s="90" t="s">
        <v>578</v>
      </c>
      <c r="L1686" s="90"/>
      <c r="M1686" s="90"/>
      <c r="N1686" s="90"/>
      <c r="O1686" s="90"/>
      <c r="P1686" s="90"/>
      <c r="Q1686" s="90"/>
      <c r="R1686" s="90"/>
      <c r="S1686" s="90">
        <v>1</v>
      </c>
      <c r="T1686" s="90"/>
      <c r="U1686" s="90"/>
      <c r="V1686" s="90"/>
      <c r="W1686" s="90"/>
      <c r="X1686" s="90"/>
      <c r="Y1686" s="90"/>
      <c r="Z1686" s="90" t="s">
        <v>2038</v>
      </c>
      <c r="AA1686" s="91">
        <v>610</v>
      </c>
      <c r="AB1686" s="46">
        <f>IF(H2ProjectDB689571011[[#This Row],[Dummy_1]]="Electrolysis",
AA1686/VLOOKUP(G1686,ElectrolysisConvF,3,FALSE),
AC1686*10^6/(H2dens*HoursInYear))</f>
        <v>135555.55555555556</v>
      </c>
      <c r="AC1686" s="47">
        <f t="shared" si="119"/>
        <v>105.68453333333335</v>
      </c>
      <c r="AD1686" s="92"/>
      <c r="AE1686" s="92">
        <f t="shared" si="116"/>
        <v>135555.55555555556</v>
      </c>
      <c r="AF1686" s="93" t="s">
        <v>5798</v>
      </c>
      <c r="AG1686" s="43">
        <v>37.107399843224698</v>
      </c>
      <c r="AH1686" s="43">
        <v>15.017018203213301</v>
      </c>
      <c r="AI1686" s="122" t="s">
        <v>7286</v>
      </c>
      <c r="AJ1686" s="41">
        <v>0.56999999999999995</v>
      </c>
    </row>
    <row r="1687" spans="1:36" ht="35.1" hidden="1" customHeight="1" x14ac:dyDescent="0.25">
      <c r="A1687" s="40">
        <v>2327</v>
      </c>
      <c r="B1687" s="90" t="s">
        <v>5799</v>
      </c>
      <c r="C1687" s="90" t="s">
        <v>541</v>
      </c>
      <c r="D1687" s="44">
        <v>2026</v>
      </c>
      <c r="E1687" s="44"/>
      <c r="F1687" s="90" t="s">
        <v>5701</v>
      </c>
      <c r="G1687" s="90" t="s">
        <v>457</v>
      </c>
      <c r="H1687" s="90"/>
      <c r="I1687" s="90" t="s">
        <v>1269</v>
      </c>
      <c r="J1687" s="90" t="s">
        <v>1391</v>
      </c>
      <c r="K1687" s="90" t="s">
        <v>578</v>
      </c>
      <c r="L1687" s="90"/>
      <c r="M1687" s="90"/>
      <c r="N1687" s="90"/>
      <c r="O1687" s="90"/>
      <c r="P1687" s="90"/>
      <c r="Q1687" s="90">
        <v>1</v>
      </c>
      <c r="R1687" s="90">
        <v>1</v>
      </c>
      <c r="S1687" s="90"/>
      <c r="T1687" s="90"/>
      <c r="U1687" s="90"/>
      <c r="V1687" s="90"/>
      <c r="W1687" s="90"/>
      <c r="X1687" s="90"/>
      <c r="Y1687" s="90"/>
      <c r="Z1687" s="90" t="s">
        <v>1336</v>
      </c>
      <c r="AA1687" s="91">
        <v>2.5</v>
      </c>
      <c r="AB1687" s="46">
        <f>IF(H2ProjectDB689571011[[#This Row],[Dummy_1]]="Electrolysis",
AA1687/VLOOKUP(G1687,ElectrolysisConvF,3,FALSE),
AC1687*10^6/(H2dens*HoursInYear))</f>
        <v>543.47826086956525</v>
      </c>
      <c r="AC1687" s="47">
        <f t="shared" si="119"/>
        <v>0.42371739130434782</v>
      </c>
      <c r="AD1687" s="92"/>
      <c r="AE1687" s="92">
        <f t="shared" si="116"/>
        <v>543.47826086956525</v>
      </c>
      <c r="AF1687" s="93" t="s">
        <v>5798</v>
      </c>
      <c r="AG1687" s="43">
        <v>44.646030040456502</v>
      </c>
      <c r="AH1687" s="43">
        <v>10.9235623748586</v>
      </c>
      <c r="AI1687" s="122" t="s">
        <v>7286</v>
      </c>
      <c r="AJ1687" s="41">
        <v>0.3</v>
      </c>
    </row>
    <row r="1688" spans="1:36" ht="35.1" hidden="1" customHeight="1" x14ac:dyDescent="0.25">
      <c r="A1688" s="40">
        <v>2328</v>
      </c>
      <c r="B1688" s="90" t="s">
        <v>5808</v>
      </c>
      <c r="C1688" s="90" t="s">
        <v>1305</v>
      </c>
      <c r="D1688" s="44">
        <v>2026</v>
      </c>
      <c r="E1688" s="44"/>
      <c r="F1688" s="90" t="s">
        <v>2222</v>
      </c>
      <c r="G1688" s="90" t="s">
        <v>455</v>
      </c>
      <c r="H1688" s="90"/>
      <c r="I1688" s="90" t="s">
        <v>1269</v>
      </c>
      <c r="J1688" s="90" t="s">
        <v>1394</v>
      </c>
      <c r="K1688" s="90" t="s">
        <v>578</v>
      </c>
      <c r="L1688" s="90"/>
      <c r="M1688" s="90"/>
      <c r="N1688" s="90"/>
      <c r="O1688" s="90"/>
      <c r="P1688" s="90"/>
      <c r="Q1688" s="90">
        <v>1</v>
      </c>
      <c r="R1688" s="90">
        <v>1</v>
      </c>
      <c r="S1688" s="90"/>
      <c r="T1688" s="90"/>
      <c r="U1688" s="90"/>
      <c r="V1688" s="90"/>
      <c r="W1688" s="90"/>
      <c r="X1688" s="90"/>
      <c r="Y1688" s="90"/>
      <c r="Z1688" s="90" t="s">
        <v>1483</v>
      </c>
      <c r="AA1688" s="91">
        <v>50</v>
      </c>
      <c r="AB1688" s="46">
        <f>IF(H2ProjectDB689571011[[#This Row],[Dummy_1]]="Electrolysis",
AA1688/VLOOKUP(G1688,ElectrolysisConvF,3,FALSE),
AC1688*10^6/(H2dens*HoursInYear))</f>
        <v>9615.3846153846152</v>
      </c>
      <c r="AC1688" s="47">
        <f t="shared" si="119"/>
        <v>7.4965384615384609</v>
      </c>
      <c r="AD1688" s="92"/>
      <c r="AE1688" s="92">
        <f t="shared" si="116"/>
        <v>9615.3846153846152</v>
      </c>
      <c r="AF1688" s="93" t="s">
        <v>5809</v>
      </c>
      <c r="AG1688" s="43">
        <v>47.595746980768197</v>
      </c>
      <c r="AH1688" s="43">
        <v>8.1471381123383395</v>
      </c>
      <c r="AI1688" s="122" t="s">
        <v>7286</v>
      </c>
      <c r="AJ1688" s="41">
        <v>0.8</v>
      </c>
    </row>
    <row r="1689" spans="1:36" ht="35.1" hidden="1" customHeight="1" x14ac:dyDescent="0.25">
      <c r="A1689" s="40">
        <v>2329</v>
      </c>
      <c r="B1689" s="40" t="s">
        <v>6906</v>
      </c>
      <c r="C1689" s="90" t="s">
        <v>560</v>
      </c>
      <c r="D1689" s="44">
        <v>2025</v>
      </c>
      <c r="E1689" s="44"/>
      <c r="F1689" s="40" t="s">
        <v>1331</v>
      </c>
      <c r="G1689" s="40" t="s">
        <v>1259</v>
      </c>
      <c r="H1689" s="40" t="s">
        <v>467</v>
      </c>
      <c r="I1689" s="40" t="s">
        <v>1269</v>
      </c>
      <c r="J1689" s="90" t="s">
        <v>1391</v>
      </c>
      <c r="K1689" s="40" t="s">
        <v>578</v>
      </c>
      <c r="L1689" s="90"/>
      <c r="M1689" s="90"/>
      <c r="N1689" s="90"/>
      <c r="O1689" s="90"/>
      <c r="P1689" s="90"/>
      <c r="Q1689" s="90"/>
      <c r="R1689" s="90"/>
      <c r="S1689" s="90"/>
      <c r="T1689" s="90"/>
      <c r="U1689" s="90"/>
      <c r="V1689" s="90"/>
      <c r="W1689" s="90"/>
      <c r="X1689" s="90"/>
      <c r="Y1689" s="90"/>
      <c r="Z1689" s="40" t="s">
        <v>1485</v>
      </c>
      <c r="AA1689" s="91">
        <v>100</v>
      </c>
      <c r="AB1689" s="46">
        <f>IF(H2ProjectDB689571011[[#This Row],[Dummy_1]]="Electrolysis",
AA1689/VLOOKUP(G1689,ElectrolysisConvF,3,FALSE),
AC1689*10^6/(H2dens*HoursInYear))</f>
        <v>22222.222222222223</v>
      </c>
      <c r="AC1689" s="47">
        <f t="shared" si="119"/>
        <v>17.325333333333333</v>
      </c>
      <c r="AD1689" s="92"/>
      <c r="AE1689" s="92">
        <f t="shared" ref="AE1689:AE1752" si="120">IF(AND(G1689&lt;&gt;"NG w CCUS",G1689&lt;&gt;"Oil w CCUS",G1689&lt;&gt;"Coal w CCUS"),AB1689,AD1689*10^3/(HoursInYear*IF(G1689="NG w CCUS",0.9105,1.9075)))</f>
        <v>22222.222222222223</v>
      </c>
      <c r="AF1689" s="93"/>
      <c r="AG1689" s="43">
        <v>-22.339334999999998</v>
      </c>
      <c r="AH1689" s="43">
        <v>-69.662195999999994</v>
      </c>
      <c r="AI1689" s="122" t="s">
        <v>7286</v>
      </c>
      <c r="AJ1689" s="41">
        <v>0.3</v>
      </c>
    </row>
    <row r="1690" spans="1:36" ht="35.1" hidden="1" customHeight="1" x14ac:dyDescent="0.25">
      <c r="A1690" s="40">
        <v>2330</v>
      </c>
      <c r="B1690" s="40" t="s">
        <v>5824</v>
      </c>
      <c r="C1690" s="40" t="s">
        <v>560</v>
      </c>
      <c r="D1690" s="90"/>
      <c r="E1690" s="90"/>
      <c r="F1690" s="40" t="s">
        <v>2222</v>
      </c>
      <c r="G1690" s="40" t="s">
        <v>1259</v>
      </c>
      <c r="H1690" s="40" t="s">
        <v>467</v>
      </c>
      <c r="I1690" s="40" t="s">
        <v>1269</v>
      </c>
      <c r="J1690" s="90" t="s">
        <v>581</v>
      </c>
      <c r="K1690" s="40" t="s">
        <v>578</v>
      </c>
      <c r="L1690" s="90"/>
      <c r="M1690" s="90"/>
      <c r="N1690" s="90"/>
      <c r="O1690" s="90"/>
      <c r="P1690" s="90"/>
      <c r="Q1690" s="90"/>
      <c r="R1690" s="90"/>
      <c r="S1690" s="90"/>
      <c r="T1690" s="90"/>
      <c r="U1690" s="90"/>
      <c r="V1690" s="90"/>
      <c r="W1690" s="90"/>
      <c r="X1690" s="90"/>
      <c r="Y1690" s="90"/>
      <c r="Z1690" s="40" t="s">
        <v>1480</v>
      </c>
      <c r="AA1690" s="91">
        <v>1</v>
      </c>
      <c r="AB1690" s="46">
        <f>IF(H2ProjectDB689571011[[#This Row],[Dummy_1]]="Electrolysis",
AA1690/VLOOKUP(G1690,ElectrolysisConvF,3,FALSE),
AC1690*10^6/(H2dens*HoursInYear))</f>
        <v>222.22222222222223</v>
      </c>
      <c r="AC1690" s="47">
        <f t="shared" si="119"/>
        <v>0.17325333333333334</v>
      </c>
      <c r="AD1690" s="92"/>
      <c r="AE1690" s="92">
        <f t="shared" si="120"/>
        <v>222.22222222222223</v>
      </c>
      <c r="AF1690" s="43" t="s">
        <v>5828</v>
      </c>
      <c r="AG1690" s="43">
        <v>-37.377300011215397</v>
      </c>
      <c r="AH1690" s="43">
        <v>-73.031545107003694</v>
      </c>
      <c r="AI1690" s="122" t="s">
        <v>7286</v>
      </c>
      <c r="AJ1690" s="41">
        <v>0.5</v>
      </c>
    </row>
    <row r="1691" spans="1:36" ht="35.1" hidden="1" customHeight="1" x14ac:dyDescent="0.25">
      <c r="A1691" s="40">
        <v>2331</v>
      </c>
      <c r="B1691" s="40" t="s">
        <v>5830</v>
      </c>
      <c r="C1691" s="40" t="s">
        <v>560</v>
      </c>
      <c r="D1691" s="90"/>
      <c r="E1691" s="90"/>
      <c r="F1691" s="40" t="s">
        <v>2222</v>
      </c>
      <c r="G1691" s="40" t="s">
        <v>1259</v>
      </c>
      <c r="H1691" s="40" t="s">
        <v>467</v>
      </c>
      <c r="I1691" s="40" t="s">
        <v>1269</v>
      </c>
      <c r="J1691" s="90" t="s">
        <v>581</v>
      </c>
      <c r="K1691" s="40" t="s">
        <v>578</v>
      </c>
      <c r="L1691" s="90"/>
      <c r="M1691" s="90"/>
      <c r="N1691" s="90"/>
      <c r="O1691" s="90"/>
      <c r="P1691" s="90"/>
      <c r="Q1691" s="90"/>
      <c r="R1691" s="90"/>
      <c r="S1691" s="90"/>
      <c r="T1691" s="90"/>
      <c r="U1691" s="90"/>
      <c r="V1691" s="90"/>
      <c r="W1691" s="90"/>
      <c r="X1691" s="90"/>
      <c r="Y1691" s="90"/>
      <c r="Z1691" s="40" t="s">
        <v>1333</v>
      </c>
      <c r="AA1691" s="91">
        <f>10-1</f>
        <v>9</v>
      </c>
      <c r="AB1691" s="46">
        <f>IF(H2ProjectDB689571011[[#This Row],[Dummy_1]]="Electrolysis",
AA1691/VLOOKUP(G1691,ElectrolysisConvF,3,FALSE),
AC1691*10^6/(H2dens*HoursInYear))</f>
        <v>2000.0000000000002</v>
      </c>
      <c r="AC1691" s="47">
        <f t="shared" si="119"/>
        <v>1.55928</v>
      </c>
      <c r="AD1691" s="92"/>
      <c r="AE1691" s="92">
        <f t="shared" si="120"/>
        <v>2000.0000000000002</v>
      </c>
      <c r="AF1691" s="43" t="s">
        <v>5828</v>
      </c>
      <c r="AG1691" s="43">
        <v>-37.377300011215397</v>
      </c>
      <c r="AH1691" s="43">
        <v>-73.031545107003694</v>
      </c>
      <c r="AI1691" s="122" t="s">
        <v>7286</v>
      </c>
      <c r="AJ1691" s="41">
        <v>0.5</v>
      </c>
    </row>
    <row r="1692" spans="1:36" ht="35.1" hidden="1" customHeight="1" x14ac:dyDescent="0.25">
      <c r="A1692" s="40">
        <v>2332</v>
      </c>
      <c r="B1692" s="40" t="s">
        <v>5831</v>
      </c>
      <c r="C1692" s="40" t="s">
        <v>560</v>
      </c>
      <c r="D1692" s="90"/>
      <c r="E1692" s="90"/>
      <c r="F1692" s="40" t="s">
        <v>2222</v>
      </c>
      <c r="G1692" s="40" t="s">
        <v>1259</v>
      </c>
      <c r="H1692" s="40" t="s">
        <v>467</v>
      </c>
      <c r="I1692" s="40" t="s">
        <v>1269</v>
      </c>
      <c r="J1692" s="90" t="s">
        <v>581</v>
      </c>
      <c r="K1692" s="40" t="s">
        <v>578</v>
      </c>
      <c r="L1692" s="90"/>
      <c r="M1692" s="90"/>
      <c r="N1692" s="90"/>
      <c r="O1692" s="90"/>
      <c r="P1692" s="90"/>
      <c r="Q1692" s="90"/>
      <c r="R1692" s="90"/>
      <c r="S1692" s="90"/>
      <c r="T1692" s="90"/>
      <c r="U1692" s="90"/>
      <c r="V1692" s="90"/>
      <c r="W1692" s="90"/>
      <c r="X1692" s="90"/>
      <c r="Y1692" s="90"/>
      <c r="Z1692" s="40" t="s">
        <v>1485</v>
      </c>
      <c r="AA1692" s="91">
        <f>100-10</f>
        <v>90</v>
      </c>
      <c r="AB1692" s="46">
        <f>IF(H2ProjectDB689571011[[#This Row],[Dummy_1]]="Electrolysis",
AA1692/VLOOKUP(G1692,ElectrolysisConvF,3,FALSE),
AC1692*10^6/(H2dens*HoursInYear))</f>
        <v>20000</v>
      </c>
      <c r="AC1692" s="47">
        <f t="shared" si="119"/>
        <v>15.5928</v>
      </c>
      <c r="AD1692" s="92"/>
      <c r="AE1692" s="92">
        <f t="shared" si="120"/>
        <v>20000</v>
      </c>
      <c r="AF1692" s="43" t="s">
        <v>5828</v>
      </c>
      <c r="AG1692" s="43">
        <v>-37.377300011215397</v>
      </c>
      <c r="AH1692" s="43">
        <v>-73.031545107003694</v>
      </c>
      <c r="AI1692" s="122" t="s">
        <v>7286</v>
      </c>
      <c r="AJ1692" s="41">
        <v>0.5</v>
      </c>
    </row>
    <row r="1693" spans="1:36" ht="35.1" hidden="1" customHeight="1" x14ac:dyDescent="0.25">
      <c r="A1693" s="40">
        <v>2333</v>
      </c>
      <c r="B1693" s="40" t="s">
        <v>5832</v>
      </c>
      <c r="C1693" s="40" t="s">
        <v>560</v>
      </c>
      <c r="D1693" s="44"/>
      <c r="E1693" s="44"/>
      <c r="F1693" s="40" t="s">
        <v>2222</v>
      </c>
      <c r="G1693" s="40" t="s">
        <v>1259</v>
      </c>
      <c r="H1693" s="40" t="s">
        <v>467</v>
      </c>
      <c r="I1693" s="40" t="s">
        <v>1269</v>
      </c>
      <c r="J1693" s="90" t="s">
        <v>1395</v>
      </c>
      <c r="K1693" s="40" t="s">
        <v>578</v>
      </c>
      <c r="L1693" s="90"/>
      <c r="M1693" s="90"/>
      <c r="N1693" s="90"/>
      <c r="O1693" s="90"/>
      <c r="P1693" s="90">
        <v>1</v>
      </c>
      <c r="Q1693" s="90"/>
      <c r="R1693" s="90"/>
      <c r="S1693" s="90"/>
      <c r="T1693" s="90"/>
      <c r="U1693" s="90"/>
      <c r="V1693" s="90"/>
      <c r="W1693" s="90"/>
      <c r="X1693" s="90"/>
      <c r="Y1693" s="90"/>
      <c r="Z1693" s="40" t="s">
        <v>5836</v>
      </c>
      <c r="AA1693" s="47">
        <f>IF(H2ProjectDB689571011[[#This Row],[Dummy_1]]="Electrolysis",
AB1693*VLOOKUP(G1693,ElectrolysisConvF,3,FALSE),
"")</f>
        <v>1.2640449438202246</v>
      </c>
      <c r="AB1693" s="46">
        <f>AC1693/(H2dens*HoursInYear/10^6)</f>
        <v>280.89887640449439</v>
      </c>
      <c r="AC1693" s="98">
        <f>300/1000000*365/H2ProjectDB689571011[[#This Row],[LOWE_CF]]</f>
        <v>0.21899999999999997</v>
      </c>
      <c r="AD1693" s="92"/>
      <c r="AE1693" s="92">
        <f t="shared" si="120"/>
        <v>280.89887640449439</v>
      </c>
      <c r="AF1693" s="43" t="s">
        <v>5834</v>
      </c>
      <c r="AG1693" s="43">
        <v>-37.377300011215397</v>
      </c>
      <c r="AH1693" s="43">
        <v>-73.031545107003694</v>
      </c>
      <c r="AI1693" s="122" t="s">
        <v>7286</v>
      </c>
      <c r="AJ1693" s="41">
        <v>0.5</v>
      </c>
    </row>
    <row r="1694" spans="1:36" ht="35.1" hidden="1" customHeight="1" x14ac:dyDescent="0.25">
      <c r="A1694" s="40">
        <v>2334</v>
      </c>
      <c r="B1694" s="40" t="s">
        <v>5835</v>
      </c>
      <c r="C1694" s="40" t="s">
        <v>560</v>
      </c>
      <c r="D1694" s="44">
        <v>2027</v>
      </c>
      <c r="E1694" s="44"/>
      <c r="F1694" s="40" t="s">
        <v>1331</v>
      </c>
      <c r="G1694" s="40" t="s">
        <v>1259</v>
      </c>
      <c r="H1694" s="40" t="s">
        <v>467</v>
      </c>
      <c r="I1694" s="40" t="s">
        <v>1269</v>
      </c>
      <c r="J1694" s="90" t="s">
        <v>1392</v>
      </c>
      <c r="K1694" s="40" t="s">
        <v>578</v>
      </c>
      <c r="L1694" s="90"/>
      <c r="M1694" s="90"/>
      <c r="N1694" s="90"/>
      <c r="O1694" s="90"/>
      <c r="P1694" s="90"/>
      <c r="Q1694" s="90"/>
      <c r="R1694" s="90">
        <v>1</v>
      </c>
      <c r="S1694" s="90"/>
      <c r="T1694" s="90"/>
      <c r="U1694" s="90"/>
      <c r="V1694" s="90"/>
      <c r="W1694" s="90"/>
      <c r="X1694" s="90"/>
      <c r="Y1694" s="90"/>
      <c r="Z1694" s="40" t="s">
        <v>5837</v>
      </c>
      <c r="AA1694" s="47">
        <f>IF(H2ProjectDB689571011[[#This Row],[Dummy_1]]="Electrolysis",
AB1694*VLOOKUP(G1694,ElectrolysisConvF,3,FALSE),
"")</f>
        <v>12.986763121440664</v>
      </c>
      <c r="AB1694" s="46">
        <f>AC1694/(H2dens*HoursInYear/10^6)</f>
        <v>2885.9473603201477</v>
      </c>
      <c r="AC1694" s="92">
        <f>900/1000/H2ProjectDB689571011[[#This Row],[LOWE_CF]]</f>
        <v>2.25</v>
      </c>
      <c r="AD1694" s="92"/>
      <c r="AE1694" s="92">
        <f t="shared" si="120"/>
        <v>2885.9473603201477</v>
      </c>
      <c r="AF1694" s="43" t="s">
        <v>5834</v>
      </c>
      <c r="AG1694" s="43">
        <v>-45.711503506669999</v>
      </c>
      <c r="AH1694" s="43">
        <v>-73.0212660402224</v>
      </c>
      <c r="AI1694" s="122" t="s">
        <v>7286</v>
      </c>
      <c r="AJ1694" s="41">
        <v>0.4</v>
      </c>
    </row>
    <row r="1695" spans="1:36" ht="35.1" hidden="1" customHeight="1" x14ac:dyDescent="0.25">
      <c r="A1695" s="40">
        <v>2335</v>
      </c>
      <c r="B1695" s="40" t="s">
        <v>5838</v>
      </c>
      <c r="C1695" s="40" t="s">
        <v>560</v>
      </c>
      <c r="D1695" s="44">
        <v>2025</v>
      </c>
      <c r="E1695" s="44"/>
      <c r="F1695" s="40" t="s">
        <v>2222</v>
      </c>
      <c r="G1695" s="40" t="s">
        <v>1259</v>
      </c>
      <c r="H1695" s="40" t="s">
        <v>467</v>
      </c>
      <c r="I1695" s="40" t="s">
        <v>5700</v>
      </c>
      <c r="J1695" s="90" t="s">
        <v>581</v>
      </c>
      <c r="K1695" s="40" t="s">
        <v>578</v>
      </c>
      <c r="L1695" s="90"/>
      <c r="M1695" s="90"/>
      <c r="N1695" s="90"/>
      <c r="O1695" s="90"/>
      <c r="P1695" s="90"/>
      <c r="Q1695" s="90"/>
      <c r="R1695" s="90"/>
      <c r="S1695" s="90">
        <v>1</v>
      </c>
      <c r="T1695" s="90"/>
      <c r="U1695" s="90"/>
      <c r="V1695" s="90"/>
      <c r="W1695" s="90"/>
      <c r="X1695" s="90"/>
      <c r="Y1695" s="90"/>
      <c r="Z1695" s="40" t="s">
        <v>1485</v>
      </c>
      <c r="AA1695" s="91">
        <v>100</v>
      </c>
      <c r="AB1695" s="46">
        <f>IF(H2ProjectDB689571011[[#This Row],[Dummy_1]]="Electrolysis",
AA1695/VLOOKUP(G1695,ElectrolysisConvF,3,FALSE),
AC1695*10^6/(H2dens*HoursInYear))</f>
        <v>22222.222222222223</v>
      </c>
      <c r="AC1695" s="47">
        <f>AB1695*H2dens*HoursInYear/10^6</f>
        <v>17.325333333333333</v>
      </c>
      <c r="AD1695" s="92"/>
      <c r="AE1695" s="92">
        <f t="shared" si="120"/>
        <v>22222.222222222223</v>
      </c>
      <c r="AF1695" s="43" t="s">
        <v>5834</v>
      </c>
      <c r="AG1695" s="43">
        <v>-23.3990803648907</v>
      </c>
      <c r="AH1695" s="43">
        <v>-69.252182822015996</v>
      </c>
      <c r="AI1695" s="122" t="s">
        <v>7286</v>
      </c>
      <c r="AJ1695" s="41">
        <v>0.7</v>
      </c>
    </row>
    <row r="1696" spans="1:36" ht="35.1" hidden="1" customHeight="1" x14ac:dyDescent="0.25">
      <c r="A1696" s="40">
        <v>2336</v>
      </c>
      <c r="B1696" s="40" t="s">
        <v>5839</v>
      </c>
      <c r="C1696" s="40" t="s">
        <v>560</v>
      </c>
      <c r="D1696" s="44">
        <v>2024</v>
      </c>
      <c r="E1696" s="90"/>
      <c r="F1696" s="40" t="s">
        <v>1540</v>
      </c>
      <c r="G1696" s="40" t="s">
        <v>1259</v>
      </c>
      <c r="H1696" s="40" t="s">
        <v>467</v>
      </c>
      <c r="I1696" s="40" t="s">
        <v>1269</v>
      </c>
      <c r="J1696" s="90" t="s">
        <v>1391</v>
      </c>
      <c r="K1696" s="40" t="s">
        <v>578</v>
      </c>
      <c r="L1696" s="90"/>
      <c r="M1696" s="90"/>
      <c r="N1696" s="90"/>
      <c r="O1696" s="90"/>
      <c r="P1696" s="90">
        <v>1</v>
      </c>
      <c r="Q1696" s="90"/>
      <c r="R1696" s="90"/>
      <c r="S1696" s="90"/>
      <c r="T1696" s="90"/>
      <c r="U1696" s="90"/>
      <c r="V1696" s="90"/>
      <c r="W1696" s="90"/>
      <c r="X1696" s="90"/>
      <c r="Y1696" s="90"/>
      <c r="Z1696" s="40" t="s">
        <v>1493</v>
      </c>
      <c r="AA1696" s="91">
        <v>2</v>
      </c>
      <c r="AB1696" s="46">
        <f>IF(H2ProjectDB689571011[[#This Row],[Dummy_1]]="Electrolysis",
AA1696/VLOOKUP(G1696,ElectrolysisConvF,3,FALSE),
AC1696*10^6/(H2dens*HoursInYear))</f>
        <v>444.44444444444446</v>
      </c>
      <c r="AC1696" s="47">
        <f>AB1696*H2dens*HoursInYear/10^6</f>
        <v>0.34650666666666669</v>
      </c>
      <c r="AD1696" s="92"/>
      <c r="AE1696" s="92">
        <f t="shared" si="120"/>
        <v>444.44444444444446</v>
      </c>
      <c r="AF1696" s="43" t="s">
        <v>5834</v>
      </c>
      <c r="AG1696" s="43">
        <v>-33.466766563999698</v>
      </c>
      <c r="AH1696" s="43">
        <v>-70.8760255453696</v>
      </c>
      <c r="AI1696" s="122" t="s">
        <v>7286</v>
      </c>
      <c r="AJ1696" s="41">
        <v>0.3</v>
      </c>
    </row>
    <row r="1697" spans="1:36" ht="35.1" hidden="1" customHeight="1" x14ac:dyDescent="0.25">
      <c r="A1697" s="40">
        <v>2337</v>
      </c>
      <c r="B1697" s="40" t="s">
        <v>5840</v>
      </c>
      <c r="C1697" s="40" t="s">
        <v>560</v>
      </c>
      <c r="D1697" s="44">
        <v>2028</v>
      </c>
      <c r="E1697" s="44"/>
      <c r="F1697" s="40" t="s">
        <v>1331</v>
      </c>
      <c r="G1697" s="40" t="s">
        <v>1259</v>
      </c>
      <c r="H1697" s="40" t="s">
        <v>467</v>
      </c>
      <c r="I1697" s="40" t="s">
        <v>1269</v>
      </c>
      <c r="J1697" s="90" t="s">
        <v>1392</v>
      </c>
      <c r="K1697" s="40" t="s">
        <v>1243</v>
      </c>
      <c r="L1697" s="90"/>
      <c r="M1697" s="90">
        <v>1</v>
      </c>
      <c r="N1697" s="90"/>
      <c r="O1697" s="90"/>
      <c r="P1697" s="90">
        <v>1</v>
      </c>
      <c r="Q1697" s="90"/>
      <c r="R1697" s="90"/>
      <c r="S1697" s="90"/>
      <c r="T1697" s="90"/>
      <c r="U1697" s="90"/>
      <c r="V1697" s="90"/>
      <c r="W1697" s="90"/>
      <c r="X1697" s="90"/>
      <c r="Y1697" s="90"/>
      <c r="Z1697" s="40" t="s">
        <v>5867</v>
      </c>
      <c r="AA1697" s="47">
        <f>IF(H2ProjectDB689571011[[#This Row],[Dummy_1]]="Electrolysis",
AB1697*VLOOKUP(G1697,ElectrolysisConvF,3,FALSE),
"")</f>
        <v>1818.8743867563956</v>
      </c>
      <c r="AB1697" s="46">
        <f>AC1697/(H2dens*HoursInYear/10^6)</f>
        <v>404194.30816808791</v>
      </c>
      <c r="AC1697" s="92">
        <f>(700*3/17/0.98/H2ProjectDB689571011[[#This Row],[LOWE_CF]])</f>
        <v>315.12605042016804</v>
      </c>
      <c r="AD1697" s="92"/>
      <c r="AE1697" s="92">
        <f t="shared" si="120"/>
        <v>404194.30816808791</v>
      </c>
      <c r="AF1697" s="43" t="s">
        <v>5834</v>
      </c>
      <c r="AG1697" s="43">
        <v>-50.615096291667001</v>
      </c>
      <c r="AH1697" s="43">
        <v>-74.501358900263796</v>
      </c>
      <c r="AI1697" s="122" t="s">
        <v>7286</v>
      </c>
      <c r="AJ1697" s="41">
        <v>0.4</v>
      </c>
    </row>
    <row r="1698" spans="1:36" ht="35.1" hidden="1" customHeight="1" x14ac:dyDescent="0.25">
      <c r="A1698" s="40">
        <v>2338</v>
      </c>
      <c r="B1698" s="40" t="s">
        <v>5842</v>
      </c>
      <c r="C1698" s="40" t="s">
        <v>533</v>
      </c>
      <c r="D1698" s="90"/>
      <c r="E1698" s="90"/>
      <c r="F1698" s="40" t="s">
        <v>1331</v>
      </c>
      <c r="G1698" s="40" t="s">
        <v>1261</v>
      </c>
      <c r="H1698" s="40" t="s">
        <v>5708</v>
      </c>
      <c r="I1698" s="90"/>
      <c r="J1698" s="90" t="str">
        <f>IF(I1698&lt;&gt;"Dedicated renewable","N/A",)</f>
        <v>N/A</v>
      </c>
      <c r="K1698" s="90" t="s">
        <v>578</v>
      </c>
      <c r="L1698" s="90">
        <v>1</v>
      </c>
      <c r="M1698" s="90"/>
      <c r="N1698" s="90"/>
      <c r="O1698" s="90"/>
      <c r="P1698" s="90">
        <v>1</v>
      </c>
      <c r="Q1698" s="90">
        <v>1</v>
      </c>
      <c r="R1698" s="90">
        <v>1</v>
      </c>
      <c r="S1698" s="90"/>
      <c r="T1698" s="90"/>
      <c r="U1698" s="90"/>
      <c r="V1698" s="90"/>
      <c r="W1698" s="90"/>
      <c r="X1698" s="90"/>
      <c r="Y1698" s="90"/>
      <c r="AA1698" s="91"/>
      <c r="AC1698" s="47"/>
      <c r="AE1698" s="92">
        <f t="shared" si="120"/>
        <v>0</v>
      </c>
      <c r="AF1698" s="43" t="s">
        <v>5845</v>
      </c>
      <c r="AG1698" s="43">
        <v>53.602940575999803</v>
      </c>
      <c r="AH1698" s="43">
        <v>-113.278503876637</v>
      </c>
      <c r="AI1698" s="122" t="s">
        <v>7287</v>
      </c>
      <c r="AJ1698" s="41">
        <v>0.9</v>
      </c>
    </row>
    <row r="1699" spans="1:36" ht="35.1" hidden="1" customHeight="1" x14ac:dyDescent="0.25">
      <c r="A1699" s="40">
        <v>2339</v>
      </c>
      <c r="B1699" s="90" t="s">
        <v>5846</v>
      </c>
      <c r="C1699" s="90" t="s">
        <v>1083</v>
      </c>
      <c r="D1699" s="90"/>
      <c r="E1699" s="90"/>
      <c r="F1699" s="90" t="s">
        <v>5701</v>
      </c>
      <c r="G1699" s="90" t="s">
        <v>1264</v>
      </c>
      <c r="H1699" s="90"/>
      <c r="I1699" s="90"/>
      <c r="J1699" s="90"/>
      <c r="K1699" s="90" t="s">
        <v>1268</v>
      </c>
      <c r="L1699" s="90"/>
      <c r="M1699" s="90"/>
      <c r="N1699" s="90"/>
      <c r="O1699" s="90"/>
      <c r="P1699" s="90">
        <v>1</v>
      </c>
      <c r="Q1699" s="90">
        <v>1</v>
      </c>
      <c r="R1699" s="90"/>
      <c r="S1699" s="90">
        <v>1</v>
      </c>
      <c r="T1699" s="90"/>
      <c r="U1699" s="90"/>
      <c r="V1699" s="90"/>
      <c r="W1699" s="90"/>
      <c r="X1699" s="90"/>
      <c r="Y1699" s="90"/>
      <c r="Z1699" s="90" t="s">
        <v>6518</v>
      </c>
      <c r="AA1699" s="91"/>
      <c r="AB1699" s="92">
        <v>47</v>
      </c>
      <c r="AC1699" s="92"/>
      <c r="AD1699" s="92"/>
      <c r="AE1699" s="92">
        <f t="shared" si="120"/>
        <v>47</v>
      </c>
      <c r="AF1699" s="93" t="s">
        <v>5866</v>
      </c>
      <c r="AG1699" s="43">
        <v>7.0614553547159602</v>
      </c>
      <c r="AH1699" s="43">
        <v>-73.535802484917198</v>
      </c>
      <c r="AI1699" s="122" t="s">
        <v>1255</v>
      </c>
      <c r="AJ1699" s="41">
        <v>0.9</v>
      </c>
    </row>
    <row r="1700" spans="1:36" ht="35.1" hidden="1" customHeight="1" x14ac:dyDescent="0.25">
      <c r="A1700" s="40">
        <v>2340</v>
      </c>
      <c r="B1700" s="90" t="s">
        <v>5847</v>
      </c>
      <c r="C1700" s="90" t="s">
        <v>1083</v>
      </c>
      <c r="D1700" s="44">
        <v>2027</v>
      </c>
      <c r="E1700" s="44"/>
      <c r="F1700" s="90" t="s">
        <v>1331</v>
      </c>
      <c r="G1700" s="90" t="s">
        <v>457</v>
      </c>
      <c r="H1700" s="90"/>
      <c r="I1700" s="90" t="s">
        <v>1269</v>
      </c>
      <c r="J1700" s="90" t="s">
        <v>1391</v>
      </c>
      <c r="K1700" s="90" t="s">
        <v>1243</v>
      </c>
      <c r="L1700" s="90"/>
      <c r="M1700" s="90">
        <v>1</v>
      </c>
      <c r="N1700" s="90"/>
      <c r="O1700" s="90"/>
      <c r="P1700" s="90">
        <v>1</v>
      </c>
      <c r="Q1700" s="90"/>
      <c r="R1700" s="90"/>
      <c r="S1700" s="90"/>
      <c r="T1700" s="90"/>
      <c r="U1700" s="90"/>
      <c r="V1700" s="90"/>
      <c r="W1700" s="90"/>
      <c r="X1700" s="90"/>
      <c r="Y1700" s="90"/>
      <c r="Z1700" s="90" t="s">
        <v>5865</v>
      </c>
      <c r="AA1700" s="91">
        <v>30</v>
      </c>
      <c r="AB1700" s="46">
        <f>IF(H2ProjectDB689571011[[#This Row],[Dummy_1]]="Electrolysis",
AA1700/VLOOKUP(G1700,ElectrolysisConvF,3,FALSE),
AC1700*10^6/(H2dens*HoursInYear))</f>
        <v>6521.739130434783</v>
      </c>
      <c r="AC1700" s="47">
        <f t="shared" ref="AC1700:AC1705" si="121">AB1700*H2dens*HoursInYear/10^6</f>
        <v>5.0846086956521734</v>
      </c>
      <c r="AD1700" s="92"/>
      <c r="AE1700" s="92">
        <f t="shared" si="120"/>
        <v>6521.739130434783</v>
      </c>
      <c r="AF1700" s="93" t="s">
        <v>5866</v>
      </c>
      <c r="AG1700" s="43">
        <v>3.5996581061734001</v>
      </c>
      <c r="AH1700" s="43">
        <v>-76.398609009924797</v>
      </c>
      <c r="AI1700" s="122" t="s">
        <v>7286</v>
      </c>
      <c r="AJ1700" s="41">
        <v>0.3</v>
      </c>
    </row>
    <row r="1701" spans="1:36" ht="35.1" hidden="1" customHeight="1" x14ac:dyDescent="0.25">
      <c r="A1701" s="40">
        <v>2341</v>
      </c>
      <c r="B1701" s="40" t="s">
        <v>5848</v>
      </c>
      <c r="C1701" s="90" t="s">
        <v>1083</v>
      </c>
      <c r="D1701" s="44">
        <v>2024</v>
      </c>
      <c r="E1701" s="44"/>
      <c r="F1701" s="90" t="s">
        <v>5701</v>
      </c>
      <c r="G1701" s="90" t="s">
        <v>457</v>
      </c>
      <c r="H1701" s="90"/>
      <c r="I1701" s="90" t="s">
        <v>1269</v>
      </c>
      <c r="J1701" s="90" t="s">
        <v>1394</v>
      </c>
      <c r="K1701" s="90" t="s">
        <v>1243</v>
      </c>
      <c r="L1701" s="90"/>
      <c r="M1701" s="90">
        <v>1</v>
      </c>
      <c r="N1701" s="90"/>
      <c r="O1701" s="90"/>
      <c r="P1701" s="90"/>
      <c r="Q1701" s="90"/>
      <c r="R1701" s="90"/>
      <c r="S1701" s="90"/>
      <c r="T1701" s="90"/>
      <c r="U1701" s="90"/>
      <c r="V1701" s="90"/>
      <c r="W1701" s="90"/>
      <c r="X1701" s="90"/>
      <c r="Y1701" s="90"/>
      <c r="Z1701" s="90" t="s">
        <v>5861</v>
      </c>
      <c r="AA1701" s="91">
        <v>2.2999999999999998</v>
      </c>
      <c r="AB1701" s="46">
        <f>IF(H2ProjectDB689571011[[#This Row],[Dummy_1]]="Electrolysis",
AA1701/VLOOKUP(G1701,ElectrolysisConvF,3,FALSE),
AC1701*10^6/(H2dens*HoursInYear))</f>
        <v>499.99999999999994</v>
      </c>
      <c r="AC1701" s="47">
        <f t="shared" si="121"/>
        <v>0.38981999999999994</v>
      </c>
      <c r="AD1701" s="92"/>
      <c r="AE1701" s="92">
        <f t="shared" si="120"/>
        <v>499.99999999999994</v>
      </c>
      <c r="AF1701" s="43" t="s">
        <v>5866</v>
      </c>
      <c r="AG1701" s="43">
        <v>7.0452240741087797</v>
      </c>
      <c r="AH1701" s="43">
        <v>-75.664355503180403</v>
      </c>
      <c r="AI1701" s="122" t="s">
        <v>7286</v>
      </c>
      <c r="AJ1701" s="41">
        <v>0.8</v>
      </c>
    </row>
    <row r="1702" spans="1:36" ht="35.1" hidden="1" customHeight="1" x14ac:dyDescent="0.25">
      <c r="A1702" s="40">
        <v>2342</v>
      </c>
      <c r="B1702" s="90" t="s">
        <v>5849</v>
      </c>
      <c r="C1702" s="90" t="s">
        <v>1083</v>
      </c>
      <c r="D1702" s="44">
        <v>2030</v>
      </c>
      <c r="E1702" s="44"/>
      <c r="F1702" s="90" t="s">
        <v>5701</v>
      </c>
      <c r="G1702" s="90" t="s">
        <v>457</v>
      </c>
      <c r="H1702" s="90"/>
      <c r="I1702" s="90" t="s">
        <v>1269</v>
      </c>
      <c r="J1702" s="90" t="s">
        <v>1394</v>
      </c>
      <c r="K1702" s="90" t="s">
        <v>1268</v>
      </c>
      <c r="L1702" s="90"/>
      <c r="M1702" s="90">
        <v>1</v>
      </c>
      <c r="N1702" s="90"/>
      <c r="O1702" s="90"/>
      <c r="P1702" s="90"/>
      <c r="Q1702" s="90">
        <v>1</v>
      </c>
      <c r="R1702" s="90">
        <v>1</v>
      </c>
      <c r="S1702" s="90"/>
      <c r="T1702" s="90"/>
      <c r="U1702" s="90"/>
      <c r="V1702" s="90"/>
      <c r="W1702" s="90"/>
      <c r="X1702" s="90"/>
      <c r="Y1702" s="90"/>
      <c r="Z1702" s="90" t="s">
        <v>3853</v>
      </c>
      <c r="AA1702" s="91">
        <v>50</v>
      </c>
      <c r="AB1702" s="46">
        <f>IF(H2ProjectDB689571011[[#This Row],[Dummy_1]]="Electrolysis",
AA1702/VLOOKUP(G1702,ElectrolysisConvF,3,FALSE),
AC1702*10^6/(H2dens*HoursInYear))</f>
        <v>10869.565217391304</v>
      </c>
      <c r="AC1702" s="47">
        <f t="shared" si="121"/>
        <v>8.4743478260869551</v>
      </c>
      <c r="AD1702" s="92"/>
      <c r="AE1702" s="92">
        <f t="shared" si="120"/>
        <v>10869.565217391304</v>
      </c>
      <c r="AF1702" s="93" t="s">
        <v>5866</v>
      </c>
      <c r="AG1702" s="43">
        <v>8.4277527898850195</v>
      </c>
      <c r="AH1702" s="43">
        <v>-76.576220752557404</v>
      </c>
      <c r="AI1702" s="122" t="s">
        <v>7286</v>
      </c>
      <c r="AJ1702" s="41">
        <v>0.8</v>
      </c>
    </row>
    <row r="1703" spans="1:36" ht="35.1" hidden="1" customHeight="1" x14ac:dyDescent="0.25">
      <c r="A1703" s="40">
        <v>2343</v>
      </c>
      <c r="B1703" s="90" t="s">
        <v>5850</v>
      </c>
      <c r="C1703" s="90" t="s">
        <v>1083</v>
      </c>
      <c r="D1703" s="44">
        <v>2025</v>
      </c>
      <c r="E1703" s="44"/>
      <c r="F1703" s="90" t="s">
        <v>1331</v>
      </c>
      <c r="G1703" s="90" t="s">
        <v>457</v>
      </c>
      <c r="H1703" s="90"/>
      <c r="I1703" s="90" t="s">
        <v>1266</v>
      </c>
      <c r="J1703" s="90"/>
      <c r="K1703" s="90" t="s">
        <v>1243</v>
      </c>
      <c r="L1703" s="90"/>
      <c r="M1703" s="90">
        <v>1</v>
      </c>
      <c r="N1703" s="90"/>
      <c r="O1703" s="90"/>
      <c r="P1703" s="90"/>
      <c r="Q1703" s="90"/>
      <c r="R1703" s="90"/>
      <c r="S1703" s="90"/>
      <c r="T1703" s="90"/>
      <c r="U1703" s="90"/>
      <c r="V1703" s="90"/>
      <c r="W1703" s="90"/>
      <c r="X1703" s="90"/>
      <c r="Y1703" s="90"/>
      <c r="Z1703" s="90" t="s">
        <v>1372</v>
      </c>
      <c r="AA1703" s="91">
        <v>1</v>
      </c>
      <c r="AB1703" s="46">
        <f>IF(H2ProjectDB689571011[[#This Row],[Dummy_1]]="Electrolysis",
AA1703/VLOOKUP(G1703,ElectrolysisConvF,3,FALSE),
AC1703*10^6/(H2dens*HoursInYear))</f>
        <v>217.39130434782609</v>
      </c>
      <c r="AC1703" s="47">
        <f t="shared" si="121"/>
        <v>0.16948695652173912</v>
      </c>
      <c r="AD1703" s="92"/>
      <c r="AE1703" s="92">
        <f t="shared" si="120"/>
        <v>217.39130434782609</v>
      </c>
      <c r="AF1703" s="93" t="s">
        <v>5866</v>
      </c>
      <c r="AG1703" s="43">
        <v>9.4289967073123808</v>
      </c>
      <c r="AH1703" s="43">
        <v>-75.470943099698502</v>
      </c>
      <c r="AI1703" s="122" t="s">
        <v>7286</v>
      </c>
      <c r="AJ1703" s="41">
        <v>0.56999999999999995</v>
      </c>
    </row>
    <row r="1704" spans="1:36" ht="35.1" hidden="1" customHeight="1" x14ac:dyDescent="0.25">
      <c r="A1704" s="40">
        <v>2344</v>
      </c>
      <c r="B1704" s="90" t="s">
        <v>5851</v>
      </c>
      <c r="C1704" s="90" t="s">
        <v>1083</v>
      </c>
      <c r="D1704" s="44">
        <v>2030</v>
      </c>
      <c r="E1704" s="44"/>
      <c r="F1704" s="90" t="s">
        <v>1331</v>
      </c>
      <c r="G1704" s="90" t="s">
        <v>455</v>
      </c>
      <c r="H1704" s="90"/>
      <c r="I1704" s="90" t="s">
        <v>1269</v>
      </c>
      <c r="J1704" s="90" t="s">
        <v>1395</v>
      </c>
      <c r="K1704" s="90" t="s">
        <v>1268</v>
      </c>
      <c r="L1704" s="90">
        <v>1</v>
      </c>
      <c r="M1704" s="90">
        <v>1</v>
      </c>
      <c r="N1704" s="90"/>
      <c r="O1704" s="90"/>
      <c r="P1704" s="90">
        <v>1</v>
      </c>
      <c r="Q1704" s="90"/>
      <c r="R1704" s="90"/>
      <c r="S1704" s="90"/>
      <c r="T1704" s="90"/>
      <c r="U1704" s="90"/>
      <c r="V1704" s="90"/>
      <c r="W1704" s="90"/>
      <c r="X1704" s="90"/>
      <c r="Y1704" s="90"/>
      <c r="Z1704" s="90" t="s">
        <v>5862</v>
      </c>
      <c r="AA1704" s="91">
        <v>3000</v>
      </c>
      <c r="AB1704" s="46">
        <f>IF(H2ProjectDB689571011[[#This Row],[Dummy_1]]="Electrolysis",
AA1704/VLOOKUP(G1704,ElectrolysisConvF,3,FALSE),
AC1704*10^6/(H2dens*HoursInYear))</f>
        <v>576923.07692307699</v>
      </c>
      <c r="AC1704" s="47">
        <f t="shared" si="121"/>
        <v>449.7923076923077</v>
      </c>
      <c r="AD1704" s="92"/>
      <c r="AE1704" s="92">
        <f t="shared" si="120"/>
        <v>576923.07692307699</v>
      </c>
      <c r="AF1704" s="93" t="s">
        <v>5866</v>
      </c>
      <c r="AG1704" s="43">
        <v>9.5292073772489108</v>
      </c>
      <c r="AH1704" s="43">
        <v>-75.578526649602196</v>
      </c>
      <c r="AI1704" s="122" t="s">
        <v>7286</v>
      </c>
      <c r="AJ1704" s="41">
        <v>0.5</v>
      </c>
    </row>
    <row r="1705" spans="1:36" ht="35.1" hidden="1" customHeight="1" x14ac:dyDescent="0.25">
      <c r="A1705" s="40">
        <v>2345</v>
      </c>
      <c r="B1705" s="90" t="s">
        <v>5852</v>
      </c>
      <c r="C1705" s="90" t="s">
        <v>1083</v>
      </c>
      <c r="D1705" s="44">
        <v>2030</v>
      </c>
      <c r="E1705" s="44"/>
      <c r="F1705" s="90" t="s">
        <v>1331</v>
      </c>
      <c r="G1705" s="90" t="s">
        <v>1259</v>
      </c>
      <c r="H1705" s="90" t="s">
        <v>467</v>
      </c>
      <c r="I1705" s="90" t="s">
        <v>1269</v>
      </c>
      <c r="J1705" s="90" t="s">
        <v>1395</v>
      </c>
      <c r="K1705" s="90" t="s">
        <v>1268</v>
      </c>
      <c r="L1705" s="90"/>
      <c r="M1705" s="90">
        <v>1</v>
      </c>
      <c r="N1705" s="90">
        <v>1</v>
      </c>
      <c r="O1705" s="90"/>
      <c r="P1705" s="90"/>
      <c r="Q1705" s="90"/>
      <c r="R1705" s="90"/>
      <c r="S1705" s="90"/>
      <c r="T1705" s="90"/>
      <c r="U1705" s="90"/>
      <c r="V1705" s="90"/>
      <c r="W1705" s="90"/>
      <c r="X1705" s="90"/>
      <c r="Y1705" s="90"/>
      <c r="Z1705" s="90" t="s">
        <v>6519</v>
      </c>
      <c r="AA1705" s="47">
        <f>IF(H2ProjectDB689571011[[#This Row],[Dummy_1]]="Electrolysis",
AB1705*VLOOKUP(G1705,ElectrolysisConvF,3,FALSE),
"")</f>
        <v>125.163</v>
      </c>
      <c r="AB1705" s="92">
        <v>27814</v>
      </c>
      <c r="AC1705" s="47">
        <f t="shared" si="121"/>
        <v>21.684906959999999</v>
      </c>
      <c r="AD1705" s="92"/>
      <c r="AE1705" s="92">
        <f t="shared" si="120"/>
        <v>27814</v>
      </c>
      <c r="AF1705" s="93" t="s">
        <v>5866</v>
      </c>
      <c r="AG1705" s="43">
        <v>9.4760138336125692</v>
      </c>
      <c r="AH1705" s="43">
        <v>-75.959331335451793</v>
      </c>
      <c r="AI1705" s="122" t="s">
        <v>7286</v>
      </c>
      <c r="AJ1705" s="41">
        <v>0.5</v>
      </c>
    </row>
    <row r="1706" spans="1:36" ht="35.1" hidden="1" customHeight="1" x14ac:dyDescent="0.25">
      <c r="A1706" s="40">
        <v>2346</v>
      </c>
      <c r="B1706" s="90" t="s">
        <v>5853</v>
      </c>
      <c r="C1706" s="90" t="s">
        <v>1083</v>
      </c>
      <c r="D1706" s="90"/>
      <c r="E1706" s="90"/>
      <c r="F1706" s="90" t="s">
        <v>1331</v>
      </c>
      <c r="G1706" s="90" t="s">
        <v>1259</v>
      </c>
      <c r="H1706" s="90" t="s">
        <v>467</v>
      </c>
      <c r="I1706" s="90" t="s">
        <v>1257</v>
      </c>
      <c r="J1706" s="90"/>
      <c r="K1706" s="90" t="s">
        <v>578</v>
      </c>
      <c r="L1706" s="90"/>
      <c r="M1706" s="90"/>
      <c r="N1706" s="90"/>
      <c r="O1706" s="90"/>
      <c r="P1706" s="90"/>
      <c r="Q1706" s="90"/>
      <c r="R1706" s="90"/>
      <c r="S1706" s="90"/>
      <c r="T1706" s="90"/>
      <c r="U1706" s="90"/>
      <c r="V1706" s="90"/>
      <c r="W1706" s="90"/>
      <c r="X1706" s="90"/>
      <c r="Y1706" s="90"/>
      <c r="Z1706" s="90"/>
      <c r="AA1706" s="91">
        <f>IF(OR(G1706="ALK",G1706="PEM",G1706="SOEC",G1706="Other Electrolysis"),
AB1706*VLOOKUP(G1706,ElectrolysisConvF,3,FALSE),
"")</f>
        <v>0</v>
      </c>
      <c r="AB1706" s="92"/>
      <c r="AC1706" s="92"/>
      <c r="AD1706" s="92"/>
      <c r="AE1706" s="92">
        <f t="shared" si="120"/>
        <v>0</v>
      </c>
      <c r="AF1706" s="93" t="s">
        <v>5866</v>
      </c>
      <c r="AG1706" s="43">
        <v>9.8420848012849191</v>
      </c>
      <c r="AH1706" s="43">
        <v>-74.810952575311404</v>
      </c>
      <c r="AI1706" s="122" t="s">
        <v>7286</v>
      </c>
      <c r="AJ1706" s="41">
        <v>0.56999999999999995</v>
      </c>
    </row>
    <row r="1707" spans="1:36" ht="35.1" hidden="1" customHeight="1" x14ac:dyDescent="0.25">
      <c r="A1707" s="40">
        <v>2347</v>
      </c>
      <c r="B1707" s="90" t="s">
        <v>5854</v>
      </c>
      <c r="C1707" s="90" t="s">
        <v>1083</v>
      </c>
      <c r="D1707" s="44">
        <v>2026</v>
      </c>
      <c r="E1707" s="44"/>
      <c r="F1707" s="90" t="s">
        <v>2222</v>
      </c>
      <c r="G1707" s="90" t="s">
        <v>455</v>
      </c>
      <c r="H1707" s="90"/>
      <c r="I1707" s="90" t="s">
        <v>1269</v>
      </c>
      <c r="J1707" s="90" t="s">
        <v>1391</v>
      </c>
      <c r="K1707" s="90" t="s">
        <v>578</v>
      </c>
      <c r="L1707" s="90"/>
      <c r="M1707" s="90"/>
      <c r="N1707" s="90"/>
      <c r="O1707" s="90"/>
      <c r="P1707" s="90"/>
      <c r="Q1707" s="90">
        <v>1</v>
      </c>
      <c r="R1707" s="90"/>
      <c r="S1707" s="90"/>
      <c r="T1707" s="90"/>
      <c r="U1707" s="90"/>
      <c r="V1707" s="90"/>
      <c r="W1707" s="90"/>
      <c r="X1707" s="90"/>
      <c r="Y1707" s="90"/>
      <c r="Z1707" s="90" t="s">
        <v>1368</v>
      </c>
      <c r="AA1707" s="91">
        <v>2</v>
      </c>
      <c r="AB1707" s="46">
        <f>IF(H2ProjectDB689571011[[#This Row],[Dummy_1]]="Electrolysis",
AA1707/VLOOKUP(G1707,ElectrolysisConvF,3,FALSE),
AC1707*10^6/(H2dens*HoursInYear))</f>
        <v>384.61538461538464</v>
      </c>
      <c r="AC1707" s="47">
        <f t="shared" ref="AC1707:AC1714" si="122">AB1707*H2dens*HoursInYear/10^6</f>
        <v>0.29986153846153851</v>
      </c>
      <c r="AD1707" s="92"/>
      <c r="AE1707" s="92">
        <f t="shared" si="120"/>
        <v>384.61538461538464</v>
      </c>
      <c r="AF1707" s="93" t="s">
        <v>5866</v>
      </c>
      <c r="AG1707" s="43">
        <v>8.2252337441254699</v>
      </c>
      <c r="AH1707" s="43">
        <v>-75.465838595784106</v>
      </c>
      <c r="AI1707" s="122" t="s">
        <v>7286</v>
      </c>
      <c r="AJ1707" s="41">
        <v>0.3</v>
      </c>
    </row>
    <row r="1708" spans="1:36" ht="35.1" hidden="1" customHeight="1" x14ac:dyDescent="0.25">
      <c r="A1708" s="40">
        <v>2348</v>
      </c>
      <c r="B1708" s="90" t="s">
        <v>5855</v>
      </c>
      <c r="C1708" s="90" t="s">
        <v>1083</v>
      </c>
      <c r="D1708" s="44">
        <v>2027</v>
      </c>
      <c r="E1708" s="44"/>
      <c r="F1708" s="90" t="s">
        <v>2222</v>
      </c>
      <c r="G1708" s="90" t="s">
        <v>455</v>
      </c>
      <c r="H1708" s="90"/>
      <c r="I1708" s="90" t="s">
        <v>1269</v>
      </c>
      <c r="J1708" s="90" t="s">
        <v>1391</v>
      </c>
      <c r="K1708" s="90" t="s">
        <v>1268</v>
      </c>
      <c r="L1708" s="90">
        <v>1</v>
      </c>
      <c r="M1708" s="90">
        <v>1</v>
      </c>
      <c r="N1708" s="90"/>
      <c r="O1708" s="90"/>
      <c r="P1708" s="90">
        <v>1</v>
      </c>
      <c r="Q1708" s="90"/>
      <c r="R1708" s="90"/>
      <c r="S1708" s="90"/>
      <c r="T1708" s="90"/>
      <c r="U1708" s="90"/>
      <c r="V1708" s="90"/>
      <c r="W1708" s="90"/>
      <c r="X1708" s="90"/>
      <c r="Y1708" s="90"/>
      <c r="Z1708" s="90" t="s">
        <v>6520</v>
      </c>
      <c r="AA1708" s="47">
        <f>IF(H2ProjectDB689571011[[#This Row],[Dummy_1]]="Electrolysis",
AB1708*VLOOKUP(G1708,ElectrolysisConvF,3,FALSE),
"")</f>
        <v>1106.3832</v>
      </c>
      <c r="AB1708" s="92">
        <v>212766</v>
      </c>
      <c r="AC1708" s="47">
        <f t="shared" si="122"/>
        <v>165.88088423999997</v>
      </c>
      <c r="AD1708" s="92"/>
      <c r="AE1708" s="92">
        <f t="shared" si="120"/>
        <v>212766</v>
      </c>
      <c r="AF1708" s="93" t="s">
        <v>5866</v>
      </c>
      <c r="AG1708" s="43">
        <v>10.6302282870633</v>
      </c>
      <c r="AH1708" s="43">
        <v>-74.924482227575993</v>
      </c>
      <c r="AI1708" s="122" t="s">
        <v>7286</v>
      </c>
      <c r="AJ1708" s="41">
        <v>0.3</v>
      </c>
    </row>
    <row r="1709" spans="1:36" ht="35.1" hidden="1" customHeight="1" x14ac:dyDescent="0.25">
      <c r="A1709" s="40">
        <v>2349</v>
      </c>
      <c r="B1709" s="90" t="s">
        <v>5856</v>
      </c>
      <c r="C1709" s="90" t="s">
        <v>1083</v>
      </c>
      <c r="D1709" s="44">
        <v>2027</v>
      </c>
      <c r="E1709" s="44"/>
      <c r="F1709" s="90" t="s">
        <v>1331</v>
      </c>
      <c r="G1709" s="90" t="s">
        <v>455</v>
      </c>
      <c r="H1709" s="90"/>
      <c r="I1709" s="90" t="s">
        <v>1269</v>
      </c>
      <c r="J1709" s="90" t="s">
        <v>1391</v>
      </c>
      <c r="K1709" s="90" t="s">
        <v>1268</v>
      </c>
      <c r="L1709" s="90">
        <v>1</v>
      </c>
      <c r="M1709" s="90">
        <v>1</v>
      </c>
      <c r="N1709" s="90"/>
      <c r="O1709" s="90"/>
      <c r="P1709" s="90"/>
      <c r="Q1709" s="90"/>
      <c r="R1709" s="90"/>
      <c r="S1709" s="90"/>
      <c r="T1709" s="90"/>
      <c r="U1709" s="90"/>
      <c r="V1709" s="90"/>
      <c r="W1709" s="90"/>
      <c r="X1709" s="90"/>
      <c r="Y1709" s="90"/>
      <c r="Z1709" s="90" t="s">
        <v>3922</v>
      </c>
      <c r="AA1709" s="91">
        <v>40</v>
      </c>
      <c r="AB1709" s="46">
        <f>IF(H2ProjectDB689571011[[#This Row],[Dummy_1]]="Electrolysis",
AA1709/VLOOKUP(G1709,ElectrolysisConvF,3,FALSE),
AC1709*10^6/(H2dens*HoursInYear))</f>
        <v>7692.3076923076924</v>
      </c>
      <c r="AC1709" s="47">
        <f t="shared" si="122"/>
        <v>5.9972307692307689</v>
      </c>
      <c r="AD1709" s="92"/>
      <c r="AE1709" s="92">
        <f t="shared" si="120"/>
        <v>7692.3076923076924</v>
      </c>
      <c r="AF1709" s="93" t="s">
        <v>5866</v>
      </c>
      <c r="AG1709" s="43">
        <v>10.411669226466</v>
      </c>
      <c r="AH1709" s="43">
        <v>-75.497545239904397</v>
      </c>
      <c r="AI1709" s="122" t="s">
        <v>7286</v>
      </c>
      <c r="AJ1709" s="41">
        <v>0.3</v>
      </c>
    </row>
    <row r="1710" spans="1:36" ht="35.1" hidden="1" customHeight="1" x14ac:dyDescent="0.25">
      <c r="A1710" s="40">
        <v>2350</v>
      </c>
      <c r="B1710" s="90" t="s">
        <v>5857</v>
      </c>
      <c r="C1710" s="90" t="s">
        <v>1083</v>
      </c>
      <c r="D1710" s="44">
        <v>2027</v>
      </c>
      <c r="E1710" s="44"/>
      <c r="F1710" s="90" t="s">
        <v>2222</v>
      </c>
      <c r="G1710" s="90" t="s">
        <v>455</v>
      </c>
      <c r="H1710" s="90"/>
      <c r="I1710" s="90" t="s">
        <v>1269</v>
      </c>
      <c r="J1710" s="90" t="s">
        <v>1393</v>
      </c>
      <c r="K1710" s="90" t="s">
        <v>1268</v>
      </c>
      <c r="L1710" s="90">
        <v>1</v>
      </c>
      <c r="M1710" s="90">
        <v>1</v>
      </c>
      <c r="N1710" s="90">
        <v>1</v>
      </c>
      <c r="O1710" s="90"/>
      <c r="P1710" s="90">
        <v>1</v>
      </c>
      <c r="Q1710" s="90"/>
      <c r="R1710" s="90"/>
      <c r="S1710" s="90"/>
      <c r="T1710" s="90"/>
      <c r="U1710" s="90"/>
      <c r="V1710" s="90"/>
      <c r="W1710" s="90"/>
      <c r="X1710" s="90"/>
      <c r="Y1710" s="90"/>
      <c r="Z1710" s="90" t="s">
        <v>6521</v>
      </c>
      <c r="AA1710" s="47">
        <f>IF(H2ProjectDB689571011[[#This Row],[Dummy_1]]="Electrolysis",
AB1710*VLOOKUP(G1710,ElectrolysisConvF,3,FALSE),
"")</f>
        <v>1217.0236</v>
      </c>
      <c r="AB1710" s="92">
        <v>234043</v>
      </c>
      <c r="AC1710" s="47">
        <f t="shared" si="122"/>
        <v>182.46928451999997</v>
      </c>
      <c r="AD1710" s="92"/>
      <c r="AE1710" s="92">
        <f t="shared" si="120"/>
        <v>234043</v>
      </c>
      <c r="AF1710" s="93" t="s">
        <v>5866</v>
      </c>
      <c r="AG1710" s="43">
        <v>11.075813454375901</v>
      </c>
      <c r="AH1710" s="43">
        <v>-74.812479833196804</v>
      </c>
      <c r="AI1710" s="122" t="s">
        <v>7286</v>
      </c>
      <c r="AJ1710" s="41">
        <v>0.55000000000000004</v>
      </c>
    </row>
    <row r="1711" spans="1:36" ht="35.1" hidden="1" customHeight="1" x14ac:dyDescent="0.25">
      <c r="A1711" s="40">
        <v>2351</v>
      </c>
      <c r="B1711" s="90" t="s">
        <v>5858</v>
      </c>
      <c r="C1711" s="90" t="s">
        <v>1083</v>
      </c>
      <c r="D1711" s="44">
        <v>2027</v>
      </c>
      <c r="E1711" s="44"/>
      <c r="F1711" s="90" t="s">
        <v>1331</v>
      </c>
      <c r="G1711" s="90" t="s">
        <v>455</v>
      </c>
      <c r="H1711" s="90"/>
      <c r="I1711" s="90" t="s">
        <v>1269</v>
      </c>
      <c r="J1711" s="90" t="s">
        <v>1391</v>
      </c>
      <c r="K1711" s="90" t="s">
        <v>578</v>
      </c>
      <c r="L1711" s="90"/>
      <c r="M1711" s="90"/>
      <c r="N1711" s="90"/>
      <c r="O1711" s="90"/>
      <c r="P1711" s="90"/>
      <c r="Q1711" s="90">
        <v>1</v>
      </c>
      <c r="R1711" s="90"/>
      <c r="S1711" s="90"/>
      <c r="T1711" s="90"/>
      <c r="U1711" s="90"/>
      <c r="V1711" s="90"/>
      <c r="W1711" s="90"/>
      <c r="X1711" s="90"/>
      <c r="Y1711" s="90"/>
      <c r="Z1711" s="90" t="s">
        <v>5863</v>
      </c>
      <c r="AA1711" s="91">
        <v>1.2</v>
      </c>
      <c r="AB1711" s="46">
        <f>IF(H2ProjectDB689571011[[#This Row],[Dummy_1]]="Electrolysis",
AA1711/VLOOKUP(G1711,ElectrolysisConvF,3,FALSE),
AC1711*10^6/(H2dens*HoursInYear))</f>
        <v>230.76923076923077</v>
      </c>
      <c r="AC1711" s="47">
        <f t="shared" si="122"/>
        <v>0.17991692307692306</v>
      </c>
      <c r="AD1711" s="92"/>
      <c r="AE1711" s="92">
        <f t="shared" si="120"/>
        <v>230.76923076923077</v>
      </c>
      <c r="AF1711" s="93" t="s">
        <v>5866</v>
      </c>
      <c r="AG1711" s="43">
        <v>5.4150493632913301</v>
      </c>
      <c r="AH1711" s="43">
        <v>-77.363688749326201</v>
      </c>
      <c r="AI1711" s="122" t="s">
        <v>7286</v>
      </c>
      <c r="AJ1711" s="41">
        <v>0.3</v>
      </c>
    </row>
    <row r="1712" spans="1:36" ht="35.1" hidden="1" customHeight="1" x14ac:dyDescent="0.25">
      <c r="A1712" s="40">
        <v>2352</v>
      </c>
      <c r="B1712" s="90" t="s">
        <v>5859</v>
      </c>
      <c r="C1712" s="90" t="s">
        <v>1083</v>
      </c>
      <c r="D1712" s="44">
        <v>2027</v>
      </c>
      <c r="E1712" s="44"/>
      <c r="F1712" s="90" t="s">
        <v>1331</v>
      </c>
      <c r="G1712" s="90" t="s">
        <v>457</v>
      </c>
      <c r="H1712" s="90"/>
      <c r="I1712" s="90" t="s">
        <v>1266</v>
      </c>
      <c r="J1712" s="90"/>
      <c r="K1712" s="90" t="s">
        <v>1243</v>
      </c>
      <c r="L1712" s="90">
        <v>1</v>
      </c>
      <c r="M1712" s="90"/>
      <c r="N1712" s="90"/>
      <c r="O1712" s="90"/>
      <c r="P1712" s="90"/>
      <c r="Q1712" s="90"/>
      <c r="R1712" s="90"/>
      <c r="S1712" s="90"/>
      <c r="T1712" s="90"/>
      <c r="U1712" s="90"/>
      <c r="V1712" s="90"/>
      <c r="W1712" s="90"/>
      <c r="X1712" s="90"/>
      <c r="Y1712" s="90"/>
      <c r="Z1712" s="90" t="s">
        <v>3994</v>
      </c>
      <c r="AA1712" s="91">
        <v>1000</v>
      </c>
      <c r="AB1712" s="46">
        <f>IF(H2ProjectDB689571011[[#This Row],[Dummy_1]]="Electrolysis",
AA1712/VLOOKUP(G1712,ElectrolysisConvF,3,FALSE),
AC1712*10^6/(H2dens*HoursInYear))</f>
        <v>217391.30434782608</v>
      </c>
      <c r="AC1712" s="47">
        <f t="shared" si="122"/>
        <v>169.48695652173913</v>
      </c>
      <c r="AD1712" s="92"/>
      <c r="AE1712" s="92">
        <f t="shared" si="120"/>
        <v>217391.30434782608</v>
      </c>
      <c r="AF1712" s="93" t="s">
        <v>5866</v>
      </c>
      <c r="AG1712" s="43">
        <v>9.0177860313434799</v>
      </c>
      <c r="AH1712" s="43">
        <v>-76.125251177784193</v>
      </c>
      <c r="AI1712" s="122" t="s">
        <v>7286</v>
      </c>
      <c r="AJ1712" s="41">
        <v>0.56999999999999995</v>
      </c>
    </row>
    <row r="1713" spans="1:36" ht="35.1" hidden="1" customHeight="1" x14ac:dyDescent="0.25">
      <c r="A1713" s="40">
        <v>2353</v>
      </c>
      <c r="B1713" s="90" t="s">
        <v>5860</v>
      </c>
      <c r="C1713" s="90" t="s">
        <v>1083</v>
      </c>
      <c r="D1713" s="44">
        <v>2023</v>
      </c>
      <c r="E1713" s="90"/>
      <c r="F1713" s="90" t="s">
        <v>1339</v>
      </c>
      <c r="G1713" s="90" t="s">
        <v>455</v>
      </c>
      <c r="H1713" s="90"/>
      <c r="I1713" s="90" t="s">
        <v>1269</v>
      </c>
      <c r="J1713" s="90" t="s">
        <v>1391</v>
      </c>
      <c r="K1713" s="90" t="s">
        <v>578</v>
      </c>
      <c r="L1713" s="90"/>
      <c r="M1713" s="90"/>
      <c r="N1713" s="90"/>
      <c r="O1713" s="90"/>
      <c r="P1713" s="90"/>
      <c r="Q1713" s="90">
        <v>1</v>
      </c>
      <c r="R1713" s="90"/>
      <c r="S1713" s="90"/>
      <c r="T1713" s="90"/>
      <c r="U1713" s="90"/>
      <c r="V1713" s="90"/>
      <c r="W1713" s="90"/>
      <c r="X1713" s="90"/>
      <c r="Y1713" s="90"/>
      <c r="Z1713" s="90" t="s">
        <v>5864</v>
      </c>
      <c r="AA1713" s="91">
        <v>0.16500000000000001</v>
      </c>
      <c r="AB1713" s="46">
        <f>IF(H2ProjectDB689571011[[#This Row],[Dummy_1]]="Electrolysis",
AA1713/VLOOKUP(G1713,ElectrolysisConvF,3,FALSE),
AC1713*10^6/(H2dens*HoursInYear))</f>
        <v>31.730769230769234</v>
      </c>
      <c r="AC1713" s="47">
        <f t="shared" si="122"/>
        <v>2.4738576923076922E-2</v>
      </c>
      <c r="AD1713" s="92"/>
      <c r="AE1713" s="92">
        <f t="shared" si="120"/>
        <v>31.730769230769234</v>
      </c>
      <c r="AF1713" s="93" t="s">
        <v>5866</v>
      </c>
      <c r="AG1713" s="43">
        <v>4.6808774924642496</v>
      </c>
      <c r="AH1713" s="43">
        <v>-74.070442443896894</v>
      </c>
      <c r="AI1713" s="122" t="s">
        <v>7286</v>
      </c>
      <c r="AJ1713" s="41">
        <v>0.3</v>
      </c>
    </row>
    <row r="1714" spans="1:36" ht="35.1" hidden="1" customHeight="1" x14ac:dyDescent="0.25">
      <c r="A1714" s="40">
        <v>2354</v>
      </c>
      <c r="B1714" s="40" t="s">
        <v>5868</v>
      </c>
      <c r="C1714" s="40" t="s">
        <v>560</v>
      </c>
      <c r="D1714" s="44"/>
      <c r="E1714" s="44"/>
      <c r="F1714" s="40" t="s">
        <v>2222</v>
      </c>
      <c r="G1714" s="40" t="s">
        <v>1259</v>
      </c>
      <c r="H1714" s="40" t="s">
        <v>467</v>
      </c>
      <c r="I1714" s="40" t="s">
        <v>1269</v>
      </c>
      <c r="J1714" s="90" t="s">
        <v>1391</v>
      </c>
      <c r="K1714" s="40" t="s">
        <v>578</v>
      </c>
      <c r="L1714" s="90"/>
      <c r="M1714" s="90"/>
      <c r="N1714" s="90"/>
      <c r="O1714" s="90"/>
      <c r="P1714" s="90">
        <v>1</v>
      </c>
      <c r="Q1714" s="90">
        <v>1</v>
      </c>
      <c r="R1714" s="90"/>
      <c r="S1714" s="90"/>
      <c r="T1714" s="90"/>
      <c r="U1714" s="90"/>
      <c r="V1714" s="90"/>
      <c r="W1714" s="90"/>
      <c r="X1714" s="90"/>
      <c r="Y1714" s="90"/>
      <c r="Z1714" s="40" t="s">
        <v>1581</v>
      </c>
      <c r="AA1714" s="91">
        <v>6</v>
      </c>
      <c r="AB1714" s="46">
        <f>IF(H2ProjectDB689571011[[#This Row],[Dummy_1]]="Electrolysis",
AA1714/VLOOKUP(G1714,ElectrolysisConvF,3,FALSE),
AC1714*10^6/(H2dens*HoursInYear))</f>
        <v>1333.3333333333335</v>
      </c>
      <c r="AC1714" s="47">
        <f t="shared" si="122"/>
        <v>1.03952</v>
      </c>
      <c r="AD1714" s="92"/>
      <c r="AE1714" s="92">
        <f t="shared" si="120"/>
        <v>1333.3333333333335</v>
      </c>
      <c r="AF1714" s="43" t="s">
        <v>5834</v>
      </c>
      <c r="AG1714" s="43">
        <v>-23.3990803648907</v>
      </c>
      <c r="AH1714" s="43">
        <v>-69.252182822015996</v>
      </c>
      <c r="AI1714" s="122" t="s">
        <v>7286</v>
      </c>
      <c r="AJ1714" s="41">
        <v>0.3</v>
      </c>
    </row>
    <row r="1715" spans="1:36" ht="35.1" hidden="1" customHeight="1" x14ac:dyDescent="0.25">
      <c r="A1715" s="40">
        <v>2355</v>
      </c>
      <c r="B1715" s="40" t="s">
        <v>5869</v>
      </c>
      <c r="C1715" s="40" t="s">
        <v>560</v>
      </c>
      <c r="D1715" s="44"/>
      <c r="E1715" s="44"/>
      <c r="F1715" s="40" t="s">
        <v>2222</v>
      </c>
      <c r="G1715" s="40" t="s">
        <v>1259</v>
      </c>
      <c r="H1715" s="40" t="s">
        <v>467</v>
      </c>
      <c r="I1715" s="40" t="s">
        <v>1269</v>
      </c>
      <c r="J1715" s="90" t="s">
        <v>1391</v>
      </c>
      <c r="K1715" s="40" t="s">
        <v>578</v>
      </c>
      <c r="L1715" s="90"/>
      <c r="M1715" s="90"/>
      <c r="N1715" s="90"/>
      <c r="O1715" s="90"/>
      <c r="P1715" s="90"/>
      <c r="Q1715" s="90">
        <v>1</v>
      </c>
      <c r="R1715" s="90"/>
      <c r="S1715" s="90"/>
      <c r="T1715" s="90"/>
      <c r="U1715" s="90"/>
      <c r="V1715" s="90"/>
      <c r="W1715" s="90"/>
      <c r="X1715" s="90"/>
      <c r="Y1715" s="90"/>
      <c r="Z1715" s="40" t="s">
        <v>5870</v>
      </c>
      <c r="AA1715" s="47">
        <f>IF(H2ProjectDB689571011[[#This Row],[Dummy_1]]="Electrolysis",
AB1715*VLOOKUP(G1715,ElectrolysisConvF,3,FALSE),
"")</f>
        <v>0.92350315530244731</v>
      </c>
      <c r="AB1715" s="46">
        <f>AC1715/(H2dens*HoursInYear/10^6)</f>
        <v>205.22292340054386</v>
      </c>
      <c r="AC1715" s="98">
        <f>48/1000/H2ProjectDB689571011[[#This Row],[LOWE_CF]]</f>
        <v>0.16</v>
      </c>
      <c r="AD1715" s="92"/>
      <c r="AE1715" s="92">
        <f t="shared" si="120"/>
        <v>205.22292340054386</v>
      </c>
      <c r="AF1715" s="43" t="s">
        <v>5834</v>
      </c>
      <c r="AG1715" s="43">
        <v>-23.3990803648907</v>
      </c>
      <c r="AH1715" s="43">
        <v>-69.252182822015996</v>
      </c>
      <c r="AI1715" s="122" t="s">
        <v>7286</v>
      </c>
      <c r="AJ1715" s="41">
        <v>0.3</v>
      </c>
    </row>
    <row r="1716" spans="1:36" ht="35.1" hidden="1" customHeight="1" x14ac:dyDescent="0.25">
      <c r="A1716" s="40">
        <v>2356</v>
      </c>
      <c r="B1716" s="40" t="s">
        <v>5871</v>
      </c>
      <c r="C1716" s="40" t="s">
        <v>560</v>
      </c>
      <c r="D1716" s="90"/>
      <c r="E1716" s="90"/>
      <c r="F1716" s="40" t="s">
        <v>2222</v>
      </c>
      <c r="G1716" s="40" t="s">
        <v>1259</v>
      </c>
      <c r="H1716" s="40" t="s">
        <v>467</v>
      </c>
      <c r="I1716" s="90" t="s">
        <v>5700</v>
      </c>
      <c r="J1716" s="90" t="s">
        <v>1391</v>
      </c>
      <c r="K1716" s="40" t="s">
        <v>578</v>
      </c>
      <c r="L1716" s="90"/>
      <c r="M1716" s="90"/>
      <c r="N1716" s="90"/>
      <c r="O1716" s="90"/>
      <c r="P1716" s="90"/>
      <c r="Q1716" s="90">
        <v>1</v>
      </c>
      <c r="R1716" s="90"/>
      <c r="S1716" s="90"/>
      <c r="T1716" s="90"/>
      <c r="U1716" s="90"/>
      <c r="V1716" s="90"/>
      <c r="W1716" s="90"/>
      <c r="X1716" s="90"/>
      <c r="Y1716" s="90"/>
      <c r="Z1716" s="40" t="s">
        <v>5872</v>
      </c>
      <c r="AA1716" s="47">
        <f>IF(H2ProjectDB689571011[[#This Row],[Dummy_1]]="Electrolysis",
AB1716*VLOOKUP(G1716,ElectrolysisConvF,3,FALSE),
"")</f>
        <v>902.88924558587485</v>
      </c>
      <c r="AB1716" s="46">
        <f>AC1716/(H2dens*HoursInYear/10^6)</f>
        <v>200642.05457463887</v>
      </c>
      <c r="AC1716" s="92">
        <f>300/1000*365/H2ProjectDB689571011[[#This Row],[LOWE_CF]]</f>
        <v>156.42857142857144</v>
      </c>
      <c r="AD1716" s="92"/>
      <c r="AE1716" s="92">
        <f t="shared" si="120"/>
        <v>200642.05457463887</v>
      </c>
      <c r="AF1716" s="43" t="s">
        <v>5834</v>
      </c>
      <c r="AG1716" s="43">
        <v>-23.3990803648907</v>
      </c>
      <c r="AH1716" s="43">
        <v>-69.252182822015996</v>
      </c>
      <c r="AI1716" s="122" t="s">
        <v>7286</v>
      </c>
      <c r="AJ1716" s="41">
        <v>0.7</v>
      </c>
    </row>
    <row r="1717" spans="1:36" ht="35.1" hidden="1" customHeight="1" x14ac:dyDescent="0.25">
      <c r="A1717" s="40">
        <v>2357</v>
      </c>
      <c r="B1717" s="40" t="s">
        <v>5873</v>
      </c>
      <c r="C1717" s="40" t="s">
        <v>560</v>
      </c>
      <c r="D1717" s="44">
        <v>2024</v>
      </c>
      <c r="E1717" s="90"/>
      <c r="F1717" s="40" t="s">
        <v>1339</v>
      </c>
      <c r="G1717" s="40" t="s">
        <v>1259</v>
      </c>
      <c r="H1717" s="40" t="s">
        <v>467</v>
      </c>
      <c r="I1717" s="90" t="s">
        <v>5700</v>
      </c>
      <c r="J1717" s="90" t="s">
        <v>1395</v>
      </c>
      <c r="K1717" s="40" t="s">
        <v>578</v>
      </c>
      <c r="L1717" s="90"/>
      <c r="M1717" s="90"/>
      <c r="N1717" s="90"/>
      <c r="O1717" s="90"/>
      <c r="P1717" s="90"/>
      <c r="Q1717" s="90">
        <v>1</v>
      </c>
      <c r="R1717" s="90">
        <v>1</v>
      </c>
      <c r="S1717" s="90"/>
      <c r="T1717" s="90"/>
      <c r="U1717" s="90"/>
      <c r="V1717" s="90"/>
      <c r="W1717" s="90"/>
      <c r="X1717" s="90"/>
      <c r="Y1717" s="90"/>
      <c r="Z1717" s="40" t="s">
        <v>5874</v>
      </c>
      <c r="AA1717" s="91">
        <f>25/1000</f>
        <v>2.5000000000000001E-2</v>
      </c>
      <c r="AB1717" s="46">
        <f>IF(H2ProjectDB689571011[[#This Row],[Dummy_1]]="Electrolysis",
AA1717/VLOOKUP(G1717,ElectrolysisConvF,3,FALSE),
AC1717*10^6/(H2dens*HoursInYear))</f>
        <v>5.5555555555555562</v>
      </c>
      <c r="AC1717" s="47">
        <f>AB1717*H2dens*HoursInYear/10^6</f>
        <v>4.3313333333333337E-3</v>
      </c>
      <c r="AD1717" s="92"/>
      <c r="AE1717" s="92">
        <f t="shared" si="120"/>
        <v>5.5555555555555562</v>
      </c>
      <c r="AF1717" s="43" t="s">
        <v>5834</v>
      </c>
      <c r="AG1717" s="43">
        <v>-37.377300011215397</v>
      </c>
      <c r="AH1717" s="43">
        <v>-73.031545107003694</v>
      </c>
      <c r="AI1717" s="122" t="s">
        <v>7286</v>
      </c>
      <c r="AJ1717" s="41">
        <v>0.7</v>
      </c>
    </row>
    <row r="1718" spans="1:36" ht="35.1" hidden="1" customHeight="1" x14ac:dyDescent="0.25">
      <c r="A1718" s="40">
        <v>2358</v>
      </c>
      <c r="B1718" s="40" t="s">
        <v>5875</v>
      </c>
      <c r="C1718" s="40" t="s">
        <v>560</v>
      </c>
      <c r="D1718" s="44">
        <v>2027</v>
      </c>
      <c r="E1718" s="44"/>
      <c r="F1718" s="40" t="s">
        <v>2222</v>
      </c>
      <c r="G1718" s="40" t="s">
        <v>1259</v>
      </c>
      <c r="H1718" s="40" t="s">
        <v>467</v>
      </c>
      <c r="I1718" s="40" t="s">
        <v>1269</v>
      </c>
      <c r="J1718" s="90" t="s">
        <v>1392</v>
      </c>
      <c r="K1718" s="90" t="s">
        <v>1243</v>
      </c>
      <c r="L1718" s="90"/>
      <c r="M1718" s="90">
        <v>1</v>
      </c>
      <c r="N1718" s="90"/>
      <c r="O1718" s="90"/>
      <c r="P1718" s="90">
        <v>1</v>
      </c>
      <c r="Q1718" s="90">
        <v>1</v>
      </c>
      <c r="R1718" s="90"/>
      <c r="S1718" s="90"/>
      <c r="T1718" s="90"/>
      <c r="U1718" s="90"/>
      <c r="V1718" s="90"/>
      <c r="W1718" s="90"/>
      <c r="X1718" s="90"/>
      <c r="Y1718" s="90"/>
      <c r="Z1718" s="40" t="s">
        <v>5876</v>
      </c>
      <c r="AA1718" s="47">
        <f>IF(H2ProjectDB689571011[[#This Row],[Dummy_1]]="Electrolysis",
AB1718*VLOOKUP(G1718,ElectrolysisConvF,3,FALSE),
"")</f>
        <v>1948.7939858104237</v>
      </c>
      <c r="AB1718" s="46">
        <f>AC1718/(H2dens*HoursInYear/10^6)</f>
        <v>433065.33018009417</v>
      </c>
      <c r="AC1718" s="92">
        <f>(750*3/17/0.98/H2ProjectDB689571011[[#This Row],[LOWE_CF]])</f>
        <v>337.6350540216086</v>
      </c>
      <c r="AD1718" s="92"/>
      <c r="AE1718" s="92">
        <f t="shared" si="120"/>
        <v>433065.33018009417</v>
      </c>
      <c r="AF1718" s="43" t="s">
        <v>5834</v>
      </c>
      <c r="AG1718" s="43">
        <v>-50.615096291667001</v>
      </c>
      <c r="AH1718" s="43">
        <v>-74.501358900263796</v>
      </c>
      <c r="AI1718" s="122" t="s">
        <v>7286</v>
      </c>
      <c r="AJ1718" s="41">
        <v>0.4</v>
      </c>
    </row>
    <row r="1719" spans="1:36" ht="35.1" hidden="1" customHeight="1" x14ac:dyDescent="0.25">
      <c r="A1719" s="40">
        <v>2359</v>
      </c>
      <c r="B1719" s="40" t="s">
        <v>5877</v>
      </c>
      <c r="C1719" s="40" t="s">
        <v>560</v>
      </c>
      <c r="D1719" s="44">
        <v>2027</v>
      </c>
      <c r="E1719" s="44"/>
      <c r="F1719" s="40" t="s">
        <v>1331</v>
      </c>
      <c r="G1719" s="40" t="s">
        <v>1259</v>
      </c>
      <c r="H1719" s="40" t="s">
        <v>467</v>
      </c>
      <c r="I1719" s="90" t="s">
        <v>5700</v>
      </c>
      <c r="J1719" s="90" t="s">
        <v>1395</v>
      </c>
      <c r="K1719" s="90" t="s">
        <v>1243</v>
      </c>
      <c r="L1719" s="90"/>
      <c r="M1719" s="90">
        <v>1</v>
      </c>
      <c r="N1719" s="90"/>
      <c r="O1719" s="90"/>
      <c r="P1719" s="90">
        <v>1</v>
      </c>
      <c r="Q1719" s="90">
        <v>1</v>
      </c>
      <c r="R1719" s="90"/>
      <c r="S1719" s="90"/>
      <c r="T1719" s="90"/>
      <c r="U1719" s="90"/>
      <c r="V1719" s="90"/>
      <c r="W1719" s="90"/>
      <c r="X1719" s="90"/>
      <c r="Y1719" s="90"/>
      <c r="Z1719" s="40" t="s">
        <v>5878</v>
      </c>
      <c r="AA1719" s="47">
        <f>IF(H2ProjectDB689571011[[#This Row],[Dummy_1]]="Electrolysis",
AB1719*VLOOKUP(G1719,ElectrolysisConvF,3,FALSE),
"")</f>
        <v>255.38481185477556</v>
      </c>
      <c r="AB1719" s="46">
        <f>AC1719/(H2dens*HoursInYear/10^6)</f>
        <v>56752.180412172354</v>
      </c>
      <c r="AC1719" s="92">
        <f>(172*3/17/0.98/H2ProjectDB689571011[[#This Row],[LOWE_CF]])</f>
        <v>44.246269936546049</v>
      </c>
      <c r="AD1719" s="92"/>
      <c r="AE1719" s="92">
        <f t="shared" si="120"/>
        <v>56752.180412172354</v>
      </c>
      <c r="AF1719" s="43" t="s">
        <v>5834</v>
      </c>
      <c r="AG1719" s="43">
        <v>-23.3990803648907</v>
      </c>
      <c r="AH1719" s="43">
        <v>-69.252182822015996</v>
      </c>
      <c r="AI1719" s="122" t="s">
        <v>7286</v>
      </c>
      <c r="AJ1719" s="41">
        <v>0.7</v>
      </c>
    </row>
    <row r="1720" spans="1:36" ht="35.1" hidden="1" customHeight="1" x14ac:dyDescent="0.25">
      <c r="A1720" s="40">
        <v>2360</v>
      </c>
      <c r="B1720" s="40" t="s">
        <v>5880</v>
      </c>
      <c r="C1720" s="40" t="s">
        <v>560</v>
      </c>
      <c r="D1720" s="90"/>
      <c r="E1720" s="90"/>
      <c r="F1720" s="40" t="s">
        <v>5701</v>
      </c>
      <c r="G1720" s="40" t="s">
        <v>1259</v>
      </c>
      <c r="H1720" s="40" t="s">
        <v>467</v>
      </c>
      <c r="I1720" s="90" t="s">
        <v>1269</v>
      </c>
      <c r="J1720" s="90" t="s">
        <v>581</v>
      </c>
      <c r="K1720" s="90" t="s">
        <v>578</v>
      </c>
      <c r="L1720" s="90"/>
      <c r="M1720" s="90"/>
      <c r="N1720" s="90"/>
      <c r="O1720" s="90"/>
      <c r="P1720" s="90">
        <v>1</v>
      </c>
      <c r="Q1720" s="90"/>
      <c r="R1720" s="90"/>
      <c r="S1720" s="90"/>
      <c r="T1720" s="90"/>
      <c r="U1720" s="90"/>
      <c r="V1720" s="90"/>
      <c r="W1720" s="90"/>
      <c r="X1720" s="90"/>
      <c r="Y1720" s="90"/>
      <c r="Z1720" s="40" t="s">
        <v>1495</v>
      </c>
      <c r="AA1720" s="91">
        <v>20</v>
      </c>
      <c r="AB1720" s="46">
        <f>IF(H2ProjectDB689571011[[#This Row],[Dummy_1]]="Electrolysis",
AA1720/VLOOKUP(G1720,ElectrolysisConvF,3,FALSE),
AC1720*10^6/(H2dens*HoursInYear))</f>
        <v>4444.4444444444443</v>
      </c>
      <c r="AC1720" s="47">
        <f>AB1720*H2dens*HoursInYear/10^6</f>
        <v>3.4650666666666665</v>
      </c>
      <c r="AD1720" s="92"/>
      <c r="AE1720" s="92">
        <f t="shared" si="120"/>
        <v>4444.4444444444443</v>
      </c>
      <c r="AF1720" s="43" t="s">
        <v>5881</v>
      </c>
      <c r="AG1720" s="43">
        <v>-50.615096291667001</v>
      </c>
      <c r="AH1720" s="43">
        <v>-74.501358900263796</v>
      </c>
      <c r="AI1720" s="122" t="s">
        <v>7286</v>
      </c>
      <c r="AJ1720" s="41">
        <v>0.5</v>
      </c>
    </row>
    <row r="1721" spans="1:36" ht="35.1" hidden="1" customHeight="1" x14ac:dyDescent="0.25">
      <c r="A1721" s="40">
        <v>2361</v>
      </c>
      <c r="B1721" s="40" t="s">
        <v>5883</v>
      </c>
      <c r="C1721" s="40" t="s">
        <v>560</v>
      </c>
      <c r="D1721" s="44">
        <v>2024</v>
      </c>
      <c r="E1721" s="44"/>
      <c r="F1721" s="40" t="s">
        <v>1331</v>
      </c>
      <c r="G1721" s="40" t="s">
        <v>1259</v>
      </c>
      <c r="H1721" s="40" t="s">
        <v>467</v>
      </c>
      <c r="I1721" s="90" t="s">
        <v>1269</v>
      </c>
      <c r="J1721" s="90" t="s">
        <v>581</v>
      </c>
      <c r="K1721" s="90" t="s">
        <v>578</v>
      </c>
      <c r="L1721" s="90"/>
      <c r="M1721" s="90"/>
      <c r="N1721" s="90"/>
      <c r="O1721" s="90"/>
      <c r="P1721" s="90"/>
      <c r="Q1721" s="90">
        <v>1</v>
      </c>
      <c r="R1721" s="90"/>
      <c r="S1721" s="90"/>
      <c r="T1721" s="90"/>
      <c r="U1721" s="90"/>
      <c r="V1721" s="90"/>
      <c r="W1721" s="90"/>
      <c r="X1721" s="90"/>
      <c r="Y1721" s="90"/>
      <c r="Z1721" s="90"/>
      <c r="AA1721" s="91">
        <f>IF(OR(G1721="ALK",G1721="PEM",G1721="SOEC",G1721="Other Electrolysis"),
AB1721*VLOOKUP(G1721,ElectrolysisConvF,3,FALSE),
"")</f>
        <v>0</v>
      </c>
      <c r="AB1721" s="92"/>
      <c r="AC1721" s="92"/>
      <c r="AD1721" s="92"/>
      <c r="AE1721" s="92">
        <f t="shared" si="120"/>
        <v>0</v>
      </c>
      <c r="AF1721" s="43" t="s">
        <v>5884</v>
      </c>
      <c r="AG1721" s="43">
        <v>-23.3990803648907</v>
      </c>
      <c r="AH1721" s="43">
        <v>-69.252182822015996</v>
      </c>
      <c r="AI1721" s="122" t="s">
        <v>7286</v>
      </c>
      <c r="AJ1721" s="41">
        <v>0.5</v>
      </c>
    </row>
    <row r="1722" spans="1:36" ht="35.1" hidden="1" customHeight="1" x14ac:dyDescent="0.25">
      <c r="A1722" s="40">
        <v>2362</v>
      </c>
      <c r="B1722" s="40" t="s">
        <v>5886</v>
      </c>
      <c r="C1722" s="40" t="s">
        <v>560</v>
      </c>
      <c r="D1722" s="90"/>
      <c r="E1722" s="90"/>
      <c r="F1722" s="40" t="s">
        <v>2222</v>
      </c>
      <c r="G1722" s="40" t="s">
        <v>1259</v>
      </c>
      <c r="H1722" s="40" t="s">
        <v>467</v>
      </c>
      <c r="I1722" s="90" t="s">
        <v>1269</v>
      </c>
      <c r="J1722" s="90" t="s">
        <v>581</v>
      </c>
      <c r="K1722" s="90" t="s">
        <v>578</v>
      </c>
      <c r="L1722" s="90"/>
      <c r="M1722" s="90"/>
      <c r="N1722" s="90"/>
      <c r="O1722" s="90"/>
      <c r="P1722" s="90"/>
      <c r="Q1722" s="90"/>
      <c r="R1722" s="90"/>
      <c r="S1722" s="90"/>
      <c r="T1722" s="90"/>
      <c r="U1722" s="90"/>
      <c r="V1722" s="90"/>
      <c r="W1722" s="90"/>
      <c r="X1722" s="90"/>
      <c r="Y1722" s="90"/>
      <c r="Z1722" s="90"/>
      <c r="AA1722" s="91">
        <f>IF(OR(G1722="ALK",G1722="PEM",G1722="SOEC",G1722="Other Electrolysis"),
AB1722*VLOOKUP(G1722,ElectrolysisConvF,3,FALSE),
"")</f>
        <v>0</v>
      </c>
      <c r="AB1722" s="92"/>
      <c r="AC1722" s="92"/>
      <c r="AD1722" s="92"/>
      <c r="AE1722" s="92">
        <f t="shared" si="120"/>
        <v>0</v>
      </c>
      <c r="AF1722" s="43" t="s">
        <v>5887</v>
      </c>
      <c r="AG1722" s="43">
        <v>-45.726844281799302</v>
      </c>
      <c r="AH1722" s="43">
        <v>-73.131129324169507</v>
      </c>
      <c r="AI1722" s="122" t="s">
        <v>7286</v>
      </c>
      <c r="AJ1722" s="41">
        <v>0.5</v>
      </c>
    </row>
    <row r="1723" spans="1:36" ht="35.1" hidden="1" customHeight="1" x14ac:dyDescent="0.25">
      <c r="A1723" s="40">
        <v>2363</v>
      </c>
      <c r="B1723" s="40" t="s">
        <v>5889</v>
      </c>
      <c r="C1723" s="40" t="s">
        <v>560</v>
      </c>
      <c r="D1723" s="44">
        <v>2022</v>
      </c>
      <c r="E1723" s="90"/>
      <c r="F1723" s="40" t="s">
        <v>1339</v>
      </c>
      <c r="G1723" s="40" t="s">
        <v>1259</v>
      </c>
      <c r="H1723" s="40" t="s">
        <v>467</v>
      </c>
      <c r="I1723" s="90" t="s">
        <v>1269</v>
      </c>
      <c r="J1723" s="90" t="s">
        <v>1391</v>
      </c>
      <c r="K1723" s="90" t="s">
        <v>578</v>
      </c>
      <c r="L1723" s="90"/>
      <c r="M1723" s="90"/>
      <c r="N1723" s="90"/>
      <c r="O1723" s="90"/>
      <c r="P1723" s="90"/>
      <c r="Q1723" s="90"/>
      <c r="R1723" s="90"/>
      <c r="S1723" s="90"/>
      <c r="T1723" s="90"/>
      <c r="U1723" s="90"/>
      <c r="V1723" s="90"/>
      <c r="W1723" s="90"/>
      <c r="X1723" s="90"/>
      <c r="Y1723" s="90"/>
      <c r="Z1723" s="40" t="s">
        <v>1449</v>
      </c>
      <c r="AA1723" s="91">
        <v>0.02</v>
      </c>
      <c r="AB1723" s="46">
        <f>IF(H2ProjectDB689571011[[#This Row],[Dummy_1]]="Electrolysis",
AA1723/VLOOKUP(G1723,ElectrolysisConvF,3,FALSE),
AC1723*10^6/(H2dens*HoursInYear))</f>
        <v>4.4444444444444446</v>
      </c>
      <c r="AC1723" s="47">
        <f>AB1723*H2dens*HoursInYear/10^6</f>
        <v>3.4650666666666665E-3</v>
      </c>
      <c r="AD1723" s="92"/>
      <c r="AE1723" s="92">
        <f t="shared" si="120"/>
        <v>4.4444444444444446</v>
      </c>
      <c r="AF1723" s="43" t="s">
        <v>5890</v>
      </c>
      <c r="AG1723" s="43">
        <v>-23.3990803648907</v>
      </c>
      <c r="AH1723" s="43">
        <v>-69.252182822015996</v>
      </c>
      <c r="AI1723" s="122" t="s">
        <v>7286</v>
      </c>
      <c r="AJ1723" s="41">
        <v>0.3</v>
      </c>
    </row>
    <row r="1724" spans="1:36" ht="35.1" hidden="1" customHeight="1" x14ac:dyDescent="0.25">
      <c r="A1724" s="40">
        <v>2364</v>
      </c>
      <c r="B1724" s="40" t="s">
        <v>5892</v>
      </c>
      <c r="C1724" s="40" t="s">
        <v>560</v>
      </c>
      <c r="D1724" s="44">
        <v>2027</v>
      </c>
      <c r="E1724" s="44"/>
      <c r="F1724" s="40" t="s">
        <v>2222</v>
      </c>
      <c r="G1724" s="40" t="s">
        <v>1259</v>
      </c>
      <c r="H1724" s="40" t="s">
        <v>467</v>
      </c>
      <c r="I1724" s="90" t="s">
        <v>1269</v>
      </c>
      <c r="J1724" s="90" t="s">
        <v>1391</v>
      </c>
      <c r="K1724" s="90" t="s">
        <v>1243</v>
      </c>
      <c r="L1724" s="90"/>
      <c r="M1724" s="90">
        <v>1</v>
      </c>
      <c r="N1724" s="90"/>
      <c r="O1724" s="90"/>
      <c r="P1724" s="90"/>
      <c r="Q1724" s="90"/>
      <c r="R1724" s="90"/>
      <c r="S1724" s="90"/>
      <c r="T1724" s="90"/>
      <c r="U1724" s="90"/>
      <c r="V1724" s="90"/>
      <c r="W1724" s="90"/>
      <c r="X1724" s="90"/>
      <c r="Y1724" s="90"/>
      <c r="Z1724" s="40" t="s">
        <v>5893</v>
      </c>
      <c r="AA1724" s="47">
        <f>IF(H2ProjectDB689571011[[#This Row],[Dummy_1]]="Electrolysis",
AB1724*VLOOKUP(G1724,ElectrolysisConvF,3,FALSE),
"")</f>
        <v>1004.7115660178187</v>
      </c>
      <c r="AB1724" s="46">
        <f>AC1724/(H2dens*HoursInYear/10^6)</f>
        <v>223269.2368928486</v>
      </c>
      <c r="AC1724" s="92">
        <f>(290*3/17/0.98/H2ProjectDB689571011[[#This Row],[LOWE_CF]])</f>
        <v>174.06962785114047</v>
      </c>
      <c r="AD1724" s="92"/>
      <c r="AE1724" s="92">
        <f t="shared" si="120"/>
        <v>223269.2368928486</v>
      </c>
      <c r="AF1724" s="43" t="s">
        <v>5894</v>
      </c>
      <c r="AG1724" s="43">
        <v>-23.3990803648907</v>
      </c>
      <c r="AH1724" s="43">
        <v>-69.252182822015996</v>
      </c>
      <c r="AI1724" s="122" t="s">
        <v>7286</v>
      </c>
      <c r="AJ1724" s="41">
        <v>0.3</v>
      </c>
    </row>
    <row r="1725" spans="1:36" ht="35.1" hidden="1" customHeight="1" x14ac:dyDescent="0.25">
      <c r="A1725" s="40">
        <v>2365</v>
      </c>
      <c r="B1725" s="40" t="s">
        <v>5895</v>
      </c>
      <c r="C1725" s="40" t="s">
        <v>560</v>
      </c>
      <c r="D1725" s="44">
        <v>2027</v>
      </c>
      <c r="E1725" s="44"/>
      <c r="F1725" s="40" t="s">
        <v>1331</v>
      </c>
      <c r="G1725" s="40" t="s">
        <v>1259</v>
      </c>
      <c r="H1725" s="40" t="s">
        <v>467</v>
      </c>
      <c r="I1725" s="90" t="s">
        <v>1269</v>
      </c>
      <c r="J1725" s="90" t="s">
        <v>1392</v>
      </c>
      <c r="K1725" s="90" t="s">
        <v>1243</v>
      </c>
      <c r="L1725" s="90"/>
      <c r="M1725" s="90">
        <v>1</v>
      </c>
      <c r="N1725" s="90"/>
      <c r="O1725" s="90"/>
      <c r="P1725" s="90"/>
      <c r="Q1725" s="90"/>
      <c r="R1725" s="90"/>
      <c r="S1725" s="90"/>
      <c r="T1725" s="90"/>
      <c r="U1725" s="90"/>
      <c r="V1725" s="90"/>
      <c r="W1725" s="90"/>
      <c r="X1725" s="90"/>
      <c r="Y1725" s="90"/>
      <c r="Z1725" s="40" t="s">
        <v>5018</v>
      </c>
      <c r="AA1725" s="47">
        <f>IF(H2ProjectDB689571011[[#This Row],[Dummy_1]]="Electrolysis",
AB1725*VLOOKUP(G1725,ElectrolysisConvF,3,FALSE),
"")</f>
        <v>1299.1959905402823</v>
      </c>
      <c r="AB1725" s="46">
        <f>AC1725/(H2dens*HoursInYear/10^6)</f>
        <v>288710.22012006276</v>
      </c>
      <c r="AC1725" s="92">
        <f>(500*3/17/0.98/H2ProjectDB689571011[[#This Row],[LOWE_CF]])</f>
        <v>225.09003601440574</v>
      </c>
      <c r="AD1725" s="92"/>
      <c r="AE1725" s="92">
        <f t="shared" si="120"/>
        <v>288710.22012006276</v>
      </c>
      <c r="AF1725" s="43" t="s">
        <v>5834</v>
      </c>
      <c r="AG1725" s="43">
        <v>-50.615096291667001</v>
      </c>
      <c r="AH1725" s="43">
        <v>-74.501358900263796</v>
      </c>
      <c r="AI1725" s="122" t="s">
        <v>7286</v>
      </c>
      <c r="AJ1725" s="41">
        <v>0.4</v>
      </c>
    </row>
    <row r="1726" spans="1:36" ht="35.1" hidden="1" customHeight="1" x14ac:dyDescent="0.25">
      <c r="A1726" s="40">
        <v>2366</v>
      </c>
      <c r="B1726" s="40" t="s">
        <v>5903</v>
      </c>
      <c r="C1726" s="40" t="s">
        <v>532</v>
      </c>
      <c r="D1726" s="90">
        <v>2020</v>
      </c>
      <c r="E1726" s="90"/>
      <c r="F1726" s="90" t="s">
        <v>1339</v>
      </c>
      <c r="G1726" s="90" t="s">
        <v>1259</v>
      </c>
      <c r="H1726" s="40" t="s">
        <v>467</v>
      </c>
      <c r="I1726" s="40" t="s">
        <v>1266</v>
      </c>
      <c r="J1726" s="90"/>
      <c r="K1726" s="90" t="s">
        <v>578</v>
      </c>
      <c r="L1726" s="90">
        <v>1</v>
      </c>
      <c r="M1726" s="90"/>
      <c r="N1726" s="90"/>
      <c r="O1726" s="90"/>
      <c r="P1726" s="90"/>
      <c r="Q1726" s="90"/>
      <c r="R1726" s="90"/>
      <c r="S1726" s="90"/>
      <c r="T1726" s="90"/>
      <c r="U1726" s="90"/>
      <c r="V1726" s="90"/>
      <c r="W1726" s="90"/>
      <c r="X1726" s="90"/>
      <c r="Y1726" s="90"/>
      <c r="Z1726" s="40" t="s">
        <v>2331</v>
      </c>
      <c r="AA1726" s="91">
        <v>0.7</v>
      </c>
      <c r="AB1726" s="46">
        <f>IF(H2ProjectDB689571011[[#This Row],[Dummy_1]]="Electrolysis",
AA1726/VLOOKUP(G1726,ElectrolysisConvF,3,FALSE),
AC1726*10^6/(H2dens*HoursInYear))</f>
        <v>155.55555555555557</v>
      </c>
      <c r="AC1726" s="47">
        <f t="shared" ref="AC1726:AC1758" si="123">AB1726*H2dens*HoursInYear/10^6</f>
        <v>0.12127733333333335</v>
      </c>
      <c r="AD1726" s="92"/>
      <c r="AE1726" s="92">
        <f t="shared" si="120"/>
        <v>155.55555555555557</v>
      </c>
      <c r="AF1726" s="93"/>
      <c r="AG1726" s="43">
        <v>60.5267411092739</v>
      </c>
      <c r="AH1726" s="43">
        <v>27.141011962863001</v>
      </c>
      <c r="AI1726" s="122" t="s">
        <v>7286</v>
      </c>
      <c r="AJ1726" s="41">
        <v>0.56999999999999995</v>
      </c>
    </row>
    <row r="1727" spans="1:36" ht="35.1" hidden="1" customHeight="1" x14ac:dyDescent="0.25">
      <c r="A1727" s="40">
        <v>2367</v>
      </c>
      <c r="B1727" s="90" t="s">
        <v>5917</v>
      </c>
      <c r="C1727" s="90" t="s">
        <v>1754</v>
      </c>
      <c r="D1727" s="44">
        <v>2024</v>
      </c>
      <c r="E1727" s="44"/>
      <c r="F1727" s="40" t="s">
        <v>5701</v>
      </c>
      <c r="G1727" s="40" t="s">
        <v>1259</v>
      </c>
      <c r="H1727" s="40" t="s">
        <v>467</v>
      </c>
      <c r="I1727" s="40" t="s">
        <v>1269</v>
      </c>
      <c r="J1727" s="40" t="s">
        <v>1391</v>
      </c>
      <c r="K1727" s="40" t="s">
        <v>578</v>
      </c>
      <c r="L1727" s="90"/>
      <c r="M1727" s="90"/>
      <c r="N1727" s="90"/>
      <c r="O1727" s="90"/>
      <c r="P1727" s="90"/>
      <c r="Q1727" s="90"/>
      <c r="R1727" s="90">
        <v>1</v>
      </c>
      <c r="S1727" s="90"/>
      <c r="T1727" s="90"/>
      <c r="U1727" s="90"/>
      <c r="V1727" s="90"/>
      <c r="W1727" s="90"/>
      <c r="X1727" s="90"/>
      <c r="Y1727" s="90"/>
      <c r="Z1727" s="40" t="s">
        <v>1480</v>
      </c>
      <c r="AA1727" s="91">
        <v>1</v>
      </c>
      <c r="AB1727" s="46">
        <f>IF(H2ProjectDB689571011[[#This Row],[Dummy_1]]="Electrolysis",
AA1727/VLOOKUP(G1727,ElectrolysisConvF,3,FALSE),
AC1727*10^6/(H2dens*HoursInYear))</f>
        <v>222.22222222222223</v>
      </c>
      <c r="AC1727" s="47">
        <f t="shared" si="123"/>
        <v>0.17325333333333334</v>
      </c>
      <c r="AD1727" s="92"/>
      <c r="AE1727" s="92">
        <f t="shared" si="120"/>
        <v>222.22222222222223</v>
      </c>
      <c r="AF1727" s="43" t="s">
        <v>6821</v>
      </c>
      <c r="AG1727" s="43">
        <v>47.893470349451498</v>
      </c>
      <c r="AH1727" s="43">
        <v>20.7024755026607</v>
      </c>
      <c r="AI1727" s="122" t="s">
        <v>7286</v>
      </c>
      <c r="AJ1727" s="41">
        <v>0.3</v>
      </c>
    </row>
    <row r="1728" spans="1:36" ht="35.1" hidden="1" customHeight="1" x14ac:dyDescent="0.25">
      <c r="A1728" s="40">
        <v>2368</v>
      </c>
      <c r="B1728" s="90" t="s">
        <v>5918</v>
      </c>
      <c r="C1728" s="40" t="s">
        <v>550</v>
      </c>
      <c r="D1728" s="40">
        <v>2018</v>
      </c>
      <c r="E1728" s="90"/>
      <c r="F1728" s="40" t="s">
        <v>1339</v>
      </c>
      <c r="G1728" s="40" t="s">
        <v>1259</v>
      </c>
      <c r="H1728" s="40" t="s">
        <v>467</v>
      </c>
      <c r="I1728" s="40" t="s">
        <v>1257</v>
      </c>
      <c r="K1728" s="40" t="s">
        <v>578</v>
      </c>
      <c r="L1728" s="90"/>
      <c r="M1728" s="90"/>
      <c r="N1728" s="90"/>
      <c r="O1728" s="90"/>
      <c r="P1728" s="90"/>
      <c r="Q1728" s="90">
        <v>1</v>
      </c>
      <c r="R1728" s="90"/>
      <c r="S1728" s="90"/>
      <c r="T1728" s="90"/>
      <c r="U1728" s="90"/>
      <c r="V1728" s="90"/>
      <c r="W1728" s="90"/>
      <c r="X1728" s="90"/>
      <c r="Y1728" s="90"/>
      <c r="Z1728" s="40" t="s">
        <v>2331</v>
      </c>
      <c r="AA1728" s="91">
        <v>0.7</v>
      </c>
      <c r="AB1728" s="46">
        <f>IF(H2ProjectDB689571011[[#This Row],[Dummy_1]]="Electrolysis",
AA1728/VLOOKUP(G1728,ElectrolysisConvF,3,FALSE),
AC1728*10^6/(H2dens*HoursInYear))</f>
        <v>155.55555555555557</v>
      </c>
      <c r="AC1728" s="47">
        <f t="shared" si="123"/>
        <v>0.12127733333333335</v>
      </c>
      <c r="AD1728" s="92"/>
      <c r="AE1728" s="92">
        <f t="shared" si="120"/>
        <v>155.55555555555557</v>
      </c>
      <c r="AF1728" s="93"/>
      <c r="AG1728" s="43">
        <v>64.036423478239698</v>
      </c>
      <c r="AH1728" s="43">
        <v>-21.4043909789244</v>
      </c>
      <c r="AI1728" s="122" t="s">
        <v>7286</v>
      </c>
      <c r="AJ1728" s="41">
        <v>0.56999999999999995</v>
      </c>
    </row>
    <row r="1729" spans="1:36" ht="35.1" hidden="1" customHeight="1" x14ac:dyDescent="0.25">
      <c r="A1729" s="40">
        <v>2369</v>
      </c>
      <c r="B1729" s="40" t="s">
        <v>7312</v>
      </c>
      <c r="C1729" s="40" t="s">
        <v>559</v>
      </c>
      <c r="D1729" s="44">
        <v>2025</v>
      </c>
      <c r="E1729" s="44"/>
      <c r="F1729" s="40" t="s">
        <v>1331</v>
      </c>
      <c r="G1729" s="40" t="s">
        <v>457</v>
      </c>
      <c r="I1729" s="40" t="s">
        <v>1266</v>
      </c>
      <c r="K1729" s="40" t="s">
        <v>578</v>
      </c>
      <c r="O1729" s="40">
        <v>1</v>
      </c>
      <c r="Z1729" s="40" t="s">
        <v>1573</v>
      </c>
      <c r="AA1729" s="45">
        <v>17</v>
      </c>
      <c r="AB1729" s="46">
        <f>IF(H2ProjectDB689571011[[#This Row],[Dummy_1]]="Electrolysis",
AA1729/VLOOKUP(G1729,ElectrolysisConvF,3,FALSE),
AC1729*10^6/(H2dens*HoursInYear))</f>
        <v>3695.6521739130435</v>
      </c>
      <c r="AC1729" s="47">
        <f t="shared" si="123"/>
        <v>2.8812782608695655</v>
      </c>
      <c r="AE1729" s="46">
        <f t="shared" si="120"/>
        <v>3695.6521739130435</v>
      </c>
      <c r="AF1729" s="43" t="s">
        <v>5924</v>
      </c>
      <c r="AG1729" s="43">
        <v>60.138005751209597</v>
      </c>
      <c r="AH1729" s="43">
        <v>15.413124931787801</v>
      </c>
      <c r="AI1729" s="122" t="s">
        <v>7286</v>
      </c>
      <c r="AJ1729" s="41">
        <v>0.56999999999999995</v>
      </c>
    </row>
    <row r="1730" spans="1:36" ht="35.1" hidden="1" customHeight="1" x14ac:dyDescent="0.25">
      <c r="A1730" s="40">
        <v>2371</v>
      </c>
      <c r="B1730" s="90" t="s">
        <v>5925</v>
      </c>
      <c r="C1730" s="40" t="s">
        <v>555</v>
      </c>
      <c r="D1730" s="90">
        <v>2022</v>
      </c>
      <c r="E1730" s="90"/>
      <c r="F1730" s="40" t="s">
        <v>1339</v>
      </c>
      <c r="G1730" s="40" t="s">
        <v>1259</v>
      </c>
      <c r="H1730" s="40" t="s">
        <v>467</v>
      </c>
      <c r="I1730" s="40" t="s">
        <v>1269</v>
      </c>
      <c r="J1730" s="40" t="s">
        <v>581</v>
      </c>
      <c r="K1730" s="40" t="s">
        <v>578</v>
      </c>
      <c r="L1730" s="90"/>
      <c r="M1730" s="90"/>
      <c r="N1730" s="90"/>
      <c r="O1730" s="90"/>
      <c r="P1730" s="90"/>
      <c r="Q1730" s="90">
        <v>1</v>
      </c>
      <c r="R1730" s="90"/>
      <c r="S1730" s="90"/>
      <c r="T1730" s="90"/>
      <c r="U1730" s="90"/>
      <c r="V1730" s="90"/>
      <c r="W1730" s="90"/>
      <c r="X1730" s="90"/>
      <c r="Y1730" s="90"/>
      <c r="Z1730" s="40" t="s">
        <v>1368</v>
      </c>
      <c r="AA1730" s="45">
        <v>2</v>
      </c>
      <c r="AB1730" s="46">
        <f>IF(H2ProjectDB689571011[[#This Row],[Dummy_1]]="Electrolysis",
AA1730/VLOOKUP(G1730,ElectrolysisConvF,3,FALSE),
AC1730*10^6/(H2dens*HoursInYear))</f>
        <v>444.44444444444446</v>
      </c>
      <c r="AC1730" s="47">
        <f t="shared" si="123"/>
        <v>0.34650666666666669</v>
      </c>
      <c r="AD1730" s="92"/>
      <c r="AE1730" s="92">
        <f t="shared" si="120"/>
        <v>444.44444444444446</v>
      </c>
      <c r="AF1730" s="43" t="s">
        <v>5927</v>
      </c>
      <c r="AG1730" s="43">
        <v>47.4005800104364</v>
      </c>
      <c r="AH1730" s="43">
        <v>9.3281618096352599</v>
      </c>
      <c r="AI1730" s="122" t="s">
        <v>7286</v>
      </c>
      <c r="AJ1730" s="41">
        <v>0.5</v>
      </c>
    </row>
    <row r="1731" spans="1:36" ht="35.1" hidden="1" customHeight="1" x14ac:dyDescent="0.25">
      <c r="A1731" s="40">
        <v>2372</v>
      </c>
      <c r="B1731" s="40" t="s">
        <v>5928</v>
      </c>
      <c r="C1731" s="40" t="s">
        <v>555</v>
      </c>
      <c r="D1731" s="44">
        <v>2024</v>
      </c>
      <c r="E1731" s="44"/>
      <c r="F1731" s="40" t="s">
        <v>5701</v>
      </c>
      <c r="G1731" s="40" t="s">
        <v>1259</v>
      </c>
      <c r="H1731" s="40" t="s">
        <v>467</v>
      </c>
      <c r="I1731" s="90" t="s">
        <v>1266</v>
      </c>
      <c r="J1731" s="90"/>
      <c r="K1731" s="40" t="s">
        <v>578</v>
      </c>
      <c r="L1731" s="90"/>
      <c r="M1731" s="90"/>
      <c r="N1731" s="90"/>
      <c r="O1731" s="90"/>
      <c r="P1731" s="90">
        <v>1</v>
      </c>
      <c r="Q1731" s="90"/>
      <c r="R1731" s="90"/>
      <c r="S1731" s="90"/>
      <c r="T1731" s="90"/>
      <c r="U1731" s="90"/>
      <c r="V1731" s="90"/>
      <c r="W1731" s="90"/>
      <c r="X1731" s="90"/>
      <c r="Y1731" s="90"/>
      <c r="Z1731" s="40" t="s">
        <v>5929</v>
      </c>
      <c r="AA1731" s="45">
        <v>2.2999999999999998</v>
      </c>
      <c r="AB1731" s="46">
        <f>IF(H2ProjectDB689571011[[#This Row],[Dummy_1]]="Electrolysis",
AA1731/VLOOKUP(G1731,ElectrolysisConvF,3,FALSE),
AC1731*10^6/(H2dens*HoursInYear))</f>
        <v>511.11111111111109</v>
      </c>
      <c r="AC1731" s="47">
        <f t="shared" si="123"/>
        <v>0.39848266666666665</v>
      </c>
      <c r="AD1731" s="92"/>
      <c r="AE1731" s="92">
        <f t="shared" si="120"/>
        <v>511.11111111111109</v>
      </c>
      <c r="AF1731" s="43" t="s">
        <v>5931</v>
      </c>
      <c r="AG1731" s="43">
        <v>47.173969342570501</v>
      </c>
      <c r="AH1731" s="43">
        <v>9.4816022236664992</v>
      </c>
      <c r="AI1731" s="122" t="s">
        <v>7286</v>
      </c>
      <c r="AJ1731" s="41">
        <v>0.56999999999999995</v>
      </c>
    </row>
    <row r="1732" spans="1:36" ht="35.1" hidden="1" customHeight="1" x14ac:dyDescent="0.25">
      <c r="A1732" s="40">
        <v>2373</v>
      </c>
      <c r="B1732" s="90" t="s">
        <v>5935</v>
      </c>
      <c r="C1732" s="90" t="s">
        <v>542</v>
      </c>
      <c r="D1732" s="44">
        <v>2024</v>
      </c>
      <c r="E1732" s="44"/>
      <c r="F1732" s="90" t="s">
        <v>5701</v>
      </c>
      <c r="G1732" s="90" t="s">
        <v>457</v>
      </c>
      <c r="H1732" s="90"/>
      <c r="I1732" s="90" t="s">
        <v>1269</v>
      </c>
      <c r="J1732" s="90" t="s">
        <v>1392</v>
      </c>
      <c r="K1732" s="90" t="s">
        <v>578</v>
      </c>
      <c r="L1732" s="90"/>
      <c r="M1732" s="90"/>
      <c r="N1732" s="90"/>
      <c r="O1732" s="90"/>
      <c r="P1732" s="90">
        <v>1</v>
      </c>
      <c r="Q1732" s="90"/>
      <c r="R1732" s="90"/>
      <c r="S1732" s="90"/>
      <c r="T1732" s="90"/>
      <c r="U1732" s="90"/>
      <c r="V1732" s="90"/>
      <c r="W1732" s="90"/>
      <c r="X1732" s="90"/>
      <c r="Y1732" s="90"/>
      <c r="Z1732" s="40" t="s">
        <v>3025</v>
      </c>
      <c r="AA1732" s="91">
        <v>0.9</v>
      </c>
      <c r="AB1732" s="46">
        <f>IF(H2ProjectDB689571011[[#This Row],[Dummy_1]]="Electrolysis",
AA1732/VLOOKUP(G1732,ElectrolysisConvF,3,FALSE),
AC1732*10^6/(H2dens*HoursInYear))</f>
        <v>195.6521739130435</v>
      </c>
      <c r="AC1732" s="96">
        <f t="shared" si="123"/>
        <v>0.15253826086956521</v>
      </c>
      <c r="AD1732" s="92"/>
      <c r="AE1732" s="92">
        <f t="shared" si="120"/>
        <v>195.6521739130435</v>
      </c>
      <c r="AF1732" s="43" t="s">
        <v>5937</v>
      </c>
      <c r="AG1732" s="43">
        <v>56.664994722848903</v>
      </c>
      <c r="AH1732" s="43">
        <v>-2.5281216368243502</v>
      </c>
      <c r="AI1732" s="122" t="s">
        <v>7286</v>
      </c>
      <c r="AJ1732" s="41">
        <v>0.4</v>
      </c>
    </row>
    <row r="1733" spans="1:36" ht="35.1" hidden="1" customHeight="1" x14ac:dyDescent="0.25">
      <c r="A1733" s="40">
        <v>2374</v>
      </c>
      <c r="B1733" s="90" t="s">
        <v>5939</v>
      </c>
      <c r="C1733" s="90" t="s">
        <v>1083</v>
      </c>
      <c r="D1733" s="44">
        <v>2033</v>
      </c>
      <c r="E1733" s="44"/>
      <c r="F1733" s="90" t="s">
        <v>1331</v>
      </c>
      <c r="G1733" s="90" t="s">
        <v>1255</v>
      </c>
      <c r="H1733" s="90" t="s">
        <v>5944</v>
      </c>
      <c r="I1733" s="90"/>
      <c r="J1733" s="90"/>
      <c r="K1733" s="90" t="s">
        <v>578</v>
      </c>
      <c r="L1733" s="90"/>
      <c r="M1733" s="90"/>
      <c r="N1733" s="90"/>
      <c r="O1733" s="90"/>
      <c r="P1733" s="90"/>
      <c r="Q1733" s="90"/>
      <c r="R1733" s="90"/>
      <c r="S1733" s="90"/>
      <c r="T1733" s="90"/>
      <c r="U1733" s="90"/>
      <c r="V1733" s="90"/>
      <c r="W1733" s="90"/>
      <c r="X1733" s="90"/>
      <c r="Y1733" s="90"/>
      <c r="Z1733" s="90" t="s">
        <v>5947</v>
      </c>
      <c r="AA1733" s="91"/>
      <c r="AB1733" s="92">
        <v>245293</v>
      </c>
      <c r="AC1733" s="47">
        <f t="shared" si="123"/>
        <v>191.24023451999997</v>
      </c>
      <c r="AD1733" s="92"/>
      <c r="AE1733" s="92">
        <f t="shared" si="120"/>
        <v>245293</v>
      </c>
      <c r="AF1733" s="93" t="s">
        <v>5866</v>
      </c>
      <c r="AG1733" s="43">
        <v>10.1559214055513</v>
      </c>
      <c r="AH1733" s="43">
        <v>-74.251115475847101</v>
      </c>
      <c r="AI1733" s="122" t="s">
        <v>1255</v>
      </c>
      <c r="AJ1733" s="41">
        <v>0.9</v>
      </c>
    </row>
    <row r="1734" spans="1:36" ht="35.1" hidden="1" customHeight="1" x14ac:dyDescent="0.25">
      <c r="A1734" s="40">
        <v>2375</v>
      </c>
      <c r="B1734" s="90" t="s">
        <v>5940</v>
      </c>
      <c r="C1734" s="90" t="s">
        <v>1083</v>
      </c>
      <c r="D1734" s="44">
        <v>2040</v>
      </c>
      <c r="E1734" s="44"/>
      <c r="F1734" s="90" t="s">
        <v>2222</v>
      </c>
      <c r="G1734" s="90" t="s">
        <v>1259</v>
      </c>
      <c r="H1734" s="40" t="s">
        <v>467</v>
      </c>
      <c r="I1734" s="90" t="s">
        <v>1257</v>
      </c>
      <c r="J1734" s="90"/>
      <c r="K1734" s="90" t="s">
        <v>1268</v>
      </c>
      <c r="L1734" s="90"/>
      <c r="M1734" s="90">
        <v>1</v>
      </c>
      <c r="N1734" s="90"/>
      <c r="O1734" s="90"/>
      <c r="P1734" s="90"/>
      <c r="Q1734" s="90"/>
      <c r="R1734" s="90"/>
      <c r="S1734" s="90"/>
      <c r="T1734" s="90"/>
      <c r="U1734" s="90"/>
      <c r="V1734" s="90"/>
      <c r="W1734" s="90"/>
      <c r="X1734" s="90"/>
      <c r="Y1734" s="90"/>
      <c r="Z1734" s="90" t="s">
        <v>5945</v>
      </c>
      <c r="AA1734" s="91">
        <v>3500</v>
      </c>
      <c r="AB1734" s="46">
        <f>IF(H2ProjectDB689571011[[#This Row],[Dummy_1]]="Electrolysis",
AA1734/VLOOKUP(G1734,ElectrolysisConvF,3,FALSE),
AC1734*10^6/(H2dens*HoursInYear))</f>
        <v>777777.77777777787</v>
      </c>
      <c r="AC1734" s="47">
        <f t="shared" si="123"/>
        <v>606.38666666666677</v>
      </c>
      <c r="AD1734" s="92"/>
      <c r="AE1734" s="92">
        <f t="shared" si="120"/>
        <v>777777.77777777787</v>
      </c>
      <c r="AF1734" s="93" t="s">
        <v>5866</v>
      </c>
      <c r="AG1734" s="43">
        <v>7.7250750502557404</v>
      </c>
      <c r="AH1734" s="43">
        <v>-76.580217015896807</v>
      </c>
      <c r="AI1734" s="122" t="s">
        <v>7286</v>
      </c>
      <c r="AJ1734" s="41">
        <v>0.56999999999999995</v>
      </c>
    </row>
    <row r="1735" spans="1:36" ht="35.1" hidden="1" customHeight="1" x14ac:dyDescent="0.25">
      <c r="A1735" s="40">
        <v>2376</v>
      </c>
      <c r="B1735" s="90" t="s">
        <v>5941</v>
      </c>
      <c r="C1735" s="90" t="s">
        <v>1083</v>
      </c>
      <c r="D1735" s="44">
        <v>2027</v>
      </c>
      <c r="E1735" s="44"/>
      <c r="F1735" s="90" t="s">
        <v>2222</v>
      </c>
      <c r="G1735" s="90" t="s">
        <v>1259</v>
      </c>
      <c r="H1735" s="40" t="s">
        <v>467</v>
      </c>
      <c r="I1735" s="90" t="s">
        <v>1257</v>
      </c>
      <c r="J1735" s="90"/>
      <c r="K1735" s="90" t="s">
        <v>578</v>
      </c>
      <c r="L1735" s="90"/>
      <c r="M1735" s="90"/>
      <c r="N1735" s="90"/>
      <c r="O1735" s="90"/>
      <c r="P1735" s="90"/>
      <c r="Q1735" s="90">
        <v>1</v>
      </c>
      <c r="R1735" s="90"/>
      <c r="S1735" s="90"/>
      <c r="T1735" s="90"/>
      <c r="U1735" s="90"/>
      <c r="V1735" s="90"/>
      <c r="W1735" s="90"/>
      <c r="X1735" s="90"/>
      <c r="Y1735" s="90"/>
      <c r="Z1735" s="90" t="s">
        <v>3922</v>
      </c>
      <c r="AA1735" s="91">
        <v>40</v>
      </c>
      <c r="AB1735" s="46">
        <f>IF(H2ProjectDB689571011[[#This Row],[Dummy_1]]="Electrolysis",
AA1735/VLOOKUP(G1735,ElectrolysisConvF,3,FALSE),
AC1735*10^6/(H2dens*HoursInYear))</f>
        <v>8888.8888888888887</v>
      </c>
      <c r="AC1735" s="47">
        <f t="shared" si="123"/>
        <v>6.930133333333333</v>
      </c>
      <c r="AD1735" s="92"/>
      <c r="AE1735" s="92">
        <f t="shared" si="120"/>
        <v>8888.8888888888887</v>
      </c>
      <c r="AF1735" s="93" t="s">
        <v>5866</v>
      </c>
      <c r="AG1735" s="43">
        <v>9.9395649929453995</v>
      </c>
      <c r="AH1735" s="43">
        <v>-73.723771730930196</v>
      </c>
      <c r="AI1735" s="122" t="s">
        <v>7286</v>
      </c>
      <c r="AJ1735" s="41">
        <v>0.56999999999999995</v>
      </c>
    </row>
    <row r="1736" spans="1:36" ht="35.1" hidden="1" customHeight="1" x14ac:dyDescent="0.25">
      <c r="A1736" s="40">
        <v>2377</v>
      </c>
      <c r="B1736" s="90" t="s">
        <v>5942</v>
      </c>
      <c r="C1736" s="90" t="s">
        <v>1083</v>
      </c>
      <c r="D1736" s="44">
        <v>2026</v>
      </c>
      <c r="E1736" s="44"/>
      <c r="F1736" s="90" t="s">
        <v>2222</v>
      </c>
      <c r="G1736" s="90" t="s">
        <v>1255</v>
      </c>
      <c r="H1736" s="90" t="s">
        <v>5944</v>
      </c>
      <c r="I1736" s="90"/>
      <c r="J1736" s="90"/>
      <c r="K1736" s="90" t="s">
        <v>578</v>
      </c>
      <c r="L1736" s="90"/>
      <c r="M1736" s="90"/>
      <c r="N1736" s="90"/>
      <c r="O1736" s="90"/>
      <c r="P1736" s="90"/>
      <c r="Q1736" s="90">
        <v>1</v>
      </c>
      <c r="R1736" s="90"/>
      <c r="S1736" s="90"/>
      <c r="T1736" s="90"/>
      <c r="U1736" s="90"/>
      <c r="V1736" s="90"/>
      <c r="W1736" s="90"/>
      <c r="X1736" s="90"/>
      <c r="Y1736" s="90"/>
      <c r="Z1736" s="90" t="s">
        <v>5948</v>
      </c>
      <c r="AA1736" s="91"/>
      <c r="AB1736" s="92">
        <v>7607</v>
      </c>
      <c r="AC1736" s="47">
        <f t="shared" si="123"/>
        <v>5.9307214800000008</v>
      </c>
      <c r="AD1736" s="92"/>
      <c r="AE1736" s="92">
        <f t="shared" si="120"/>
        <v>7607</v>
      </c>
      <c r="AF1736" s="93" t="s">
        <v>5866</v>
      </c>
      <c r="AG1736" s="43">
        <v>8.2473025141991201</v>
      </c>
      <c r="AH1736" s="43">
        <v>-75.613420150215802</v>
      </c>
      <c r="AI1736" s="122" t="s">
        <v>1255</v>
      </c>
      <c r="AJ1736" s="41">
        <v>0.9</v>
      </c>
    </row>
    <row r="1737" spans="1:36" ht="35.1" hidden="1" customHeight="1" x14ac:dyDescent="0.25">
      <c r="A1737" s="40">
        <v>2378</v>
      </c>
      <c r="B1737" s="90" t="s">
        <v>5943</v>
      </c>
      <c r="C1737" s="90" t="s">
        <v>1083</v>
      </c>
      <c r="D1737" s="44">
        <v>2040</v>
      </c>
      <c r="E1737" s="44"/>
      <c r="F1737" s="90" t="s">
        <v>2222</v>
      </c>
      <c r="G1737" s="90" t="s">
        <v>1259</v>
      </c>
      <c r="H1737" s="40" t="s">
        <v>467</v>
      </c>
      <c r="I1737" s="90" t="s">
        <v>1257</v>
      </c>
      <c r="J1737" s="90"/>
      <c r="K1737" s="90" t="s">
        <v>1268</v>
      </c>
      <c r="L1737" s="90"/>
      <c r="M1737" s="90"/>
      <c r="N1737" s="90"/>
      <c r="O1737" s="90"/>
      <c r="P1737" s="90"/>
      <c r="Q1737" s="90">
        <v>1</v>
      </c>
      <c r="R1737" s="90"/>
      <c r="S1737" s="90"/>
      <c r="T1737" s="90"/>
      <c r="U1737" s="90"/>
      <c r="V1737" s="90"/>
      <c r="W1737" s="90"/>
      <c r="X1737" s="90"/>
      <c r="Y1737" s="90"/>
      <c r="Z1737" s="90" t="s">
        <v>5946</v>
      </c>
      <c r="AA1737" s="91">
        <v>2300</v>
      </c>
      <c r="AB1737" s="46">
        <f>IF(H2ProjectDB689571011[[#This Row],[Dummy_1]]="Electrolysis",
AA1737/VLOOKUP(G1737,ElectrolysisConvF,3,FALSE),
AC1737*10^6/(H2dens*HoursInYear))</f>
        <v>511111.11111111112</v>
      </c>
      <c r="AC1737" s="47">
        <f t="shared" si="123"/>
        <v>398.48266666666666</v>
      </c>
      <c r="AD1737" s="92"/>
      <c r="AE1737" s="92">
        <f t="shared" si="120"/>
        <v>511111.11111111112</v>
      </c>
      <c r="AF1737" s="93" t="s">
        <v>5866</v>
      </c>
      <c r="AG1737" s="43">
        <v>8.5067890107556199</v>
      </c>
      <c r="AH1737" s="43">
        <v>-74.770668836050902</v>
      </c>
      <c r="AI1737" s="122" t="s">
        <v>7286</v>
      </c>
      <c r="AJ1737" s="41">
        <v>0.56999999999999995</v>
      </c>
    </row>
    <row r="1738" spans="1:36" ht="35.1" hidden="1" customHeight="1" x14ac:dyDescent="0.25">
      <c r="A1738" s="40">
        <v>2379</v>
      </c>
      <c r="B1738" s="90" t="s">
        <v>5940</v>
      </c>
      <c r="C1738" s="90" t="s">
        <v>1083</v>
      </c>
      <c r="D1738" s="44">
        <v>2030</v>
      </c>
      <c r="E1738" s="44"/>
      <c r="F1738" s="90" t="s">
        <v>2222</v>
      </c>
      <c r="G1738" s="90" t="s">
        <v>455</v>
      </c>
      <c r="H1738" s="90"/>
      <c r="I1738" s="90" t="s">
        <v>1266</v>
      </c>
      <c r="J1738" s="90"/>
      <c r="K1738" s="90" t="s">
        <v>1243</v>
      </c>
      <c r="L1738" s="90"/>
      <c r="M1738" s="90">
        <v>1</v>
      </c>
      <c r="N1738" s="90"/>
      <c r="O1738" s="90"/>
      <c r="P1738" s="90">
        <v>1</v>
      </c>
      <c r="Q1738" s="90"/>
      <c r="R1738" s="90">
        <v>1</v>
      </c>
      <c r="S1738" s="90"/>
      <c r="T1738" s="90"/>
      <c r="U1738" s="90"/>
      <c r="V1738" s="90"/>
      <c r="W1738" s="90"/>
      <c r="X1738" s="90"/>
      <c r="Y1738" s="90"/>
      <c r="Z1738" s="90" t="s">
        <v>3527</v>
      </c>
      <c r="AA1738" s="91">
        <v>120</v>
      </c>
      <c r="AB1738" s="46">
        <f>IF(H2ProjectDB689571011[[#This Row],[Dummy_1]]="Electrolysis",
AA1738/VLOOKUP(G1738,ElectrolysisConvF,3,FALSE),
AC1738*10^6/(H2dens*HoursInYear))</f>
        <v>23076.923076923078</v>
      </c>
      <c r="AC1738" s="47">
        <f t="shared" si="123"/>
        <v>17.991692307692308</v>
      </c>
      <c r="AD1738" s="92"/>
      <c r="AE1738" s="92">
        <f t="shared" si="120"/>
        <v>23076.923076923078</v>
      </c>
      <c r="AF1738" s="93" t="s">
        <v>5866</v>
      </c>
      <c r="AG1738" s="43">
        <v>8.2473025141991201</v>
      </c>
      <c r="AH1738" s="43">
        <v>-76.580217015896807</v>
      </c>
      <c r="AI1738" s="122" t="s">
        <v>7286</v>
      </c>
      <c r="AJ1738" s="41">
        <v>0.56999999999999995</v>
      </c>
    </row>
    <row r="1739" spans="1:36" ht="35.1" hidden="1" customHeight="1" x14ac:dyDescent="0.25">
      <c r="A1739" s="40">
        <v>2381</v>
      </c>
      <c r="B1739" s="40" t="s">
        <v>5959</v>
      </c>
      <c r="C1739" s="90" t="s">
        <v>530</v>
      </c>
      <c r="D1739" s="44">
        <v>2027</v>
      </c>
      <c r="E1739" s="44"/>
      <c r="F1739" s="40" t="s">
        <v>1331</v>
      </c>
      <c r="G1739" s="40" t="s">
        <v>1259</v>
      </c>
      <c r="H1739" s="40" t="s">
        <v>467</v>
      </c>
      <c r="I1739" s="40" t="s">
        <v>1257</v>
      </c>
      <c r="J1739" s="90"/>
      <c r="K1739" s="90" t="s">
        <v>578</v>
      </c>
      <c r="L1739" s="90">
        <v>1</v>
      </c>
      <c r="M1739" s="90"/>
      <c r="N1739" s="90"/>
      <c r="O1739" s="90">
        <v>1</v>
      </c>
      <c r="P1739" s="90">
        <v>1</v>
      </c>
      <c r="Q1739" s="90"/>
      <c r="R1739" s="90"/>
      <c r="S1739" s="90"/>
      <c r="T1739" s="90"/>
      <c r="U1739" s="90"/>
      <c r="V1739" s="90"/>
      <c r="W1739" s="90"/>
      <c r="X1739" s="90"/>
      <c r="Y1739" s="90"/>
      <c r="Z1739" s="40" t="s">
        <v>1574</v>
      </c>
      <c r="AA1739" s="91">
        <v>100</v>
      </c>
      <c r="AB1739" s="46">
        <f>IF(H2ProjectDB689571011[[#This Row],[Dummy_1]]="Electrolysis",
AA1739/VLOOKUP(G1739,ElectrolysisConvF,3,FALSE),
AC1739*10^6/(H2dens*HoursInYear))</f>
        <v>22222.222222222223</v>
      </c>
      <c r="AC1739" s="47">
        <f t="shared" si="123"/>
        <v>17.325333333333333</v>
      </c>
      <c r="AD1739" s="92"/>
      <c r="AE1739" s="92">
        <f t="shared" si="120"/>
        <v>22222.222222222223</v>
      </c>
      <c r="AF1739" s="93" t="s">
        <v>3747</v>
      </c>
      <c r="AG1739" s="43">
        <v>43.416852212323903</v>
      </c>
      <c r="AH1739" s="43">
        <v>4.8343980348886797</v>
      </c>
      <c r="AI1739" s="122" t="s">
        <v>7286</v>
      </c>
      <c r="AJ1739" s="41">
        <v>0.56999999999999995</v>
      </c>
    </row>
    <row r="1740" spans="1:36" ht="35.1" hidden="1" customHeight="1" x14ac:dyDescent="0.25">
      <c r="A1740" s="40">
        <v>2382</v>
      </c>
      <c r="B1740" s="40" t="s">
        <v>5960</v>
      </c>
      <c r="C1740" s="90" t="s">
        <v>530</v>
      </c>
      <c r="D1740" s="44">
        <v>2028</v>
      </c>
      <c r="E1740" s="44"/>
      <c r="F1740" s="40" t="s">
        <v>1331</v>
      </c>
      <c r="G1740" s="40" t="s">
        <v>1259</v>
      </c>
      <c r="H1740" s="40" t="s">
        <v>467</v>
      </c>
      <c r="I1740" s="40" t="s">
        <v>1257</v>
      </c>
      <c r="J1740" s="90"/>
      <c r="K1740" s="90" t="s">
        <v>578</v>
      </c>
      <c r="L1740" s="90">
        <v>1</v>
      </c>
      <c r="M1740" s="90"/>
      <c r="N1740" s="90"/>
      <c r="O1740" s="90">
        <v>1</v>
      </c>
      <c r="P1740" s="90">
        <v>1</v>
      </c>
      <c r="Q1740" s="90"/>
      <c r="R1740" s="90"/>
      <c r="S1740" s="90"/>
      <c r="T1740" s="90"/>
      <c r="U1740" s="90"/>
      <c r="V1740" s="90"/>
      <c r="W1740" s="90"/>
      <c r="X1740" s="90"/>
      <c r="Y1740" s="90"/>
      <c r="Z1740" s="40" t="s">
        <v>2024</v>
      </c>
      <c r="AA1740" s="91">
        <v>100</v>
      </c>
      <c r="AB1740" s="46">
        <f>IF(H2ProjectDB689571011[[#This Row],[Dummy_1]]="Electrolysis",
AA1740/VLOOKUP(G1740,ElectrolysisConvF,3,FALSE),
AC1740*10^6/(H2dens*HoursInYear))</f>
        <v>22222.222222222223</v>
      </c>
      <c r="AC1740" s="47">
        <f t="shared" si="123"/>
        <v>17.325333333333333</v>
      </c>
      <c r="AD1740" s="92"/>
      <c r="AE1740" s="92">
        <f t="shared" si="120"/>
        <v>22222.222222222223</v>
      </c>
      <c r="AF1740" s="93" t="s">
        <v>3747</v>
      </c>
      <c r="AG1740" s="43">
        <v>43.416852212323903</v>
      </c>
      <c r="AH1740" s="43">
        <v>4.8343980348886797</v>
      </c>
      <c r="AI1740" s="122" t="s">
        <v>7286</v>
      </c>
      <c r="AJ1740" s="41">
        <v>0.56999999999999995</v>
      </c>
    </row>
    <row r="1741" spans="1:36" ht="35.1" hidden="1" customHeight="1" x14ac:dyDescent="0.25">
      <c r="A1741" s="40">
        <v>2383</v>
      </c>
      <c r="B1741" s="40" t="s">
        <v>5961</v>
      </c>
      <c r="C1741" s="90" t="s">
        <v>530</v>
      </c>
      <c r="D1741" s="44">
        <v>2029</v>
      </c>
      <c r="E1741" s="44"/>
      <c r="F1741" s="40" t="s">
        <v>1331</v>
      </c>
      <c r="G1741" s="40" t="s">
        <v>1259</v>
      </c>
      <c r="H1741" s="40" t="s">
        <v>467</v>
      </c>
      <c r="I1741" s="40" t="s">
        <v>1257</v>
      </c>
      <c r="J1741" s="90"/>
      <c r="K1741" s="90" t="s">
        <v>578</v>
      </c>
      <c r="L1741" s="90">
        <v>1</v>
      </c>
      <c r="M1741" s="90"/>
      <c r="N1741" s="90"/>
      <c r="O1741" s="90">
        <v>1</v>
      </c>
      <c r="P1741" s="90">
        <v>1</v>
      </c>
      <c r="Q1741" s="90"/>
      <c r="R1741" s="90"/>
      <c r="S1741" s="90"/>
      <c r="T1741" s="90"/>
      <c r="U1741" s="90"/>
      <c r="V1741" s="90"/>
      <c r="W1741" s="90"/>
      <c r="X1741" s="90"/>
      <c r="Y1741" s="90"/>
      <c r="Z1741" s="40" t="s">
        <v>2393</v>
      </c>
      <c r="AA1741" s="91">
        <v>100</v>
      </c>
      <c r="AB1741" s="46">
        <f>IF(H2ProjectDB689571011[[#This Row],[Dummy_1]]="Electrolysis",
AA1741/VLOOKUP(G1741,ElectrolysisConvF,3,FALSE),
AC1741*10^6/(H2dens*HoursInYear))</f>
        <v>22222.222222222223</v>
      </c>
      <c r="AC1741" s="47">
        <f t="shared" si="123"/>
        <v>17.325333333333333</v>
      </c>
      <c r="AD1741" s="92"/>
      <c r="AE1741" s="92">
        <f t="shared" si="120"/>
        <v>22222.222222222223</v>
      </c>
      <c r="AF1741" s="93" t="s">
        <v>3747</v>
      </c>
      <c r="AG1741" s="43">
        <v>43.416852212323903</v>
      </c>
      <c r="AH1741" s="43">
        <v>4.8343980348886797</v>
      </c>
      <c r="AI1741" s="122" t="s">
        <v>7286</v>
      </c>
      <c r="AJ1741" s="41">
        <v>0.56999999999999995</v>
      </c>
    </row>
    <row r="1742" spans="1:36" ht="35.1" hidden="1" customHeight="1" x14ac:dyDescent="0.25">
      <c r="A1742" s="40">
        <v>2384</v>
      </c>
      <c r="B1742" s="40" t="s">
        <v>5962</v>
      </c>
      <c r="C1742" s="90" t="s">
        <v>530</v>
      </c>
      <c r="D1742" s="44">
        <v>2030</v>
      </c>
      <c r="E1742" s="44"/>
      <c r="F1742" s="40" t="s">
        <v>1331</v>
      </c>
      <c r="G1742" s="40" t="s">
        <v>1259</v>
      </c>
      <c r="H1742" s="40" t="s">
        <v>467</v>
      </c>
      <c r="I1742" s="40" t="s">
        <v>1257</v>
      </c>
      <c r="J1742" s="90"/>
      <c r="K1742" s="90" t="s">
        <v>578</v>
      </c>
      <c r="L1742" s="90">
        <v>1</v>
      </c>
      <c r="M1742" s="90"/>
      <c r="N1742" s="90"/>
      <c r="O1742" s="90">
        <v>1</v>
      </c>
      <c r="P1742" s="90">
        <v>1</v>
      </c>
      <c r="Q1742" s="90"/>
      <c r="R1742" s="90"/>
      <c r="S1742" s="90"/>
      <c r="T1742" s="90"/>
      <c r="U1742" s="90"/>
      <c r="V1742" s="90"/>
      <c r="W1742" s="90"/>
      <c r="X1742" s="90"/>
      <c r="Y1742" s="90"/>
      <c r="Z1742" s="40" t="s">
        <v>2054</v>
      </c>
      <c r="AA1742" s="91">
        <v>100</v>
      </c>
      <c r="AB1742" s="46">
        <f>IF(H2ProjectDB689571011[[#This Row],[Dummy_1]]="Electrolysis",
AA1742/VLOOKUP(G1742,ElectrolysisConvF,3,FALSE),
AC1742*10^6/(H2dens*HoursInYear))</f>
        <v>22222.222222222223</v>
      </c>
      <c r="AC1742" s="47">
        <f t="shared" si="123"/>
        <v>17.325333333333333</v>
      </c>
      <c r="AD1742" s="92"/>
      <c r="AE1742" s="92">
        <f t="shared" si="120"/>
        <v>22222.222222222223</v>
      </c>
      <c r="AF1742" s="93" t="s">
        <v>3747</v>
      </c>
      <c r="AG1742" s="43">
        <v>43.416852212323903</v>
      </c>
      <c r="AH1742" s="43">
        <v>4.8343980348886797</v>
      </c>
      <c r="AI1742" s="122" t="s">
        <v>7286</v>
      </c>
      <c r="AJ1742" s="41">
        <v>0.56999999999999995</v>
      </c>
    </row>
    <row r="1743" spans="1:36" ht="35.1" hidden="1" customHeight="1" x14ac:dyDescent="0.25">
      <c r="A1743" s="40">
        <v>2385</v>
      </c>
      <c r="B1743" s="90" t="s">
        <v>5965</v>
      </c>
      <c r="C1743" s="90" t="s">
        <v>530</v>
      </c>
      <c r="D1743" s="44">
        <v>2030</v>
      </c>
      <c r="E1743" s="44"/>
      <c r="F1743" s="90" t="s">
        <v>2222</v>
      </c>
      <c r="G1743" s="90" t="s">
        <v>1259</v>
      </c>
      <c r="H1743" s="40" t="s">
        <v>467</v>
      </c>
      <c r="I1743" s="90" t="s">
        <v>1266</v>
      </c>
      <c r="J1743" s="90"/>
      <c r="K1743" s="90" t="s">
        <v>578</v>
      </c>
      <c r="L1743" s="90"/>
      <c r="M1743" s="90"/>
      <c r="N1743" s="90"/>
      <c r="O1743" s="90"/>
      <c r="P1743" s="90"/>
      <c r="Q1743" s="90"/>
      <c r="R1743" s="90"/>
      <c r="S1743" s="90"/>
      <c r="T1743" s="90"/>
      <c r="U1743" s="90"/>
      <c r="V1743" s="90"/>
      <c r="W1743" s="90"/>
      <c r="X1743" s="90"/>
      <c r="Y1743" s="90"/>
      <c r="Z1743" s="40" t="s">
        <v>1672</v>
      </c>
      <c r="AA1743" s="91">
        <v>20</v>
      </c>
      <c r="AB1743" s="46">
        <f>IF(H2ProjectDB689571011[[#This Row],[Dummy_1]]="Electrolysis",
AA1743/VLOOKUP(G1743,ElectrolysisConvF,3,FALSE),
AC1743*10^6/(H2dens*HoursInYear))</f>
        <v>4444.4444444444443</v>
      </c>
      <c r="AC1743" s="47">
        <f t="shared" si="123"/>
        <v>3.4650666666666665</v>
      </c>
      <c r="AD1743" s="92"/>
      <c r="AE1743" s="92">
        <f t="shared" si="120"/>
        <v>4444.4444444444443</v>
      </c>
      <c r="AF1743" s="93"/>
      <c r="AG1743" s="43">
        <v>45.702181000000003</v>
      </c>
      <c r="AH1743" s="43">
        <v>4.8441479999999997</v>
      </c>
      <c r="AI1743" s="122" t="s">
        <v>7286</v>
      </c>
      <c r="AJ1743" s="41">
        <v>0.56999999999999995</v>
      </c>
    </row>
    <row r="1744" spans="1:36" ht="35.1" hidden="1" customHeight="1" x14ac:dyDescent="0.25">
      <c r="A1744" s="40">
        <v>2386</v>
      </c>
      <c r="B1744" s="90" t="s">
        <v>5974</v>
      </c>
      <c r="C1744" s="90" t="s">
        <v>530</v>
      </c>
      <c r="D1744" s="44">
        <v>2027</v>
      </c>
      <c r="E1744" s="44"/>
      <c r="F1744" s="90" t="s">
        <v>5701</v>
      </c>
      <c r="G1744" s="90" t="s">
        <v>457</v>
      </c>
      <c r="H1744" s="90"/>
      <c r="I1744" s="90" t="s">
        <v>1266</v>
      </c>
      <c r="J1744" s="90"/>
      <c r="K1744" s="90" t="s">
        <v>578</v>
      </c>
      <c r="L1744" s="90"/>
      <c r="M1744" s="90"/>
      <c r="N1744" s="90"/>
      <c r="O1744" s="90"/>
      <c r="P1744" s="90"/>
      <c r="Q1744" s="90">
        <v>1</v>
      </c>
      <c r="R1744" s="90"/>
      <c r="S1744" s="90"/>
      <c r="T1744" s="90"/>
      <c r="U1744" s="90"/>
      <c r="V1744" s="90"/>
      <c r="W1744" s="90"/>
      <c r="X1744" s="90"/>
      <c r="Y1744" s="90"/>
      <c r="Z1744" s="40" t="s">
        <v>1368</v>
      </c>
      <c r="AA1744" s="91">
        <v>2</v>
      </c>
      <c r="AB1744" s="46">
        <f>IF(H2ProjectDB689571011[[#This Row],[Dummy_1]]="Electrolysis",
AA1744/VLOOKUP(G1744,ElectrolysisConvF,3,FALSE),
AC1744*10^6/(H2dens*HoursInYear))</f>
        <v>434.78260869565219</v>
      </c>
      <c r="AC1744" s="47">
        <f t="shared" si="123"/>
        <v>0.33897391304347824</v>
      </c>
      <c r="AD1744" s="92"/>
      <c r="AE1744" s="92">
        <f t="shared" si="120"/>
        <v>434.78260869565219</v>
      </c>
      <c r="AF1744" s="43" t="s">
        <v>5976</v>
      </c>
      <c r="AG1744" s="43">
        <v>47.319832054000003</v>
      </c>
      <c r="AH1744" s="43">
        <v>5.0381665140000003</v>
      </c>
      <c r="AI1744" s="122" t="s">
        <v>7286</v>
      </c>
      <c r="AJ1744" s="41">
        <v>0.56999999999999995</v>
      </c>
    </row>
    <row r="1745" spans="1:36" ht="35.1" hidden="1" customHeight="1" x14ac:dyDescent="0.25">
      <c r="A1745" s="40">
        <v>2387</v>
      </c>
      <c r="B1745" s="40" t="s">
        <v>5991</v>
      </c>
      <c r="C1745" s="90" t="s">
        <v>530</v>
      </c>
      <c r="D1745" s="44">
        <v>2024</v>
      </c>
      <c r="E1745" s="90"/>
      <c r="F1745" s="90" t="s">
        <v>1339</v>
      </c>
      <c r="G1745" s="90" t="s">
        <v>457</v>
      </c>
      <c r="H1745" s="90"/>
      <c r="I1745" s="40" t="s">
        <v>1266</v>
      </c>
      <c r="J1745" s="90"/>
      <c r="K1745" s="90" t="s">
        <v>578</v>
      </c>
      <c r="L1745" s="90"/>
      <c r="M1745" s="90"/>
      <c r="N1745" s="90"/>
      <c r="O1745" s="90"/>
      <c r="P1745" s="90"/>
      <c r="Q1745" s="90">
        <v>1</v>
      </c>
      <c r="R1745" s="90"/>
      <c r="S1745" s="90"/>
      <c r="T1745" s="90"/>
      <c r="U1745" s="90"/>
      <c r="V1745" s="90"/>
      <c r="W1745" s="90"/>
      <c r="X1745" s="90"/>
      <c r="Y1745" s="90"/>
      <c r="Z1745" s="40" t="s">
        <v>1493</v>
      </c>
      <c r="AA1745" s="91">
        <v>1</v>
      </c>
      <c r="AB1745" s="46">
        <f>IF(H2ProjectDB689571011[[#This Row],[Dummy_1]]="Electrolysis",
AA1745/VLOOKUP(G1745,ElectrolysisConvF,3,FALSE),
AC1745*10^6/(H2dens*HoursInYear))</f>
        <v>217.39130434782609</v>
      </c>
      <c r="AC1745" s="47">
        <f t="shared" si="123"/>
        <v>0.16948695652173912</v>
      </c>
      <c r="AD1745" s="92"/>
      <c r="AE1745" s="92">
        <f t="shared" si="120"/>
        <v>217.39130434782609</v>
      </c>
      <c r="AF1745" s="93" t="s">
        <v>3457</v>
      </c>
      <c r="AG1745" s="43">
        <v>47.619245091977199</v>
      </c>
      <c r="AH1745" s="43">
        <v>6.8650378524872204</v>
      </c>
      <c r="AI1745" s="122" t="s">
        <v>7286</v>
      </c>
      <c r="AJ1745" s="41">
        <v>0.56999999999999995</v>
      </c>
    </row>
    <row r="1746" spans="1:36" ht="35.1" hidden="1" customHeight="1" x14ac:dyDescent="0.25">
      <c r="A1746" s="40">
        <v>2389</v>
      </c>
      <c r="B1746" s="90" t="s">
        <v>6000</v>
      </c>
      <c r="C1746" s="90" t="s">
        <v>530</v>
      </c>
      <c r="D1746" s="44">
        <v>2026</v>
      </c>
      <c r="E1746" s="44"/>
      <c r="F1746" s="40" t="s">
        <v>2222</v>
      </c>
      <c r="G1746" s="40" t="s">
        <v>1259</v>
      </c>
      <c r="H1746" s="40" t="s">
        <v>467</v>
      </c>
      <c r="I1746" s="40" t="s">
        <v>1257</v>
      </c>
      <c r="J1746" s="90"/>
      <c r="K1746" s="90" t="s">
        <v>578</v>
      </c>
      <c r="L1746" s="90"/>
      <c r="M1746" s="90"/>
      <c r="N1746" s="90"/>
      <c r="O1746" s="90"/>
      <c r="P1746" s="90">
        <v>1</v>
      </c>
      <c r="Q1746" s="90">
        <v>1</v>
      </c>
      <c r="R1746" s="90"/>
      <c r="S1746" s="90"/>
      <c r="T1746" s="90"/>
      <c r="U1746" s="90"/>
      <c r="V1746" s="90"/>
      <c r="W1746" s="90"/>
      <c r="X1746" s="90"/>
      <c r="Y1746" s="90"/>
      <c r="Z1746" s="40" t="s">
        <v>1333</v>
      </c>
      <c r="AA1746" s="91">
        <v>10</v>
      </c>
      <c r="AB1746" s="46">
        <f>IF(H2ProjectDB689571011[[#This Row],[Dummy_1]]="Electrolysis",
AA1746/VLOOKUP(G1746,ElectrolysisConvF,3,FALSE),
AC1746*10^6/(H2dens*HoursInYear))</f>
        <v>2222.2222222222222</v>
      </c>
      <c r="AC1746" s="47">
        <f t="shared" si="123"/>
        <v>1.7325333333333333</v>
      </c>
      <c r="AD1746" s="92"/>
      <c r="AE1746" s="92">
        <f t="shared" si="120"/>
        <v>2222.2222222222222</v>
      </c>
      <c r="AF1746" s="43" t="s">
        <v>6004</v>
      </c>
      <c r="AG1746" s="43">
        <v>48.405691949255001</v>
      </c>
      <c r="AH1746" s="43">
        <v>-4.0769331094680696</v>
      </c>
      <c r="AI1746" s="122" t="s">
        <v>7286</v>
      </c>
      <c r="AJ1746" s="41">
        <v>0.56999999999999995</v>
      </c>
    </row>
    <row r="1747" spans="1:36" ht="35.1" hidden="1" customHeight="1" x14ac:dyDescent="0.25">
      <c r="A1747" s="40">
        <v>2390</v>
      </c>
      <c r="B1747" s="90" t="s">
        <v>6001</v>
      </c>
      <c r="C1747" s="90" t="s">
        <v>530</v>
      </c>
      <c r="D1747" s="44">
        <v>2026</v>
      </c>
      <c r="E1747" s="44"/>
      <c r="F1747" s="40" t="s">
        <v>2222</v>
      </c>
      <c r="G1747" s="40" t="s">
        <v>1259</v>
      </c>
      <c r="H1747" s="40" t="s">
        <v>467</v>
      </c>
      <c r="I1747" s="40" t="s">
        <v>1257</v>
      </c>
      <c r="J1747" s="90"/>
      <c r="K1747" s="90" t="s">
        <v>578</v>
      </c>
      <c r="L1747" s="90"/>
      <c r="M1747" s="90"/>
      <c r="N1747" s="90"/>
      <c r="O1747" s="90"/>
      <c r="P1747" s="90">
        <v>1</v>
      </c>
      <c r="Q1747" s="90">
        <v>1</v>
      </c>
      <c r="R1747" s="90"/>
      <c r="S1747" s="90"/>
      <c r="T1747" s="90"/>
      <c r="U1747" s="90"/>
      <c r="V1747" s="90"/>
      <c r="W1747" s="90"/>
      <c r="X1747" s="90"/>
      <c r="Y1747" s="90"/>
      <c r="Z1747" s="40" t="s">
        <v>1333</v>
      </c>
      <c r="AA1747" s="91">
        <v>10</v>
      </c>
      <c r="AB1747" s="46">
        <f>IF(H2ProjectDB689571011[[#This Row],[Dummy_1]]="Electrolysis",
AA1747/VLOOKUP(G1747,ElectrolysisConvF,3,FALSE),
AC1747*10^6/(H2dens*HoursInYear))</f>
        <v>2222.2222222222222</v>
      </c>
      <c r="AC1747" s="47">
        <f t="shared" si="123"/>
        <v>1.7325333333333333</v>
      </c>
      <c r="AD1747" s="92"/>
      <c r="AE1747" s="92">
        <f t="shared" si="120"/>
        <v>2222.2222222222222</v>
      </c>
      <c r="AF1747" s="43" t="s">
        <v>6005</v>
      </c>
      <c r="AG1747" s="43">
        <v>48.083636872381902</v>
      </c>
      <c r="AH1747" s="43">
        <v>-2.2816124984111399</v>
      </c>
      <c r="AI1747" s="122" t="s">
        <v>7286</v>
      </c>
      <c r="AJ1747" s="41">
        <v>0.56999999999999995</v>
      </c>
    </row>
    <row r="1748" spans="1:36" ht="35.1" hidden="1" customHeight="1" x14ac:dyDescent="0.25">
      <c r="A1748" s="40">
        <v>2391</v>
      </c>
      <c r="B1748" s="90" t="s">
        <v>6006</v>
      </c>
      <c r="C1748" s="90" t="s">
        <v>530</v>
      </c>
      <c r="D1748" s="44">
        <v>2025</v>
      </c>
      <c r="E1748" s="44"/>
      <c r="F1748" s="40" t="s">
        <v>1331</v>
      </c>
      <c r="G1748" s="40" t="s">
        <v>1259</v>
      </c>
      <c r="H1748" s="40" t="s">
        <v>467</v>
      </c>
      <c r="I1748" s="90" t="s">
        <v>1266</v>
      </c>
      <c r="J1748" s="90"/>
      <c r="K1748" s="90" t="s">
        <v>578</v>
      </c>
      <c r="L1748" s="90"/>
      <c r="M1748" s="90"/>
      <c r="N1748" s="90"/>
      <c r="O1748" s="90"/>
      <c r="P1748" s="90"/>
      <c r="Q1748" s="90">
        <v>1</v>
      </c>
      <c r="R1748" s="90"/>
      <c r="S1748" s="90"/>
      <c r="T1748" s="90"/>
      <c r="U1748" s="90"/>
      <c r="V1748" s="90"/>
      <c r="W1748" s="90"/>
      <c r="X1748" s="90"/>
      <c r="Y1748" s="90"/>
      <c r="Z1748" s="40" t="s">
        <v>1495</v>
      </c>
      <c r="AA1748" s="91">
        <v>20</v>
      </c>
      <c r="AB1748" s="46">
        <f>IF(H2ProjectDB689571011[[#This Row],[Dummy_1]]="Electrolysis",
AA1748/VLOOKUP(G1748,ElectrolysisConvF,3,FALSE),
AC1748*10^6/(H2dens*HoursInYear))</f>
        <v>4444.4444444444443</v>
      </c>
      <c r="AC1748" s="47">
        <f t="shared" si="123"/>
        <v>3.4650666666666665</v>
      </c>
      <c r="AD1748" s="92"/>
      <c r="AE1748" s="92">
        <f t="shared" si="120"/>
        <v>4444.4444444444443</v>
      </c>
      <c r="AF1748" s="43" t="s">
        <v>6008</v>
      </c>
      <c r="AG1748" s="43">
        <v>42.4300677199898</v>
      </c>
      <c r="AH1748" s="43">
        <v>9.2010232608992393</v>
      </c>
      <c r="AI1748" s="122" t="s">
        <v>7286</v>
      </c>
      <c r="AJ1748" s="41">
        <v>0.56999999999999995</v>
      </c>
    </row>
    <row r="1749" spans="1:36" ht="35.1" hidden="1" customHeight="1" x14ac:dyDescent="0.25">
      <c r="A1749" s="40">
        <v>2392</v>
      </c>
      <c r="B1749" s="90" t="s">
        <v>6009</v>
      </c>
      <c r="C1749" s="90" t="s">
        <v>530</v>
      </c>
      <c r="D1749" s="44">
        <v>2025</v>
      </c>
      <c r="E1749" s="44"/>
      <c r="F1749" s="90" t="s">
        <v>2222</v>
      </c>
      <c r="G1749" s="90" t="s">
        <v>1259</v>
      </c>
      <c r="H1749" s="40" t="s">
        <v>467</v>
      </c>
      <c r="I1749" s="90" t="s">
        <v>5700</v>
      </c>
      <c r="J1749" s="90" t="s">
        <v>1391</v>
      </c>
      <c r="K1749" s="90" t="s">
        <v>578</v>
      </c>
      <c r="L1749" s="90"/>
      <c r="M1749" s="90"/>
      <c r="N1749" s="90"/>
      <c r="O1749" s="90"/>
      <c r="P1749" s="90"/>
      <c r="Q1749" s="90">
        <v>1</v>
      </c>
      <c r="R1749" s="90"/>
      <c r="S1749" s="90">
        <v>1</v>
      </c>
      <c r="T1749" s="90"/>
      <c r="U1749" s="90">
        <v>1</v>
      </c>
      <c r="V1749" s="90"/>
      <c r="W1749" s="90"/>
      <c r="X1749" s="90"/>
      <c r="Y1749" s="90"/>
      <c r="Z1749" s="40" t="s">
        <v>1484</v>
      </c>
      <c r="AA1749" s="91">
        <v>5</v>
      </c>
      <c r="AB1749" s="46">
        <f>IF(H2ProjectDB689571011[[#This Row],[Dummy_1]]="Electrolysis",
AA1749/VLOOKUP(G1749,ElectrolysisConvF,3,FALSE),
AC1749*10^6/(H2dens*HoursInYear))</f>
        <v>1111.1111111111111</v>
      </c>
      <c r="AC1749" s="47">
        <f t="shared" si="123"/>
        <v>0.86626666666666663</v>
      </c>
      <c r="AD1749" s="92"/>
      <c r="AE1749" s="92">
        <f t="shared" si="120"/>
        <v>1111.1111111111111</v>
      </c>
      <c r="AF1749" s="43" t="s">
        <v>6014</v>
      </c>
      <c r="AG1749" s="43">
        <v>41.920414102149103</v>
      </c>
      <c r="AH1749" s="43">
        <v>8.7370722313980593</v>
      </c>
      <c r="AI1749" s="122" t="s">
        <v>7286</v>
      </c>
      <c r="AJ1749" s="41">
        <v>0.7</v>
      </c>
    </row>
    <row r="1750" spans="1:36" ht="35.1" hidden="1" customHeight="1" x14ac:dyDescent="0.25">
      <c r="A1750" s="40">
        <v>2393</v>
      </c>
      <c r="B1750" s="90" t="s">
        <v>6010</v>
      </c>
      <c r="C1750" s="90" t="s">
        <v>530</v>
      </c>
      <c r="D1750" s="44">
        <v>2025</v>
      </c>
      <c r="E1750" s="44"/>
      <c r="F1750" s="90" t="s">
        <v>2222</v>
      </c>
      <c r="G1750" s="90" t="s">
        <v>1259</v>
      </c>
      <c r="H1750" s="40" t="s">
        <v>467</v>
      </c>
      <c r="I1750" s="90" t="s">
        <v>1269</v>
      </c>
      <c r="J1750" s="90" t="s">
        <v>1391</v>
      </c>
      <c r="K1750" s="90" t="s">
        <v>578</v>
      </c>
      <c r="L1750" s="90"/>
      <c r="M1750" s="90"/>
      <c r="N1750" s="90"/>
      <c r="O1750" s="90"/>
      <c r="P1750" s="90"/>
      <c r="Q1750" s="90">
        <v>1</v>
      </c>
      <c r="R1750" s="90"/>
      <c r="S1750" s="90">
        <v>1</v>
      </c>
      <c r="T1750" s="90"/>
      <c r="U1750" s="90">
        <v>1</v>
      </c>
      <c r="V1750" s="90"/>
      <c r="W1750" s="90"/>
      <c r="X1750" s="90"/>
      <c r="Y1750" s="90"/>
      <c r="Z1750" s="40" t="s">
        <v>1484</v>
      </c>
      <c r="AA1750" s="91">
        <v>5</v>
      </c>
      <c r="AB1750" s="46">
        <f>IF(H2ProjectDB689571011[[#This Row],[Dummy_1]]="Electrolysis",
AA1750/VLOOKUP(G1750,ElectrolysisConvF,3,FALSE),
AC1750*10^6/(H2dens*HoursInYear))</f>
        <v>1111.1111111111111</v>
      </c>
      <c r="AC1750" s="47">
        <f t="shared" si="123"/>
        <v>0.86626666666666663</v>
      </c>
      <c r="AD1750" s="92"/>
      <c r="AE1750" s="92">
        <f t="shared" si="120"/>
        <v>1111.1111111111111</v>
      </c>
      <c r="AF1750" s="43" t="s">
        <v>6015</v>
      </c>
      <c r="AG1750" s="43">
        <v>42.697102981683102</v>
      </c>
      <c r="AH1750" s="43">
        <v>9.4511371749235593</v>
      </c>
      <c r="AI1750" s="122" t="s">
        <v>7286</v>
      </c>
      <c r="AJ1750" s="41">
        <v>0.3</v>
      </c>
    </row>
    <row r="1751" spans="1:36" ht="35.1" hidden="1" customHeight="1" x14ac:dyDescent="0.25">
      <c r="A1751" s="40">
        <v>2394</v>
      </c>
      <c r="B1751" s="90" t="s">
        <v>5938</v>
      </c>
      <c r="C1751" s="90" t="s">
        <v>530</v>
      </c>
      <c r="D1751" s="44">
        <v>2026</v>
      </c>
      <c r="E1751" s="44"/>
      <c r="F1751" s="90" t="s">
        <v>2222</v>
      </c>
      <c r="G1751" s="90" t="s">
        <v>1259</v>
      </c>
      <c r="H1751" s="40" t="s">
        <v>467</v>
      </c>
      <c r="I1751" s="90" t="s">
        <v>1266</v>
      </c>
      <c r="J1751" s="90"/>
      <c r="K1751" s="90" t="s">
        <v>578</v>
      </c>
      <c r="L1751" s="90"/>
      <c r="M1751" s="90"/>
      <c r="N1751" s="90"/>
      <c r="O1751" s="90"/>
      <c r="P1751" s="90">
        <v>1</v>
      </c>
      <c r="Q1751" s="90">
        <v>1</v>
      </c>
      <c r="R1751" s="90"/>
      <c r="S1751" s="90"/>
      <c r="T1751" s="90"/>
      <c r="U1751" s="90"/>
      <c r="V1751" s="90"/>
      <c r="W1751" s="90"/>
      <c r="X1751" s="90"/>
      <c r="Y1751" s="90"/>
      <c r="Z1751" s="40" t="s">
        <v>1647</v>
      </c>
      <c r="AA1751" s="91">
        <v>9</v>
      </c>
      <c r="AB1751" s="46">
        <f>IF(H2ProjectDB689571011[[#This Row],[Dummy_1]]="Electrolysis",
AA1751/VLOOKUP(G1751,ElectrolysisConvF,3,FALSE),
AC1751*10^6/(H2dens*HoursInYear))</f>
        <v>2000.0000000000002</v>
      </c>
      <c r="AC1751" s="47">
        <f t="shared" si="123"/>
        <v>1.55928</v>
      </c>
      <c r="AD1751" s="92"/>
      <c r="AE1751" s="92">
        <f t="shared" si="120"/>
        <v>2000.0000000000002</v>
      </c>
      <c r="AF1751" s="43" t="s">
        <v>6016</v>
      </c>
      <c r="AG1751" s="43">
        <v>48.178055779908298</v>
      </c>
      <c r="AH1751" s="43">
        <v>6.4495661878051802</v>
      </c>
      <c r="AI1751" s="122" t="s">
        <v>7286</v>
      </c>
      <c r="AJ1751" s="41">
        <v>0.56999999999999995</v>
      </c>
    </row>
    <row r="1752" spans="1:36" ht="35.1" hidden="1" customHeight="1" x14ac:dyDescent="0.25">
      <c r="A1752" s="40">
        <v>2395</v>
      </c>
      <c r="B1752" s="90" t="s">
        <v>6017</v>
      </c>
      <c r="C1752" s="90" t="s">
        <v>530</v>
      </c>
      <c r="D1752" s="44">
        <v>2028</v>
      </c>
      <c r="E1752" s="44"/>
      <c r="F1752" s="90" t="s">
        <v>2222</v>
      </c>
      <c r="G1752" s="90" t="s">
        <v>1259</v>
      </c>
      <c r="H1752" s="90" t="s">
        <v>467</v>
      </c>
      <c r="I1752" s="90" t="s">
        <v>1266</v>
      </c>
      <c r="J1752" s="90"/>
      <c r="K1752" s="90" t="s">
        <v>578</v>
      </c>
      <c r="L1752" s="90"/>
      <c r="M1752" s="90"/>
      <c r="N1752" s="90"/>
      <c r="O1752" s="90"/>
      <c r="P1752" s="90"/>
      <c r="Q1752" s="90">
        <v>1</v>
      </c>
      <c r="R1752" s="90"/>
      <c r="S1752" s="90"/>
      <c r="T1752" s="90"/>
      <c r="U1752" s="90"/>
      <c r="V1752" s="90"/>
      <c r="W1752" s="90"/>
      <c r="X1752" s="90"/>
      <c r="Y1752" s="90"/>
      <c r="Z1752" s="40" t="s">
        <v>1574</v>
      </c>
      <c r="AA1752" s="91">
        <v>200</v>
      </c>
      <c r="AB1752" s="46">
        <f>IF(H2ProjectDB689571011[[#This Row],[Dummy_1]]="Electrolysis",
AA1752/VLOOKUP(G1752,ElectrolysisConvF,3,FALSE),
AC1752*10^6/(H2dens*HoursInYear))</f>
        <v>44444.444444444445</v>
      </c>
      <c r="AC1752" s="47">
        <f t="shared" si="123"/>
        <v>34.650666666666666</v>
      </c>
      <c r="AD1752" s="92"/>
      <c r="AE1752" s="92">
        <f t="shared" si="120"/>
        <v>44444.444444444445</v>
      </c>
      <c r="AF1752" s="43" t="s">
        <v>6023</v>
      </c>
      <c r="AG1752" s="43">
        <v>49.357465013365498</v>
      </c>
      <c r="AH1752" s="43">
        <v>6.1669832988657598</v>
      </c>
      <c r="AI1752" s="122" t="s">
        <v>7286</v>
      </c>
      <c r="AJ1752" s="41">
        <v>0.56999999999999995</v>
      </c>
    </row>
    <row r="1753" spans="1:36" ht="35.1" hidden="1" customHeight="1" x14ac:dyDescent="0.25">
      <c r="A1753" s="40">
        <v>2396</v>
      </c>
      <c r="B1753" s="90" t="s">
        <v>6018</v>
      </c>
      <c r="C1753" s="90" t="s">
        <v>530</v>
      </c>
      <c r="D1753" s="44">
        <v>2030</v>
      </c>
      <c r="E1753" s="44"/>
      <c r="F1753" s="90" t="s">
        <v>2222</v>
      </c>
      <c r="G1753" s="90" t="s">
        <v>1259</v>
      </c>
      <c r="H1753" s="90" t="s">
        <v>467</v>
      </c>
      <c r="I1753" s="90" t="s">
        <v>1266</v>
      </c>
      <c r="J1753" s="90"/>
      <c r="K1753" s="90" t="s">
        <v>578</v>
      </c>
      <c r="L1753" s="90"/>
      <c r="M1753" s="90"/>
      <c r="N1753" s="90"/>
      <c r="O1753" s="90"/>
      <c r="P1753" s="90"/>
      <c r="Q1753" s="90">
        <v>1</v>
      </c>
      <c r="R1753" s="90"/>
      <c r="S1753" s="90"/>
      <c r="T1753" s="90"/>
      <c r="U1753" s="90"/>
      <c r="V1753" s="90"/>
      <c r="W1753" s="90"/>
      <c r="X1753" s="90"/>
      <c r="Y1753" s="90"/>
      <c r="Z1753" s="40" t="s">
        <v>2393</v>
      </c>
      <c r="AA1753" s="91">
        <f>400-200</f>
        <v>200</v>
      </c>
      <c r="AB1753" s="46">
        <f>IF(H2ProjectDB689571011[[#This Row],[Dummy_1]]="Electrolysis",
AA1753/VLOOKUP(G1753,ElectrolysisConvF,3,FALSE),
AC1753*10^6/(H2dens*HoursInYear))</f>
        <v>44444.444444444445</v>
      </c>
      <c r="AC1753" s="47">
        <f t="shared" si="123"/>
        <v>34.650666666666666</v>
      </c>
      <c r="AD1753" s="92"/>
      <c r="AE1753" s="92">
        <f t="shared" ref="AE1753:AE1816" si="124">IF(AND(G1753&lt;&gt;"NG w CCUS",G1753&lt;&gt;"Oil w CCUS",G1753&lt;&gt;"Coal w CCUS"),AB1753,AD1753*10^3/(HoursInYear*IF(G1753="NG w CCUS",0.9105,1.9075)))</f>
        <v>44444.444444444445</v>
      </c>
      <c r="AF1753" s="43" t="s">
        <v>6023</v>
      </c>
      <c r="AG1753" s="43">
        <v>49.357465013365498</v>
      </c>
      <c r="AH1753" s="43">
        <v>6.1669832988657598</v>
      </c>
      <c r="AI1753" s="122" t="s">
        <v>7286</v>
      </c>
      <c r="AJ1753" s="41">
        <v>0.56999999999999995</v>
      </c>
    </row>
    <row r="1754" spans="1:36" ht="35.1" hidden="1" customHeight="1" x14ac:dyDescent="0.25">
      <c r="A1754" s="40">
        <v>2397</v>
      </c>
      <c r="B1754" s="90" t="s">
        <v>6019</v>
      </c>
      <c r="C1754" s="90" t="s">
        <v>530</v>
      </c>
      <c r="D1754" s="44">
        <v>2028</v>
      </c>
      <c r="E1754" s="44"/>
      <c r="F1754" s="90" t="s">
        <v>2222</v>
      </c>
      <c r="G1754" s="90" t="s">
        <v>1259</v>
      </c>
      <c r="H1754" s="90" t="s">
        <v>467</v>
      </c>
      <c r="I1754" s="90" t="s">
        <v>1257</v>
      </c>
      <c r="J1754" s="90" t="s">
        <v>581</v>
      </c>
      <c r="K1754" s="90" t="s">
        <v>578</v>
      </c>
      <c r="L1754" s="90"/>
      <c r="M1754" s="90"/>
      <c r="N1754" s="90"/>
      <c r="O1754" s="90"/>
      <c r="P1754" s="90"/>
      <c r="Q1754" s="90"/>
      <c r="R1754" s="90"/>
      <c r="S1754" s="90"/>
      <c r="T1754" s="90"/>
      <c r="U1754" s="90"/>
      <c r="V1754" s="90"/>
      <c r="W1754" s="90"/>
      <c r="X1754" s="90"/>
      <c r="Y1754" s="90"/>
      <c r="Z1754" s="40" t="s">
        <v>1574</v>
      </c>
      <c r="AA1754" s="91">
        <v>200</v>
      </c>
      <c r="AB1754" s="46">
        <f>IF(H2ProjectDB689571011[[#This Row],[Dummy_1]]="Electrolysis",
AA1754/VLOOKUP(G1754,ElectrolysisConvF,3,FALSE),
AC1754*10^6/(H2dens*HoursInYear))</f>
        <v>44444.444444444445</v>
      </c>
      <c r="AC1754" s="47">
        <f t="shared" si="123"/>
        <v>34.650666666666666</v>
      </c>
      <c r="AD1754" s="92"/>
      <c r="AE1754" s="92">
        <f t="shared" si="124"/>
        <v>44444.444444444445</v>
      </c>
      <c r="AF1754" s="43" t="s">
        <v>6024</v>
      </c>
      <c r="AG1754" s="43">
        <v>50.357767812877697</v>
      </c>
      <c r="AH1754" s="43">
        <v>3.5190026708515099</v>
      </c>
      <c r="AI1754" s="122" t="s">
        <v>7286</v>
      </c>
      <c r="AJ1754" s="41">
        <v>0.56999999999999995</v>
      </c>
    </row>
    <row r="1755" spans="1:36" ht="35.1" hidden="1" customHeight="1" x14ac:dyDescent="0.25">
      <c r="A1755" s="40">
        <v>2398</v>
      </c>
      <c r="B1755" s="90" t="s">
        <v>6020</v>
      </c>
      <c r="C1755" s="90" t="s">
        <v>530</v>
      </c>
      <c r="D1755" s="44">
        <v>2028</v>
      </c>
      <c r="E1755" s="44"/>
      <c r="F1755" s="90" t="s">
        <v>2222</v>
      </c>
      <c r="G1755" s="90" t="s">
        <v>1259</v>
      </c>
      <c r="H1755" s="90" t="s">
        <v>467</v>
      </c>
      <c r="I1755" s="90" t="s">
        <v>1257</v>
      </c>
      <c r="J1755" s="90" t="s">
        <v>581</v>
      </c>
      <c r="K1755" s="90" t="s">
        <v>578</v>
      </c>
      <c r="L1755" s="90"/>
      <c r="M1755" s="90"/>
      <c r="N1755" s="90"/>
      <c r="O1755" s="90"/>
      <c r="P1755" s="90"/>
      <c r="Q1755" s="90"/>
      <c r="R1755" s="90"/>
      <c r="S1755" s="90"/>
      <c r="T1755" s="90"/>
      <c r="U1755" s="90"/>
      <c r="V1755" s="90"/>
      <c r="W1755" s="90"/>
      <c r="X1755" s="90"/>
      <c r="Y1755" s="90"/>
      <c r="Z1755" s="40" t="s">
        <v>2393</v>
      </c>
      <c r="AA1755" s="91">
        <f>400-200</f>
        <v>200</v>
      </c>
      <c r="AB1755" s="46">
        <f>IF(H2ProjectDB689571011[[#This Row],[Dummy_1]]="Electrolysis",
AA1755/VLOOKUP(G1755,ElectrolysisConvF,3,FALSE),
AC1755*10^6/(H2dens*HoursInYear))</f>
        <v>44444.444444444445</v>
      </c>
      <c r="AC1755" s="47">
        <f t="shared" si="123"/>
        <v>34.650666666666666</v>
      </c>
      <c r="AD1755" s="92"/>
      <c r="AE1755" s="92">
        <f t="shared" si="124"/>
        <v>44444.444444444445</v>
      </c>
      <c r="AF1755" s="43" t="s">
        <v>6024</v>
      </c>
      <c r="AG1755" s="43">
        <v>50.357767812877697</v>
      </c>
      <c r="AH1755" s="43">
        <v>3.5190026708515099</v>
      </c>
      <c r="AI1755" s="122" t="s">
        <v>7286</v>
      </c>
      <c r="AJ1755" s="41">
        <v>0.56999999999999995</v>
      </c>
    </row>
    <row r="1756" spans="1:36" ht="35.1" hidden="1" customHeight="1" x14ac:dyDescent="0.25">
      <c r="A1756" s="40">
        <v>2399</v>
      </c>
      <c r="B1756" s="90" t="s">
        <v>6025</v>
      </c>
      <c r="C1756" s="90" t="s">
        <v>530</v>
      </c>
      <c r="D1756" s="44">
        <v>2030</v>
      </c>
      <c r="E1756" s="44"/>
      <c r="F1756" s="90" t="s">
        <v>2222</v>
      </c>
      <c r="G1756" s="90" t="s">
        <v>455</v>
      </c>
      <c r="H1756" s="90"/>
      <c r="I1756" s="90" t="s">
        <v>1269</v>
      </c>
      <c r="J1756" s="90" t="s">
        <v>1391</v>
      </c>
      <c r="K1756" s="90" t="s">
        <v>578</v>
      </c>
      <c r="L1756" s="90"/>
      <c r="M1756" s="90"/>
      <c r="N1756" s="90"/>
      <c r="O1756" s="90"/>
      <c r="P1756" s="90"/>
      <c r="Q1756" s="90"/>
      <c r="R1756" s="90"/>
      <c r="S1756" s="90"/>
      <c r="T1756" s="90"/>
      <c r="U1756" s="90"/>
      <c r="V1756" s="90"/>
      <c r="W1756" s="90"/>
      <c r="X1756" s="90"/>
      <c r="Y1756" s="90"/>
      <c r="Z1756" s="90" t="s">
        <v>1333</v>
      </c>
      <c r="AA1756" s="91">
        <v>10</v>
      </c>
      <c r="AB1756" s="46">
        <f>IF(H2ProjectDB689571011[[#This Row],[Dummy_1]]="Electrolysis",
AA1756/VLOOKUP(G1756,ElectrolysisConvF,3,FALSE),
AC1756*10^6/(H2dens*HoursInYear))</f>
        <v>1923.0769230769231</v>
      </c>
      <c r="AC1756" s="47">
        <f t="shared" si="123"/>
        <v>1.4993076923076922</v>
      </c>
      <c r="AD1756" s="92"/>
      <c r="AE1756" s="92">
        <f t="shared" si="124"/>
        <v>1923.0769230769231</v>
      </c>
      <c r="AF1756" s="43" t="s">
        <v>6032</v>
      </c>
      <c r="AG1756" s="43">
        <v>43.894168225990001</v>
      </c>
      <c r="AH1756" s="43">
        <v>3.9986280428730199</v>
      </c>
      <c r="AI1756" s="122" t="s">
        <v>7286</v>
      </c>
      <c r="AJ1756" s="41">
        <v>0.3</v>
      </c>
    </row>
    <row r="1757" spans="1:36" ht="35.1" hidden="1" customHeight="1" x14ac:dyDescent="0.25">
      <c r="A1757" s="40">
        <v>2400</v>
      </c>
      <c r="B1757" s="90" t="s">
        <v>6026</v>
      </c>
      <c r="C1757" s="90" t="s">
        <v>530</v>
      </c>
      <c r="D1757" s="44">
        <v>2025</v>
      </c>
      <c r="E1757" s="44"/>
      <c r="F1757" s="90" t="s">
        <v>2222</v>
      </c>
      <c r="G1757" s="90" t="s">
        <v>1259</v>
      </c>
      <c r="H1757" s="90" t="s">
        <v>467</v>
      </c>
      <c r="I1757" s="90" t="s">
        <v>1269</v>
      </c>
      <c r="J1757" s="90" t="s">
        <v>1391</v>
      </c>
      <c r="K1757" s="90" t="s">
        <v>578</v>
      </c>
      <c r="L1757" s="90"/>
      <c r="M1757" s="90"/>
      <c r="N1757" s="90"/>
      <c r="O1757" s="90"/>
      <c r="P1757" s="90"/>
      <c r="Q1757" s="90"/>
      <c r="R1757" s="90"/>
      <c r="S1757" s="90"/>
      <c r="T1757" s="90"/>
      <c r="U1757" s="90"/>
      <c r="V1757" s="90"/>
      <c r="W1757" s="90"/>
      <c r="X1757" s="90"/>
      <c r="Y1757" s="90"/>
      <c r="Z1757" s="90" t="s">
        <v>1510</v>
      </c>
      <c r="AA1757" s="91">
        <v>30</v>
      </c>
      <c r="AB1757" s="46">
        <f>IF(H2ProjectDB689571011[[#This Row],[Dummy_1]]="Electrolysis",
AA1757/VLOOKUP(G1757,ElectrolysisConvF,3,FALSE),
AC1757*10^6/(H2dens*HoursInYear))</f>
        <v>6666.666666666667</v>
      </c>
      <c r="AC1757" s="47">
        <f t="shared" si="123"/>
        <v>5.1976000000000004</v>
      </c>
      <c r="AD1757" s="92"/>
      <c r="AE1757" s="92">
        <f t="shared" si="124"/>
        <v>6666.666666666667</v>
      </c>
      <c r="AF1757" s="43" t="s">
        <v>6033</v>
      </c>
      <c r="AG1757" s="43">
        <v>43.125690852830402</v>
      </c>
      <c r="AH1757" s="43">
        <v>0.38660337257312899</v>
      </c>
      <c r="AI1757" s="122" t="s">
        <v>7286</v>
      </c>
      <c r="AJ1757" s="41">
        <v>0.3</v>
      </c>
    </row>
    <row r="1758" spans="1:36" ht="35.1" hidden="1" customHeight="1" x14ac:dyDescent="0.25">
      <c r="A1758" s="40">
        <v>2401</v>
      </c>
      <c r="B1758" s="90" t="s">
        <v>6027</v>
      </c>
      <c r="C1758" s="90" t="s">
        <v>530</v>
      </c>
      <c r="D1758" s="44">
        <v>2028</v>
      </c>
      <c r="E1758" s="44"/>
      <c r="F1758" s="90" t="s">
        <v>1331</v>
      </c>
      <c r="G1758" s="90" t="s">
        <v>1259</v>
      </c>
      <c r="H1758" s="90" t="s">
        <v>467</v>
      </c>
      <c r="I1758" s="90" t="s">
        <v>1269</v>
      </c>
      <c r="J1758" s="90" t="s">
        <v>1391</v>
      </c>
      <c r="K1758" s="90" t="s">
        <v>578</v>
      </c>
      <c r="L1758" s="90"/>
      <c r="M1758" s="90"/>
      <c r="N1758" s="90"/>
      <c r="O1758" s="90"/>
      <c r="P1758" s="90">
        <v>1</v>
      </c>
      <c r="Q1758" s="90">
        <v>1</v>
      </c>
      <c r="R1758" s="90"/>
      <c r="S1758" s="90"/>
      <c r="T1758" s="90"/>
      <c r="U1758" s="90"/>
      <c r="V1758" s="90"/>
      <c r="W1758" s="90"/>
      <c r="X1758" s="90"/>
      <c r="Y1758" s="90"/>
      <c r="Z1758" s="90" t="s">
        <v>1577</v>
      </c>
      <c r="AA1758" s="91">
        <v>60</v>
      </c>
      <c r="AB1758" s="46">
        <f>IF(H2ProjectDB689571011[[#This Row],[Dummy_1]]="Electrolysis",
AA1758/VLOOKUP(G1758,ElectrolysisConvF,3,FALSE),
AC1758*10^6/(H2dens*HoursInYear))</f>
        <v>13333.333333333334</v>
      </c>
      <c r="AC1758" s="47">
        <f t="shared" si="123"/>
        <v>10.395200000000001</v>
      </c>
      <c r="AD1758" s="92"/>
      <c r="AE1758" s="92">
        <f t="shared" si="124"/>
        <v>13333.333333333334</v>
      </c>
      <c r="AF1758" s="43" t="s">
        <v>6034</v>
      </c>
      <c r="AG1758" s="43">
        <v>43.438568893340097</v>
      </c>
      <c r="AH1758" s="43">
        <v>4.9504453876903796</v>
      </c>
      <c r="AI1758" s="122" t="s">
        <v>7286</v>
      </c>
      <c r="AJ1758" s="41">
        <v>0.3</v>
      </c>
    </row>
    <row r="1759" spans="1:36" ht="35.1" hidden="1" customHeight="1" x14ac:dyDescent="0.25">
      <c r="A1759" s="40">
        <v>2402</v>
      </c>
      <c r="B1759" s="90" t="s">
        <v>6028</v>
      </c>
      <c r="C1759" s="90" t="s">
        <v>530</v>
      </c>
      <c r="D1759" s="44">
        <v>2025</v>
      </c>
      <c r="E1759" s="44"/>
      <c r="F1759" s="90" t="s">
        <v>5701</v>
      </c>
      <c r="G1759" s="90" t="s">
        <v>1263</v>
      </c>
      <c r="H1759" s="40" t="s">
        <v>990</v>
      </c>
      <c r="K1759" s="40" t="s">
        <v>578</v>
      </c>
      <c r="L1759" s="90"/>
      <c r="M1759" s="90"/>
      <c r="N1759" s="90"/>
      <c r="O1759" s="90"/>
      <c r="P1759" s="90"/>
      <c r="Q1759" s="90"/>
      <c r="R1759" s="90"/>
      <c r="S1759" s="90"/>
      <c r="T1759" s="90"/>
      <c r="U1759" s="90"/>
      <c r="V1759" s="90"/>
      <c r="W1759" s="90"/>
      <c r="X1759" s="90"/>
      <c r="Y1759" s="90"/>
      <c r="Z1759" s="40" t="s">
        <v>6036</v>
      </c>
      <c r="AA1759" s="46"/>
      <c r="AB1759" s="46">
        <f>AC1759/(H2dens*HoursInYear/10^6)</f>
        <v>156.76751093097099</v>
      </c>
      <c r="AC1759" s="92">
        <f>110/1000/H2ProjectDB689571011[[#This Row],[LOWE_CF]]</f>
        <v>0.12222222222222222</v>
      </c>
      <c r="AD1759" s="92"/>
      <c r="AE1759" s="92">
        <f t="shared" si="124"/>
        <v>156.76751093097099</v>
      </c>
      <c r="AF1759" s="43" t="s">
        <v>6936</v>
      </c>
      <c r="AG1759" s="43">
        <v>48.026879107281502</v>
      </c>
      <c r="AH1759" s="43">
        <v>0.114277216511359</v>
      </c>
      <c r="AI1759" s="122" t="s">
        <v>1255</v>
      </c>
      <c r="AJ1759" s="41">
        <v>0.9</v>
      </c>
    </row>
    <row r="1760" spans="1:36" ht="35.1" hidden="1" customHeight="1" x14ac:dyDescent="0.25">
      <c r="A1760" s="40">
        <v>2405</v>
      </c>
      <c r="B1760" s="90" t="s">
        <v>6039</v>
      </c>
      <c r="C1760" s="90" t="s">
        <v>530</v>
      </c>
      <c r="D1760" s="44">
        <v>2024</v>
      </c>
      <c r="E1760" s="44"/>
      <c r="F1760" s="90" t="s">
        <v>1331</v>
      </c>
      <c r="G1760" s="90" t="s">
        <v>1259</v>
      </c>
      <c r="H1760" s="90" t="s">
        <v>467</v>
      </c>
      <c r="I1760" s="90" t="s">
        <v>1266</v>
      </c>
      <c r="J1760" s="90"/>
      <c r="K1760" s="90" t="s">
        <v>578</v>
      </c>
      <c r="L1760" s="90"/>
      <c r="M1760" s="90"/>
      <c r="N1760" s="90"/>
      <c r="O1760" s="90"/>
      <c r="P1760" s="90"/>
      <c r="Q1760" s="90">
        <v>1</v>
      </c>
      <c r="R1760" s="90"/>
      <c r="S1760" s="90"/>
      <c r="T1760" s="90"/>
      <c r="U1760" s="90"/>
      <c r="V1760" s="90"/>
      <c r="W1760" s="90"/>
      <c r="X1760" s="90"/>
      <c r="Y1760" s="90"/>
      <c r="Z1760" s="90"/>
      <c r="AA1760" s="91">
        <f>IF(OR(G1760="ALK",G1760="PEM",G1760="SOEC",G1760="Other Electrolysis"),
AB1760*VLOOKUP(G1760,ElectrolysisConvF,3,FALSE),
"")</f>
        <v>0</v>
      </c>
      <c r="AB1760" s="92"/>
      <c r="AC1760" s="92"/>
      <c r="AD1760" s="92"/>
      <c r="AE1760" s="92">
        <f t="shared" si="124"/>
        <v>0</v>
      </c>
      <c r="AF1760" s="43" t="s">
        <v>6041</v>
      </c>
      <c r="AG1760" s="43">
        <v>48.8144788760629</v>
      </c>
      <c r="AH1760" s="43">
        <v>2.5292556757329301</v>
      </c>
      <c r="AI1760" s="122" t="s">
        <v>7286</v>
      </c>
      <c r="AJ1760" s="41">
        <v>0.56999999999999995</v>
      </c>
    </row>
    <row r="1761" spans="1:36" ht="35.1" hidden="1" customHeight="1" x14ac:dyDescent="0.25">
      <c r="A1761" s="40">
        <v>2406</v>
      </c>
      <c r="B1761" s="90" t="s">
        <v>6040</v>
      </c>
      <c r="C1761" s="90" t="s">
        <v>530</v>
      </c>
      <c r="D1761" s="44">
        <v>2024</v>
      </c>
      <c r="E1761" s="44"/>
      <c r="F1761" s="90" t="s">
        <v>1331</v>
      </c>
      <c r="G1761" s="90" t="s">
        <v>1259</v>
      </c>
      <c r="H1761" s="90" t="s">
        <v>467</v>
      </c>
      <c r="I1761" s="90" t="s">
        <v>1266</v>
      </c>
      <c r="J1761" s="90"/>
      <c r="K1761" s="90" t="s">
        <v>578</v>
      </c>
      <c r="L1761" s="90"/>
      <c r="M1761" s="90"/>
      <c r="N1761" s="90"/>
      <c r="O1761" s="90"/>
      <c r="P1761" s="90"/>
      <c r="Q1761" s="90">
        <v>1</v>
      </c>
      <c r="R1761" s="90"/>
      <c r="S1761" s="90"/>
      <c r="T1761" s="90"/>
      <c r="U1761" s="90"/>
      <c r="V1761" s="90"/>
      <c r="W1761" s="90"/>
      <c r="X1761" s="90"/>
      <c r="Y1761" s="90"/>
      <c r="Z1761" s="90"/>
      <c r="AA1761" s="91">
        <f>IF(OR(G1761="ALK",G1761="PEM",G1761="SOEC",G1761="Other Electrolysis"),
AB1761*VLOOKUP(G1761,ElectrolysisConvF,3,FALSE),
"")</f>
        <v>0</v>
      </c>
      <c r="AB1761" s="92"/>
      <c r="AC1761" s="92"/>
      <c r="AD1761" s="92"/>
      <c r="AE1761" s="92">
        <f t="shared" si="124"/>
        <v>0</v>
      </c>
      <c r="AF1761" s="43" t="s">
        <v>6041</v>
      </c>
      <c r="AG1761" s="43">
        <v>48.8144788760629</v>
      </c>
      <c r="AH1761" s="43">
        <v>2.5292556757329301</v>
      </c>
      <c r="AI1761" s="122" t="s">
        <v>7286</v>
      </c>
      <c r="AJ1761" s="41">
        <v>0.56999999999999995</v>
      </c>
    </row>
    <row r="1762" spans="1:36" ht="35.1" hidden="1" customHeight="1" x14ac:dyDescent="0.25">
      <c r="A1762" s="40">
        <v>2407</v>
      </c>
      <c r="B1762" s="40" t="s">
        <v>8561</v>
      </c>
      <c r="C1762" s="90" t="s">
        <v>530</v>
      </c>
      <c r="D1762" s="44">
        <v>2028</v>
      </c>
      <c r="E1762" s="44"/>
      <c r="F1762" s="90" t="s">
        <v>1331</v>
      </c>
      <c r="G1762" s="90" t="s">
        <v>1259</v>
      </c>
      <c r="H1762" s="90" t="s">
        <v>467</v>
      </c>
      <c r="I1762" s="90" t="s">
        <v>1257</v>
      </c>
      <c r="J1762" s="90" t="s">
        <v>581</v>
      </c>
      <c r="K1762" s="90" t="s">
        <v>1242</v>
      </c>
      <c r="L1762" s="90"/>
      <c r="M1762" s="90"/>
      <c r="N1762" s="90">
        <v>1</v>
      </c>
      <c r="O1762" s="90"/>
      <c r="P1762" s="90">
        <v>1</v>
      </c>
      <c r="Q1762" s="90">
        <v>1</v>
      </c>
      <c r="R1762" s="90"/>
      <c r="S1762" s="90"/>
      <c r="T1762" s="90"/>
      <c r="U1762" s="90"/>
      <c r="V1762" s="90"/>
      <c r="W1762" s="90"/>
      <c r="X1762" s="90"/>
      <c r="Y1762" s="90"/>
      <c r="Z1762" s="40" t="s">
        <v>8560</v>
      </c>
      <c r="AA1762" s="91">
        <v>260</v>
      </c>
      <c r="AB1762" s="46">
        <f>IF(H2ProjectDB689571011[[#This Row],[Dummy_1]]="Electrolysis",
AA1762/VLOOKUP(G1762,ElectrolysisConvF,3,FALSE),
AC1762*10^6/(H2dens*HoursInYear))</f>
        <v>57777.777777777781</v>
      </c>
      <c r="AC1762" s="47">
        <f>AB1762*H2dens*HoursInYear/10^6</f>
        <v>45.045866666666669</v>
      </c>
      <c r="AD1762" s="92"/>
      <c r="AE1762" s="92">
        <f t="shared" si="124"/>
        <v>57777.777777777781</v>
      </c>
      <c r="AF1762" s="43" t="s">
        <v>7091</v>
      </c>
      <c r="AG1762" s="43">
        <v>43.413955144171801</v>
      </c>
      <c r="AH1762" s="43">
        <v>-0.62027924116965205</v>
      </c>
      <c r="AI1762" s="122" t="s">
        <v>7286</v>
      </c>
      <c r="AJ1762" s="41">
        <v>0.56999999999999995</v>
      </c>
    </row>
    <row r="1763" spans="1:36" ht="35.1" hidden="1" customHeight="1" x14ac:dyDescent="0.25">
      <c r="A1763" s="40">
        <v>2408</v>
      </c>
      <c r="B1763" s="90" t="s">
        <v>6043</v>
      </c>
      <c r="C1763" s="90" t="s">
        <v>530</v>
      </c>
      <c r="D1763" s="44">
        <v>2027</v>
      </c>
      <c r="E1763" s="44"/>
      <c r="F1763" s="90" t="s">
        <v>2222</v>
      </c>
      <c r="G1763" s="90" t="s">
        <v>1259</v>
      </c>
      <c r="H1763" s="90" t="s">
        <v>467</v>
      </c>
      <c r="I1763" s="90" t="s">
        <v>1257</v>
      </c>
      <c r="J1763" s="90" t="s">
        <v>581</v>
      </c>
      <c r="K1763" s="40" t="s">
        <v>578</v>
      </c>
      <c r="L1763" s="90"/>
      <c r="M1763" s="90"/>
      <c r="N1763" s="90"/>
      <c r="O1763" s="90"/>
      <c r="P1763" s="90"/>
      <c r="Q1763" s="90">
        <v>1</v>
      </c>
      <c r="R1763" s="90"/>
      <c r="S1763" s="90"/>
      <c r="T1763" s="90"/>
      <c r="U1763" s="90"/>
      <c r="V1763" s="90"/>
      <c r="W1763" s="90"/>
      <c r="X1763" s="90"/>
      <c r="Y1763" s="90"/>
      <c r="Z1763" s="40" t="s">
        <v>5022</v>
      </c>
      <c r="AA1763" s="47">
        <f>IF(H2ProjectDB689571011[[#This Row],[Dummy_1]]="Electrolysis",
AB1763*VLOOKUP(G1763,ElectrolysisConvF,3,FALSE),
"")</f>
        <v>30.378393266527873</v>
      </c>
      <c r="AB1763" s="46">
        <f>AC1763/(H2dens*HoursInYear/10^6)</f>
        <v>6750.7540592284167</v>
      </c>
      <c r="AC1763" s="92">
        <f>(3000/1000/H2ProjectDB689571011[[#This Row],[LOWE_CF]])</f>
        <v>5.2631578947368425</v>
      </c>
      <c r="AD1763" s="92"/>
      <c r="AE1763" s="92">
        <f t="shared" si="124"/>
        <v>6750.7540592284167</v>
      </c>
      <c r="AF1763" s="43" t="s">
        <v>6045</v>
      </c>
      <c r="AG1763" s="43">
        <v>44.838618299437101</v>
      </c>
      <c r="AH1763" s="43">
        <v>-0.58464271531696799</v>
      </c>
      <c r="AI1763" s="122" t="s">
        <v>7286</v>
      </c>
      <c r="AJ1763" s="41">
        <v>0.56999999999999995</v>
      </c>
    </row>
    <row r="1764" spans="1:36" ht="35.1" hidden="1" customHeight="1" x14ac:dyDescent="0.25">
      <c r="A1764" s="40">
        <v>2409</v>
      </c>
      <c r="B1764" s="40" t="s">
        <v>8562</v>
      </c>
      <c r="C1764" s="90" t="s">
        <v>530</v>
      </c>
      <c r="D1764" s="44">
        <v>2028</v>
      </c>
      <c r="E1764" s="44"/>
      <c r="F1764" s="90" t="s">
        <v>2222</v>
      </c>
      <c r="G1764" s="90" t="s">
        <v>1259</v>
      </c>
      <c r="H1764" s="90" t="s">
        <v>467</v>
      </c>
      <c r="I1764" s="90" t="s">
        <v>1257</v>
      </c>
      <c r="J1764" s="90" t="s">
        <v>581</v>
      </c>
      <c r="K1764" s="40" t="s">
        <v>578</v>
      </c>
      <c r="L1764" s="90"/>
      <c r="M1764" s="90"/>
      <c r="N1764" s="90"/>
      <c r="O1764" s="90"/>
      <c r="P1764" s="90"/>
      <c r="Q1764" s="90"/>
      <c r="R1764" s="90"/>
      <c r="S1764" s="90"/>
      <c r="T1764" s="90"/>
      <c r="U1764" s="90"/>
      <c r="V1764" s="90"/>
      <c r="W1764" s="90">
        <v>1</v>
      </c>
      <c r="X1764" s="90"/>
      <c r="Y1764" s="90"/>
      <c r="Z1764" s="40" t="s">
        <v>7343</v>
      </c>
      <c r="AA1764" s="91">
        <v>260</v>
      </c>
      <c r="AB1764" s="46">
        <f>IF(H2ProjectDB689571011[[#This Row],[Dummy_1]]="Electrolysis",
AA1764/VLOOKUP(G1764,ElectrolysisConvF,3,FALSE),
AC1764*10^6/(H2dens*HoursInYear))</f>
        <v>57777.777777777781</v>
      </c>
      <c r="AC1764" s="47">
        <f>AB1764*H2dens*HoursInYear/10^6</f>
        <v>45.045866666666669</v>
      </c>
      <c r="AD1764" s="92"/>
      <c r="AE1764" s="92">
        <f t="shared" si="124"/>
        <v>57777.777777777781</v>
      </c>
      <c r="AF1764" s="43" t="s">
        <v>6047</v>
      </c>
      <c r="AG1764" s="43">
        <v>43.413331660587502</v>
      </c>
      <c r="AH1764" s="43">
        <v>-0.61821930455458696</v>
      </c>
      <c r="AI1764" s="122" t="s">
        <v>7286</v>
      </c>
      <c r="AJ1764" s="41">
        <v>0.56999999999999995</v>
      </c>
    </row>
    <row r="1765" spans="1:36" ht="35.1" hidden="1" customHeight="1" x14ac:dyDescent="0.25">
      <c r="A1765" s="40">
        <v>2410</v>
      </c>
      <c r="B1765" s="40" t="s">
        <v>6058</v>
      </c>
      <c r="C1765" s="90" t="s">
        <v>536</v>
      </c>
      <c r="D1765" s="44">
        <v>2022</v>
      </c>
      <c r="E1765" s="90"/>
      <c r="F1765" s="90" t="s">
        <v>1540</v>
      </c>
      <c r="G1765" s="90" t="s">
        <v>455</v>
      </c>
      <c r="H1765" s="90"/>
      <c r="I1765" s="90" t="s">
        <v>1269</v>
      </c>
      <c r="J1765" s="90" t="s">
        <v>581</v>
      </c>
      <c r="K1765" s="40" t="s">
        <v>578</v>
      </c>
      <c r="L1765" s="90"/>
      <c r="M1765" s="90"/>
      <c r="N1765" s="90"/>
      <c r="O1765" s="90"/>
      <c r="P1765" s="90"/>
      <c r="Q1765" s="90"/>
      <c r="R1765" s="90"/>
      <c r="S1765" s="90"/>
      <c r="T1765" s="90"/>
      <c r="U1765" s="90"/>
      <c r="V1765" s="90"/>
      <c r="W1765" s="90"/>
      <c r="X1765" s="90"/>
      <c r="Y1765" s="90"/>
      <c r="Z1765" s="40" t="s">
        <v>1480</v>
      </c>
      <c r="AA1765" s="91">
        <v>1</v>
      </c>
      <c r="AB1765" s="46">
        <f>IF(H2ProjectDB689571011[[#This Row],[Dummy_1]]="Electrolysis",
AA1765/VLOOKUP(G1765,ElectrolysisConvF,3,FALSE),
AC1765*10^6/(H2dens*HoursInYear))</f>
        <v>192.30769230769232</v>
      </c>
      <c r="AC1765" s="47">
        <f>AB1765*H2dens*HoursInYear/10^6</f>
        <v>0.14993076923076926</v>
      </c>
      <c r="AD1765" s="92"/>
      <c r="AE1765" s="92">
        <f t="shared" si="124"/>
        <v>192.30769230769232</v>
      </c>
      <c r="AF1765" s="43" t="s">
        <v>6079</v>
      </c>
      <c r="AG1765" s="43">
        <v>33.258246867700599</v>
      </c>
      <c r="AH1765" s="43">
        <v>-116.37909241194799</v>
      </c>
      <c r="AI1765" s="122" t="s">
        <v>7286</v>
      </c>
      <c r="AJ1765" s="41">
        <v>0.5</v>
      </c>
    </row>
    <row r="1766" spans="1:36" ht="35.1" hidden="1" customHeight="1" x14ac:dyDescent="0.25">
      <c r="A1766" s="40">
        <v>2411</v>
      </c>
      <c r="B1766" s="90" t="s">
        <v>6059</v>
      </c>
      <c r="C1766" s="90" t="s">
        <v>536</v>
      </c>
      <c r="D1766" s="90">
        <v>2021</v>
      </c>
      <c r="E1766" s="90"/>
      <c r="F1766" s="90" t="s">
        <v>1540</v>
      </c>
      <c r="G1766" s="90" t="s">
        <v>455</v>
      </c>
      <c r="H1766" s="90"/>
      <c r="I1766" s="90" t="s">
        <v>1269</v>
      </c>
      <c r="J1766" s="90" t="s">
        <v>581</v>
      </c>
      <c r="K1766" s="90" t="s">
        <v>578</v>
      </c>
      <c r="L1766" s="90"/>
      <c r="M1766" s="90"/>
      <c r="N1766" s="90"/>
      <c r="O1766" s="90"/>
      <c r="P1766" s="90"/>
      <c r="Q1766" s="90"/>
      <c r="R1766" s="90"/>
      <c r="S1766" s="90">
        <v>1</v>
      </c>
      <c r="T1766" s="90"/>
      <c r="U1766" s="90"/>
      <c r="V1766" s="90"/>
      <c r="W1766" s="90"/>
      <c r="X1766" s="90"/>
      <c r="Y1766" s="90"/>
      <c r="Z1766" s="90"/>
      <c r="AA1766" s="91"/>
      <c r="AB1766" s="92"/>
      <c r="AC1766" s="92"/>
      <c r="AD1766" s="92"/>
      <c r="AE1766" s="92">
        <f t="shared" si="124"/>
        <v>0</v>
      </c>
      <c r="AF1766" s="43" t="s">
        <v>6064</v>
      </c>
      <c r="AG1766" s="43">
        <v>37.771605708593398</v>
      </c>
      <c r="AH1766" s="43">
        <v>-122.38735211580401</v>
      </c>
      <c r="AI1766" s="122" t="s">
        <v>7286</v>
      </c>
      <c r="AJ1766" s="41">
        <v>0.5</v>
      </c>
    </row>
    <row r="1767" spans="1:36" ht="35.1" hidden="1" customHeight="1" x14ac:dyDescent="0.25">
      <c r="A1767" s="40">
        <v>2412</v>
      </c>
      <c r="B1767" s="90" t="s">
        <v>6060</v>
      </c>
      <c r="C1767" s="90" t="s">
        <v>536</v>
      </c>
      <c r="D1767" s="90">
        <v>2020</v>
      </c>
      <c r="E1767" s="90"/>
      <c r="F1767" s="90" t="s">
        <v>1540</v>
      </c>
      <c r="G1767" s="90" t="s">
        <v>456</v>
      </c>
      <c r="H1767" s="90"/>
      <c r="I1767" s="90" t="s">
        <v>1680</v>
      </c>
      <c r="J1767" s="90"/>
      <c r="K1767" s="90" t="s">
        <v>578</v>
      </c>
      <c r="L1767" s="90"/>
      <c r="M1767" s="90"/>
      <c r="N1767" s="90"/>
      <c r="O1767" s="90"/>
      <c r="P1767" s="90"/>
      <c r="Q1767" s="90">
        <v>1</v>
      </c>
      <c r="R1767" s="90"/>
      <c r="S1767" s="90"/>
      <c r="T1767" s="90"/>
      <c r="U1767" s="90"/>
      <c r="V1767" s="90"/>
      <c r="W1767" s="90"/>
      <c r="X1767" s="90"/>
      <c r="Y1767" s="90"/>
      <c r="Z1767" s="90" t="s">
        <v>1491</v>
      </c>
      <c r="AA1767" s="91">
        <v>0.25</v>
      </c>
      <c r="AB1767" s="46">
        <f>IF(H2ProjectDB689571011[[#This Row],[Dummy_1]]="Electrolysis",
AA1767/VLOOKUP(G1767,ElectrolysisConvF,3,FALSE),
AC1767*10^6/(H2dens*HoursInYear))</f>
        <v>65.78947368421052</v>
      </c>
      <c r="AC1767" s="47">
        <f>AB1767*H2dens*HoursInYear/10^6</f>
        <v>5.1292105263157896E-2</v>
      </c>
      <c r="AD1767" s="92"/>
      <c r="AE1767" s="92">
        <f t="shared" si="124"/>
        <v>65.78947368421052</v>
      </c>
      <c r="AF1767" s="43" t="s">
        <v>6065</v>
      </c>
      <c r="AG1767" s="43">
        <v>41.387034804920503</v>
      </c>
      <c r="AH1767" s="43">
        <v>-73.468980258650902</v>
      </c>
      <c r="AI1767" s="122" t="s">
        <v>7286</v>
      </c>
      <c r="AJ1767" s="41">
        <v>0.8</v>
      </c>
    </row>
    <row r="1768" spans="1:36" ht="35.1" hidden="1" customHeight="1" x14ac:dyDescent="0.25">
      <c r="A1768" s="40">
        <v>2414</v>
      </c>
      <c r="B1768" s="40" t="s">
        <v>6067</v>
      </c>
      <c r="C1768" s="40" t="s">
        <v>540</v>
      </c>
      <c r="D1768" s="44">
        <v>2027</v>
      </c>
      <c r="E1768" s="44"/>
      <c r="F1768" s="90" t="s">
        <v>1331</v>
      </c>
      <c r="G1768" s="90" t="s">
        <v>1259</v>
      </c>
      <c r="H1768" s="90" t="s">
        <v>467</v>
      </c>
      <c r="I1768" s="90" t="s">
        <v>1257</v>
      </c>
      <c r="J1768" s="90" t="s">
        <v>1394</v>
      </c>
      <c r="K1768" s="90" t="s">
        <v>578</v>
      </c>
      <c r="L1768" s="90"/>
      <c r="M1768" s="90"/>
      <c r="N1768" s="90"/>
      <c r="O1768" s="90"/>
      <c r="P1768" s="90"/>
      <c r="Q1768" s="90">
        <v>1</v>
      </c>
      <c r="R1768" s="90"/>
      <c r="S1768" s="90"/>
      <c r="T1768" s="90"/>
      <c r="U1768" s="90">
        <v>1</v>
      </c>
      <c r="V1768" s="90"/>
      <c r="W1768" s="90"/>
      <c r="X1768" s="90"/>
      <c r="Y1768" s="90"/>
      <c r="Z1768" s="40" t="s">
        <v>1436</v>
      </c>
      <c r="AA1768" s="91">
        <f>5-1</f>
        <v>4</v>
      </c>
      <c r="AB1768" s="46">
        <f>IF(H2ProjectDB689571011[[#This Row],[Dummy_1]]="Electrolysis",
AA1768/VLOOKUP(G1768,ElectrolysisConvF,3,FALSE),
AC1768*10^6/(H2dens*HoursInYear))</f>
        <v>888.88888888888891</v>
      </c>
      <c r="AC1768" s="47">
        <f>AB1768*H2dens*HoursInYear/10^6</f>
        <v>0.69301333333333337</v>
      </c>
      <c r="AD1768" s="92"/>
      <c r="AE1768" s="92">
        <f t="shared" si="124"/>
        <v>888.88888888888891</v>
      </c>
      <c r="AF1768" s="43" t="s">
        <v>6963</v>
      </c>
      <c r="AG1768" s="43">
        <v>47.583995999999999</v>
      </c>
      <c r="AH1768" s="43">
        <v>12.1692134</v>
      </c>
      <c r="AI1768" s="122" t="s">
        <v>7286</v>
      </c>
      <c r="AJ1768" s="41">
        <v>0.56999999999999995</v>
      </c>
    </row>
    <row r="1769" spans="1:36" ht="35.1" hidden="1" customHeight="1" x14ac:dyDescent="0.25">
      <c r="A1769" s="40">
        <v>2415</v>
      </c>
      <c r="B1769" s="90" t="s">
        <v>6068</v>
      </c>
      <c r="C1769" s="40" t="s">
        <v>540</v>
      </c>
      <c r="D1769" s="44">
        <v>2025</v>
      </c>
      <c r="E1769" s="44"/>
      <c r="F1769" s="90" t="s">
        <v>5701</v>
      </c>
      <c r="G1769" s="90" t="s">
        <v>457</v>
      </c>
      <c r="H1769" s="90"/>
      <c r="I1769" s="90" t="s">
        <v>1266</v>
      </c>
      <c r="J1769" s="90"/>
      <c r="K1769" s="90" t="s">
        <v>578</v>
      </c>
      <c r="L1769" s="90"/>
      <c r="M1769" s="90"/>
      <c r="N1769" s="90"/>
      <c r="O1769" s="90"/>
      <c r="P1769" s="90">
        <v>1</v>
      </c>
      <c r="Q1769" s="90"/>
      <c r="R1769" s="90"/>
      <c r="S1769" s="90"/>
      <c r="T1769" s="90"/>
      <c r="U1769" s="90"/>
      <c r="V1769" s="90"/>
      <c r="W1769" s="90"/>
      <c r="X1769" s="90"/>
      <c r="Y1769" s="90"/>
      <c r="Z1769" s="90" t="s">
        <v>1377</v>
      </c>
      <c r="AA1769" s="91">
        <v>4</v>
      </c>
      <c r="AB1769" s="46">
        <f>IF(H2ProjectDB689571011[[#This Row],[Dummy_1]]="Electrolysis",
AA1769/VLOOKUP(G1769,ElectrolysisConvF,3,FALSE),
AC1769*10^6/(H2dens*HoursInYear))</f>
        <v>869.56521739130437</v>
      </c>
      <c r="AC1769" s="47">
        <f>AB1769*H2dens*HoursInYear/10^6</f>
        <v>0.67794782608695647</v>
      </c>
      <c r="AD1769" s="92"/>
      <c r="AE1769" s="92">
        <f t="shared" si="124"/>
        <v>869.56521739130437</v>
      </c>
      <c r="AF1769" s="43" t="s">
        <v>6964</v>
      </c>
      <c r="AG1769" s="43">
        <v>47.494627205999798</v>
      </c>
      <c r="AH1769" s="43">
        <v>10.737014944302301</v>
      </c>
      <c r="AI1769" s="122" t="s">
        <v>7286</v>
      </c>
      <c r="AJ1769" s="41">
        <v>0.56999999999999995</v>
      </c>
    </row>
    <row r="1770" spans="1:36" ht="35.1" hidden="1" customHeight="1" x14ac:dyDescent="0.25">
      <c r="A1770" s="40">
        <v>2416</v>
      </c>
      <c r="B1770" s="90" t="s">
        <v>6069</v>
      </c>
      <c r="C1770" s="40" t="s">
        <v>540</v>
      </c>
      <c r="D1770" s="44">
        <v>2024</v>
      </c>
      <c r="E1770" s="90"/>
      <c r="F1770" s="90" t="s">
        <v>1339</v>
      </c>
      <c r="G1770" s="90" t="s">
        <v>1259</v>
      </c>
      <c r="H1770" s="90" t="s">
        <v>467</v>
      </c>
      <c r="I1770" s="90" t="s">
        <v>1266</v>
      </c>
      <c r="J1770" s="90"/>
      <c r="K1770" s="90" t="s">
        <v>578</v>
      </c>
      <c r="L1770" s="90"/>
      <c r="M1770" s="90"/>
      <c r="N1770" s="90"/>
      <c r="O1770" s="90"/>
      <c r="P1770" s="90"/>
      <c r="Q1770" s="90">
        <v>1</v>
      </c>
      <c r="R1770" s="90">
        <v>1</v>
      </c>
      <c r="S1770" s="90"/>
      <c r="T1770" s="90"/>
      <c r="U1770" s="90"/>
      <c r="V1770" s="90"/>
      <c r="W1770" s="90"/>
      <c r="X1770" s="90"/>
      <c r="Y1770" s="90"/>
      <c r="Z1770" s="90" t="s">
        <v>6075</v>
      </c>
      <c r="AA1770" s="91">
        <v>3</v>
      </c>
      <c r="AB1770" s="46">
        <f>IF(H2ProjectDB689571011[[#This Row],[Dummy_1]]="Electrolysis",
AA1770/VLOOKUP(G1770,ElectrolysisConvF,3,FALSE),
AC1770*10^6/(H2dens*HoursInYear))</f>
        <v>666.66666666666674</v>
      </c>
      <c r="AC1770" s="47">
        <f>AB1770*H2dens*HoursInYear/10^6</f>
        <v>0.51976</v>
      </c>
      <c r="AD1770" s="92"/>
      <c r="AE1770" s="92">
        <f t="shared" si="124"/>
        <v>666.66666666666674</v>
      </c>
      <c r="AF1770" s="43" t="s">
        <v>6965</v>
      </c>
      <c r="AG1770" s="43">
        <v>48.181637296122901</v>
      </c>
      <c r="AH1770" s="43">
        <v>16.423432380782</v>
      </c>
      <c r="AI1770" s="122" t="s">
        <v>7286</v>
      </c>
      <c r="AJ1770" s="41">
        <v>0.56999999999999995</v>
      </c>
    </row>
    <row r="1771" spans="1:36" ht="35.1" hidden="1" customHeight="1" x14ac:dyDescent="0.25">
      <c r="A1771" s="40">
        <v>2417</v>
      </c>
      <c r="B1771" s="90" t="s">
        <v>6070</v>
      </c>
      <c r="C1771" s="40" t="s">
        <v>540</v>
      </c>
      <c r="D1771" s="44">
        <v>2025</v>
      </c>
      <c r="E1771" s="44"/>
      <c r="F1771" s="90" t="s">
        <v>5701</v>
      </c>
      <c r="G1771" s="90" t="s">
        <v>455</v>
      </c>
      <c r="H1771" s="90"/>
      <c r="I1771" s="90" t="s">
        <v>1257</v>
      </c>
      <c r="J1771" s="90" t="s">
        <v>1394</v>
      </c>
      <c r="K1771" s="90" t="s">
        <v>578</v>
      </c>
      <c r="L1771" s="90"/>
      <c r="M1771" s="90"/>
      <c r="N1771" s="90"/>
      <c r="O1771" s="90"/>
      <c r="P1771" s="90"/>
      <c r="Q1771" s="90">
        <v>1</v>
      </c>
      <c r="R1771" s="90"/>
      <c r="S1771" s="90"/>
      <c r="T1771" s="90"/>
      <c r="U1771" s="90">
        <v>1</v>
      </c>
      <c r="V1771" s="90"/>
      <c r="W1771" s="90"/>
      <c r="X1771" s="90"/>
      <c r="Y1771" s="90"/>
      <c r="Z1771" s="90" t="s">
        <v>1372</v>
      </c>
      <c r="AA1771" s="91">
        <v>1</v>
      </c>
      <c r="AB1771" s="46">
        <f>IF(H2ProjectDB689571011[[#This Row],[Dummy_1]]="Electrolysis",
AA1771/VLOOKUP(G1771,ElectrolysisConvF,3,FALSE),
AC1771*10^6/(H2dens*HoursInYear))</f>
        <v>192.30769230769232</v>
      </c>
      <c r="AC1771" s="47">
        <f>AB1771*H2dens*HoursInYear/10^6</f>
        <v>0.14993076923076926</v>
      </c>
      <c r="AD1771" s="92"/>
      <c r="AE1771" s="92">
        <f t="shared" si="124"/>
        <v>192.30769230769232</v>
      </c>
      <c r="AF1771" s="43" t="s">
        <v>6963</v>
      </c>
      <c r="AG1771" s="43">
        <v>47.583995999999999</v>
      </c>
      <c r="AH1771" s="43">
        <v>12.1692134</v>
      </c>
      <c r="AI1771" s="122" t="s">
        <v>7286</v>
      </c>
      <c r="AJ1771" s="41">
        <v>0.56999999999999995</v>
      </c>
    </row>
    <row r="1772" spans="1:36" ht="35.1" hidden="1" customHeight="1" x14ac:dyDescent="0.25">
      <c r="A1772" s="40">
        <v>2418</v>
      </c>
      <c r="B1772" s="90" t="s">
        <v>6071</v>
      </c>
      <c r="C1772" s="40" t="s">
        <v>540</v>
      </c>
      <c r="D1772" s="44">
        <v>2023</v>
      </c>
      <c r="E1772" s="90"/>
      <c r="F1772" s="90" t="s">
        <v>1339</v>
      </c>
      <c r="G1772" s="90" t="s">
        <v>455</v>
      </c>
      <c r="H1772" s="90"/>
      <c r="I1772" s="90" t="s">
        <v>1269</v>
      </c>
      <c r="J1772" s="90" t="s">
        <v>1395</v>
      </c>
      <c r="K1772" s="90" t="s">
        <v>612</v>
      </c>
      <c r="L1772" s="90"/>
      <c r="M1772" s="90"/>
      <c r="N1772" s="90"/>
      <c r="O1772" s="90"/>
      <c r="P1772" s="90"/>
      <c r="Q1772" s="90"/>
      <c r="R1772" s="90"/>
      <c r="S1772" s="90"/>
      <c r="T1772" s="90"/>
      <c r="U1772" s="90"/>
      <c r="V1772" s="90"/>
      <c r="W1772" s="90"/>
      <c r="X1772" s="90">
        <v>1</v>
      </c>
      <c r="Y1772" s="90"/>
      <c r="Z1772" s="40" t="s">
        <v>6083</v>
      </c>
      <c r="AA1772" s="47">
        <f>IF(H2ProjectDB689571011[[#This Row],[Dummy_1]]="Electrolysis",
AB1772*VLOOKUP(G1772,ElectrolysisConvF,3,FALSE),
"")</f>
        <v>2.0009235031553025</v>
      </c>
      <c r="AB1772" s="46">
        <f>AC1772/(H2dens*HoursInYear/10^6)</f>
        <v>384.79298137601972</v>
      </c>
      <c r="AC1772" s="96">
        <f>300/1000</f>
        <v>0.3</v>
      </c>
      <c r="AD1772" s="92"/>
      <c r="AE1772" s="92">
        <f t="shared" si="124"/>
        <v>384.79298137601972</v>
      </c>
      <c r="AF1772" s="43" t="s">
        <v>6086</v>
      </c>
      <c r="AG1772" s="43">
        <v>46.781337700000002</v>
      </c>
      <c r="AH1772" s="43">
        <v>15.588161700000001</v>
      </c>
      <c r="AI1772" s="122" t="s">
        <v>7286</v>
      </c>
      <c r="AJ1772" s="41">
        <v>0.5</v>
      </c>
    </row>
    <row r="1773" spans="1:36" ht="35.1" hidden="1" customHeight="1" x14ac:dyDescent="0.25">
      <c r="A1773" s="40">
        <v>2419</v>
      </c>
      <c r="B1773" s="90" t="s">
        <v>6072</v>
      </c>
      <c r="C1773" s="40" t="s">
        <v>540</v>
      </c>
      <c r="D1773" s="44">
        <v>2024</v>
      </c>
      <c r="E1773" s="44"/>
      <c r="F1773" s="90" t="s">
        <v>5701</v>
      </c>
      <c r="G1773" s="90" t="s">
        <v>456</v>
      </c>
      <c r="H1773" s="90"/>
      <c r="I1773" s="90" t="s">
        <v>1266</v>
      </c>
      <c r="J1773" s="90"/>
      <c r="K1773" s="90" t="s">
        <v>578</v>
      </c>
      <c r="L1773" s="90"/>
      <c r="M1773" s="90"/>
      <c r="N1773" s="90"/>
      <c r="O1773" s="90"/>
      <c r="P1773" s="90"/>
      <c r="Q1773" s="90">
        <v>1</v>
      </c>
      <c r="R1773" s="90"/>
      <c r="S1773" s="90"/>
      <c r="T1773" s="90"/>
      <c r="U1773" s="90"/>
      <c r="V1773" s="90"/>
      <c r="W1773" s="90"/>
      <c r="X1773" s="90"/>
      <c r="Y1773" s="90"/>
      <c r="Z1773" s="90" t="s">
        <v>1372</v>
      </c>
      <c r="AA1773" s="91">
        <v>1</v>
      </c>
      <c r="AB1773" s="46">
        <f>IF(H2ProjectDB689571011[[#This Row],[Dummy_1]]="Electrolysis",
AA1773/VLOOKUP(G1773,ElectrolysisConvF,3,FALSE),
AC1773*10^6/(H2dens*HoursInYear))</f>
        <v>263.15789473684208</v>
      </c>
      <c r="AC1773" s="47">
        <f>AB1773*H2dens*HoursInYear/10^6</f>
        <v>0.20516842105263158</v>
      </c>
      <c r="AD1773" s="92"/>
      <c r="AE1773" s="92">
        <f t="shared" si="124"/>
        <v>263.15789473684208</v>
      </c>
      <c r="AF1773" s="43" t="s">
        <v>6966</v>
      </c>
      <c r="AG1773" s="43">
        <v>47.059276025916397</v>
      </c>
      <c r="AH1773" s="43">
        <v>15.4601771792893</v>
      </c>
      <c r="AI1773" s="122" t="s">
        <v>7286</v>
      </c>
      <c r="AJ1773" s="41">
        <v>0.56999999999999995</v>
      </c>
    </row>
    <row r="1774" spans="1:36" ht="35.1" hidden="1" customHeight="1" x14ac:dyDescent="0.25">
      <c r="A1774" s="40">
        <v>2420</v>
      </c>
      <c r="B1774" s="90" t="s">
        <v>6073</v>
      </c>
      <c r="C1774" s="40" t="s">
        <v>540</v>
      </c>
      <c r="D1774" s="44">
        <v>2017</v>
      </c>
      <c r="E1774" s="90"/>
      <c r="F1774" s="90" t="s">
        <v>1339</v>
      </c>
      <c r="G1774" s="90" t="s">
        <v>3239</v>
      </c>
      <c r="I1774" s="90" t="s">
        <v>1269</v>
      </c>
      <c r="J1774" s="90" t="s">
        <v>1391</v>
      </c>
      <c r="K1774" s="90" t="s">
        <v>578</v>
      </c>
      <c r="L1774" s="90"/>
      <c r="M1774" s="90"/>
      <c r="N1774" s="90"/>
      <c r="O1774" s="90"/>
      <c r="P1774" s="90"/>
      <c r="Q1774" s="90">
        <v>1</v>
      </c>
      <c r="R1774" s="90"/>
      <c r="S1774" s="90"/>
      <c r="T1774" s="90"/>
      <c r="U1774" s="90"/>
      <c r="V1774" s="90"/>
      <c r="W1774" s="90"/>
      <c r="X1774" s="90"/>
      <c r="Y1774" s="90"/>
      <c r="Z1774" s="40" t="s">
        <v>2490</v>
      </c>
      <c r="AA1774" s="91">
        <v>0.35</v>
      </c>
      <c r="AB1774" s="46">
        <f>IF(H2ProjectDB689571011[[#This Row],[Dummy_1]]="Electrolysis",
AA1774/VLOOKUP(G1774,ElectrolysisConvF,3,FALSE),
AC1774*10^6/(H2dens*HoursInYear))</f>
        <v>77.777777777777786</v>
      </c>
      <c r="AC1774" s="47">
        <f>AB1774*H2dens*HoursInYear/10^6</f>
        <v>6.0638666666666674E-2</v>
      </c>
      <c r="AD1774" s="92"/>
      <c r="AE1774" s="92">
        <f t="shared" si="124"/>
        <v>77.777777777777786</v>
      </c>
      <c r="AF1774" s="43" t="s">
        <v>6967</v>
      </c>
      <c r="AG1774" s="43">
        <v>47.712001112808998</v>
      </c>
      <c r="AH1774" s="43">
        <v>14.160995658884101</v>
      </c>
      <c r="AI1774" s="122" t="s">
        <v>7286</v>
      </c>
      <c r="AJ1774" s="41">
        <v>0.3</v>
      </c>
    </row>
    <row r="1775" spans="1:36" ht="35.1" hidden="1" customHeight="1" x14ac:dyDescent="0.25">
      <c r="A1775" s="40">
        <v>2421</v>
      </c>
      <c r="B1775" s="90" t="s">
        <v>6074</v>
      </c>
      <c r="C1775" s="40" t="s">
        <v>540</v>
      </c>
      <c r="D1775" s="44">
        <v>2020</v>
      </c>
      <c r="E1775" s="90"/>
      <c r="F1775" s="90" t="s">
        <v>1339</v>
      </c>
      <c r="G1775" s="90" t="s">
        <v>456</v>
      </c>
      <c r="H1775" s="90"/>
      <c r="I1775" s="90" t="s">
        <v>5700</v>
      </c>
      <c r="J1775" s="90" t="s">
        <v>1394</v>
      </c>
      <c r="K1775" s="90" t="s">
        <v>578</v>
      </c>
      <c r="L1775" s="90"/>
      <c r="M1775" s="90"/>
      <c r="N1775" s="90"/>
      <c r="O1775" s="90"/>
      <c r="P1775" s="90"/>
      <c r="Q1775" s="90"/>
      <c r="R1775" s="90">
        <v>1</v>
      </c>
      <c r="S1775" s="90"/>
      <c r="T1775" s="90"/>
      <c r="U1775" s="90"/>
      <c r="V1775" s="90"/>
      <c r="W1775" s="90"/>
      <c r="X1775" s="90"/>
      <c r="Y1775" s="90"/>
      <c r="Z1775" s="40" t="s">
        <v>1429</v>
      </c>
      <c r="AA1775" s="91">
        <v>0.15</v>
      </c>
      <c r="AB1775" s="46">
        <f>IF(H2ProjectDB689571011[[#This Row],[Dummy_1]]="Electrolysis",
AA1775/VLOOKUP(G1775,ElectrolysisConvF,3,FALSE),
AC1775*10^6/(H2dens*HoursInYear))</f>
        <v>39.473684210526315</v>
      </c>
      <c r="AC1775" s="47">
        <f>AB1775*H2dens*HoursInYear/10^6</f>
        <v>3.0775263157894736E-2</v>
      </c>
      <c r="AD1775" s="92"/>
      <c r="AE1775" s="92">
        <f t="shared" si="124"/>
        <v>39.473684210526315</v>
      </c>
      <c r="AF1775" s="43" t="s">
        <v>6090</v>
      </c>
      <c r="AG1775" s="43">
        <v>46.911704120954703</v>
      </c>
      <c r="AH1775" s="43">
        <v>15.4873618215583</v>
      </c>
      <c r="AI1775" s="122" t="s">
        <v>7286</v>
      </c>
      <c r="AJ1775" s="41">
        <v>0.7</v>
      </c>
    </row>
    <row r="1776" spans="1:36" ht="35.1" hidden="1" customHeight="1" x14ac:dyDescent="0.25">
      <c r="A1776" s="40">
        <v>2422</v>
      </c>
      <c r="B1776" s="90" t="s">
        <v>6091</v>
      </c>
      <c r="C1776" s="40" t="s">
        <v>556</v>
      </c>
      <c r="D1776" s="90"/>
      <c r="E1776" s="90"/>
      <c r="F1776" s="90" t="s">
        <v>2222</v>
      </c>
      <c r="G1776" s="90" t="s">
        <v>1259</v>
      </c>
      <c r="H1776" s="90"/>
      <c r="I1776" s="90" t="s">
        <v>5700</v>
      </c>
      <c r="J1776" s="90" t="s">
        <v>581</v>
      </c>
      <c r="K1776" s="90" t="s">
        <v>578</v>
      </c>
      <c r="L1776" s="90"/>
      <c r="M1776" s="90"/>
      <c r="N1776" s="90"/>
      <c r="O1776" s="90"/>
      <c r="P1776" s="90">
        <v>1</v>
      </c>
      <c r="Q1776" s="90"/>
      <c r="R1776" s="90"/>
      <c r="S1776" s="90"/>
      <c r="T1776" s="90"/>
      <c r="U1776" s="90"/>
      <c r="V1776" s="90"/>
      <c r="W1776" s="90"/>
      <c r="X1776" s="90"/>
      <c r="Y1776" s="90"/>
      <c r="Z1776" s="90"/>
      <c r="AA1776" s="91">
        <f>IF(OR(G1776="ALK",G1776="PEM",G1776="SOEC",G1776="Other Electrolysis"),
AB1776*VLOOKUP(G1776,ElectrolysisConvF,3,FALSE),
"")</f>
        <v>0</v>
      </c>
      <c r="AB1776" s="92"/>
      <c r="AC1776" s="92"/>
      <c r="AD1776" s="92"/>
      <c r="AE1776" s="92">
        <f t="shared" si="124"/>
        <v>0</v>
      </c>
      <c r="AF1776" s="43" t="s">
        <v>6097</v>
      </c>
      <c r="AG1776" s="43">
        <v>58.377670104060797</v>
      </c>
      <c r="AH1776" s="43">
        <v>26.729595708401899</v>
      </c>
      <c r="AI1776" s="122" t="s">
        <v>7286</v>
      </c>
      <c r="AJ1776" s="41">
        <v>0.7</v>
      </c>
    </row>
    <row r="1777" spans="1:36" ht="35.1" hidden="1" customHeight="1" x14ac:dyDescent="0.25">
      <c r="A1777" s="40">
        <v>2423</v>
      </c>
      <c r="B1777" s="40" t="s">
        <v>6092</v>
      </c>
      <c r="C1777" s="90" t="s">
        <v>556</v>
      </c>
      <c r="D1777" s="44">
        <v>2030</v>
      </c>
      <c r="E1777" s="44"/>
      <c r="F1777" s="90" t="s">
        <v>2222</v>
      </c>
      <c r="G1777" s="90" t="s">
        <v>455</v>
      </c>
      <c r="H1777" s="90"/>
      <c r="I1777" s="90" t="s">
        <v>5700</v>
      </c>
      <c r="J1777" s="90" t="s">
        <v>581</v>
      </c>
      <c r="K1777" s="90" t="s">
        <v>578</v>
      </c>
      <c r="L1777" s="90"/>
      <c r="M1777" s="90"/>
      <c r="N1777" s="90"/>
      <c r="O1777" s="90"/>
      <c r="P1777" s="90">
        <v>1</v>
      </c>
      <c r="Q1777" s="90"/>
      <c r="R1777" s="90"/>
      <c r="S1777" s="90"/>
      <c r="T1777" s="90"/>
      <c r="U1777" s="90"/>
      <c r="V1777" s="90"/>
      <c r="W1777" s="90"/>
      <c r="X1777" s="90"/>
      <c r="Y1777" s="90"/>
      <c r="Z1777" s="40" t="s">
        <v>2110</v>
      </c>
      <c r="AA1777" s="91">
        <v>24</v>
      </c>
      <c r="AB1777" s="46">
        <f>IF(H2ProjectDB689571011[[#This Row],[Dummy_1]]="Electrolysis",
AA1777/VLOOKUP(G1777,ElectrolysisConvF,3,FALSE),
AC1777*10^6/(H2dens*HoursInYear))</f>
        <v>4615.3846153846152</v>
      </c>
      <c r="AC1777" s="47">
        <f>AB1777*H2dens*HoursInYear/10^6</f>
        <v>3.5983384615384608</v>
      </c>
      <c r="AD1777" s="92"/>
      <c r="AE1777" s="92">
        <f t="shared" si="124"/>
        <v>4615.3846153846152</v>
      </c>
      <c r="AF1777" s="92"/>
      <c r="AG1777" s="43">
        <v>59.353841942678599</v>
      </c>
      <c r="AH1777" s="43">
        <v>24.0453019727331</v>
      </c>
      <c r="AI1777" s="122" t="s">
        <v>7286</v>
      </c>
      <c r="AJ1777" s="41">
        <v>0.7</v>
      </c>
    </row>
    <row r="1778" spans="1:36" ht="35.1" hidden="1" customHeight="1" x14ac:dyDescent="0.25">
      <c r="A1778" s="40">
        <v>2424</v>
      </c>
      <c r="B1778" s="40" t="s">
        <v>6093</v>
      </c>
      <c r="C1778" s="90" t="s">
        <v>556</v>
      </c>
      <c r="D1778" s="44">
        <v>2025</v>
      </c>
      <c r="E1778" s="44"/>
      <c r="F1778" s="90" t="s">
        <v>1331</v>
      </c>
      <c r="G1778" s="90" t="s">
        <v>457</v>
      </c>
      <c r="H1778" s="90"/>
      <c r="I1778" s="90" t="s">
        <v>1269</v>
      </c>
      <c r="J1778" s="90" t="s">
        <v>1391</v>
      </c>
      <c r="K1778" s="90" t="s">
        <v>578</v>
      </c>
      <c r="L1778" s="90"/>
      <c r="M1778" s="90"/>
      <c r="N1778" s="90"/>
      <c r="O1778" s="90"/>
      <c r="P1778" s="90">
        <v>1</v>
      </c>
      <c r="Q1778" s="90"/>
      <c r="R1778" s="90"/>
      <c r="S1778" s="90"/>
      <c r="T1778" s="90"/>
      <c r="U1778" s="90"/>
      <c r="V1778" s="90"/>
      <c r="W1778" s="90"/>
      <c r="X1778" s="90"/>
      <c r="Y1778" s="90"/>
      <c r="Z1778" s="40" t="s">
        <v>6102</v>
      </c>
      <c r="AA1778" s="47">
        <f>IF(H2ProjectDB689571011[[#This Row],[Dummy_1]]="Electrolysis",
AB1778*VLOOKUP(G1778,ElectrolysisConvF,3,FALSE),
"")</f>
        <v>0.21240572571956287</v>
      </c>
      <c r="AB1778" s="46">
        <f>AC1778/(H2dens*HoursInYear/10^6)</f>
        <v>46.175157765122364</v>
      </c>
      <c r="AC1778" s="78">
        <f>36/1000</f>
        <v>3.5999999999999997E-2</v>
      </c>
      <c r="AD1778" s="92"/>
      <c r="AE1778" s="92">
        <f t="shared" si="124"/>
        <v>46.175157765122364</v>
      </c>
      <c r="AF1778" s="43" t="s">
        <v>6104</v>
      </c>
      <c r="AG1778" s="43">
        <v>59.4374977470437</v>
      </c>
      <c r="AH1778" s="43">
        <v>24.900398491674199</v>
      </c>
      <c r="AI1778" s="122" t="s">
        <v>7286</v>
      </c>
      <c r="AJ1778" s="41">
        <v>0.3</v>
      </c>
    </row>
    <row r="1779" spans="1:36" ht="35.1" hidden="1" customHeight="1" x14ac:dyDescent="0.25">
      <c r="A1779" s="40">
        <v>2425</v>
      </c>
      <c r="B1779" s="90" t="s">
        <v>6094</v>
      </c>
      <c r="C1779" s="90" t="s">
        <v>556</v>
      </c>
      <c r="D1779" s="44">
        <v>2010</v>
      </c>
      <c r="E1779" s="90"/>
      <c r="F1779" s="90" t="s">
        <v>1339</v>
      </c>
      <c r="G1779" s="90" t="s">
        <v>1259</v>
      </c>
      <c r="H1779" s="90" t="s">
        <v>467</v>
      </c>
      <c r="I1779" s="90" t="s">
        <v>1269</v>
      </c>
      <c r="J1779" s="90" t="s">
        <v>581</v>
      </c>
      <c r="K1779" s="90" t="s">
        <v>578</v>
      </c>
      <c r="L1779" s="90"/>
      <c r="M1779" s="90"/>
      <c r="N1779" s="90"/>
      <c r="O1779" s="90"/>
      <c r="P1779" s="90">
        <v>1</v>
      </c>
      <c r="Q1779" s="90"/>
      <c r="R1779" s="90"/>
      <c r="S1779" s="90"/>
      <c r="T1779" s="90"/>
      <c r="U1779" s="90"/>
      <c r="V1779" s="90"/>
      <c r="W1779" s="90"/>
      <c r="X1779" s="90"/>
      <c r="Y1779" s="90"/>
      <c r="Z1779" s="40" t="s">
        <v>6098</v>
      </c>
      <c r="AA1779" s="47">
        <f>IF(H2ProjectDB689571011[[#This Row],[Dummy_1]]="Electrolysis",
AB1779*VLOOKUP(G1779,ElectrolysisConvF,3,FALSE),
"")</f>
        <v>0.1442973680160074</v>
      </c>
      <c r="AB1779" s="46">
        <f>AC1779/(H2dens*HoursInYear/10^6)</f>
        <v>32.066081781334979</v>
      </c>
      <c r="AC1779" s="78">
        <f>25/1000</f>
        <v>2.5000000000000001E-2</v>
      </c>
      <c r="AD1779" s="92"/>
      <c r="AE1779" s="92">
        <f t="shared" si="124"/>
        <v>32.066081781334979</v>
      </c>
      <c r="AF1779" s="43" t="s">
        <v>6101</v>
      </c>
      <c r="AG1779" s="43">
        <v>59.275636637145404</v>
      </c>
      <c r="AH1779" s="43">
        <v>27.9054387771757</v>
      </c>
      <c r="AI1779" s="122" t="s">
        <v>7286</v>
      </c>
      <c r="AJ1779" s="41">
        <v>0.5</v>
      </c>
    </row>
    <row r="1780" spans="1:36" ht="35.1" hidden="1" customHeight="1" x14ac:dyDescent="0.25">
      <c r="A1780" s="40">
        <v>2426</v>
      </c>
      <c r="B1780" s="40" t="s">
        <v>8698</v>
      </c>
      <c r="C1780" s="40" t="s">
        <v>532</v>
      </c>
      <c r="D1780" s="44">
        <v>2030</v>
      </c>
      <c r="E1780" s="44"/>
      <c r="F1780" s="90" t="s">
        <v>1331</v>
      </c>
      <c r="G1780" s="90" t="s">
        <v>457</v>
      </c>
      <c r="H1780" s="90"/>
      <c r="I1780" s="90" t="s">
        <v>1269</v>
      </c>
      <c r="J1780" s="90" t="s">
        <v>1395</v>
      </c>
      <c r="K1780" s="90" t="s">
        <v>1268</v>
      </c>
      <c r="L1780" s="90"/>
      <c r="M1780" s="90"/>
      <c r="N1780" s="90"/>
      <c r="O1780" s="90"/>
      <c r="P1780" s="90">
        <v>1</v>
      </c>
      <c r="Q1780" s="90"/>
      <c r="R1780" s="90"/>
      <c r="S1780" s="90"/>
      <c r="T1780" s="90"/>
      <c r="U1780" s="90"/>
      <c r="V1780" s="90"/>
      <c r="W1780" s="90"/>
      <c r="X1780" s="90">
        <v>1</v>
      </c>
      <c r="Y1780" s="90">
        <v>1</v>
      </c>
      <c r="Z1780" s="40" t="s">
        <v>1574</v>
      </c>
      <c r="AA1780" s="91">
        <v>200</v>
      </c>
      <c r="AB1780" s="46">
        <f>IF(H2ProjectDB689571011[[#This Row],[Dummy_1]]="Electrolysis",
AA1780/VLOOKUP(G1780,ElectrolysisConvF,3,FALSE),
AC1780*10^6/(H2dens*HoursInYear))</f>
        <v>43478.260869565216</v>
      </c>
      <c r="AC1780" s="47">
        <f t="shared" ref="AC1780:AC1799" si="125">AB1780*H2dens*HoursInYear/10^6</f>
        <v>33.897391304347821</v>
      </c>
      <c r="AD1780" s="92"/>
      <c r="AE1780" s="92">
        <f t="shared" si="124"/>
        <v>43478.260869565216</v>
      </c>
      <c r="AF1780" s="43" t="s">
        <v>6177</v>
      </c>
      <c r="AG1780" s="43">
        <v>63.854723</v>
      </c>
      <c r="AH1780" s="43">
        <v>23.049399000000001</v>
      </c>
      <c r="AI1780" s="122" t="s">
        <v>7286</v>
      </c>
      <c r="AJ1780" s="41">
        <v>0.5</v>
      </c>
    </row>
    <row r="1781" spans="1:36" ht="35.1" hidden="1" customHeight="1" x14ac:dyDescent="0.25">
      <c r="A1781" s="40">
        <v>2427</v>
      </c>
      <c r="B1781" s="40" t="s">
        <v>8694</v>
      </c>
      <c r="C1781" s="40" t="s">
        <v>532</v>
      </c>
      <c r="D1781" s="44">
        <v>2030</v>
      </c>
      <c r="E1781" s="44"/>
      <c r="F1781" s="90" t="s">
        <v>1331</v>
      </c>
      <c r="G1781" s="90" t="s">
        <v>1259</v>
      </c>
      <c r="H1781" s="90" t="s">
        <v>467</v>
      </c>
      <c r="I1781" s="90" t="s">
        <v>1266</v>
      </c>
      <c r="J1781" s="90"/>
      <c r="K1781" s="40" t="s">
        <v>1243</v>
      </c>
      <c r="M1781" s="40">
        <v>1</v>
      </c>
      <c r="N1781" s="90"/>
      <c r="O1781" s="90"/>
      <c r="P1781" s="90">
        <v>1</v>
      </c>
      <c r="Q1781" s="90">
        <v>1</v>
      </c>
      <c r="R1781" s="90"/>
      <c r="S1781" s="90"/>
      <c r="T1781" s="90"/>
      <c r="U1781" s="90"/>
      <c r="V1781" s="90"/>
      <c r="W1781" s="90"/>
      <c r="X1781" s="90"/>
      <c r="Y1781" s="90"/>
      <c r="Z1781" s="40" t="s">
        <v>5166</v>
      </c>
      <c r="AA1781" s="47">
        <v>280</v>
      </c>
      <c r="AB1781" s="46">
        <f>IF(H2ProjectDB689571011[[#This Row],[Dummy_1]]="Electrolysis",
AA1781/VLOOKUP(G1781,ElectrolysisConvF,3,FALSE),
AC1781*10^6/(H2dens*HoursInYear))</f>
        <v>62222.222222222226</v>
      </c>
      <c r="AC1781" s="47">
        <f t="shared" si="125"/>
        <v>48.510933333333334</v>
      </c>
      <c r="AD1781" s="92"/>
      <c r="AE1781" s="92">
        <f t="shared" si="124"/>
        <v>62222.222222222226</v>
      </c>
      <c r="AF1781" s="43" t="s">
        <v>8693</v>
      </c>
      <c r="AG1781" s="43">
        <v>65.739292294177005</v>
      </c>
      <c r="AH1781" s="43">
        <v>24.549692010532802</v>
      </c>
      <c r="AI1781" s="122" t="s">
        <v>7286</v>
      </c>
      <c r="AJ1781" s="41">
        <v>0.56999999999999995</v>
      </c>
    </row>
    <row r="1782" spans="1:36" ht="35.1" hidden="1" customHeight="1" x14ac:dyDescent="0.25">
      <c r="A1782" s="40">
        <v>2428</v>
      </c>
      <c r="B1782" s="40" t="s">
        <v>6105</v>
      </c>
      <c r="C1782" s="40" t="s">
        <v>532</v>
      </c>
      <c r="D1782" s="44">
        <v>2026</v>
      </c>
      <c r="E1782" s="44"/>
      <c r="F1782" s="90" t="s">
        <v>1331</v>
      </c>
      <c r="G1782" s="90" t="s">
        <v>1259</v>
      </c>
      <c r="H1782" s="90" t="s">
        <v>467</v>
      </c>
      <c r="I1782" s="90" t="s">
        <v>1266</v>
      </c>
      <c r="J1782" s="90"/>
      <c r="K1782" s="90" t="s">
        <v>1242</v>
      </c>
      <c r="L1782" s="90"/>
      <c r="M1782" s="90"/>
      <c r="N1782" s="90">
        <v>1</v>
      </c>
      <c r="O1782" s="90"/>
      <c r="P1782" s="90"/>
      <c r="Q1782" s="90">
        <v>1</v>
      </c>
      <c r="R1782" s="90"/>
      <c r="S1782" s="90"/>
      <c r="T1782" s="90"/>
      <c r="U1782" s="90"/>
      <c r="V1782" s="90"/>
      <c r="W1782" s="90"/>
      <c r="X1782" s="90"/>
      <c r="Y1782" s="90"/>
      <c r="Z1782" s="115" t="s">
        <v>6125</v>
      </c>
      <c r="AA1782" s="91">
        <v>17</v>
      </c>
      <c r="AB1782" s="46">
        <f>IF(H2ProjectDB689571011[[#This Row],[Dummy_1]]="Electrolysis",
AA1782/VLOOKUP(G1782,ElectrolysisConvF,3,FALSE),
AC1782*10^6/(H2dens*HoursInYear))</f>
        <v>3777.7777777777783</v>
      </c>
      <c r="AC1782" s="47">
        <f t="shared" si="125"/>
        <v>2.9453066666666663</v>
      </c>
      <c r="AD1782" s="92"/>
      <c r="AE1782" s="92">
        <f t="shared" si="124"/>
        <v>3777.7777777777783</v>
      </c>
      <c r="AF1782" s="43" t="s">
        <v>7955</v>
      </c>
      <c r="AG1782" s="43">
        <v>61.038422985623598</v>
      </c>
      <c r="AH1782" s="43">
        <v>28.181712532288199</v>
      </c>
      <c r="AI1782" s="122" t="s">
        <v>7286</v>
      </c>
      <c r="AJ1782" s="41">
        <v>0.56999999999999995</v>
      </c>
    </row>
    <row r="1783" spans="1:36" ht="35.1" hidden="1" customHeight="1" x14ac:dyDescent="0.25">
      <c r="A1783" s="40">
        <v>2429</v>
      </c>
      <c r="B1783" s="40" t="s">
        <v>6106</v>
      </c>
      <c r="C1783" s="40" t="s">
        <v>532</v>
      </c>
      <c r="D1783" s="44">
        <v>2026</v>
      </c>
      <c r="E1783" s="44"/>
      <c r="F1783" s="90" t="s">
        <v>1331</v>
      </c>
      <c r="G1783" s="90" t="s">
        <v>1259</v>
      </c>
      <c r="H1783" s="90" t="s">
        <v>467</v>
      </c>
      <c r="I1783" s="90" t="s">
        <v>1266</v>
      </c>
      <c r="J1783" s="90"/>
      <c r="K1783" s="90" t="s">
        <v>612</v>
      </c>
      <c r="L1783" s="90"/>
      <c r="M1783" s="90"/>
      <c r="N1783" s="90"/>
      <c r="O1783" s="90"/>
      <c r="P1783" s="90">
        <v>1</v>
      </c>
      <c r="Q1783" s="90">
        <v>1</v>
      </c>
      <c r="R1783" s="90"/>
      <c r="S1783" s="90"/>
      <c r="T1783" s="90"/>
      <c r="U1783" s="90"/>
      <c r="V1783" s="90"/>
      <c r="W1783" s="90"/>
      <c r="X1783" s="90"/>
      <c r="Y1783" s="90"/>
      <c r="Z1783" s="115" t="s">
        <v>6126</v>
      </c>
      <c r="AA1783" s="91">
        <v>40</v>
      </c>
      <c r="AB1783" s="46">
        <f>IF(H2ProjectDB689571011[[#This Row],[Dummy_1]]="Electrolysis",
AA1783/VLOOKUP(G1783,ElectrolysisConvF,3,FALSE),
AC1783*10^6/(H2dens*HoursInYear))</f>
        <v>8888.8888888888887</v>
      </c>
      <c r="AC1783" s="47">
        <f t="shared" si="125"/>
        <v>6.930133333333333</v>
      </c>
      <c r="AD1783" s="92"/>
      <c r="AE1783" s="92">
        <f t="shared" si="124"/>
        <v>8888.8888888888887</v>
      </c>
      <c r="AF1783" s="43" t="s">
        <v>6122</v>
      </c>
      <c r="AG1783" s="43">
        <v>60.441521000000002</v>
      </c>
      <c r="AH1783" s="43">
        <v>26.894655</v>
      </c>
      <c r="AI1783" s="122" t="s">
        <v>7286</v>
      </c>
      <c r="AJ1783" s="41">
        <v>0.56999999999999995</v>
      </c>
    </row>
    <row r="1784" spans="1:36" ht="35.1" hidden="1" customHeight="1" x14ac:dyDescent="0.25">
      <c r="A1784" s="40">
        <v>2430</v>
      </c>
      <c r="B1784" s="90" t="s">
        <v>6107</v>
      </c>
      <c r="C1784" s="40" t="s">
        <v>532</v>
      </c>
      <c r="D1784" s="44">
        <v>2026</v>
      </c>
      <c r="E1784" s="44"/>
      <c r="F1784" s="90" t="s">
        <v>1331</v>
      </c>
      <c r="G1784" s="90" t="s">
        <v>1259</v>
      </c>
      <c r="H1784" s="90" t="s">
        <v>467</v>
      </c>
      <c r="I1784" s="90" t="s">
        <v>1266</v>
      </c>
      <c r="J1784" s="90"/>
      <c r="K1784" s="90" t="s">
        <v>612</v>
      </c>
      <c r="L1784" s="90"/>
      <c r="M1784" s="90"/>
      <c r="N1784" s="90"/>
      <c r="O1784" s="90"/>
      <c r="P1784" s="90">
        <v>1</v>
      </c>
      <c r="Q1784" s="90">
        <v>1</v>
      </c>
      <c r="R1784" s="90"/>
      <c r="S1784" s="90"/>
      <c r="T1784" s="90"/>
      <c r="U1784" s="90"/>
      <c r="V1784" s="90"/>
      <c r="W1784" s="90"/>
      <c r="X1784" s="90"/>
      <c r="Y1784" s="90"/>
      <c r="Z1784" s="115" t="s">
        <v>1527</v>
      </c>
      <c r="AA1784" s="91">
        <v>120</v>
      </c>
      <c r="AB1784" s="46">
        <f>IF(H2ProjectDB689571011[[#This Row],[Dummy_1]]="Electrolysis",
AA1784/VLOOKUP(G1784,ElectrolysisConvF,3,FALSE),
AC1784*10^6/(H2dens*HoursInYear))</f>
        <v>26666.666666666668</v>
      </c>
      <c r="AC1784" s="47">
        <f t="shared" si="125"/>
        <v>20.790400000000002</v>
      </c>
      <c r="AD1784" s="92"/>
      <c r="AE1784" s="92">
        <f t="shared" si="124"/>
        <v>26666.666666666668</v>
      </c>
      <c r="AF1784" s="43" t="s">
        <v>6123</v>
      </c>
      <c r="AG1784" s="43">
        <v>60.989870000000003</v>
      </c>
      <c r="AH1784" s="43">
        <v>25.719878000000001</v>
      </c>
      <c r="AI1784" s="122" t="s">
        <v>7286</v>
      </c>
      <c r="AJ1784" s="41">
        <v>0.56999999999999995</v>
      </c>
    </row>
    <row r="1785" spans="1:36" ht="35.1" hidden="1" customHeight="1" x14ac:dyDescent="0.25">
      <c r="A1785" s="40">
        <v>2431</v>
      </c>
      <c r="B1785" s="90" t="s">
        <v>6108</v>
      </c>
      <c r="C1785" s="40" t="s">
        <v>532</v>
      </c>
      <c r="D1785" s="44">
        <v>2025</v>
      </c>
      <c r="E1785" s="44"/>
      <c r="F1785" s="90" t="s">
        <v>1331</v>
      </c>
      <c r="G1785" s="90" t="s">
        <v>1259</v>
      </c>
      <c r="H1785" s="90" t="s">
        <v>467</v>
      </c>
      <c r="I1785" s="90" t="s">
        <v>1266</v>
      </c>
      <c r="J1785" s="90"/>
      <c r="K1785" s="90" t="s">
        <v>578</v>
      </c>
      <c r="L1785" s="90"/>
      <c r="M1785" s="90"/>
      <c r="N1785" s="90"/>
      <c r="O1785" s="90"/>
      <c r="P1785" s="90">
        <v>1</v>
      </c>
      <c r="Q1785" s="90">
        <v>1</v>
      </c>
      <c r="R1785" s="90"/>
      <c r="S1785" s="90"/>
      <c r="T1785" s="90"/>
      <c r="U1785" s="90"/>
      <c r="V1785" s="90"/>
      <c r="W1785" s="90"/>
      <c r="X1785" s="90"/>
      <c r="Y1785" s="90"/>
      <c r="Z1785" s="115" t="s">
        <v>1577</v>
      </c>
      <c r="AA1785" s="91">
        <v>60</v>
      </c>
      <c r="AB1785" s="46">
        <f>IF(H2ProjectDB689571011[[#This Row],[Dummy_1]]="Electrolysis",
AA1785/VLOOKUP(G1785,ElectrolysisConvF,3,FALSE),
AC1785*10^6/(H2dens*HoursInYear))</f>
        <v>13333.333333333334</v>
      </c>
      <c r="AC1785" s="47">
        <f t="shared" si="125"/>
        <v>10.395200000000001</v>
      </c>
      <c r="AD1785" s="92"/>
      <c r="AE1785" s="92">
        <f t="shared" si="124"/>
        <v>13333.333333333334</v>
      </c>
      <c r="AF1785" s="43" t="s">
        <v>6124</v>
      </c>
      <c r="AG1785" s="43">
        <v>61.540897000000001</v>
      </c>
      <c r="AH1785" s="43">
        <v>23.981936999999999</v>
      </c>
      <c r="AI1785" s="122" t="s">
        <v>7286</v>
      </c>
      <c r="AJ1785" s="41">
        <v>0.56999999999999995</v>
      </c>
    </row>
    <row r="1786" spans="1:36" ht="35.1" hidden="1" customHeight="1" x14ac:dyDescent="0.25">
      <c r="A1786" s="40">
        <v>2432</v>
      </c>
      <c r="B1786" s="90" t="s">
        <v>6109</v>
      </c>
      <c r="C1786" s="40" t="s">
        <v>532</v>
      </c>
      <c r="D1786" s="44">
        <v>2026</v>
      </c>
      <c r="E1786" s="44"/>
      <c r="F1786" s="90" t="s">
        <v>1331</v>
      </c>
      <c r="G1786" s="90" t="s">
        <v>1259</v>
      </c>
      <c r="H1786" s="90" t="s">
        <v>467</v>
      </c>
      <c r="I1786" s="90" t="s">
        <v>1269</v>
      </c>
      <c r="J1786" s="90" t="s">
        <v>581</v>
      </c>
      <c r="K1786" s="90" t="s">
        <v>578</v>
      </c>
      <c r="L1786" s="90"/>
      <c r="M1786" s="90"/>
      <c r="N1786" s="90"/>
      <c r="O1786" s="90"/>
      <c r="P1786" s="90">
        <v>1</v>
      </c>
      <c r="Q1786" s="90">
        <v>1</v>
      </c>
      <c r="R1786" s="90"/>
      <c r="S1786" s="90"/>
      <c r="T1786" s="90"/>
      <c r="U1786" s="90"/>
      <c r="V1786" s="90"/>
      <c r="W1786" s="90"/>
      <c r="X1786" s="90"/>
      <c r="Y1786" s="90"/>
      <c r="Z1786" s="40" t="s">
        <v>1672</v>
      </c>
      <c r="AA1786" s="91">
        <v>40</v>
      </c>
      <c r="AB1786" s="46">
        <f>IF(H2ProjectDB689571011[[#This Row],[Dummy_1]]="Electrolysis",
AA1786/VLOOKUP(G1786,ElectrolysisConvF,3,FALSE),
AC1786*10^6/(H2dens*HoursInYear))</f>
        <v>8888.8888888888887</v>
      </c>
      <c r="AC1786" s="47">
        <f t="shared" si="125"/>
        <v>6.930133333333333</v>
      </c>
      <c r="AD1786" s="92"/>
      <c r="AE1786" s="92">
        <f t="shared" si="124"/>
        <v>8888.8888888888887</v>
      </c>
      <c r="AF1786" s="43" t="s">
        <v>6128</v>
      </c>
      <c r="AG1786" s="43">
        <v>62.619962028796401</v>
      </c>
      <c r="AH1786" s="43">
        <v>29.7025510521757</v>
      </c>
      <c r="AI1786" s="122" t="s">
        <v>7286</v>
      </c>
      <c r="AJ1786" s="41">
        <v>0.5</v>
      </c>
    </row>
    <row r="1787" spans="1:36" ht="35.1" hidden="1" customHeight="1" x14ac:dyDescent="0.25">
      <c r="A1787" s="40">
        <v>2433</v>
      </c>
      <c r="B1787" s="40" t="s">
        <v>6110</v>
      </c>
      <c r="C1787" s="40" t="s">
        <v>532</v>
      </c>
      <c r="D1787" s="44">
        <v>2026</v>
      </c>
      <c r="E1787" s="44"/>
      <c r="F1787" s="90" t="s">
        <v>1331</v>
      </c>
      <c r="G1787" s="90" t="s">
        <v>1259</v>
      </c>
      <c r="H1787" s="90" t="s">
        <v>467</v>
      </c>
      <c r="I1787" s="90" t="s">
        <v>1266</v>
      </c>
      <c r="J1787" s="90"/>
      <c r="K1787" s="90" t="s">
        <v>578</v>
      </c>
      <c r="L1787" s="90"/>
      <c r="M1787" s="90"/>
      <c r="N1787" s="90"/>
      <c r="O1787" s="90"/>
      <c r="P1787" s="90">
        <v>1</v>
      </c>
      <c r="Q1787" s="90">
        <v>1</v>
      </c>
      <c r="R1787" s="90"/>
      <c r="S1787" s="90"/>
      <c r="T1787" s="90"/>
      <c r="U1787" s="90"/>
      <c r="V1787" s="90"/>
      <c r="W1787" s="90"/>
      <c r="X1787" s="90"/>
      <c r="Y1787" s="90"/>
      <c r="Z1787" s="40" t="s">
        <v>1672</v>
      </c>
      <c r="AA1787" s="91">
        <v>40</v>
      </c>
      <c r="AB1787" s="46">
        <f>IF(H2ProjectDB689571011[[#This Row],[Dummy_1]]="Electrolysis",
AA1787/VLOOKUP(G1787,ElectrolysisConvF,3,FALSE),
AC1787*10^6/(H2dens*HoursInYear))</f>
        <v>8888.8888888888887</v>
      </c>
      <c r="AC1787" s="47">
        <f t="shared" si="125"/>
        <v>6.930133333333333</v>
      </c>
      <c r="AD1787" s="92"/>
      <c r="AE1787" s="92">
        <f t="shared" si="124"/>
        <v>8888.8888888888887</v>
      </c>
      <c r="AF1787" s="43" t="s">
        <v>6130</v>
      </c>
      <c r="AG1787" s="43">
        <v>61.671550000000003</v>
      </c>
      <c r="AH1787" s="43">
        <v>27.289660000000001</v>
      </c>
      <c r="AI1787" s="122" t="s">
        <v>7286</v>
      </c>
      <c r="AJ1787" s="41">
        <v>0.56999999999999995</v>
      </c>
    </row>
    <row r="1788" spans="1:36" ht="35.1" hidden="1" customHeight="1" x14ac:dyDescent="0.25">
      <c r="A1788" s="40">
        <v>2434</v>
      </c>
      <c r="B1788" s="90" t="s">
        <v>6111</v>
      </c>
      <c r="C1788" s="40" t="s">
        <v>532</v>
      </c>
      <c r="D1788" s="44">
        <v>2026</v>
      </c>
      <c r="E1788" s="44"/>
      <c r="F1788" s="90" t="s">
        <v>1331</v>
      </c>
      <c r="G1788" s="90" t="s">
        <v>1259</v>
      </c>
      <c r="H1788" s="90" t="s">
        <v>467</v>
      </c>
      <c r="I1788" s="90" t="s">
        <v>1266</v>
      </c>
      <c r="J1788" s="90"/>
      <c r="K1788" s="90" t="s">
        <v>578</v>
      </c>
      <c r="L1788" s="90"/>
      <c r="M1788" s="90"/>
      <c r="N1788" s="90"/>
      <c r="O1788" s="90"/>
      <c r="P1788" s="90">
        <v>1</v>
      </c>
      <c r="Q1788" s="90">
        <v>1</v>
      </c>
      <c r="R1788" s="90"/>
      <c r="S1788" s="90"/>
      <c r="T1788" s="90"/>
      <c r="U1788" s="90"/>
      <c r="V1788" s="90"/>
      <c r="W1788" s="90"/>
      <c r="X1788" s="90"/>
      <c r="Y1788" s="90"/>
      <c r="Z1788" s="40" t="s">
        <v>1495</v>
      </c>
      <c r="AA1788" s="91">
        <v>20</v>
      </c>
      <c r="AB1788" s="46">
        <f>IF(H2ProjectDB689571011[[#This Row],[Dummy_1]]="Electrolysis",
AA1788/VLOOKUP(G1788,ElectrolysisConvF,3,FALSE),
AC1788*10^6/(H2dens*HoursInYear))</f>
        <v>4444.4444444444443</v>
      </c>
      <c r="AC1788" s="47">
        <f t="shared" si="125"/>
        <v>3.4650666666666665</v>
      </c>
      <c r="AD1788" s="92"/>
      <c r="AE1788" s="92">
        <f t="shared" si="124"/>
        <v>4444.4444444444443</v>
      </c>
      <c r="AF1788" s="43" t="s">
        <v>6132</v>
      </c>
      <c r="AG1788" s="43">
        <v>61.574804</v>
      </c>
      <c r="AH1788" s="43">
        <v>21.555980000000002</v>
      </c>
      <c r="AI1788" s="122" t="s">
        <v>7286</v>
      </c>
      <c r="AJ1788" s="41">
        <v>0.56999999999999995</v>
      </c>
    </row>
    <row r="1789" spans="1:36" ht="35.1" hidden="1" customHeight="1" x14ac:dyDescent="0.25">
      <c r="A1789" s="40">
        <v>2435</v>
      </c>
      <c r="B1789" s="40" t="s">
        <v>6112</v>
      </c>
      <c r="C1789" s="40" t="s">
        <v>532</v>
      </c>
      <c r="D1789" s="44">
        <v>2025</v>
      </c>
      <c r="E1789" s="44"/>
      <c r="F1789" s="90" t="s">
        <v>1331</v>
      </c>
      <c r="G1789" s="90" t="s">
        <v>1259</v>
      </c>
      <c r="H1789" s="90" t="s">
        <v>467</v>
      </c>
      <c r="I1789" s="90" t="s">
        <v>1266</v>
      </c>
      <c r="J1789" s="90"/>
      <c r="K1789" s="90" t="s">
        <v>578</v>
      </c>
      <c r="L1789" s="90"/>
      <c r="M1789" s="90"/>
      <c r="N1789" s="90"/>
      <c r="O1789" s="90"/>
      <c r="P1789" s="90"/>
      <c r="Q1789" s="90">
        <v>1</v>
      </c>
      <c r="R1789" s="90"/>
      <c r="S1789" s="90"/>
      <c r="T1789" s="90"/>
      <c r="U1789" s="90"/>
      <c r="V1789" s="90"/>
      <c r="W1789" s="90">
        <v>1</v>
      </c>
      <c r="X1789" s="90"/>
      <c r="Y1789" s="90"/>
      <c r="Z1789" s="40" t="s">
        <v>1495</v>
      </c>
      <c r="AA1789" s="91">
        <v>20</v>
      </c>
      <c r="AB1789" s="46">
        <f>IF(H2ProjectDB689571011[[#This Row],[Dummy_1]]="Electrolysis",
AA1789/VLOOKUP(G1789,ElectrolysisConvF,3,FALSE),
AC1789*10^6/(H2dens*HoursInYear))</f>
        <v>4444.4444444444443</v>
      </c>
      <c r="AC1789" s="47">
        <f t="shared" si="125"/>
        <v>3.4650666666666665</v>
      </c>
      <c r="AD1789" s="92"/>
      <c r="AE1789" s="92">
        <f t="shared" si="124"/>
        <v>4444.4444444444443</v>
      </c>
      <c r="AF1789" s="43" t="s">
        <v>6136</v>
      </c>
      <c r="AG1789" s="43">
        <v>61.069766527532501</v>
      </c>
      <c r="AH1789" s="43">
        <v>28.2469298988267</v>
      </c>
      <c r="AI1789" s="122" t="s">
        <v>7286</v>
      </c>
      <c r="AJ1789" s="41">
        <v>0.56999999999999995</v>
      </c>
    </row>
    <row r="1790" spans="1:36" ht="35.1" hidden="1" customHeight="1" x14ac:dyDescent="0.25">
      <c r="A1790" s="40">
        <v>2436</v>
      </c>
      <c r="B1790" s="90" t="s">
        <v>6113</v>
      </c>
      <c r="C1790" s="40" t="s">
        <v>532</v>
      </c>
      <c r="D1790" s="44">
        <v>2026</v>
      </c>
      <c r="E1790" s="44"/>
      <c r="F1790" s="90" t="s">
        <v>5701</v>
      </c>
      <c r="G1790" s="90" t="s">
        <v>1259</v>
      </c>
      <c r="H1790" s="90" t="s">
        <v>467</v>
      </c>
      <c r="I1790" s="90" t="s">
        <v>1269</v>
      </c>
      <c r="J1790" s="90" t="s">
        <v>581</v>
      </c>
      <c r="K1790" s="90" t="s">
        <v>578</v>
      </c>
      <c r="L1790" s="90"/>
      <c r="M1790" s="90"/>
      <c r="N1790" s="90"/>
      <c r="O1790" s="90"/>
      <c r="P1790" s="90"/>
      <c r="Q1790" s="90"/>
      <c r="R1790" s="90">
        <v>1</v>
      </c>
      <c r="S1790" s="90"/>
      <c r="T1790" s="90"/>
      <c r="U1790" s="90"/>
      <c r="V1790" s="90"/>
      <c r="W1790" s="90"/>
      <c r="X1790" s="90"/>
      <c r="Y1790" s="90"/>
      <c r="Z1790" s="40" t="s">
        <v>1333</v>
      </c>
      <c r="AA1790" s="91">
        <v>10</v>
      </c>
      <c r="AB1790" s="46">
        <f>IF(H2ProjectDB689571011[[#This Row],[Dummy_1]]="Electrolysis",
AA1790/VLOOKUP(G1790,ElectrolysisConvF,3,FALSE),
AC1790*10^6/(H2dens*HoursInYear))</f>
        <v>2222.2222222222222</v>
      </c>
      <c r="AC1790" s="47">
        <f t="shared" si="125"/>
        <v>1.7325333333333333</v>
      </c>
      <c r="AD1790" s="92"/>
      <c r="AE1790" s="92">
        <f t="shared" si="124"/>
        <v>2222.2222222222222</v>
      </c>
      <c r="AF1790" s="43" t="s">
        <v>6124</v>
      </c>
      <c r="AG1790" s="43">
        <v>63.101210000000002</v>
      </c>
      <c r="AH1790" s="43">
        <v>21.601948</v>
      </c>
      <c r="AI1790" s="122" t="s">
        <v>7286</v>
      </c>
      <c r="AJ1790" s="41">
        <v>0.5</v>
      </c>
    </row>
    <row r="1791" spans="1:36" ht="35.1" hidden="1" customHeight="1" x14ac:dyDescent="0.25">
      <c r="A1791" s="40">
        <v>2437</v>
      </c>
      <c r="B1791" s="90" t="s">
        <v>6114</v>
      </c>
      <c r="C1791" s="40" t="s">
        <v>532</v>
      </c>
      <c r="D1791" s="44">
        <v>2025</v>
      </c>
      <c r="E1791" s="44"/>
      <c r="F1791" s="90" t="s">
        <v>5701</v>
      </c>
      <c r="G1791" s="90" t="s">
        <v>1259</v>
      </c>
      <c r="H1791" s="90" t="s">
        <v>467</v>
      </c>
      <c r="I1791" s="90" t="s">
        <v>1266</v>
      </c>
      <c r="J1791" s="90"/>
      <c r="K1791" s="90" t="s">
        <v>578</v>
      </c>
      <c r="L1791" s="90"/>
      <c r="M1791" s="90"/>
      <c r="N1791" s="90"/>
      <c r="O1791" s="90"/>
      <c r="P1791" s="90"/>
      <c r="Q1791" s="90">
        <v>1</v>
      </c>
      <c r="R1791" s="90"/>
      <c r="S1791" s="90"/>
      <c r="T1791" s="90"/>
      <c r="U1791" s="90"/>
      <c r="V1791" s="90"/>
      <c r="W1791" s="90"/>
      <c r="X1791" s="90"/>
      <c r="Y1791" s="90"/>
      <c r="Z1791" s="40" t="s">
        <v>1336</v>
      </c>
      <c r="AA1791" s="91">
        <v>2.5</v>
      </c>
      <c r="AB1791" s="46">
        <f>IF(H2ProjectDB689571011[[#This Row],[Dummy_1]]="Electrolysis",
AA1791/VLOOKUP(G1791,ElectrolysisConvF,3,FALSE),
AC1791*10^6/(H2dens*HoursInYear))</f>
        <v>555.55555555555554</v>
      </c>
      <c r="AC1791" s="47">
        <f t="shared" si="125"/>
        <v>0.43313333333333331</v>
      </c>
      <c r="AD1791" s="92"/>
      <c r="AE1791" s="92">
        <f t="shared" si="124"/>
        <v>555.55555555555554</v>
      </c>
      <c r="AF1791" s="43" t="s">
        <v>6134</v>
      </c>
      <c r="AG1791" s="43">
        <v>61.293763219151103</v>
      </c>
      <c r="AH1791" s="43">
        <v>23.7408119114836</v>
      </c>
      <c r="AI1791" s="122" t="s">
        <v>7286</v>
      </c>
      <c r="AJ1791" s="41">
        <v>0.56999999999999995</v>
      </c>
    </row>
    <row r="1792" spans="1:36" ht="35.1" hidden="1" customHeight="1" x14ac:dyDescent="0.25">
      <c r="A1792" s="40">
        <v>2438</v>
      </c>
      <c r="B1792" s="40" t="s">
        <v>6115</v>
      </c>
      <c r="C1792" s="40" t="s">
        <v>532</v>
      </c>
      <c r="D1792" s="44">
        <v>2026</v>
      </c>
      <c r="E1792" s="44"/>
      <c r="F1792" s="90" t="s">
        <v>5701</v>
      </c>
      <c r="G1792" s="90" t="s">
        <v>455</v>
      </c>
      <c r="H1792" s="90"/>
      <c r="I1792" s="90" t="s">
        <v>1266</v>
      </c>
      <c r="J1792" s="90"/>
      <c r="K1792" s="90" t="s">
        <v>578</v>
      </c>
      <c r="L1792" s="90"/>
      <c r="M1792" s="90"/>
      <c r="N1792" s="90"/>
      <c r="O1792" s="90"/>
      <c r="P1792" s="90">
        <v>1</v>
      </c>
      <c r="Q1792" s="90">
        <v>1</v>
      </c>
      <c r="R1792" s="90"/>
      <c r="S1792" s="90"/>
      <c r="T1792" s="90"/>
      <c r="U1792" s="90">
        <v>1</v>
      </c>
      <c r="V1792" s="90"/>
      <c r="W1792" s="90"/>
      <c r="X1792" s="90"/>
      <c r="Y1792" s="90"/>
      <c r="Z1792" s="40" t="s">
        <v>1648</v>
      </c>
      <c r="AA1792" s="91">
        <v>4</v>
      </c>
      <c r="AB1792" s="46">
        <f>IF(H2ProjectDB689571011[[#This Row],[Dummy_1]]="Electrolysis",
AA1792/VLOOKUP(G1792,ElectrolysisConvF,3,FALSE),
AC1792*10^6/(H2dens*HoursInYear))</f>
        <v>769.23076923076928</v>
      </c>
      <c r="AC1792" s="47">
        <f t="shared" si="125"/>
        <v>0.59972307692307703</v>
      </c>
      <c r="AD1792" s="92"/>
      <c r="AE1792" s="92">
        <f t="shared" si="124"/>
        <v>769.23076923076928</v>
      </c>
      <c r="AF1792" s="43" t="s">
        <v>7364</v>
      </c>
      <c r="AG1792" s="43">
        <v>60.210709920177401</v>
      </c>
      <c r="AH1792" s="43">
        <v>25.140047258756699</v>
      </c>
      <c r="AI1792" s="122" t="s">
        <v>7286</v>
      </c>
      <c r="AJ1792" s="41">
        <v>0.56999999999999995</v>
      </c>
    </row>
    <row r="1793" spans="1:36" ht="35.1" hidden="1" customHeight="1" x14ac:dyDescent="0.25">
      <c r="A1793" s="40">
        <v>2439</v>
      </c>
      <c r="B1793" s="90" t="s">
        <v>6137</v>
      </c>
      <c r="C1793" s="40" t="s">
        <v>1074</v>
      </c>
      <c r="D1793" s="44">
        <v>2030</v>
      </c>
      <c r="E1793" s="44"/>
      <c r="F1793" s="90" t="s">
        <v>2222</v>
      </c>
      <c r="G1793" s="90" t="s">
        <v>1259</v>
      </c>
      <c r="H1793" s="90" t="s">
        <v>467</v>
      </c>
      <c r="I1793" s="90" t="s">
        <v>1266</v>
      </c>
      <c r="J1793" s="90"/>
      <c r="K1793" s="90" t="s">
        <v>578</v>
      </c>
      <c r="L1793" s="90"/>
      <c r="M1793" s="90"/>
      <c r="N1793" s="90"/>
      <c r="O1793" s="90"/>
      <c r="P1793" s="90"/>
      <c r="Q1793" s="90"/>
      <c r="R1793" s="90">
        <v>1</v>
      </c>
      <c r="S1793" s="90"/>
      <c r="T1793" s="90"/>
      <c r="U1793" s="90"/>
      <c r="V1793" s="90"/>
      <c r="W1793" s="90"/>
      <c r="X1793" s="90"/>
      <c r="Y1793" s="90"/>
      <c r="Z1793" s="40" t="s">
        <v>1487</v>
      </c>
      <c r="AA1793" s="91">
        <v>100</v>
      </c>
      <c r="AB1793" s="46">
        <f>IF(H2ProjectDB689571011[[#This Row],[Dummy_1]]="Electrolysis",
AA1793/VLOOKUP(G1793,ElectrolysisConvF,3,FALSE),
AC1793*10^6/(H2dens*HoursInYear))</f>
        <v>22222.222222222223</v>
      </c>
      <c r="AC1793" s="47">
        <f t="shared" si="125"/>
        <v>17.325333333333333</v>
      </c>
      <c r="AD1793" s="92"/>
      <c r="AE1793" s="92">
        <f t="shared" si="124"/>
        <v>22222.222222222223</v>
      </c>
      <c r="AF1793" s="43" t="s">
        <v>6140</v>
      </c>
      <c r="AG1793" s="43">
        <v>45.840324960213401</v>
      </c>
      <c r="AH1793" s="43">
        <v>25.043551765975899</v>
      </c>
      <c r="AI1793" s="122" t="s">
        <v>7286</v>
      </c>
      <c r="AJ1793" s="41">
        <v>0.56999999999999995</v>
      </c>
    </row>
    <row r="1794" spans="1:36" s="89" customFormat="1" ht="35.1" hidden="1" customHeight="1" x14ac:dyDescent="0.25">
      <c r="A1794" s="40">
        <v>2440</v>
      </c>
      <c r="B1794" s="90" t="s">
        <v>6138</v>
      </c>
      <c r="C1794" s="40" t="s">
        <v>1074</v>
      </c>
      <c r="D1794" s="44">
        <v>2025</v>
      </c>
      <c r="E1794" s="44"/>
      <c r="F1794" s="90" t="s">
        <v>1331</v>
      </c>
      <c r="G1794" s="90" t="s">
        <v>457</v>
      </c>
      <c r="H1794" s="90"/>
      <c r="I1794" s="90" t="s">
        <v>1266</v>
      </c>
      <c r="J1794" s="90"/>
      <c r="K1794" s="90" t="s">
        <v>578</v>
      </c>
      <c r="L1794" s="90"/>
      <c r="M1794" s="90"/>
      <c r="N1794" s="90"/>
      <c r="O1794" s="90"/>
      <c r="P1794" s="90"/>
      <c r="Q1794" s="90"/>
      <c r="R1794" s="90"/>
      <c r="S1794" s="90"/>
      <c r="T1794" s="90"/>
      <c r="U1794" s="90"/>
      <c r="V1794" s="90"/>
      <c r="W1794" s="90"/>
      <c r="X1794" s="90"/>
      <c r="Y1794" s="90"/>
      <c r="Z1794" s="40" t="s">
        <v>1436</v>
      </c>
      <c r="AA1794" s="91">
        <v>5</v>
      </c>
      <c r="AB1794" s="46">
        <f>IF(H2ProjectDB689571011[[#This Row],[Dummy_1]]="Electrolysis",
AA1794/VLOOKUP(G1794,ElectrolysisConvF,3,FALSE),
AC1794*10^6/(H2dens*HoursInYear))</f>
        <v>1086.9565217391305</v>
      </c>
      <c r="AC1794" s="47">
        <f t="shared" si="125"/>
        <v>0.84743478260869565</v>
      </c>
      <c r="AD1794" s="92"/>
      <c r="AE1794" s="92">
        <f t="shared" si="124"/>
        <v>1086.9565217391305</v>
      </c>
      <c r="AF1794" s="43" t="s">
        <v>6143</v>
      </c>
      <c r="AG1794" s="43">
        <v>46.567152999999998</v>
      </c>
      <c r="AH1794" s="43">
        <v>23.788948999999999</v>
      </c>
      <c r="AI1794" s="122" t="s">
        <v>7286</v>
      </c>
      <c r="AJ1794" s="41">
        <v>0.56999999999999995</v>
      </c>
    </row>
    <row r="1795" spans="1:36" ht="35.1" hidden="1" customHeight="1" x14ac:dyDescent="0.25">
      <c r="A1795" s="40">
        <v>2442</v>
      </c>
      <c r="B1795" s="90" t="s">
        <v>6145</v>
      </c>
      <c r="C1795" s="90" t="s">
        <v>1761</v>
      </c>
      <c r="D1795" s="44">
        <v>2025</v>
      </c>
      <c r="E1795" s="44"/>
      <c r="F1795" s="90" t="s">
        <v>5701</v>
      </c>
      <c r="G1795" s="90" t="s">
        <v>455</v>
      </c>
      <c r="H1795" s="90"/>
      <c r="I1795" s="90" t="s">
        <v>1269</v>
      </c>
      <c r="J1795" s="90" t="s">
        <v>1391</v>
      </c>
      <c r="K1795" s="90" t="s">
        <v>578</v>
      </c>
      <c r="L1795" s="90"/>
      <c r="M1795" s="90"/>
      <c r="N1795" s="90"/>
      <c r="O1795" s="90"/>
      <c r="P1795" s="90"/>
      <c r="Q1795" s="90">
        <v>1</v>
      </c>
      <c r="R1795" s="90">
        <v>1</v>
      </c>
      <c r="S1795" s="90"/>
      <c r="T1795" s="90"/>
      <c r="U1795" s="90"/>
      <c r="V1795" s="90"/>
      <c r="W1795" s="90"/>
      <c r="X1795" s="90"/>
      <c r="Y1795" s="90"/>
      <c r="Z1795" s="90" t="s">
        <v>1377</v>
      </c>
      <c r="AA1795" s="91">
        <v>4</v>
      </c>
      <c r="AB1795" s="46">
        <f>IF(H2ProjectDB689571011[[#This Row],[Dummy_1]]="Electrolysis",
AA1795/VLOOKUP(G1795,ElectrolysisConvF,3,FALSE),
AC1795*10^6/(H2dens*HoursInYear))</f>
        <v>769.23076923076928</v>
      </c>
      <c r="AC1795" s="47">
        <f t="shared" si="125"/>
        <v>0.59972307692307703</v>
      </c>
      <c r="AD1795" s="92"/>
      <c r="AE1795" s="92">
        <f t="shared" si="124"/>
        <v>769.23076923076928</v>
      </c>
      <c r="AF1795" s="43" t="s">
        <v>7473</v>
      </c>
      <c r="AG1795" s="43">
        <v>37.983268913551299</v>
      </c>
      <c r="AH1795" s="43">
        <v>-8.8236751425439497</v>
      </c>
      <c r="AI1795" s="122" t="s">
        <v>7286</v>
      </c>
      <c r="AJ1795" s="41">
        <v>0.3</v>
      </c>
    </row>
    <row r="1796" spans="1:36" s="89" customFormat="1" ht="35.1" hidden="1" customHeight="1" x14ac:dyDescent="0.25">
      <c r="A1796" s="40">
        <v>2443</v>
      </c>
      <c r="B1796" s="90" t="s">
        <v>6146</v>
      </c>
      <c r="C1796" s="90" t="s">
        <v>1761</v>
      </c>
      <c r="D1796" s="44">
        <v>2025</v>
      </c>
      <c r="E1796" s="44"/>
      <c r="F1796" s="90" t="s">
        <v>1331</v>
      </c>
      <c r="G1796" s="90" t="s">
        <v>455</v>
      </c>
      <c r="H1796" s="90"/>
      <c r="I1796" s="90" t="s">
        <v>1266</v>
      </c>
      <c r="J1796" s="90"/>
      <c r="K1796" s="90" t="s">
        <v>578</v>
      </c>
      <c r="L1796" s="90"/>
      <c r="M1796" s="90"/>
      <c r="N1796" s="90"/>
      <c r="O1796" s="90"/>
      <c r="P1796" s="90">
        <v>1</v>
      </c>
      <c r="Q1796" s="90"/>
      <c r="R1796" s="90"/>
      <c r="S1796" s="90"/>
      <c r="T1796" s="90"/>
      <c r="U1796" s="90"/>
      <c r="V1796" s="90"/>
      <c r="W1796" s="90"/>
      <c r="X1796" s="90">
        <v>1</v>
      </c>
      <c r="Y1796" s="90"/>
      <c r="Z1796" s="40" t="s">
        <v>6148</v>
      </c>
      <c r="AA1796" s="45">
        <v>6.6</v>
      </c>
      <c r="AB1796" s="46">
        <f>IF(H2ProjectDB689571011[[#This Row],[Dummy_1]]="Electrolysis",
AA1796/VLOOKUP(G1796,ElectrolysisConvF,3,FALSE),
AC1796*10^6/(H2dens*HoursInYear))</f>
        <v>1269.2307692307693</v>
      </c>
      <c r="AC1796" s="47">
        <f t="shared" si="125"/>
        <v>0.98954307692307697</v>
      </c>
      <c r="AD1796" s="92"/>
      <c r="AE1796" s="92">
        <f t="shared" si="124"/>
        <v>1269.2307692307693</v>
      </c>
      <c r="AF1796" s="43" t="s">
        <v>6151</v>
      </c>
      <c r="AG1796" s="43">
        <v>37.983268913513001</v>
      </c>
      <c r="AH1796" s="43">
        <v>-8.8236751425439497</v>
      </c>
      <c r="AI1796" s="122" t="s">
        <v>7286</v>
      </c>
      <c r="AJ1796" s="41">
        <v>0.56999999999999995</v>
      </c>
    </row>
    <row r="1797" spans="1:36" ht="35.1" hidden="1" customHeight="1" x14ac:dyDescent="0.25">
      <c r="A1797" s="40">
        <v>2445</v>
      </c>
      <c r="B1797" s="40" t="s">
        <v>6161</v>
      </c>
      <c r="C1797" s="90" t="s">
        <v>539</v>
      </c>
      <c r="D1797" s="44">
        <v>2024</v>
      </c>
      <c r="E1797" s="44"/>
      <c r="F1797" s="90" t="s">
        <v>1339</v>
      </c>
      <c r="G1797" s="90" t="s">
        <v>455</v>
      </c>
      <c r="H1797" s="90"/>
      <c r="I1797" s="90" t="s">
        <v>5700</v>
      </c>
      <c r="J1797" s="40" t="s">
        <v>581</v>
      </c>
      <c r="K1797" s="90" t="s">
        <v>578</v>
      </c>
      <c r="L1797" s="90"/>
      <c r="M1797" s="90"/>
      <c r="N1797" s="90"/>
      <c r="O1797" s="90"/>
      <c r="P1797" s="90"/>
      <c r="Q1797" s="90"/>
      <c r="R1797" s="90">
        <v>1</v>
      </c>
      <c r="S1797" s="90"/>
      <c r="T1797" s="90"/>
      <c r="U1797" s="90"/>
      <c r="V1797" s="90"/>
      <c r="W1797" s="90"/>
      <c r="X1797" s="90"/>
      <c r="Y1797" s="90"/>
      <c r="Z1797" s="90" t="s">
        <v>6163</v>
      </c>
      <c r="AA1797" s="91">
        <v>0.34</v>
      </c>
      <c r="AB1797" s="46">
        <f>IF(H2ProjectDB689571011[[#This Row],[Dummy_1]]="Electrolysis",
AA1797/VLOOKUP(G1797,ElectrolysisConvF,3,FALSE),
AC1797*10^6/(H2dens*HoursInYear))</f>
        <v>65.384615384615387</v>
      </c>
      <c r="AC1797" s="47">
        <f t="shared" si="125"/>
        <v>5.097646153846154E-2</v>
      </c>
      <c r="AD1797" s="92"/>
      <c r="AE1797" s="92">
        <f t="shared" si="124"/>
        <v>65.384615384615387</v>
      </c>
      <c r="AF1797" s="93" t="s">
        <v>6164</v>
      </c>
      <c r="AG1797" s="43">
        <v>25.0917947210412</v>
      </c>
      <c r="AH1797" s="43">
        <v>72.377979711781805</v>
      </c>
      <c r="AI1797" s="122" t="s">
        <v>7286</v>
      </c>
      <c r="AJ1797" s="41">
        <v>0.7</v>
      </c>
    </row>
    <row r="1798" spans="1:36" ht="35.1" hidden="1" customHeight="1" x14ac:dyDescent="0.25">
      <c r="A1798" s="40">
        <v>2446</v>
      </c>
      <c r="B1798" s="87" t="s">
        <v>6162</v>
      </c>
      <c r="C1798" s="90" t="s">
        <v>539</v>
      </c>
      <c r="D1798" s="44">
        <v>2025</v>
      </c>
      <c r="E1798" s="44"/>
      <c r="F1798" s="90" t="s">
        <v>5701</v>
      </c>
      <c r="G1798" s="90" t="s">
        <v>455</v>
      </c>
      <c r="H1798" s="90"/>
      <c r="I1798" s="90" t="s">
        <v>1269</v>
      </c>
      <c r="J1798" s="90" t="s">
        <v>1391</v>
      </c>
      <c r="K1798" s="90" t="s">
        <v>578</v>
      </c>
      <c r="L1798" s="90"/>
      <c r="M1798" s="90"/>
      <c r="N1798" s="90"/>
      <c r="O1798" s="90"/>
      <c r="P1798" s="90"/>
      <c r="Q1798" s="90"/>
      <c r="R1798" s="90">
        <v>1</v>
      </c>
      <c r="S1798" s="90"/>
      <c r="T1798" s="90"/>
      <c r="U1798" s="90"/>
      <c r="V1798" s="90"/>
      <c r="W1798" s="90"/>
      <c r="X1798" s="90"/>
      <c r="Y1798" s="90"/>
      <c r="Z1798" s="90" t="s">
        <v>1372</v>
      </c>
      <c r="AA1798" s="91">
        <v>1</v>
      </c>
      <c r="AB1798" s="46">
        <f>IF(H2ProjectDB689571011[[#This Row],[Dummy_1]]="Electrolysis",
AA1798/VLOOKUP(G1798,ElectrolysisConvF,3,FALSE),
AC1798*10^6/(H2dens*HoursInYear))</f>
        <v>192.30769230769232</v>
      </c>
      <c r="AC1798" s="47">
        <f t="shared" si="125"/>
        <v>0.14993076923076926</v>
      </c>
      <c r="AD1798" s="92"/>
      <c r="AE1798" s="92">
        <f t="shared" si="124"/>
        <v>192.30769230769232</v>
      </c>
      <c r="AF1798" s="43" t="s">
        <v>6164</v>
      </c>
      <c r="AG1798" s="43">
        <v>33.601912201736504</v>
      </c>
      <c r="AH1798" s="43">
        <v>78.6573027622279</v>
      </c>
      <c r="AI1798" s="122" t="s">
        <v>7286</v>
      </c>
      <c r="AJ1798" s="41">
        <v>0.3</v>
      </c>
    </row>
    <row r="1799" spans="1:36" ht="35.1" hidden="1" customHeight="1" x14ac:dyDescent="0.25">
      <c r="A1799" s="40">
        <v>2447</v>
      </c>
      <c r="B1799" s="90" t="s">
        <v>6167</v>
      </c>
      <c r="C1799" s="90" t="s">
        <v>1305</v>
      </c>
      <c r="D1799" s="44">
        <v>2027</v>
      </c>
      <c r="E1799" s="44"/>
      <c r="F1799" s="90" t="s">
        <v>1331</v>
      </c>
      <c r="G1799" s="90" t="s">
        <v>1259</v>
      </c>
      <c r="H1799" s="90" t="s">
        <v>467</v>
      </c>
      <c r="I1799" s="90" t="s">
        <v>1266</v>
      </c>
      <c r="J1799" s="90"/>
      <c r="K1799" s="90" t="s">
        <v>578</v>
      </c>
      <c r="L1799" s="90"/>
      <c r="M1799" s="90"/>
      <c r="N1799" s="90"/>
      <c r="O1799" s="90"/>
      <c r="P1799" s="90"/>
      <c r="Q1799" s="90"/>
      <c r="R1799" s="90"/>
      <c r="S1799" s="90"/>
      <c r="T1799" s="90"/>
      <c r="U1799" s="90"/>
      <c r="V1799" s="90"/>
      <c r="W1799" s="90"/>
      <c r="X1799" s="90"/>
      <c r="Y1799" s="90"/>
      <c r="Z1799" s="90" t="s">
        <v>2038</v>
      </c>
      <c r="AA1799" s="91">
        <v>600</v>
      </c>
      <c r="AB1799" s="46">
        <f>IF(H2ProjectDB689571011[[#This Row],[Dummy_1]]="Electrolysis",
AA1799/VLOOKUP(G1799,ElectrolysisConvF,3,FALSE),
AC1799*10^6/(H2dens*HoursInYear))</f>
        <v>133333.33333333334</v>
      </c>
      <c r="AC1799" s="47">
        <f t="shared" si="125"/>
        <v>103.952</v>
      </c>
      <c r="AD1799" s="92"/>
      <c r="AE1799" s="92">
        <f t="shared" si="124"/>
        <v>133333.33333333334</v>
      </c>
      <c r="AF1799" s="93" t="s">
        <v>6169</v>
      </c>
      <c r="AG1799" s="43">
        <v>54.130298671892596</v>
      </c>
      <c r="AH1799" s="43">
        <v>13.626443371211099</v>
      </c>
      <c r="AI1799" s="122" t="s">
        <v>7286</v>
      </c>
      <c r="AJ1799" s="41">
        <v>0.56999999999999995</v>
      </c>
    </row>
    <row r="1800" spans="1:36" ht="35.1" hidden="1" customHeight="1" x14ac:dyDescent="0.25">
      <c r="A1800" s="40">
        <v>2448</v>
      </c>
      <c r="B1800" s="90" t="s">
        <v>6170</v>
      </c>
      <c r="C1800" s="90" t="s">
        <v>536</v>
      </c>
      <c r="D1800" s="90"/>
      <c r="E1800" s="90"/>
      <c r="F1800" s="90" t="s">
        <v>1331</v>
      </c>
      <c r="G1800" s="90" t="s">
        <v>1264</v>
      </c>
      <c r="H1800" s="90"/>
      <c r="I1800" s="90"/>
      <c r="J1800" s="90"/>
      <c r="K1800" s="90" t="s">
        <v>578</v>
      </c>
      <c r="L1800" s="90"/>
      <c r="M1800" s="90"/>
      <c r="N1800" s="90"/>
      <c r="O1800" s="90"/>
      <c r="P1800" s="90"/>
      <c r="Q1800" s="90"/>
      <c r="R1800" s="90"/>
      <c r="S1800" s="90"/>
      <c r="T1800" s="90"/>
      <c r="U1800" s="90"/>
      <c r="V1800" s="90"/>
      <c r="W1800" s="90"/>
      <c r="X1800" s="90"/>
      <c r="Y1800" s="90"/>
      <c r="Z1800" s="90" t="s">
        <v>6171</v>
      </c>
      <c r="AA1800" s="91"/>
      <c r="AB1800" s="46">
        <f>AC1800/(H2dens*HoursInYear/10^6)</f>
        <v>26935.50869632138</v>
      </c>
      <c r="AC1800" s="92">
        <v>21</v>
      </c>
      <c r="AD1800" s="92">
        <v>450000</v>
      </c>
      <c r="AE1800" s="92">
        <f t="shared" si="124"/>
        <v>26935.50869632138</v>
      </c>
      <c r="AF1800" s="43" t="s">
        <v>6205</v>
      </c>
      <c r="AG1800" s="43">
        <v>38.574350309579799</v>
      </c>
      <c r="AH1800" s="43">
        <v>-121.525974677112</v>
      </c>
      <c r="AI1800" s="122" t="s">
        <v>1255</v>
      </c>
      <c r="AJ1800" s="41">
        <v>0.9</v>
      </c>
    </row>
    <row r="1801" spans="1:36" ht="35.1" hidden="1" customHeight="1" x14ac:dyDescent="0.25">
      <c r="A1801" s="40">
        <v>2449</v>
      </c>
      <c r="B1801" s="90" t="s">
        <v>6178</v>
      </c>
      <c r="C1801" s="90" t="s">
        <v>536</v>
      </c>
      <c r="D1801" s="44">
        <v>2026</v>
      </c>
      <c r="E1801" s="44"/>
      <c r="F1801" s="90" t="s">
        <v>1331</v>
      </c>
      <c r="G1801" s="90" t="s">
        <v>1264</v>
      </c>
      <c r="H1801" s="90"/>
      <c r="I1801" s="90"/>
      <c r="J1801" s="90"/>
      <c r="K1801" s="90" t="s">
        <v>578</v>
      </c>
      <c r="L1801" s="90"/>
      <c r="M1801" s="90"/>
      <c r="N1801" s="90"/>
      <c r="O1801" s="90"/>
      <c r="P1801" s="90"/>
      <c r="Q1801" s="90"/>
      <c r="R1801" s="90"/>
      <c r="S1801" s="90"/>
      <c r="T1801" s="90"/>
      <c r="U1801" s="90"/>
      <c r="V1801" s="90"/>
      <c r="W1801" s="90"/>
      <c r="X1801" s="90"/>
      <c r="Y1801" s="90"/>
      <c r="Z1801" s="90"/>
      <c r="AA1801" s="91" t="str">
        <f>IF(OR(G1801="ALK",G1801="PEM",G1801="SOEC",G1801="Other Electrolysis"),
AB1801*VLOOKUP(G1801,ElectrolysisConvF,3,FALSE),
"")</f>
        <v/>
      </c>
      <c r="AB1801" s="92"/>
      <c r="AC1801" s="92"/>
      <c r="AD1801" s="92"/>
      <c r="AE1801" s="92">
        <f t="shared" si="124"/>
        <v>0</v>
      </c>
      <c r="AF1801" s="93" t="s">
        <v>6180</v>
      </c>
      <c r="AG1801" s="43">
        <v>30.819509828055399</v>
      </c>
      <c r="AH1801" s="43">
        <v>-92.565420770024801</v>
      </c>
      <c r="AI1801" s="122" t="s">
        <v>1255</v>
      </c>
      <c r="AJ1801" s="41">
        <v>0.9</v>
      </c>
    </row>
    <row r="1802" spans="1:36" ht="35.1" hidden="1" customHeight="1" x14ac:dyDescent="0.25">
      <c r="A1802" s="40">
        <v>2450</v>
      </c>
      <c r="B1802" s="90" t="s">
        <v>6092</v>
      </c>
      <c r="C1802" s="90" t="s">
        <v>556</v>
      </c>
      <c r="D1802" s="44">
        <v>2030</v>
      </c>
      <c r="E1802" s="44"/>
      <c r="F1802" s="90" t="s">
        <v>2222</v>
      </c>
      <c r="G1802" s="90" t="s">
        <v>455</v>
      </c>
      <c r="H1802" s="90"/>
      <c r="I1802" s="90" t="s">
        <v>5700</v>
      </c>
      <c r="J1802" s="90" t="s">
        <v>581</v>
      </c>
      <c r="K1802" s="90" t="s">
        <v>578</v>
      </c>
      <c r="L1802" s="90"/>
      <c r="M1802" s="90"/>
      <c r="N1802" s="90"/>
      <c r="O1802" s="90"/>
      <c r="P1802" s="90">
        <v>1</v>
      </c>
      <c r="Q1802" s="90"/>
      <c r="R1802" s="90"/>
      <c r="S1802" s="90"/>
      <c r="T1802" s="90"/>
      <c r="U1802" s="90"/>
      <c r="V1802" s="90"/>
      <c r="W1802" s="90"/>
      <c r="X1802" s="90"/>
      <c r="Y1802" s="90"/>
      <c r="Z1802" s="40" t="s">
        <v>2110</v>
      </c>
      <c r="AA1802" s="91">
        <v>24</v>
      </c>
      <c r="AB1802" s="46">
        <f>IF(H2ProjectDB689571011[[#This Row],[Dummy_1]]="Electrolysis",
AA1802/VLOOKUP(G1802,ElectrolysisConvF,3,FALSE),
AC1802*10^6/(H2dens*HoursInYear))</f>
        <v>4615.3846153846152</v>
      </c>
      <c r="AC1802" s="47">
        <f>AB1802*H2dens*HoursInYear/10^6</f>
        <v>3.5983384615384608</v>
      </c>
      <c r="AD1802" s="92"/>
      <c r="AE1802" s="92">
        <f t="shared" si="124"/>
        <v>4615.3846153846152</v>
      </c>
      <c r="AF1802" s="43" t="s">
        <v>2584</v>
      </c>
      <c r="AG1802" s="43">
        <v>59.353841942678599</v>
      </c>
      <c r="AH1802" s="43">
        <v>24.0453019727331</v>
      </c>
      <c r="AI1802" s="122" t="s">
        <v>7286</v>
      </c>
      <c r="AJ1802" s="41">
        <v>0.7</v>
      </c>
    </row>
    <row r="1803" spans="1:36" ht="35.1" hidden="1" customHeight="1" x14ac:dyDescent="0.25">
      <c r="A1803" s="40">
        <v>2452</v>
      </c>
      <c r="B1803" s="90" t="s">
        <v>6206</v>
      </c>
      <c r="C1803" s="90" t="s">
        <v>532</v>
      </c>
      <c r="D1803" s="44">
        <v>2023</v>
      </c>
      <c r="E1803" s="44"/>
      <c r="F1803" s="90" t="s">
        <v>1540</v>
      </c>
      <c r="G1803" s="90" t="s">
        <v>456</v>
      </c>
      <c r="H1803" s="90"/>
      <c r="I1803" s="90" t="s">
        <v>1266</v>
      </c>
      <c r="J1803" s="90"/>
      <c r="K1803" s="90" t="s">
        <v>578</v>
      </c>
      <c r="L1803" s="90"/>
      <c r="M1803" s="90"/>
      <c r="N1803" s="90"/>
      <c r="O1803" s="90"/>
      <c r="P1803" s="90">
        <v>1</v>
      </c>
      <c r="Q1803" s="90"/>
      <c r="R1803" s="90"/>
      <c r="S1803" s="90"/>
      <c r="T1803" s="90"/>
      <c r="U1803" s="90"/>
      <c r="V1803" s="90"/>
      <c r="W1803" s="90"/>
      <c r="X1803" s="90"/>
      <c r="Y1803" s="90"/>
      <c r="Z1803" s="40" t="s">
        <v>6207</v>
      </c>
      <c r="AA1803" s="91">
        <v>0.125</v>
      </c>
      <c r="AB1803" s="46">
        <f>IF(H2ProjectDB689571011[[#This Row],[Dummy_1]]="Electrolysis",
AA1803/VLOOKUP(G1803,ElectrolysisConvF,3,FALSE),
AC1803*10^6/(H2dens*HoursInYear))</f>
        <v>32.89473684210526</v>
      </c>
      <c r="AC1803" s="47">
        <f>AB1803*H2dens*HoursInYear/10^6</f>
        <v>2.5646052631578948E-2</v>
      </c>
      <c r="AD1803" s="92"/>
      <c r="AE1803" s="92">
        <f t="shared" si="124"/>
        <v>32.89473684210526</v>
      </c>
      <c r="AF1803" s="43" t="s">
        <v>7490</v>
      </c>
      <c r="AG1803" s="43">
        <v>60.184173870963598</v>
      </c>
      <c r="AH1803" s="43">
        <v>24.814217733941099</v>
      </c>
      <c r="AI1803" s="122" t="s">
        <v>7286</v>
      </c>
      <c r="AJ1803" s="41">
        <v>0.56999999999999995</v>
      </c>
    </row>
    <row r="1804" spans="1:36" ht="35.1" hidden="1" customHeight="1" x14ac:dyDescent="0.25">
      <c r="A1804" s="40">
        <v>2453</v>
      </c>
      <c r="B1804" s="90" t="s">
        <v>6210</v>
      </c>
      <c r="C1804" s="90" t="s">
        <v>539</v>
      </c>
      <c r="D1804" s="44">
        <v>2027</v>
      </c>
      <c r="E1804" s="44"/>
      <c r="F1804" s="90" t="s">
        <v>2222</v>
      </c>
      <c r="G1804" s="90" t="s">
        <v>1259</v>
      </c>
      <c r="H1804" s="90" t="s">
        <v>467</v>
      </c>
      <c r="I1804" s="90" t="s">
        <v>1269</v>
      </c>
      <c r="J1804" s="90" t="s">
        <v>581</v>
      </c>
      <c r="K1804" s="90" t="s">
        <v>1243</v>
      </c>
      <c r="L1804" s="90"/>
      <c r="M1804" s="90">
        <v>1</v>
      </c>
      <c r="N1804" s="90"/>
      <c r="O1804" s="90"/>
      <c r="P1804" s="90"/>
      <c r="Q1804" s="90"/>
      <c r="R1804" s="90"/>
      <c r="S1804" s="90"/>
      <c r="T1804" s="90"/>
      <c r="U1804" s="90"/>
      <c r="V1804" s="90"/>
      <c r="W1804" s="90"/>
      <c r="X1804" s="90"/>
      <c r="Y1804" s="90"/>
      <c r="Z1804" s="40" t="s">
        <v>7730</v>
      </c>
      <c r="AA1804" s="47">
        <v>1275</v>
      </c>
      <c r="AB1804" s="46">
        <f>IF(H2ProjectDB689571011[[#This Row],[Dummy_1]]="Electrolysis",
AA1804/VLOOKUP(G1804,ElectrolysisConvF,3,FALSE),
AC1804*10^6/(H2dens*HoursInYear))</f>
        <v>283333.33333333337</v>
      </c>
      <c r="AC1804" s="47">
        <f>AB1804*H2dens*HoursInYear/10^6</f>
        <v>220.898</v>
      </c>
      <c r="AD1804" s="92"/>
      <c r="AE1804" s="92">
        <f t="shared" si="124"/>
        <v>283333.33333333337</v>
      </c>
      <c r="AF1804" s="93" t="s">
        <v>7729</v>
      </c>
      <c r="AG1804" s="43">
        <v>14.741083316501401</v>
      </c>
      <c r="AH1804" s="43">
        <v>75.0636378765073</v>
      </c>
      <c r="AI1804" s="122" t="s">
        <v>7286</v>
      </c>
      <c r="AJ1804" s="41">
        <v>0.5</v>
      </c>
    </row>
    <row r="1805" spans="1:36" ht="35.1" hidden="1" customHeight="1" x14ac:dyDescent="0.25">
      <c r="A1805" s="40">
        <v>2454</v>
      </c>
      <c r="B1805" s="90" t="s">
        <v>6211</v>
      </c>
      <c r="C1805" s="40" t="s">
        <v>539</v>
      </c>
      <c r="D1805" s="44">
        <v>2030</v>
      </c>
      <c r="E1805" s="44"/>
      <c r="F1805" s="90" t="s">
        <v>2222</v>
      </c>
      <c r="G1805" s="90" t="s">
        <v>1259</v>
      </c>
      <c r="H1805" s="40" t="s">
        <v>467</v>
      </c>
      <c r="I1805" s="90" t="s">
        <v>1269</v>
      </c>
      <c r="J1805" s="90" t="s">
        <v>581</v>
      </c>
      <c r="K1805" s="90" t="s">
        <v>578</v>
      </c>
      <c r="L1805" s="90"/>
      <c r="M1805" s="90"/>
      <c r="N1805" s="90"/>
      <c r="O1805" s="90"/>
      <c r="P1805" s="90">
        <v>1</v>
      </c>
      <c r="Q1805" s="90"/>
      <c r="R1805" s="90"/>
      <c r="S1805" s="90"/>
      <c r="T1805" s="90"/>
      <c r="U1805" s="90"/>
      <c r="V1805" s="90"/>
      <c r="W1805" s="90"/>
      <c r="X1805" s="90"/>
      <c r="Y1805" s="90"/>
      <c r="Z1805" s="40" t="s">
        <v>4963</v>
      </c>
      <c r="AA1805" s="47">
        <f>IF(H2ProjectDB689571011[[#This Row],[Dummy_1]]="Electrolysis",
AB1805*VLOOKUP(G1805,ElectrolysisConvF,3,FALSE),
"")</f>
        <v>11543.789441280591</v>
      </c>
      <c r="AB1805" s="46">
        <f t="shared" ref="AB1805:AB1811" si="126">AC1805/(H2dens*HoursInYear/10^6)</f>
        <v>2565286.5425067982</v>
      </c>
      <c r="AC1805" s="92">
        <f>(1000/H2ProjectDB689571011[[#This Row],[LOWE_CF]])</f>
        <v>2000</v>
      </c>
      <c r="AD1805" s="92"/>
      <c r="AE1805" s="92">
        <f t="shared" si="124"/>
        <v>2565286.5425067982</v>
      </c>
      <c r="AF1805" s="93" t="s">
        <v>6275</v>
      </c>
      <c r="AG1805" s="43">
        <v>0</v>
      </c>
      <c r="AH1805" s="43">
        <v>0</v>
      </c>
      <c r="AI1805" s="122" t="s">
        <v>7286</v>
      </c>
      <c r="AJ1805" s="41">
        <v>0.5</v>
      </c>
    </row>
    <row r="1806" spans="1:36" ht="35.1" hidden="1" customHeight="1" x14ac:dyDescent="0.25">
      <c r="A1806" s="40">
        <v>2455</v>
      </c>
      <c r="B1806" s="90" t="s">
        <v>6212</v>
      </c>
      <c r="C1806" s="40" t="s">
        <v>539</v>
      </c>
      <c r="D1806" s="44">
        <v>2025</v>
      </c>
      <c r="E1806" s="44"/>
      <c r="F1806" s="90" t="s">
        <v>1331</v>
      </c>
      <c r="G1806" s="90" t="s">
        <v>1263</v>
      </c>
      <c r="H1806" s="40" t="s">
        <v>2578</v>
      </c>
      <c r="I1806" s="90"/>
      <c r="J1806" s="90"/>
      <c r="K1806" s="90" t="s">
        <v>578</v>
      </c>
      <c r="L1806" s="90"/>
      <c r="M1806" s="90"/>
      <c r="N1806" s="90"/>
      <c r="O1806" s="90"/>
      <c r="P1806" s="90">
        <v>1</v>
      </c>
      <c r="Q1806" s="90"/>
      <c r="R1806" s="90"/>
      <c r="S1806" s="90"/>
      <c r="T1806" s="90"/>
      <c r="U1806" s="90"/>
      <c r="V1806" s="90"/>
      <c r="W1806" s="90"/>
      <c r="X1806" s="90"/>
      <c r="Y1806" s="90"/>
      <c r="Z1806" s="40" t="s">
        <v>6247</v>
      </c>
      <c r="AA1806" s="91"/>
      <c r="AB1806" s="46">
        <f t="shared" si="126"/>
        <v>520.18310445276745</v>
      </c>
      <c r="AC1806" s="98">
        <f>(365/1000/H2ProjectDB689571011[[#This Row],[LOWE_CF]])</f>
        <v>0.40555555555555556</v>
      </c>
      <c r="AD1806" s="92"/>
      <c r="AE1806" s="92">
        <f t="shared" si="124"/>
        <v>520.18310445276745</v>
      </c>
      <c r="AF1806" s="93" t="s">
        <v>6275</v>
      </c>
      <c r="AG1806" s="43">
        <v>25.136772395492699</v>
      </c>
      <c r="AH1806" s="43">
        <v>82.566240405094305</v>
      </c>
      <c r="AI1806" s="122" t="s">
        <v>1255</v>
      </c>
      <c r="AJ1806" s="41">
        <v>0.9</v>
      </c>
    </row>
    <row r="1807" spans="1:36" ht="35.1" hidden="1" customHeight="1" x14ac:dyDescent="0.25">
      <c r="A1807" s="40">
        <v>2456</v>
      </c>
      <c r="B1807" s="90" t="s">
        <v>6213</v>
      </c>
      <c r="C1807" s="40" t="s">
        <v>539</v>
      </c>
      <c r="D1807" s="44">
        <v>2027</v>
      </c>
      <c r="E1807" s="44"/>
      <c r="F1807" s="90" t="s">
        <v>1331</v>
      </c>
      <c r="G1807" s="90" t="s">
        <v>1259</v>
      </c>
      <c r="H1807" s="40" t="s">
        <v>467</v>
      </c>
      <c r="I1807" s="90" t="s">
        <v>1269</v>
      </c>
      <c r="J1807" s="90" t="s">
        <v>581</v>
      </c>
      <c r="K1807" s="90" t="s">
        <v>578</v>
      </c>
      <c r="L1807" s="90"/>
      <c r="M1807" s="90"/>
      <c r="N1807" s="90"/>
      <c r="O1807" s="90"/>
      <c r="P1807" s="90"/>
      <c r="Q1807" s="90">
        <v>1</v>
      </c>
      <c r="R1807" s="90"/>
      <c r="S1807" s="90"/>
      <c r="T1807" s="90"/>
      <c r="U1807" s="90"/>
      <c r="V1807" s="90"/>
      <c r="W1807" s="90"/>
      <c r="X1807" s="90"/>
      <c r="Y1807" s="90"/>
      <c r="Z1807" s="40" t="s">
        <v>6248</v>
      </c>
      <c r="AA1807" s="47">
        <f>IF(H2ProjectDB689571011[[#This Row],[Dummy_1]]="Electrolysis",
AB1807*VLOOKUP(G1807,ElectrolysisConvF,3,FALSE),
"")</f>
        <v>1.0955056179775282</v>
      </c>
      <c r="AB1807" s="46">
        <f t="shared" si="126"/>
        <v>243.44569288389516</v>
      </c>
      <c r="AC1807" s="98">
        <f>(94.9/1000/H2ProjectDB689571011[[#This Row],[LOWE_CF]])</f>
        <v>0.18980000000000002</v>
      </c>
      <c r="AD1807" s="92"/>
      <c r="AE1807" s="92">
        <f t="shared" si="124"/>
        <v>243.44569288389516</v>
      </c>
      <c r="AF1807" s="93" t="s">
        <v>6275</v>
      </c>
      <c r="AG1807" s="43">
        <v>28.5136386570959</v>
      </c>
      <c r="AH1807" s="43">
        <v>77.298712548313006</v>
      </c>
      <c r="AI1807" s="122" t="s">
        <v>7286</v>
      </c>
      <c r="AJ1807" s="41">
        <v>0.5</v>
      </c>
    </row>
    <row r="1808" spans="1:36" ht="35.1" hidden="1" customHeight="1" x14ac:dyDescent="0.25">
      <c r="A1808" s="40">
        <v>2457</v>
      </c>
      <c r="B1808" s="90" t="s">
        <v>6214</v>
      </c>
      <c r="C1808" s="40" t="s">
        <v>539</v>
      </c>
      <c r="D1808" s="44">
        <v>2027</v>
      </c>
      <c r="E1808" s="44"/>
      <c r="F1808" s="90" t="s">
        <v>1331</v>
      </c>
      <c r="G1808" s="90" t="s">
        <v>1259</v>
      </c>
      <c r="H1808" s="40" t="s">
        <v>467</v>
      </c>
      <c r="I1808" s="90" t="s">
        <v>1269</v>
      </c>
      <c r="J1808" s="90" t="s">
        <v>581</v>
      </c>
      <c r="K1808" s="90" t="s">
        <v>578</v>
      </c>
      <c r="L1808" s="90"/>
      <c r="M1808" s="90"/>
      <c r="N1808" s="90"/>
      <c r="O1808" s="90"/>
      <c r="P1808" s="90">
        <v>1</v>
      </c>
      <c r="Q1808" s="90"/>
      <c r="R1808" s="90"/>
      <c r="S1808" s="90"/>
      <c r="T1808" s="90"/>
      <c r="U1808" s="90"/>
      <c r="V1808" s="90"/>
      <c r="W1808" s="90"/>
      <c r="X1808" s="90"/>
      <c r="Y1808" s="90"/>
      <c r="Z1808" s="40" t="s">
        <v>6249</v>
      </c>
      <c r="AA1808" s="47">
        <f>IF(H2ProjectDB689571011[[#This Row],[Dummy_1]]="Electrolysis",
AB1808*VLOOKUP(G1808,ElectrolysisConvF,3,FALSE),
"")</f>
        <v>57.718947206402959</v>
      </c>
      <c r="AB1808" s="46">
        <f t="shared" si="126"/>
        <v>12826.432712533991</v>
      </c>
      <c r="AC1808" s="92">
        <f>(5/H2ProjectDB689571011[[#This Row],[LOWE_CF]])</f>
        <v>10</v>
      </c>
      <c r="AD1808" s="92"/>
      <c r="AE1808" s="92">
        <f t="shared" si="124"/>
        <v>12826.432712533991</v>
      </c>
      <c r="AF1808" s="93" t="s">
        <v>6275</v>
      </c>
      <c r="AG1808" s="43">
        <v>14.7975498591162</v>
      </c>
      <c r="AH1808" s="43">
        <v>80.029283664005902</v>
      </c>
      <c r="AI1808" s="122" t="s">
        <v>7286</v>
      </c>
      <c r="AJ1808" s="41">
        <v>0.5</v>
      </c>
    </row>
    <row r="1809" spans="1:36" ht="35.1" hidden="1" customHeight="1" x14ac:dyDescent="0.25">
      <c r="A1809" s="40">
        <v>2458</v>
      </c>
      <c r="B1809" s="90" t="s">
        <v>6215</v>
      </c>
      <c r="C1809" s="40" t="s">
        <v>539</v>
      </c>
      <c r="D1809" s="44">
        <v>2025</v>
      </c>
      <c r="E1809" s="44"/>
      <c r="F1809" s="90" t="s">
        <v>1331</v>
      </c>
      <c r="G1809" s="90" t="s">
        <v>1259</v>
      </c>
      <c r="H1809" s="40" t="s">
        <v>467</v>
      </c>
      <c r="I1809" s="90" t="s">
        <v>1269</v>
      </c>
      <c r="J1809" s="90" t="s">
        <v>581</v>
      </c>
      <c r="K1809" s="90" t="s">
        <v>578</v>
      </c>
      <c r="L1809" s="90"/>
      <c r="M1809" s="90"/>
      <c r="N1809" s="90"/>
      <c r="O1809" s="90"/>
      <c r="P1809" s="90">
        <v>1</v>
      </c>
      <c r="Q1809" s="90"/>
      <c r="R1809" s="90"/>
      <c r="S1809" s="90"/>
      <c r="T1809" s="90"/>
      <c r="U1809" s="90"/>
      <c r="V1809" s="90"/>
      <c r="W1809" s="90"/>
      <c r="X1809" s="90"/>
      <c r="Y1809" s="90"/>
      <c r="Z1809" s="40" t="s">
        <v>6250</v>
      </c>
      <c r="AA1809" s="47">
        <f>IF(H2ProjectDB689571011[[#This Row],[Dummy_1]]="Electrolysis",
AB1809*VLOOKUP(G1809,ElectrolysisConvF,3,FALSE),
"")</f>
        <v>37.314953055256268</v>
      </c>
      <c r="AB1809" s="46">
        <f t="shared" si="126"/>
        <v>8292.2117900569483</v>
      </c>
      <c r="AC1809" s="98">
        <f>(3232.47/1000/H2ProjectDB689571011[[#This Row],[LOWE_CF]])</f>
        <v>6.4649399999999995</v>
      </c>
      <c r="AD1809" s="92"/>
      <c r="AE1809" s="92">
        <f t="shared" si="124"/>
        <v>8292.2117900569483</v>
      </c>
      <c r="AF1809" s="93" t="s">
        <v>6275</v>
      </c>
      <c r="AG1809" s="43">
        <v>24.2398595175898</v>
      </c>
      <c r="AH1809" s="43">
        <v>78.150251907661399</v>
      </c>
      <c r="AI1809" s="122" t="s">
        <v>7286</v>
      </c>
      <c r="AJ1809" s="41">
        <v>0.5</v>
      </c>
    </row>
    <row r="1810" spans="1:36" ht="35.1" hidden="1" customHeight="1" x14ac:dyDescent="0.25">
      <c r="A1810" s="40">
        <v>2459</v>
      </c>
      <c r="B1810" s="90" t="s">
        <v>6216</v>
      </c>
      <c r="C1810" s="40" t="s">
        <v>539</v>
      </c>
      <c r="D1810" s="44">
        <v>2026</v>
      </c>
      <c r="E1810" s="44"/>
      <c r="F1810" s="90" t="s">
        <v>1331</v>
      </c>
      <c r="G1810" s="90" t="s">
        <v>1259</v>
      </c>
      <c r="H1810" s="40" t="s">
        <v>467</v>
      </c>
      <c r="I1810" s="90" t="s">
        <v>1269</v>
      </c>
      <c r="J1810" s="90" t="s">
        <v>581</v>
      </c>
      <c r="K1810" s="90" t="s">
        <v>578</v>
      </c>
      <c r="L1810" s="90"/>
      <c r="M1810" s="90"/>
      <c r="N1810" s="90"/>
      <c r="O1810" s="90"/>
      <c r="P1810" s="90"/>
      <c r="Q1810" s="90">
        <v>1</v>
      </c>
      <c r="R1810" s="90"/>
      <c r="S1810" s="90"/>
      <c r="T1810" s="90"/>
      <c r="U1810" s="90"/>
      <c r="V1810" s="90"/>
      <c r="W1810" s="90"/>
      <c r="X1810" s="90"/>
      <c r="Y1810" s="90"/>
      <c r="Z1810" s="40" t="s">
        <v>6251</v>
      </c>
      <c r="AA1810" s="47">
        <f>IF(H2ProjectDB689571011[[#This Row],[Dummy_1]]="Electrolysis",
AB1810*VLOOKUP(G1810,ElectrolysisConvF,3,FALSE),
"")</f>
        <v>8.4269662921348312E-2</v>
      </c>
      <c r="AB1810" s="46">
        <f t="shared" si="126"/>
        <v>18.726591760299627</v>
      </c>
      <c r="AC1810" s="98">
        <f>(7.3/1000/H2ProjectDB689571011[[#This Row],[LOWE_CF]])</f>
        <v>1.46E-2</v>
      </c>
      <c r="AD1810" s="92"/>
      <c r="AE1810" s="92">
        <f t="shared" si="124"/>
        <v>18.726591760299627</v>
      </c>
      <c r="AF1810" s="93" t="s">
        <v>6275</v>
      </c>
      <c r="AG1810" s="43">
        <v>30.5527426993409</v>
      </c>
      <c r="AH1810" s="43">
        <v>78.427859964316099</v>
      </c>
      <c r="AI1810" s="122" t="s">
        <v>7286</v>
      </c>
      <c r="AJ1810" s="41">
        <v>0.5</v>
      </c>
    </row>
    <row r="1811" spans="1:36" ht="35.1" hidden="1" customHeight="1" x14ac:dyDescent="0.25">
      <c r="A1811" s="40">
        <v>2460</v>
      </c>
      <c r="B1811" s="90" t="s">
        <v>6217</v>
      </c>
      <c r="C1811" s="40" t="s">
        <v>539</v>
      </c>
      <c r="D1811" s="44">
        <v>2026</v>
      </c>
      <c r="E1811" s="44"/>
      <c r="F1811" s="90" t="s">
        <v>2222</v>
      </c>
      <c r="G1811" s="90" t="s">
        <v>1259</v>
      </c>
      <c r="H1811" s="40" t="s">
        <v>467</v>
      </c>
      <c r="I1811" s="90" t="s">
        <v>1269</v>
      </c>
      <c r="J1811" s="90" t="s">
        <v>581</v>
      </c>
      <c r="K1811" s="90" t="s">
        <v>578</v>
      </c>
      <c r="L1811" s="90"/>
      <c r="M1811" s="90"/>
      <c r="N1811" s="90"/>
      <c r="O1811" s="90"/>
      <c r="P1811" s="90">
        <v>1</v>
      </c>
      <c r="Q1811" s="90">
        <v>1</v>
      </c>
      <c r="R1811" s="90">
        <v>1</v>
      </c>
      <c r="S1811" s="90">
        <v>1</v>
      </c>
      <c r="T1811" s="90">
        <v>1</v>
      </c>
      <c r="U1811" s="90"/>
      <c r="V1811" s="90"/>
      <c r="W1811" s="90"/>
      <c r="X1811" s="90"/>
      <c r="Y1811" s="90"/>
      <c r="Z1811" s="40" t="s">
        <v>6252</v>
      </c>
      <c r="AA1811" s="47">
        <f>IF(H2ProjectDB689571011[[#This Row],[Dummy_1]]="Electrolysis",
AB1811*VLOOKUP(G1811,ElectrolysisConvF,3,FALSE),
"")</f>
        <v>1492.6119747575806</v>
      </c>
      <c r="AB1811" s="46">
        <f t="shared" si="126"/>
        <v>331691.54994612903</v>
      </c>
      <c r="AC1811" s="92">
        <f>(129.3/H2ProjectDB689571011[[#This Row],[LOWE_CF]])</f>
        <v>258.60000000000002</v>
      </c>
      <c r="AD1811" s="92"/>
      <c r="AE1811" s="92">
        <f t="shared" si="124"/>
        <v>331691.54994612903</v>
      </c>
      <c r="AF1811" s="93" t="s">
        <v>6275</v>
      </c>
      <c r="AG1811" s="43">
        <v>26.4218032451132</v>
      </c>
      <c r="AH1811" s="43">
        <v>80.915979362056305</v>
      </c>
      <c r="AI1811" s="122" t="s">
        <v>7286</v>
      </c>
      <c r="AJ1811" s="41">
        <v>0.5</v>
      </c>
    </row>
    <row r="1812" spans="1:36" ht="35.1" hidden="1" customHeight="1" x14ac:dyDescent="0.25">
      <c r="A1812" s="40">
        <v>2461</v>
      </c>
      <c r="B1812" s="90" t="s">
        <v>6218</v>
      </c>
      <c r="C1812" s="40" t="s">
        <v>539</v>
      </c>
      <c r="D1812" s="44">
        <v>2026</v>
      </c>
      <c r="E1812" s="44"/>
      <c r="F1812" s="90" t="s">
        <v>2222</v>
      </c>
      <c r="G1812" s="90" t="s">
        <v>1259</v>
      </c>
      <c r="H1812" s="40" t="s">
        <v>467</v>
      </c>
      <c r="I1812" s="90" t="s">
        <v>1269</v>
      </c>
      <c r="J1812" s="90" t="s">
        <v>581</v>
      </c>
      <c r="K1812" s="90" t="s">
        <v>1243</v>
      </c>
      <c r="L1812" s="90"/>
      <c r="M1812" s="90">
        <v>1</v>
      </c>
      <c r="N1812" s="90"/>
      <c r="O1812" s="90"/>
      <c r="P1812" s="90"/>
      <c r="Q1812" s="90"/>
      <c r="R1812" s="90"/>
      <c r="S1812" s="90"/>
      <c r="T1812" s="90"/>
      <c r="U1812" s="90"/>
      <c r="V1812" s="90"/>
      <c r="W1812" s="90"/>
      <c r="X1812" s="90"/>
      <c r="Y1812" s="90"/>
      <c r="Z1812" s="40" t="s">
        <v>7728</v>
      </c>
      <c r="AA1812" s="47">
        <v>3440</v>
      </c>
      <c r="AB1812" s="46">
        <f>IF(H2ProjectDB689571011[[#This Row],[Dummy_1]]="Electrolysis",
AA1812/VLOOKUP(G1812,ElectrolysisConvF,3,FALSE),
AC1812*10^6/(H2dens*HoursInYear))</f>
        <v>764444.4444444445</v>
      </c>
      <c r="AC1812" s="47">
        <f>AB1812*H2dens*HoursInYear/10^6</f>
        <v>595.99146666666672</v>
      </c>
      <c r="AD1812" s="92"/>
      <c r="AE1812" s="92">
        <f t="shared" si="124"/>
        <v>764444.4444444445</v>
      </c>
      <c r="AF1812" s="93" t="s">
        <v>7729</v>
      </c>
      <c r="AG1812" s="43">
        <v>0</v>
      </c>
      <c r="AH1812" s="43">
        <v>0</v>
      </c>
      <c r="AI1812" s="122" t="s">
        <v>7286</v>
      </c>
      <c r="AJ1812" s="41">
        <v>0.5</v>
      </c>
    </row>
    <row r="1813" spans="1:36" ht="35.1" hidden="1" customHeight="1" x14ac:dyDescent="0.25">
      <c r="A1813" s="40">
        <v>2462</v>
      </c>
      <c r="B1813" s="90" t="s">
        <v>191</v>
      </c>
      <c r="C1813" s="40" t="s">
        <v>539</v>
      </c>
      <c r="D1813" s="44">
        <v>2015</v>
      </c>
      <c r="E1813" s="90"/>
      <c r="F1813" s="90" t="s">
        <v>1339</v>
      </c>
      <c r="G1813" s="90" t="s">
        <v>1259</v>
      </c>
      <c r="H1813" s="40" t="s">
        <v>467</v>
      </c>
      <c r="I1813" s="90" t="s">
        <v>1269</v>
      </c>
      <c r="J1813" s="90" t="s">
        <v>581</v>
      </c>
      <c r="K1813" s="90" t="s">
        <v>578</v>
      </c>
      <c r="L1813" s="90"/>
      <c r="M1813" s="90"/>
      <c r="N1813" s="90"/>
      <c r="O1813" s="90"/>
      <c r="P1813" s="90">
        <v>1</v>
      </c>
      <c r="Q1813" s="90">
        <v>1</v>
      </c>
      <c r="R1813" s="90">
        <v>1</v>
      </c>
      <c r="S1813" s="90">
        <v>1</v>
      </c>
      <c r="T1813" s="90">
        <v>1</v>
      </c>
      <c r="U1813" s="90"/>
      <c r="V1813" s="90"/>
      <c r="W1813" s="90"/>
      <c r="X1813" s="90"/>
      <c r="Y1813" s="90"/>
      <c r="Z1813" s="40" t="s">
        <v>6253</v>
      </c>
      <c r="AA1813" s="47">
        <f>IF(H2ProjectDB689571011[[#This Row],[Dummy_1]]="Electrolysis",
AB1813*VLOOKUP(G1813,ElectrolysisConvF,3,FALSE),
"")</f>
        <v>0.22394951516084344</v>
      </c>
      <c r="AB1813" s="46">
        <f>AC1813/(H2dens*HoursInYear/10^6)</f>
        <v>49.76655892463188</v>
      </c>
      <c r="AC1813" s="98">
        <f>(19.4/1000/H2ProjectDB689571011[[#This Row],[LOWE_CF]])</f>
        <v>3.8799999999999994E-2</v>
      </c>
      <c r="AD1813" s="92"/>
      <c r="AE1813" s="92">
        <f t="shared" si="124"/>
        <v>49.76655892463188</v>
      </c>
      <c r="AF1813" s="93" t="s">
        <v>6275</v>
      </c>
      <c r="AG1813" s="43">
        <v>28.432842007881199</v>
      </c>
      <c r="AH1813" s="43">
        <v>77.152165198621105</v>
      </c>
      <c r="AI1813" s="122" t="s">
        <v>7286</v>
      </c>
      <c r="AJ1813" s="41">
        <v>0.5</v>
      </c>
    </row>
    <row r="1814" spans="1:36" ht="35.1" hidden="1" customHeight="1" x14ac:dyDescent="0.25">
      <c r="A1814" s="40">
        <v>2463</v>
      </c>
      <c r="B1814" s="40" t="s">
        <v>6390</v>
      </c>
      <c r="C1814" s="40" t="s">
        <v>539</v>
      </c>
      <c r="D1814" s="44">
        <v>2027</v>
      </c>
      <c r="E1814" s="44"/>
      <c r="F1814" s="90" t="s">
        <v>2222</v>
      </c>
      <c r="G1814" s="90" t="s">
        <v>1259</v>
      </c>
      <c r="H1814" s="40" t="s">
        <v>467</v>
      </c>
      <c r="I1814" s="90" t="s">
        <v>1269</v>
      </c>
      <c r="J1814" s="90" t="s">
        <v>581</v>
      </c>
      <c r="K1814" s="90" t="s">
        <v>1243</v>
      </c>
      <c r="L1814" s="90"/>
      <c r="M1814" s="90">
        <v>1</v>
      </c>
      <c r="N1814" s="90"/>
      <c r="O1814" s="90"/>
      <c r="P1814" s="90"/>
      <c r="Q1814" s="90"/>
      <c r="R1814" s="90"/>
      <c r="S1814" s="90"/>
      <c r="T1814" s="90"/>
      <c r="U1814" s="90"/>
      <c r="V1814" s="90"/>
      <c r="W1814" s="90"/>
      <c r="X1814" s="90"/>
      <c r="Y1814" s="90"/>
      <c r="Z1814" s="40" t="s">
        <v>6254</v>
      </c>
      <c r="AA1814" s="47">
        <f>IF(H2ProjectDB689571011[[#This Row],[Dummy_1]]="Electrolysis",
AB1814*VLOOKUP(G1814,ElectrolysisConvF,3,FALSE),
"")</f>
        <v>3463.1368323841771</v>
      </c>
      <c r="AB1814" s="46">
        <f>AC1814/(H2dens*HoursInYear/10^6)</f>
        <v>769585.96275203943</v>
      </c>
      <c r="AC1814" s="92">
        <f>(300/H2ProjectDB689571011[[#This Row],[LOWE_CF]])</f>
        <v>600</v>
      </c>
      <c r="AD1814" s="92"/>
      <c r="AE1814" s="92">
        <f t="shared" si="124"/>
        <v>769585.96275203943</v>
      </c>
      <c r="AF1814" s="93" t="s">
        <v>6275</v>
      </c>
      <c r="AG1814" s="43">
        <v>31.9360301552043</v>
      </c>
      <c r="AH1814" s="43">
        <v>77.201932307868205</v>
      </c>
      <c r="AI1814" s="122" t="s">
        <v>7286</v>
      </c>
      <c r="AJ1814" s="41">
        <v>0.5</v>
      </c>
    </row>
    <row r="1815" spans="1:36" ht="35.1" hidden="1" customHeight="1" x14ac:dyDescent="0.25">
      <c r="A1815" s="40">
        <v>2464</v>
      </c>
      <c r="B1815" s="40" t="s">
        <v>7724</v>
      </c>
      <c r="C1815" s="40" t="s">
        <v>539</v>
      </c>
      <c r="D1815" s="44">
        <v>2024</v>
      </c>
      <c r="E1815" s="44"/>
      <c r="F1815" s="90" t="s">
        <v>5701</v>
      </c>
      <c r="G1815" s="90" t="s">
        <v>1259</v>
      </c>
      <c r="H1815" s="40" t="s">
        <v>467</v>
      </c>
      <c r="I1815" s="90" t="s">
        <v>1269</v>
      </c>
      <c r="J1815" s="90" t="s">
        <v>581</v>
      </c>
      <c r="K1815" s="90" t="s">
        <v>578</v>
      </c>
      <c r="L1815" s="90">
        <v>1</v>
      </c>
      <c r="M1815" s="90"/>
      <c r="N1815" s="90"/>
      <c r="O1815" s="90"/>
      <c r="P1815" s="90">
        <v>1</v>
      </c>
      <c r="Q1815" s="90"/>
      <c r="R1815" s="90"/>
      <c r="S1815" s="90"/>
      <c r="T1815" s="90"/>
      <c r="U1815" s="90"/>
      <c r="V1815" s="90"/>
      <c r="W1815" s="90"/>
      <c r="X1815" s="90"/>
      <c r="Y1815" s="90"/>
      <c r="Z1815" s="40" t="s">
        <v>7725</v>
      </c>
      <c r="AA1815" s="47">
        <v>2.4</v>
      </c>
      <c r="AB1815" s="46">
        <f>IF(H2ProjectDB689571011[[#This Row],[Dummy_1]]="Electrolysis",
AA1815/VLOOKUP(G1815,ElectrolysisConvF,3,FALSE),
AC1815*10^6/(H2dens*HoursInYear))</f>
        <v>533.33333333333337</v>
      </c>
      <c r="AC1815" s="47">
        <f>AB1815*H2dens*HoursInYear/10^6</f>
        <v>0.41580800000000001</v>
      </c>
      <c r="AD1815" s="92"/>
      <c r="AE1815" s="92">
        <f t="shared" si="124"/>
        <v>533.33333333333337</v>
      </c>
      <c r="AF1815" s="93" t="s">
        <v>7727</v>
      </c>
      <c r="AG1815" s="43">
        <v>17.7039380976552</v>
      </c>
      <c r="AH1815" s="43">
        <v>83.2193164958463</v>
      </c>
      <c r="AI1815" s="122" t="s">
        <v>7286</v>
      </c>
      <c r="AJ1815" s="41">
        <v>0.5</v>
      </c>
    </row>
    <row r="1816" spans="1:36" ht="35.1" hidden="1" customHeight="1" x14ac:dyDescent="0.25">
      <c r="A1816" s="40">
        <v>2465</v>
      </c>
      <c r="B1816" s="40" t="s">
        <v>6219</v>
      </c>
      <c r="C1816" s="40" t="s">
        <v>539</v>
      </c>
      <c r="D1816" s="44">
        <v>2026</v>
      </c>
      <c r="E1816" s="44"/>
      <c r="F1816" s="90" t="s">
        <v>1331</v>
      </c>
      <c r="G1816" s="90" t="s">
        <v>1263</v>
      </c>
      <c r="H1816" s="90" t="s">
        <v>2578</v>
      </c>
      <c r="I1816" s="90"/>
      <c r="J1816" s="90"/>
      <c r="K1816" s="90" t="s">
        <v>578</v>
      </c>
      <c r="L1816" s="90"/>
      <c r="M1816" s="90"/>
      <c r="N1816" s="90"/>
      <c r="O1816" s="90"/>
      <c r="P1816" s="90">
        <v>1</v>
      </c>
      <c r="Q1816" s="90">
        <v>1</v>
      </c>
      <c r="R1816" s="90">
        <v>1</v>
      </c>
      <c r="S1816" s="90">
        <v>1</v>
      </c>
      <c r="T1816" s="90">
        <v>1</v>
      </c>
      <c r="U1816" s="90"/>
      <c r="V1816" s="90"/>
      <c r="W1816" s="90"/>
      <c r="X1816" s="90"/>
      <c r="Y1816" s="90"/>
      <c r="Z1816" s="40" t="s">
        <v>6255</v>
      </c>
      <c r="AA1816" s="91"/>
      <c r="AB1816" s="46">
        <f>AC1816/(H2dens*HoursInYear/10^6)</f>
        <v>74906.367041198508</v>
      </c>
      <c r="AC1816" s="92">
        <f>(52.56/H2ProjectDB689571011[[#This Row],[LOWE_CF]])</f>
        <v>58.4</v>
      </c>
      <c r="AD1816" s="92"/>
      <c r="AE1816" s="92">
        <f t="shared" si="124"/>
        <v>74906.367041198508</v>
      </c>
      <c r="AF1816" s="93" t="s">
        <v>6275</v>
      </c>
      <c r="AG1816" s="43">
        <v>22.727435002370701</v>
      </c>
      <c r="AH1816" s="43">
        <v>75.856979548199106</v>
      </c>
      <c r="AI1816" s="122" t="s">
        <v>1255</v>
      </c>
      <c r="AJ1816" s="41">
        <v>0.9</v>
      </c>
    </row>
    <row r="1817" spans="1:36" ht="35.1" hidden="1" customHeight="1" x14ac:dyDescent="0.25">
      <c r="A1817" s="40">
        <v>2466</v>
      </c>
      <c r="B1817" s="40" t="s">
        <v>6220</v>
      </c>
      <c r="C1817" s="40" t="s">
        <v>539</v>
      </c>
      <c r="D1817" s="44">
        <v>2024</v>
      </c>
      <c r="E1817" s="90"/>
      <c r="F1817" s="90" t="s">
        <v>1339</v>
      </c>
      <c r="G1817" s="90" t="s">
        <v>457</v>
      </c>
      <c r="H1817" s="90"/>
      <c r="I1817" s="90" t="s">
        <v>1269</v>
      </c>
      <c r="J1817" s="90" t="s">
        <v>1391</v>
      </c>
      <c r="K1817" s="90" t="s">
        <v>578</v>
      </c>
      <c r="L1817" s="90"/>
      <c r="M1817" s="90"/>
      <c r="N1817" s="90"/>
      <c r="O1817" s="90"/>
      <c r="P1817" s="90">
        <v>1</v>
      </c>
      <c r="Q1817" s="90"/>
      <c r="R1817" s="90"/>
      <c r="S1817" s="90"/>
      <c r="T1817" s="90"/>
      <c r="U1817" s="90"/>
      <c r="V1817" s="90"/>
      <c r="W1817" s="90"/>
      <c r="X1817" s="90"/>
      <c r="Y1817" s="90"/>
      <c r="Z1817" s="40" t="s">
        <v>8578</v>
      </c>
      <c r="AA1817" s="47">
        <v>1.8</v>
      </c>
      <c r="AB1817" s="46">
        <f>IF(H2ProjectDB689571011[[#This Row],[Dummy_1]]="Electrolysis",
AA1817/VLOOKUP(G1817,ElectrolysisConvF,3,FALSE),
AC1817*10^6/(H2dens*HoursInYear))</f>
        <v>391.304347826087</v>
      </c>
      <c r="AC1817" s="47">
        <f>AB1817*H2dens*HoursInYear/10^6</f>
        <v>0.30507652173913041</v>
      </c>
      <c r="AD1817" s="92"/>
      <c r="AE1817" s="92">
        <f t="shared" ref="AE1817:AE1880" si="127">IF(AND(G1817&lt;&gt;"NG w CCUS",G1817&lt;&gt;"Oil w CCUS",G1817&lt;&gt;"Coal w CCUS"),AB1817,AD1817*10^3/(HoursInYear*IF(G1817="NG w CCUS",0.9105,1.9075)))</f>
        <v>391.304347826087</v>
      </c>
      <c r="AF1817" s="93" t="s">
        <v>6275</v>
      </c>
      <c r="AG1817" s="43">
        <v>24.045976586938501</v>
      </c>
      <c r="AH1817" s="43">
        <v>76.176618382733096</v>
      </c>
      <c r="AI1817" s="122" t="s">
        <v>7286</v>
      </c>
      <c r="AJ1817" s="41">
        <v>0.3</v>
      </c>
    </row>
    <row r="1818" spans="1:36" ht="35.1" hidden="1" customHeight="1" x14ac:dyDescent="0.25">
      <c r="A1818" s="40">
        <v>2467</v>
      </c>
      <c r="B1818" s="40" t="s">
        <v>6221</v>
      </c>
      <c r="C1818" s="40" t="s">
        <v>539</v>
      </c>
      <c r="D1818" s="44">
        <v>2022</v>
      </c>
      <c r="E1818" s="44"/>
      <c r="F1818" s="90" t="s">
        <v>1339</v>
      </c>
      <c r="G1818" s="90" t="s">
        <v>1259</v>
      </c>
      <c r="H1818" s="40" t="s">
        <v>467</v>
      </c>
      <c r="I1818" s="90" t="s">
        <v>1269</v>
      </c>
      <c r="J1818" s="90" t="s">
        <v>581</v>
      </c>
      <c r="K1818" s="90" t="s">
        <v>578</v>
      </c>
      <c r="L1818" s="90"/>
      <c r="M1818" s="90"/>
      <c r="N1818" s="90"/>
      <c r="O1818" s="90"/>
      <c r="P1818" s="90"/>
      <c r="Q1818" s="90"/>
      <c r="R1818" s="90"/>
      <c r="S1818" s="90">
        <v>1</v>
      </c>
      <c r="T1818" s="90"/>
      <c r="U1818" s="90"/>
      <c r="V1818" s="90"/>
      <c r="W1818" s="90"/>
      <c r="X1818" s="90"/>
      <c r="Y1818" s="90"/>
      <c r="Z1818" s="40" t="s">
        <v>6256</v>
      </c>
      <c r="AA1818" s="47">
        <f>IF(H2ProjectDB689571011[[#This Row],[Dummy_1]]="Electrolysis",
AB1818*VLOOKUP(G1818,ElectrolysisConvF,3,FALSE),
"")</f>
        <v>0.86578420809604428</v>
      </c>
      <c r="AB1818" s="46">
        <f t="shared" ref="AB1818:AB1824" si="128">AC1818/(H2dens*HoursInYear/10^6)</f>
        <v>192.39649068800986</v>
      </c>
      <c r="AC1818" s="98">
        <f>(75/1000/H2ProjectDB689571011[[#This Row],[LOWE_CF]])</f>
        <v>0.15</v>
      </c>
      <c r="AD1818" s="92"/>
      <c r="AE1818" s="92">
        <f t="shared" si="127"/>
        <v>192.39649068800986</v>
      </c>
      <c r="AF1818" s="93" t="s">
        <v>6275</v>
      </c>
      <c r="AG1818" s="43">
        <v>26.7506936598752</v>
      </c>
      <c r="AH1818" s="43">
        <v>94.203167048123504</v>
      </c>
      <c r="AI1818" s="122" t="s">
        <v>7286</v>
      </c>
      <c r="AJ1818" s="41">
        <v>0.5</v>
      </c>
    </row>
    <row r="1819" spans="1:36" ht="35.1" hidden="1" customHeight="1" x14ac:dyDescent="0.25">
      <c r="A1819" s="40">
        <v>2468</v>
      </c>
      <c r="B1819" s="40" t="s">
        <v>6222</v>
      </c>
      <c r="C1819" s="40" t="s">
        <v>539</v>
      </c>
      <c r="D1819" s="44">
        <v>2026</v>
      </c>
      <c r="E1819" s="44"/>
      <c r="F1819" s="90" t="s">
        <v>1331</v>
      </c>
      <c r="G1819" s="90" t="s">
        <v>1259</v>
      </c>
      <c r="H1819" s="40" t="s">
        <v>467</v>
      </c>
      <c r="I1819" s="90" t="s">
        <v>1269</v>
      </c>
      <c r="J1819" s="90" t="s">
        <v>581</v>
      </c>
      <c r="K1819" s="90" t="s">
        <v>578</v>
      </c>
      <c r="L1819" s="90"/>
      <c r="M1819" s="90"/>
      <c r="N1819" s="90"/>
      <c r="O1819" s="90"/>
      <c r="P1819" s="90">
        <v>1</v>
      </c>
      <c r="Q1819" s="90">
        <v>1</v>
      </c>
      <c r="R1819" s="90">
        <v>1</v>
      </c>
      <c r="S1819" s="90">
        <v>1</v>
      </c>
      <c r="T1819" s="90">
        <v>1</v>
      </c>
      <c r="U1819" s="90"/>
      <c r="V1819" s="90"/>
      <c r="W1819" s="90"/>
      <c r="X1819" s="90"/>
      <c r="Y1819" s="90"/>
      <c r="Z1819" s="40" t="s">
        <v>6257</v>
      </c>
      <c r="AA1819" s="47">
        <f>IF(H2ProjectDB689571011[[#This Row],[Dummy_1]]="Electrolysis",
AB1819*VLOOKUP(G1819,ElectrolysisConvF,3,FALSE),
"")</f>
        <v>4.2134831460674156E-2</v>
      </c>
      <c r="AB1819" s="46">
        <f t="shared" si="128"/>
        <v>9.3632958801498134</v>
      </c>
      <c r="AC1819" s="98">
        <f>(3.65/1000/H2ProjectDB689571011[[#This Row],[LOWE_CF]])</f>
        <v>7.3000000000000001E-3</v>
      </c>
      <c r="AD1819" s="92"/>
      <c r="AE1819" s="92">
        <f t="shared" si="127"/>
        <v>9.3632958801498134</v>
      </c>
      <c r="AF1819" s="93" t="s">
        <v>6275</v>
      </c>
      <c r="AG1819" s="43">
        <v>19.224322979355499</v>
      </c>
      <c r="AH1819" s="43">
        <v>72.867993875753896</v>
      </c>
      <c r="AI1819" s="122" t="s">
        <v>7286</v>
      </c>
      <c r="AJ1819" s="41">
        <v>0.5</v>
      </c>
    </row>
    <row r="1820" spans="1:36" ht="35.1" hidden="1" customHeight="1" x14ac:dyDescent="0.25">
      <c r="A1820" s="40">
        <v>2469</v>
      </c>
      <c r="B1820" s="90" t="s">
        <v>6223</v>
      </c>
      <c r="C1820" s="40" t="s">
        <v>539</v>
      </c>
      <c r="D1820" s="44">
        <v>2027</v>
      </c>
      <c r="E1820" s="44"/>
      <c r="F1820" s="90" t="s">
        <v>1331</v>
      </c>
      <c r="G1820" s="90" t="s">
        <v>1259</v>
      </c>
      <c r="H1820" s="40" t="s">
        <v>467</v>
      </c>
      <c r="I1820" s="90" t="s">
        <v>1269</v>
      </c>
      <c r="J1820" s="90" t="s">
        <v>581</v>
      </c>
      <c r="K1820" s="90" t="s">
        <v>1243</v>
      </c>
      <c r="L1820" s="90"/>
      <c r="M1820" s="90">
        <v>1</v>
      </c>
      <c r="N1820" s="90"/>
      <c r="O1820" s="90"/>
      <c r="P1820" s="90"/>
      <c r="Q1820" s="90"/>
      <c r="R1820" s="90"/>
      <c r="S1820" s="90"/>
      <c r="T1820" s="90"/>
      <c r="U1820" s="90"/>
      <c r="V1820" s="90"/>
      <c r="W1820" s="90"/>
      <c r="X1820" s="90"/>
      <c r="Y1820" s="90"/>
      <c r="Z1820" s="40" t="s">
        <v>6258</v>
      </c>
      <c r="AA1820" s="47">
        <f>IF(H2ProjectDB689571011[[#This Row],[Dummy_1]]="Electrolysis",
AB1820*VLOOKUP(G1820,ElectrolysisConvF,3,FALSE),
"")</f>
        <v>43.86639987686624</v>
      </c>
      <c r="AB1820" s="46">
        <f t="shared" si="128"/>
        <v>9748.0888615258318</v>
      </c>
      <c r="AC1820" s="92">
        <f>(3.8/H2ProjectDB689571011[[#This Row],[LOWE_CF]])</f>
        <v>7.6</v>
      </c>
      <c r="AD1820" s="92"/>
      <c r="AE1820" s="92">
        <f t="shared" si="127"/>
        <v>9748.0888615258318</v>
      </c>
      <c r="AF1820" s="93" t="s">
        <v>6275</v>
      </c>
      <c r="AG1820" s="43">
        <v>14.741083316501401</v>
      </c>
      <c r="AH1820" s="43">
        <v>75.0636378765073</v>
      </c>
      <c r="AI1820" s="122" t="s">
        <v>7286</v>
      </c>
      <c r="AJ1820" s="41">
        <v>0.5</v>
      </c>
    </row>
    <row r="1821" spans="1:36" ht="35.1" hidden="1" customHeight="1" x14ac:dyDescent="0.25">
      <c r="A1821" s="40">
        <v>2470</v>
      </c>
      <c r="B1821" s="90" t="s">
        <v>6224</v>
      </c>
      <c r="C1821" s="40" t="s">
        <v>539</v>
      </c>
      <c r="D1821" s="44">
        <v>2027</v>
      </c>
      <c r="E1821" s="44"/>
      <c r="F1821" s="90" t="s">
        <v>2222</v>
      </c>
      <c r="G1821" s="90" t="s">
        <v>1259</v>
      </c>
      <c r="H1821" s="40" t="s">
        <v>467</v>
      </c>
      <c r="I1821" s="90" t="s">
        <v>1269</v>
      </c>
      <c r="J1821" s="90" t="s">
        <v>581</v>
      </c>
      <c r="K1821" s="90" t="s">
        <v>1243</v>
      </c>
      <c r="L1821" s="90"/>
      <c r="M1821" s="90">
        <v>1</v>
      </c>
      <c r="N1821" s="90"/>
      <c r="O1821" s="90"/>
      <c r="P1821" s="90"/>
      <c r="Q1821" s="90"/>
      <c r="R1821" s="90"/>
      <c r="S1821" s="90"/>
      <c r="T1821" s="90"/>
      <c r="U1821" s="90"/>
      <c r="V1821" s="90"/>
      <c r="W1821" s="90"/>
      <c r="X1821" s="90"/>
      <c r="Y1821" s="90"/>
      <c r="Z1821" s="40" t="s">
        <v>5010</v>
      </c>
      <c r="AA1821" s="47">
        <f>IF(H2ProjectDB689571011[[#This Row],[Dummy_1]]="Electrolysis",
AB1821*VLOOKUP(G1821,ElectrolysisConvF,3,FALSE),
"")</f>
        <v>2308.7578882561183</v>
      </c>
      <c r="AB1821" s="46">
        <f t="shared" si="128"/>
        <v>513057.30850135966</v>
      </c>
      <c r="AC1821" s="92">
        <f>(200/H2ProjectDB689571011[[#This Row],[LOWE_CF]])</f>
        <v>400</v>
      </c>
      <c r="AD1821" s="92"/>
      <c r="AE1821" s="92">
        <f t="shared" si="127"/>
        <v>513057.30850135966</v>
      </c>
      <c r="AF1821" s="93" t="s">
        <v>6275</v>
      </c>
      <c r="AG1821" s="43">
        <v>14.741083316501401</v>
      </c>
      <c r="AH1821" s="43">
        <v>75.0636378765073</v>
      </c>
      <c r="AI1821" s="122" t="s">
        <v>7286</v>
      </c>
      <c r="AJ1821" s="41">
        <v>0.5</v>
      </c>
    </row>
    <row r="1822" spans="1:36" ht="35.1" hidden="1" customHeight="1" x14ac:dyDescent="0.25">
      <c r="A1822" s="40">
        <v>2471</v>
      </c>
      <c r="B1822" s="90" t="s">
        <v>6225</v>
      </c>
      <c r="C1822" s="40" t="s">
        <v>539</v>
      </c>
      <c r="D1822" s="44">
        <v>2027</v>
      </c>
      <c r="E1822" s="44"/>
      <c r="F1822" s="90" t="s">
        <v>1331</v>
      </c>
      <c r="G1822" s="90" t="s">
        <v>1259</v>
      </c>
      <c r="H1822" s="40" t="s">
        <v>467</v>
      </c>
      <c r="I1822" s="90" t="s">
        <v>1269</v>
      </c>
      <c r="J1822" s="90" t="s">
        <v>581</v>
      </c>
      <c r="K1822" s="90" t="s">
        <v>578</v>
      </c>
      <c r="L1822" s="90"/>
      <c r="M1822" s="90"/>
      <c r="N1822" s="90"/>
      <c r="O1822" s="90"/>
      <c r="P1822" s="90">
        <v>1</v>
      </c>
      <c r="Q1822" s="90">
        <v>1</v>
      </c>
      <c r="R1822" s="90"/>
      <c r="S1822" s="90"/>
      <c r="T1822" s="90"/>
      <c r="U1822" s="90"/>
      <c r="V1822" s="90"/>
      <c r="W1822" s="90"/>
      <c r="X1822" s="90"/>
      <c r="Y1822" s="90"/>
      <c r="Z1822" s="40" t="s">
        <v>6259</v>
      </c>
      <c r="AA1822" s="47">
        <f>IF(H2ProjectDB689571011[[#This Row],[Dummy_1]]="Electrolysis",
AB1822*VLOOKUP(G1822,ElectrolysisConvF,3,FALSE),
"")</f>
        <v>8.4269662921348312E-3</v>
      </c>
      <c r="AB1822" s="46">
        <f t="shared" si="128"/>
        <v>1.8726591760299625</v>
      </c>
      <c r="AC1822" s="98">
        <f>(0.73/1000/H2ProjectDB689571011[[#This Row],[LOWE_CF]])</f>
        <v>1.4599999999999999E-3</v>
      </c>
      <c r="AD1822" s="92"/>
      <c r="AE1822" s="92">
        <f t="shared" si="127"/>
        <v>1.8726591760299625</v>
      </c>
      <c r="AF1822" s="93" t="s">
        <v>6275</v>
      </c>
      <c r="AG1822" s="43">
        <v>9.9444593350647708</v>
      </c>
      <c r="AH1822" s="43">
        <v>76.265211751434407</v>
      </c>
      <c r="AI1822" s="122" t="s">
        <v>7286</v>
      </c>
      <c r="AJ1822" s="41">
        <v>0.5</v>
      </c>
    </row>
    <row r="1823" spans="1:36" ht="35.1" hidden="1" customHeight="1" x14ac:dyDescent="0.25">
      <c r="A1823" s="40">
        <v>2472</v>
      </c>
      <c r="B1823" s="90" t="s">
        <v>6226</v>
      </c>
      <c r="C1823" s="40" t="s">
        <v>539</v>
      </c>
      <c r="D1823" s="44">
        <v>2025</v>
      </c>
      <c r="E1823" s="44"/>
      <c r="F1823" s="90" t="s">
        <v>2222</v>
      </c>
      <c r="G1823" s="90" t="s">
        <v>1259</v>
      </c>
      <c r="H1823" s="40" t="s">
        <v>467</v>
      </c>
      <c r="I1823" s="90" t="s">
        <v>1257</v>
      </c>
      <c r="J1823" s="90" t="s">
        <v>581</v>
      </c>
      <c r="K1823" s="90" t="s">
        <v>578</v>
      </c>
      <c r="L1823" s="90"/>
      <c r="M1823" s="90"/>
      <c r="N1823" s="90"/>
      <c r="O1823" s="90"/>
      <c r="P1823" s="90">
        <v>1</v>
      </c>
      <c r="Q1823" s="90">
        <v>1</v>
      </c>
      <c r="R1823" s="90">
        <v>1</v>
      </c>
      <c r="S1823" s="90">
        <v>1</v>
      </c>
      <c r="T1823" s="90">
        <v>1</v>
      </c>
      <c r="U1823" s="90"/>
      <c r="V1823" s="90"/>
      <c r="W1823" s="90"/>
      <c r="X1823" s="90"/>
      <c r="Y1823" s="90"/>
      <c r="Z1823" s="40" t="s">
        <v>6260</v>
      </c>
      <c r="AA1823" s="47">
        <f>IF(H2ProjectDB689571011[[#This Row],[Dummy_1]]="Electrolysis",
AB1823*VLOOKUP(G1823,ElectrolysisConvF,3,FALSE),
"")</f>
        <v>221.76227084565343</v>
      </c>
      <c r="AB1823" s="46">
        <f t="shared" si="128"/>
        <v>49280.504632367432</v>
      </c>
      <c r="AC1823" s="92">
        <f>(21.9/H2ProjectDB689571011[[#This Row],[LOWE_CF]])</f>
        <v>38.421052631578945</v>
      </c>
      <c r="AD1823" s="92"/>
      <c r="AE1823" s="92">
        <f t="shared" si="127"/>
        <v>49280.504632367432</v>
      </c>
      <c r="AF1823" s="93" t="s">
        <v>6275</v>
      </c>
      <c r="AG1823" s="43">
        <v>0</v>
      </c>
      <c r="AH1823" s="43">
        <v>0</v>
      </c>
      <c r="AI1823" s="122" t="s">
        <v>7286</v>
      </c>
      <c r="AJ1823" s="41">
        <v>0.56999999999999995</v>
      </c>
    </row>
    <row r="1824" spans="1:36" ht="35.1" hidden="1" customHeight="1" x14ac:dyDescent="0.25">
      <c r="A1824" s="40">
        <v>2473</v>
      </c>
      <c r="B1824" s="90" t="s">
        <v>6227</v>
      </c>
      <c r="C1824" s="40" t="s">
        <v>539</v>
      </c>
      <c r="D1824" s="44">
        <v>2027</v>
      </c>
      <c r="E1824" s="44"/>
      <c r="F1824" s="90" t="s">
        <v>1331</v>
      </c>
      <c r="G1824" s="90" t="s">
        <v>1259</v>
      </c>
      <c r="H1824" s="40" t="s">
        <v>467</v>
      </c>
      <c r="I1824" s="90" t="s">
        <v>1269</v>
      </c>
      <c r="J1824" s="90" t="s">
        <v>581</v>
      </c>
      <c r="K1824" s="90" t="s">
        <v>578</v>
      </c>
      <c r="L1824" s="90"/>
      <c r="M1824" s="90"/>
      <c r="N1824" s="90"/>
      <c r="O1824" s="90"/>
      <c r="P1824" s="90">
        <v>1</v>
      </c>
      <c r="Q1824" s="90">
        <v>1</v>
      </c>
      <c r="R1824" s="90">
        <v>1</v>
      </c>
      <c r="S1824" s="90">
        <v>1</v>
      </c>
      <c r="T1824" s="90">
        <v>1</v>
      </c>
      <c r="U1824" s="90"/>
      <c r="V1824" s="90"/>
      <c r="W1824" s="90"/>
      <c r="X1824" s="90"/>
      <c r="Y1824" s="90"/>
      <c r="Z1824" s="40" t="s">
        <v>6249</v>
      </c>
      <c r="AA1824" s="47">
        <f>IF(H2ProjectDB689571011[[#This Row],[Dummy_1]]="Electrolysis",
AB1824*VLOOKUP(G1824,ElectrolysisConvF,3,FALSE),
"")</f>
        <v>57.718947206402959</v>
      </c>
      <c r="AB1824" s="46">
        <f t="shared" si="128"/>
        <v>12826.432712533991</v>
      </c>
      <c r="AC1824" s="92">
        <f>(5/H2ProjectDB689571011[[#This Row],[LOWE_CF]])</f>
        <v>10</v>
      </c>
      <c r="AD1824" s="92"/>
      <c r="AE1824" s="92">
        <f t="shared" si="127"/>
        <v>12826.432712533991</v>
      </c>
      <c r="AF1824" s="93" t="s">
        <v>6275</v>
      </c>
      <c r="AG1824" s="43">
        <v>34.6581375618252</v>
      </c>
      <c r="AH1824" s="43">
        <v>77.091934665595105</v>
      </c>
      <c r="AI1824" s="122" t="s">
        <v>7286</v>
      </c>
      <c r="AJ1824" s="41">
        <v>0.5</v>
      </c>
    </row>
    <row r="1825" spans="1:36" ht="35.1" hidden="1" customHeight="1" x14ac:dyDescent="0.25">
      <c r="A1825" s="40">
        <v>2474</v>
      </c>
      <c r="B1825" s="90" t="s">
        <v>6228</v>
      </c>
      <c r="C1825" s="40" t="s">
        <v>539</v>
      </c>
      <c r="D1825" s="44">
        <v>2025</v>
      </c>
      <c r="E1825" s="44"/>
      <c r="F1825" s="90" t="s">
        <v>1331</v>
      </c>
      <c r="G1825" s="90" t="s">
        <v>455</v>
      </c>
      <c r="H1825" s="90"/>
      <c r="I1825" s="90" t="s">
        <v>1269</v>
      </c>
      <c r="J1825" s="90" t="s">
        <v>581</v>
      </c>
      <c r="K1825" s="90" t="s">
        <v>578</v>
      </c>
      <c r="L1825" s="90"/>
      <c r="M1825" s="90"/>
      <c r="N1825" s="90"/>
      <c r="O1825" s="90"/>
      <c r="P1825" s="90">
        <v>1</v>
      </c>
      <c r="Q1825" s="90"/>
      <c r="R1825" s="90"/>
      <c r="S1825" s="90"/>
      <c r="T1825" s="90"/>
      <c r="U1825" s="90"/>
      <c r="V1825" s="90"/>
      <c r="W1825" s="90"/>
      <c r="X1825" s="90"/>
      <c r="Y1825" s="90"/>
      <c r="Z1825" s="40" t="s">
        <v>1372</v>
      </c>
      <c r="AA1825" s="91">
        <v>1</v>
      </c>
      <c r="AB1825" s="46">
        <f>IF(H2ProjectDB689571011[[#This Row],[Dummy_1]]="Electrolysis",
AA1825/VLOOKUP(G1825,ElectrolysisConvF,3,FALSE),
AC1825*10^6/(H2dens*HoursInYear))</f>
        <v>192.30769230769232</v>
      </c>
      <c r="AC1825" s="47">
        <f>AB1825*H2dens*HoursInYear/10^6</f>
        <v>0.14993076923076926</v>
      </c>
      <c r="AD1825" s="92"/>
      <c r="AE1825" s="92">
        <f t="shared" si="127"/>
        <v>192.30769230769232</v>
      </c>
      <c r="AF1825" s="43" t="s">
        <v>7443</v>
      </c>
      <c r="AG1825" s="43">
        <v>21.178604200525999</v>
      </c>
      <c r="AH1825" s="43">
        <v>72.661198624312604</v>
      </c>
      <c r="AI1825" s="122" t="s">
        <v>7286</v>
      </c>
      <c r="AJ1825" s="41">
        <v>0.5</v>
      </c>
    </row>
    <row r="1826" spans="1:36" ht="35.1" hidden="1" customHeight="1" x14ac:dyDescent="0.25">
      <c r="A1826" s="40">
        <v>2475</v>
      </c>
      <c r="B1826" s="90" t="s">
        <v>6229</v>
      </c>
      <c r="C1826" s="40" t="s">
        <v>539</v>
      </c>
      <c r="D1826" s="44">
        <v>2040</v>
      </c>
      <c r="E1826" s="44"/>
      <c r="F1826" s="90" t="s">
        <v>1331</v>
      </c>
      <c r="G1826" s="90" t="s">
        <v>1259</v>
      </c>
      <c r="H1826" s="40" t="s">
        <v>467</v>
      </c>
      <c r="I1826" s="90" t="s">
        <v>1269</v>
      </c>
      <c r="J1826" s="90" t="s">
        <v>581</v>
      </c>
      <c r="K1826" s="90" t="s">
        <v>578</v>
      </c>
      <c r="L1826" s="90"/>
      <c r="M1826" s="90"/>
      <c r="N1826" s="90"/>
      <c r="O1826" s="90"/>
      <c r="P1826" s="90">
        <v>1</v>
      </c>
      <c r="Q1826" s="90">
        <v>1</v>
      </c>
      <c r="R1826" s="90">
        <v>1</v>
      </c>
      <c r="S1826" s="90">
        <v>1</v>
      </c>
      <c r="T1826" s="90">
        <v>1</v>
      </c>
      <c r="U1826" s="90"/>
      <c r="V1826" s="90"/>
      <c r="W1826" s="90"/>
      <c r="X1826" s="90"/>
      <c r="Y1826" s="90"/>
      <c r="Z1826" s="40" t="s">
        <v>6261</v>
      </c>
      <c r="AA1826" s="47">
        <f>IF(H2ProjectDB689571011[[#This Row],[Dummy_1]]="Electrolysis",
AB1826*VLOOKUP(G1826,ElectrolysisConvF,3,FALSE),
"")</f>
        <v>0.18966446052024011</v>
      </c>
      <c r="AB1826" s="46">
        <f t="shared" ref="AB1826:AB1843" si="129">AC1826/(H2dens*HoursInYear/10^6)</f>
        <v>42.147657893386693</v>
      </c>
      <c r="AC1826" s="98">
        <f>(16.43/1000/H2ProjectDB689571011[[#This Row],[LOWE_CF]])</f>
        <v>3.286E-2</v>
      </c>
      <c r="AD1826" s="92"/>
      <c r="AE1826" s="92">
        <f t="shared" si="127"/>
        <v>42.147657893386693</v>
      </c>
      <c r="AF1826" s="93" t="s">
        <v>6275</v>
      </c>
      <c r="AG1826" s="43">
        <v>23.5553595378511</v>
      </c>
      <c r="AH1826" s="43">
        <v>77.197092343061399</v>
      </c>
      <c r="AI1826" s="122" t="s">
        <v>7286</v>
      </c>
      <c r="AJ1826" s="41">
        <v>0.5</v>
      </c>
    </row>
    <row r="1827" spans="1:36" ht="35.1" hidden="1" customHeight="1" x14ac:dyDescent="0.25">
      <c r="A1827" s="40">
        <v>2476</v>
      </c>
      <c r="B1827" s="90" t="s">
        <v>6230</v>
      </c>
      <c r="C1827" s="40" t="s">
        <v>539</v>
      </c>
      <c r="D1827" s="44">
        <v>2027</v>
      </c>
      <c r="E1827" s="44"/>
      <c r="F1827" s="90" t="s">
        <v>1331</v>
      </c>
      <c r="G1827" s="90" t="s">
        <v>1259</v>
      </c>
      <c r="H1827" s="40" t="s">
        <v>467</v>
      </c>
      <c r="I1827" s="90" t="s">
        <v>1269</v>
      </c>
      <c r="J1827" s="90" t="s">
        <v>581</v>
      </c>
      <c r="K1827" s="90" t="s">
        <v>578</v>
      </c>
      <c r="L1827" s="90"/>
      <c r="M1827" s="90"/>
      <c r="N1827" s="90"/>
      <c r="O1827" s="90"/>
      <c r="P1827" s="90"/>
      <c r="Q1827" s="90"/>
      <c r="R1827" s="90"/>
      <c r="S1827" s="90"/>
      <c r="T1827" s="90"/>
      <c r="U1827" s="90"/>
      <c r="V1827" s="90"/>
      <c r="W1827" s="90"/>
      <c r="X1827" s="90"/>
      <c r="Y1827" s="90"/>
      <c r="Z1827" s="40" t="s">
        <v>6262</v>
      </c>
      <c r="AA1827" s="47">
        <f>IF(H2ProjectDB689571011[[#This Row],[Dummy_1]]="Electrolysis",
AB1827*VLOOKUP(G1827,ElectrolysisConvF,3,FALSE),
"")</f>
        <v>0.73903340003078333</v>
      </c>
      <c r="AB1827" s="46">
        <f t="shared" si="129"/>
        <v>164.2296444512852</v>
      </c>
      <c r="AC1827" s="98">
        <f>(64.02/1000/H2ProjectDB689571011[[#This Row],[LOWE_CF]])</f>
        <v>0.12803999999999999</v>
      </c>
      <c r="AD1827" s="92"/>
      <c r="AE1827" s="92">
        <f t="shared" si="127"/>
        <v>164.2296444512852</v>
      </c>
      <c r="AF1827" s="93" t="s">
        <v>6275</v>
      </c>
      <c r="AG1827" s="43">
        <v>0</v>
      </c>
      <c r="AH1827" s="43">
        <v>0</v>
      </c>
      <c r="AI1827" s="122" t="s">
        <v>7286</v>
      </c>
      <c r="AJ1827" s="41">
        <v>0.5</v>
      </c>
    </row>
    <row r="1828" spans="1:36" ht="35.1" hidden="1" customHeight="1" x14ac:dyDescent="0.25">
      <c r="A1828" s="40">
        <v>2477</v>
      </c>
      <c r="B1828" s="90" t="s">
        <v>6231</v>
      </c>
      <c r="C1828" s="40" t="s">
        <v>539</v>
      </c>
      <c r="D1828" s="44">
        <v>2025</v>
      </c>
      <c r="E1828" s="44"/>
      <c r="F1828" s="90" t="s">
        <v>2222</v>
      </c>
      <c r="G1828" s="90" t="s">
        <v>1259</v>
      </c>
      <c r="H1828" s="40" t="s">
        <v>467</v>
      </c>
      <c r="I1828" s="90" t="s">
        <v>1269</v>
      </c>
      <c r="J1828" s="90" t="s">
        <v>581</v>
      </c>
      <c r="K1828" s="90" t="s">
        <v>578</v>
      </c>
      <c r="L1828" s="90"/>
      <c r="M1828" s="90"/>
      <c r="N1828" s="90"/>
      <c r="O1828" s="90"/>
      <c r="P1828" s="90"/>
      <c r="Q1828" s="90"/>
      <c r="R1828" s="90"/>
      <c r="S1828" s="90">
        <v>1</v>
      </c>
      <c r="T1828" s="90"/>
      <c r="U1828" s="90"/>
      <c r="V1828" s="90"/>
      <c r="W1828" s="90"/>
      <c r="X1828" s="90"/>
      <c r="Y1828" s="90"/>
      <c r="Z1828" s="40" t="s">
        <v>5001</v>
      </c>
      <c r="AA1828" s="47">
        <f>IF(H2ProjectDB689571011[[#This Row],[Dummy_1]]="Electrolysis",
AB1828*VLOOKUP(G1828,ElectrolysisConvF,3,FALSE),
"")</f>
        <v>577.18947206402959</v>
      </c>
      <c r="AB1828" s="46">
        <f t="shared" si="129"/>
        <v>128264.32712533991</v>
      </c>
      <c r="AC1828" s="92">
        <f>(50/H2ProjectDB689571011[[#This Row],[LOWE_CF]])</f>
        <v>100</v>
      </c>
      <c r="AD1828" s="92"/>
      <c r="AE1828" s="92">
        <f t="shared" si="127"/>
        <v>128264.32712533991</v>
      </c>
      <c r="AF1828" s="93" t="s">
        <v>6275</v>
      </c>
      <c r="AG1828" s="43">
        <v>19.546727687014201</v>
      </c>
      <c r="AH1828" s="43">
        <v>75.5786032764628</v>
      </c>
      <c r="AI1828" s="122" t="s">
        <v>7286</v>
      </c>
      <c r="AJ1828" s="41">
        <v>0.5</v>
      </c>
    </row>
    <row r="1829" spans="1:36" ht="35.1" hidden="1" customHeight="1" x14ac:dyDescent="0.25">
      <c r="A1829" s="40">
        <v>2478</v>
      </c>
      <c r="B1829" s="90" t="s">
        <v>6232</v>
      </c>
      <c r="C1829" s="40" t="s">
        <v>539</v>
      </c>
      <c r="D1829" s="44">
        <v>2026</v>
      </c>
      <c r="E1829" s="44"/>
      <c r="F1829" s="90" t="s">
        <v>1331</v>
      </c>
      <c r="G1829" s="90" t="s">
        <v>1263</v>
      </c>
      <c r="H1829" s="90" t="s">
        <v>2578</v>
      </c>
      <c r="I1829" s="90"/>
      <c r="J1829" s="90"/>
      <c r="K1829" s="90" t="s">
        <v>578</v>
      </c>
      <c r="L1829" s="90"/>
      <c r="M1829" s="90"/>
      <c r="N1829" s="90"/>
      <c r="O1829" s="90"/>
      <c r="P1829" s="90"/>
      <c r="Q1829" s="90"/>
      <c r="R1829" s="90"/>
      <c r="S1829" s="90"/>
      <c r="T1829" s="90"/>
      <c r="U1829" s="90"/>
      <c r="V1829" s="90"/>
      <c r="W1829" s="90"/>
      <c r="X1829" s="90"/>
      <c r="Y1829" s="90"/>
      <c r="Z1829" s="40" t="s">
        <v>6263</v>
      </c>
      <c r="AA1829" s="91"/>
      <c r="AB1829" s="46">
        <f t="shared" si="129"/>
        <v>1151.6996448503296</v>
      </c>
      <c r="AC1829" s="98">
        <f>(808.12/1000/H2ProjectDB689571011[[#This Row],[LOWE_CF]])</f>
        <v>0.89791111111111099</v>
      </c>
      <c r="AD1829" s="92"/>
      <c r="AE1829" s="92">
        <f t="shared" si="127"/>
        <v>1151.6996448503296</v>
      </c>
      <c r="AF1829" s="93" t="s">
        <v>6275</v>
      </c>
      <c r="AG1829" s="43">
        <v>21.152741196905701</v>
      </c>
      <c r="AH1829" s="43">
        <v>79.0937922245582</v>
      </c>
      <c r="AI1829" s="122" t="s">
        <v>1255</v>
      </c>
      <c r="AJ1829" s="41">
        <v>0.9</v>
      </c>
    </row>
    <row r="1830" spans="1:36" ht="35.1" hidden="1" customHeight="1" x14ac:dyDescent="0.25">
      <c r="A1830" s="40">
        <v>2479</v>
      </c>
      <c r="B1830" s="90" t="s">
        <v>6233</v>
      </c>
      <c r="C1830" s="40" t="s">
        <v>539</v>
      </c>
      <c r="D1830" s="44">
        <v>2032</v>
      </c>
      <c r="E1830" s="44"/>
      <c r="F1830" s="90" t="s">
        <v>1331</v>
      </c>
      <c r="G1830" s="90" t="s">
        <v>1259</v>
      </c>
      <c r="H1830" s="40" t="s">
        <v>467</v>
      </c>
      <c r="I1830" s="90" t="s">
        <v>1269</v>
      </c>
      <c r="J1830" s="90" t="s">
        <v>581</v>
      </c>
      <c r="K1830" s="90" t="s">
        <v>1268</v>
      </c>
      <c r="L1830" s="90"/>
      <c r="M1830" s="90"/>
      <c r="N1830" s="90"/>
      <c r="O1830" s="90"/>
      <c r="P1830" s="90">
        <v>1</v>
      </c>
      <c r="Q1830" s="90"/>
      <c r="R1830" s="90"/>
      <c r="S1830" s="90"/>
      <c r="T1830" s="90"/>
      <c r="U1830" s="90"/>
      <c r="V1830" s="90"/>
      <c r="W1830" s="90"/>
      <c r="X1830" s="90"/>
      <c r="Y1830" s="90"/>
      <c r="Z1830" s="40" t="s">
        <v>6249</v>
      </c>
      <c r="AA1830" s="47">
        <f>IF(H2ProjectDB689571011[[#This Row],[Dummy_1]]="Electrolysis",
AB1830*VLOOKUP(G1830,ElectrolysisConvF,3,FALSE),
"")</f>
        <v>57.718947206402959</v>
      </c>
      <c r="AB1830" s="46">
        <f t="shared" si="129"/>
        <v>12826.432712533991</v>
      </c>
      <c r="AC1830" s="92">
        <f>(5/H2ProjectDB689571011[[#This Row],[LOWE_CF]])</f>
        <v>10</v>
      </c>
      <c r="AD1830" s="92"/>
      <c r="AE1830" s="92">
        <f t="shared" si="127"/>
        <v>12826.432712533991</v>
      </c>
      <c r="AF1830" s="93" t="s">
        <v>6275</v>
      </c>
      <c r="AG1830" s="43">
        <v>17.691043702022299</v>
      </c>
      <c r="AH1830" s="43">
        <v>83.003605566340397</v>
      </c>
      <c r="AI1830" s="122" t="s">
        <v>7286</v>
      </c>
      <c r="AJ1830" s="41">
        <v>0.5</v>
      </c>
    </row>
    <row r="1831" spans="1:36" ht="35.1" hidden="1" customHeight="1" x14ac:dyDescent="0.25">
      <c r="A1831" s="40">
        <v>2480</v>
      </c>
      <c r="B1831" s="90" t="s">
        <v>6234</v>
      </c>
      <c r="C1831" s="40" t="s">
        <v>539</v>
      </c>
      <c r="D1831" s="44">
        <v>2030</v>
      </c>
      <c r="E1831" s="44"/>
      <c r="F1831" s="90" t="s">
        <v>2222</v>
      </c>
      <c r="G1831" s="90" t="s">
        <v>455</v>
      </c>
      <c r="H1831" s="90"/>
      <c r="I1831" s="90" t="s">
        <v>1269</v>
      </c>
      <c r="J1831" s="90" t="s">
        <v>581</v>
      </c>
      <c r="K1831" s="90" t="s">
        <v>578</v>
      </c>
      <c r="L1831" s="90"/>
      <c r="M1831" s="90"/>
      <c r="N1831" s="90"/>
      <c r="O1831" s="90"/>
      <c r="P1831" s="90"/>
      <c r="Q1831" s="90"/>
      <c r="R1831" s="90">
        <v>1</v>
      </c>
      <c r="S1831" s="90"/>
      <c r="T1831" s="90"/>
      <c r="U1831" s="90"/>
      <c r="V1831" s="90"/>
      <c r="W1831" s="90"/>
      <c r="X1831" s="90"/>
      <c r="Y1831" s="90"/>
      <c r="Z1831" s="40" t="s">
        <v>6264</v>
      </c>
      <c r="AA1831" s="47">
        <f>IF(H2ProjectDB689571011[[#This Row],[Dummy_1]]="Electrolysis",
AB1831*VLOOKUP(G1831,ElectrolysisConvF,3,FALSE),
"")</f>
        <v>7303.3707865168544</v>
      </c>
      <c r="AB1831" s="46">
        <f t="shared" si="129"/>
        <v>1404494.3820224721</v>
      </c>
      <c r="AC1831" s="92">
        <f>(547.5/H2ProjectDB689571011[[#This Row],[LOWE_CF]])</f>
        <v>1095</v>
      </c>
      <c r="AD1831" s="92"/>
      <c r="AE1831" s="92">
        <f t="shared" si="127"/>
        <v>1404494.3820224721</v>
      </c>
      <c r="AF1831" s="93" t="s">
        <v>6275</v>
      </c>
      <c r="AG1831" s="43">
        <v>24.073783021328701</v>
      </c>
      <c r="AH1831" s="43">
        <v>84.180559598003299</v>
      </c>
      <c r="AI1831" s="122" t="s">
        <v>7286</v>
      </c>
      <c r="AJ1831" s="41">
        <v>0.5</v>
      </c>
    </row>
    <row r="1832" spans="1:36" ht="35.1" hidden="1" customHeight="1" x14ac:dyDescent="0.25">
      <c r="A1832" s="40">
        <v>2481</v>
      </c>
      <c r="B1832" s="40" t="s">
        <v>6235</v>
      </c>
      <c r="C1832" s="40" t="s">
        <v>539</v>
      </c>
      <c r="D1832" s="44">
        <v>2027</v>
      </c>
      <c r="E1832" s="44"/>
      <c r="F1832" s="90" t="s">
        <v>1331</v>
      </c>
      <c r="G1832" s="90" t="s">
        <v>1259</v>
      </c>
      <c r="H1832" s="40" t="s">
        <v>467</v>
      </c>
      <c r="I1832" s="90" t="s">
        <v>1269</v>
      </c>
      <c r="J1832" s="90" t="s">
        <v>581</v>
      </c>
      <c r="K1832" s="90" t="s">
        <v>578</v>
      </c>
      <c r="L1832" s="90">
        <v>1</v>
      </c>
      <c r="M1832" s="90"/>
      <c r="N1832" s="90"/>
      <c r="O1832" s="90"/>
      <c r="P1832" s="90"/>
      <c r="Q1832" s="90"/>
      <c r="R1832" s="90"/>
      <c r="S1832" s="90"/>
      <c r="T1832" s="90"/>
      <c r="U1832" s="90"/>
      <c r="V1832" s="90"/>
      <c r="W1832" s="90"/>
      <c r="X1832" s="90"/>
      <c r="Y1832" s="90"/>
      <c r="Z1832" s="40" t="s">
        <v>8173</v>
      </c>
      <c r="AA1832" s="47">
        <f>IF(H2ProjectDB689571011[[#This Row],[Dummy_1]]="Electrolysis",
AB1832*VLOOKUP(G1832,ElectrolysisConvF,3,FALSE),
"")</f>
        <v>115.43789441280592</v>
      </c>
      <c r="AB1832" s="46">
        <f t="shared" si="129"/>
        <v>25652.865425067983</v>
      </c>
      <c r="AC1832" s="98">
        <f>(10/H2ProjectDB689571011[[#This Row],[LOWE_CF]])</f>
        <v>20</v>
      </c>
      <c r="AD1832" s="92"/>
      <c r="AE1832" s="92">
        <f t="shared" si="127"/>
        <v>25652.865425067983</v>
      </c>
      <c r="AF1832" s="93" t="s">
        <v>8470</v>
      </c>
      <c r="AG1832" s="43">
        <v>26.575346689556099</v>
      </c>
      <c r="AH1832" s="43">
        <v>93.788710458914096</v>
      </c>
      <c r="AI1832" s="122" t="s">
        <v>7286</v>
      </c>
      <c r="AJ1832" s="41">
        <v>0.5</v>
      </c>
    </row>
    <row r="1833" spans="1:36" ht="35.1" hidden="1" customHeight="1" x14ac:dyDescent="0.25">
      <c r="A1833" s="40">
        <v>2482</v>
      </c>
      <c r="B1833" s="40" t="s">
        <v>6236</v>
      </c>
      <c r="C1833" s="40" t="s">
        <v>539</v>
      </c>
      <c r="D1833" s="44">
        <v>2030</v>
      </c>
      <c r="E1833" s="44"/>
      <c r="F1833" s="90" t="s">
        <v>1331</v>
      </c>
      <c r="G1833" s="90" t="s">
        <v>1259</v>
      </c>
      <c r="H1833" s="40" t="s">
        <v>467</v>
      </c>
      <c r="I1833" s="90" t="s">
        <v>1269</v>
      </c>
      <c r="J1833" s="90" t="s">
        <v>581</v>
      </c>
      <c r="K1833" s="90" t="s">
        <v>1243</v>
      </c>
      <c r="L1833" s="90"/>
      <c r="M1833" s="90">
        <v>1</v>
      </c>
      <c r="N1833" s="90"/>
      <c r="O1833" s="90"/>
      <c r="P1833" s="90"/>
      <c r="Q1833" s="90"/>
      <c r="R1833" s="90"/>
      <c r="S1833" s="90"/>
      <c r="T1833" s="90"/>
      <c r="U1833" s="90"/>
      <c r="V1833" s="90"/>
      <c r="W1833" s="90"/>
      <c r="X1833" s="90"/>
      <c r="Y1833" s="90"/>
      <c r="Z1833" s="40" t="s">
        <v>6265</v>
      </c>
      <c r="AA1833" s="47">
        <f>IF(H2ProjectDB689571011[[#This Row],[Dummy_1]]="Electrolysis",
AB1833*VLOOKUP(G1833,ElectrolysisConvF,3,FALSE),
"")</f>
        <v>0.53886409111897793</v>
      </c>
      <c r="AB1833" s="46">
        <f t="shared" si="129"/>
        <v>119.74757580421733</v>
      </c>
      <c r="AC1833" s="98">
        <f>(46.68/1000/H2ProjectDB689571011[[#This Row],[LOWE_CF]])</f>
        <v>9.3359999999999999E-2</v>
      </c>
      <c r="AD1833" s="92"/>
      <c r="AE1833" s="92">
        <f t="shared" si="127"/>
        <v>119.74757580421733</v>
      </c>
      <c r="AF1833" s="93" t="s">
        <v>6275</v>
      </c>
      <c r="AG1833" s="43">
        <v>14.894339913711001</v>
      </c>
      <c r="AH1833" s="43">
        <v>78.965400736463906</v>
      </c>
      <c r="AI1833" s="122" t="s">
        <v>7286</v>
      </c>
      <c r="AJ1833" s="41">
        <v>0.5</v>
      </c>
    </row>
    <row r="1834" spans="1:36" ht="35.1" hidden="1" customHeight="1" x14ac:dyDescent="0.25">
      <c r="A1834" s="40">
        <v>2483</v>
      </c>
      <c r="B1834" s="40" t="s">
        <v>6237</v>
      </c>
      <c r="C1834" s="40" t="s">
        <v>539</v>
      </c>
      <c r="D1834" s="44">
        <v>2030</v>
      </c>
      <c r="E1834" s="44"/>
      <c r="F1834" s="90" t="s">
        <v>1331</v>
      </c>
      <c r="G1834" s="90" t="s">
        <v>1259</v>
      </c>
      <c r="H1834" s="40" t="s">
        <v>467</v>
      </c>
      <c r="I1834" s="90" t="s">
        <v>1269</v>
      </c>
      <c r="J1834" s="90" t="s">
        <v>581</v>
      </c>
      <c r="K1834" s="90" t="s">
        <v>1243</v>
      </c>
      <c r="L1834" s="90"/>
      <c r="M1834" s="90">
        <v>1</v>
      </c>
      <c r="N1834" s="90"/>
      <c r="O1834" s="90"/>
      <c r="P1834" s="90"/>
      <c r="Q1834" s="90"/>
      <c r="R1834" s="90"/>
      <c r="S1834" s="90"/>
      <c r="T1834" s="90"/>
      <c r="U1834" s="90"/>
      <c r="V1834" s="90"/>
      <c r="W1834" s="90"/>
      <c r="X1834" s="90"/>
      <c r="Y1834" s="90"/>
      <c r="Z1834" s="40" t="s">
        <v>6266</v>
      </c>
      <c r="AA1834" s="47">
        <f>IF(H2ProjectDB689571011[[#This Row],[Dummy_1]]="Electrolysis",
AB1834*VLOOKUP(G1834,ElectrolysisConvF,3,FALSE),
"")</f>
        <v>30.337078651685392</v>
      </c>
      <c r="AB1834" s="46">
        <f t="shared" si="129"/>
        <v>6741.5730337078658</v>
      </c>
      <c r="AC1834" s="98">
        <f>(2628/1000/H2ProjectDB689571011[[#This Row],[LOWE_CF]])</f>
        <v>5.2560000000000002</v>
      </c>
      <c r="AD1834" s="92"/>
      <c r="AE1834" s="92">
        <f t="shared" si="127"/>
        <v>6741.5730337078658</v>
      </c>
      <c r="AF1834" s="93" t="s">
        <v>6275</v>
      </c>
      <c r="AG1834" s="43">
        <v>23.2147521874703</v>
      </c>
      <c r="AH1834" s="43">
        <v>70.904975571519202</v>
      </c>
      <c r="AI1834" s="122" t="s">
        <v>7286</v>
      </c>
      <c r="AJ1834" s="41">
        <v>0.5</v>
      </c>
    </row>
    <row r="1835" spans="1:36" ht="35.1" hidden="1" customHeight="1" x14ac:dyDescent="0.25">
      <c r="A1835" s="40">
        <v>2484</v>
      </c>
      <c r="B1835" s="90" t="s">
        <v>6238</v>
      </c>
      <c r="C1835" s="40" t="s">
        <v>539</v>
      </c>
      <c r="D1835" s="44">
        <v>2024</v>
      </c>
      <c r="E1835" s="44"/>
      <c r="F1835" s="90" t="s">
        <v>5701</v>
      </c>
      <c r="G1835" s="90" t="s">
        <v>1263</v>
      </c>
      <c r="H1835" s="90" t="s">
        <v>2578</v>
      </c>
      <c r="I1835" s="90"/>
      <c r="J1835" s="90"/>
      <c r="K1835" s="90" t="s">
        <v>578</v>
      </c>
      <c r="L1835" s="90"/>
      <c r="M1835" s="90"/>
      <c r="N1835" s="90"/>
      <c r="O1835" s="90"/>
      <c r="P1835" s="90"/>
      <c r="Q1835" s="90"/>
      <c r="R1835" s="90"/>
      <c r="S1835" s="90"/>
      <c r="T1835" s="90"/>
      <c r="U1835" s="90"/>
      <c r="V1835" s="90"/>
      <c r="W1835" s="90"/>
      <c r="X1835" s="90"/>
      <c r="Y1835" s="90"/>
      <c r="Z1835" s="40" t="s">
        <v>6267</v>
      </c>
      <c r="AA1835" s="91"/>
      <c r="AB1835" s="46">
        <f t="shared" si="129"/>
        <v>2850.3183805631093</v>
      </c>
      <c r="AC1835" s="92">
        <f>(2/H2ProjectDB689571011[[#This Row],[LOWE_CF]])</f>
        <v>2.2222222222222223</v>
      </c>
      <c r="AD1835" s="92"/>
      <c r="AE1835" s="92">
        <f t="shared" si="127"/>
        <v>2850.3183805631093</v>
      </c>
      <c r="AF1835" s="93" t="s">
        <v>6275</v>
      </c>
      <c r="AG1835" s="43">
        <v>18.528830500787301</v>
      </c>
      <c r="AH1835" s="43">
        <v>73.859186859777097</v>
      </c>
      <c r="AI1835" s="122" t="s">
        <v>1255</v>
      </c>
      <c r="AJ1835" s="41">
        <v>0.9</v>
      </c>
    </row>
    <row r="1836" spans="1:36" ht="35.1" hidden="1" customHeight="1" x14ac:dyDescent="0.25">
      <c r="A1836" s="40">
        <v>2485</v>
      </c>
      <c r="B1836" s="40" t="s">
        <v>6239</v>
      </c>
      <c r="C1836" s="40" t="s">
        <v>539</v>
      </c>
      <c r="D1836" s="44">
        <v>2027</v>
      </c>
      <c r="E1836" s="44"/>
      <c r="F1836" s="90" t="s">
        <v>1331</v>
      </c>
      <c r="G1836" s="90" t="s">
        <v>1259</v>
      </c>
      <c r="H1836" s="40" t="s">
        <v>467</v>
      </c>
      <c r="I1836" s="90" t="s">
        <v>1269</v>
      </c>
      <c r="J1836" s="90" t="s">
        <v>581</v>
      </c>
      <c r="K1836" s="90" t="s">
        <v>1243</v>
      </c>
      <c r="L1836" s="90"/>
      <c r="M1836" s="90">
        <v>1</v>
      </c>
      <c r="N1836" s="90"/>
      <c r="O1836" s="90"/>
      <c r="P1836" s="90"/>
      <c r="Q1836" s="90"/>
      <c r="R1836" s="90"/>
      <c r="S1836" s="90"/>
      <c r="T1836" s="90"/>
      <c r="U1836" s="90"/>
      <c r="V1836" s="90"/>
      <c r="W1836" s="90"/>
      <c r="X1836" s="90"/>
      <c r="Y1836" s="90"/>
      <c r="Z1836" s="40" t="s">
        <v>6268</v>
      </c>
      <c r="AA1836" s="47">
        <f>IF(H2ProjectDB689571011[[#This Row],[Dummy_1]]="Electrolysis",
AB1836*VLOOKUP(G1836,ElectrolysisConvF,3,FALSE),
"")</f>
        <v>0.11543789441280591</v>
      </c>
      <c r="AB1836" s="46">
        <f t="shared" si="129"/>
        <v>25.652865425067983</v>
      </c>
      <c r="AC1836" s="98">
        <f>(10/1000/H2ProjectDB689571011[[#This Row],[LOWE_CF]])</f>
        <v>0.02</v>
      </c>
      <c r="AD1836" s="92"/>
      <c r="AE1836" s="92">
        <f t="shared" si="127"/>
        <v>25.652865425067983</v>
      </c>
      <c r="AF1836" s="93" t="s">
        <v>6275</v>
      </c>
      <c r="AG1836" s="43">
        <v>0</v>
      </c>
      <c r="AH1836" s="43">
        <v>0</v>
      </c>
      <c r="AI1836" s="122" t="s">
        <v>7286</v>
      </c>
      <c r="AJ1836" s="41">
        <v>0.5</v>
      </c>
    </row>
    <row r="1837" spans="1:36" ht="35.1" hidden="1" customHeight="1" x14ac:dyDescent="0.25">
      <c r="A1837" s="40">
        <v>2486</v>
      </c>
      <c r="B1837" s="90" t="s">
        <v>6240</v>
      </c>
      <c r="C1837" s="40" t="s">
        <v>539</v>
      </c>
      <c r="D1837" s="44">
        <v>2030</v>
      </c>
      <c r="E1837" s="44"/>
      <c r="F1837" s="90" t="s">
        <v>1331</v>
      </c>
      <c r="G1837" s="90" t="s">
        <v>1259</v>
      </c>
      <c r="H1837" s="40" t="s">
        <v>467</v>
      </c>
      <c r="I1837" s="90" t="s">
        <v>1257</v>
      </c>
      <c r="J1837" s="90" t="s">
        <v>581</v>
      </c>
      <c r="K1837" s="90" t="s">
        <v>578</v>
      </c>
      <c r="L1837" s="90"/>
      <c r="M1837" s="90"/>
      <c r="N1837" s="90"/>
      <c r="O1837" s="90"/>
      <c r="P1837" s="90">
        <v>1</v>
      </c>
      <c r="Q1837" s="90">
        <v>1</v>
      </c>
      <c r="R1837" s="90"/>
      <c r="S1837" s="90"/>
      <c r="T1837" s="90"/>
      <c r="U1837" s="90"/>
      <c r="V1837" s="90"/>
      <c r="W1837" s="90"/>
      <c r="X1837" s="90"/>
      <c r="Y1837" s="90"/>
      <c r="Z1837" s="40" t="s">
        <v>6269</v>
      </c>
      <c r="AA1837" s="47">
        <f>IF(H2ProjectDB689571011[[#This Row],[Dummy_1]]="Electrolysis",
AB1837*VLOOKUP(G1837,ElectrolysisConvF,3,FALSE),
"")</f>
        <v>36.960378474275579</v>
      </c>
      <c r="AB1837" s="46">
        <f t="shared" si="129"/>
        <v>8213.4174387279072</v>
      </c>
      <c r="AC1837" s="98">
        <f>(3650/1000/H2ProjectDB689571011[[#This Row],[LOWE_CF]])</f>
        <v>6.4035087719298254</v>
      </c>
      <c r="AD1837" s="92"/>
      <c r="AE1837" s="92">
        <f t="shared" si="127"/>
        <v>8213.4174387279072</v>
      </c>
      <c r="AF1837" s="93" t="s">
        <v>6275</v>
      </c>
      <c r="AG1837" s="43">
        <v>18.528830500787301</v>
      </c>
      <c r="AH1837" s="43">
        <v>73.859186859777097</v>
      </c>
      <c r="AI1837" s="122" t="s">
        <v>7286</v>
      </c>
      <c r="AJ1837" s="41">
        <v>0.56999999999999995</v>
      </c>
    </row>
    <row r="1838" spans="1:36" ht="35.1" hidden="1" customHeight="1" x14ac:dyDescent="0.25">
      <c r="A1838" s="40">
        <v>2487</v>
      </c>
      <c r="B1838" s="90" t="s">
        <v>6241</v>
      </c>
      <c r="C1838" s="40" t="s">
        <v>539</v>
      </c>
      <c r="D1838" s="44">
        <v>2027</v>
      </c>
      <c r="E1838" s="44"/>
      <c r="F1838" s="90" t="s">
        <v>1331</v>
      </c>
      <c r="G1838" s="90" t="s">
        <v>1259</v>
      </c>
      <c r="H1838" s="40" t="s">
        <v>467</v>
      </c>
      <c r="I1838" s="90" t="s">
        <v>1269</v>
      </c>
      <c r="J1838" s="90" t="s">
        <v>581</v>
      </c>
      <c r="K1838" s="90" t="s">
        <v>1243</v>
      </c>
      <c r="L1838" s="90"/>
      <c r="M1838" s="90">
        <v>1</v>
      </c>
      <c r="N1838" s="90"/>
      <c r="O1838" s="90"/>
      <c r="P1838" s="90"/>
      <c r="Q1838" s="90"/>
      <c r="R1838" s="90"/>
      <c r="S1838" s="90"/>
      <c r="T1838" s="90"/>
      <c r="U1838" s="90"/>
      <c r="V1838" s="90"/>
      <c r="W1838" s="90"/>
      <c r="X1838" s="90"/>
      <c r="Y1838" s="90"/>
      <c r="Z1838" s="40" t="s">
        <v>6247</v>
      </c>
      <c r="AA1838" s="47">
        <f>IF(H2ProjectDB689571011[[#This Row],[Dummy_1]]="Electrolysis",
AB1838*VLOOKUP(G1838,ElectrolysisConvF,3,FALSE),
"")</f>
        <v>4.2134831460674151</v>
      </c>
      <c r="AB1838" s="46">
        <f t="shared" si="129"/>
        <v>936.32958801498125</v>
      </c>
      <c r="AC1838" s="98">
        <f>(365/1000/H2ProjectDB689571011[[#This Row],[LOWE_CF]])</f>
        <v>0.73</v>
      </c>
      <c r="AD1838" s="92"/>
      <c r="AE1838" s="92">
        <f t="shared" si="127"/>
        <v>936.32958801498125</v>
      </c>
      <c r="AF1838" s="93" t="s">
        <v>6275</v>
      </c>
      <c r="AG1838" s="43">
        <v>20.479334110248299</v>
      </c>
      <c r="AH1838" s="43">
        <v>84.355712061772493</v>
      </c>
      <c r="AI1838" s="122" t="s">
        <v>7286</v>
      </c>
      <c r="AJ1838" s="41">
        <v>0.5</v>
      </c>
    </row>
    <row r="1839" spans="1:36" ht="35.1" hidden="1" customHeight="1" x14ac:dyDescent="0.25">
      <c r="A1839" s="40">
        <v>2488</v>
      </c>
      <c r="B1839" s="40" t="s">
        <v>6242</v>
      </c>
      <c r="C1839" s="40" t="s">
        <v>539</v>
      </c>
      <c r="D1839" s="44">
        <v>2025</v>
      </c>
      <c r="E1839" s="44"/>
      <c r="F1839" s="90" t="s">
        <v>1331</v>
      </c>
      <c r="G1839" s="90" t="s">
        <v>456</v>
      </c>
      <c r="H1839" s="90"/>
      <c r="I1839" s="90" t="s">
        <v>1269</v>
      </c>
      <c r="J1839" s="90" t="s">
        <v>581</v>
      </c>
      <c r="K1839" s="90" t="s">
        <v>578</v>
      </c>
      <c r="L1839" s="90"/>
      <c r="M1839" s="90"/>
      <c r="N1839" s="90"/>
      <c r="O1839" s="90"/>
      <c r="P1839" s="90">
        <v>1</v>
      </c>
      <c r="Q1839" s="90"/>
      <c r="R1839" s="90"/>
      <c r="S1839" s="90"/>
      <c r="T1839" s="90"/>
      <c r="U1839" s="90"/>
      <c r="V1839" s="90"/>
      <c r="W1839" s="90"/>
      <c r="X1839" s="90"/>
      <c r="Y1839" s="90"/>
      <c r="Z1839" s="40" t="s">
        <v>6270</v>
      </c>
      <c r="AA1839" s="78">
        <f>IF(H2ProjectDB689571011[[#This Row],[Dummy_1]]="Electrolysis",
AB1839*VLOOKUP(G1839,ElectrolysisConvF,3,FALSE),
"")</f>
        <v>8.2858755322969581E-3</v>
      </c>
      <c r="AB1839" s="46">
        <f t="shared" si="129"/>
        <v>2.1804935611307785</v>
      </c>
      <c r="AC1839" s="98">
        <f>(0.85/1000/H2ProjectDB689571011[[#This Row],[LOWE_CF]])</f>
        <v>1.6999999999999999E-3</v>
      </c>
      <c r="AD1839" s="92"/>
      <c r="AE1839" s="92">
        <f t="shared" si="127"/>
        <v>2.1804935611307785</v>
      </c>
      <c r="AF1839" s="93" t="s">
        <v>6275</v>
      </c>
      <c r="AG1839" s="43">
        <v>12.9860637717918</v>
      </c>
      <c r="AH1839" s="43">
        <v>77.595904179679493</v>
      </c>
      <c r="AI1839" s="122" t="s">
        <v>7286</v>
      </c>
      <c r="AJ1839" s="41">
        <v>0.5</v>
      </c>
    </row>
    <row r="1840" spans="1:36" ht="35.1" hidden="1" customHeight="1" x14ac:dyDescent="0.25">
      <c r="A1840" s="40">
        <v>2489</v>
      </c>
      <c r="B1840" s="40" t="s">
        <v>6243</v>
      </c>
      <c r="C1840" s="40" t="s">
        <v>539</v>
      </c>
      <c r="D1840" s="44">
        <v>2026</v>
      </c>
      <c r="E1840" s="44"/>
      <c r="F1840" s="90" t="s">
        <v>1331</v>
      </c>
      <c r="G1840" s="90" t="s">
        <v>1263</v>
      </c>
      <c r="H1840" s="90" t="s">
        <v>2578</v>
      </c>
      <c r="I1840" s="90"/>
      <c r="J1840" s="90"/>
      <c r="K1840" s="90" t="s">
        <v>578</v>
      </c>
      <c r="L1840" s="90"/>
      <c r="M1840" s="90"/>
      <c r="N1840" s="90"/>
      <c r="O1840" s="90"/>
      <c r="P1840" s="90"/>
      <c r="Q1840" s="90"/>
      <c r="R1840" s="90"/>
      <c r="S1840" s="90"/>
      <c r="T1840" s="90"/>
      <c r="U1840" s="90"/>
      <c r="V1840" s="90"/>
      <c r="W1840" s="90"/>
      <c r="X1840" s="90"/>
      <c r="Y1840" s="90"/>
      <c r="Z1840" s="40" t="s">
        <v>6271</v>
      </c>
      <c r="AA1840" s="91"/>
      <c r="AB1840" s="46">
        <f t="shared" si="129"/>
        <v>52.01831044527674</v>
      </c>
      <c r="AC1840" s="98">
        <f>(36.5/1000/H2ProjectDB689571011[[#This Row],[LOWE_CF]])</f>
        <v>4.0555555555555553E-2</v>
      </c>
      <c r="AD1840" s="92"/>
      <c r="AE1840" s="92">
        <f t="shared" si="127"/>
        <v>52.01831044527674</v>
      </c>
      <c r="AF1840" s="93" t="s">
        <v>6275</v>
      </c>
      <c r="AG1840" s="43">
        <v>0</v>
      </c>
      <c r="AH1840" s="43">
        <v>0</v>
      </c>
      <c r="AI1840" s="122" t="s">
        <v>1255</v>
      </c>
      <c r="AJ1840" s="41">
        <v>0.9</v>
      </c>
    </row>
    <row r="1841" spans="1:36" ht="35.1" hidden="1" customHeight="1" x14ac:dyDescent="0.25">
      <c r="A1841" s="40">
        <v>2490</v>
      </c>
      <c r="B1841" s="90" t="s">
        <v>6244</v>
      </c>
      <c r="C1841" s="40" t="s">
        <v>539</v>
      </c>
      <c r="D1841" s="44">
        <v>2025</v>
      </c>
      <c r="E1841" s="44"/>
      <c r="F1841" s="90" t="s">
        <v>1331</v>
      </c>
      <c r="G1841" s="90" t="s">
        <v>1259</v>
      </c>
      <c r="H1841" s="40" t="s">
        <v>467</v>
      </c>
      <c r="I1841" s="90" t="s">
        <v>1257</v>
      </c>
      <c r="J1841" s="90" t="s">
        <v>581</v>
      </c>
      <c r="K1841" s="90" t="s">
        <v>578</v>
      </c>
      <c r="L1841" s="90"/>
      <c r="M1841" s="90"/>
      <c r="N1841" s="90"/>
      <c r="O1841" s="90"/>
      <c r="P1841" s="90">
        <v>1</v>
      </c>
      <c r="Q1841" s="90">
        <v>1</v>
      </c>
      <c r="R1841" s="90"/>
      <c r="S1841" s="90"/>
      <c r="T1841" s="90"/>
      <c r="U1841" s="90"/>
      <c r="V1841" s="90"/>
      <c r="W1841" s="90"/>
      <c r="X1841" s="90"/>
      <c r="Y1841" s="90"/>
      <c r="Z1841" s="40" t="s">
        <v>6272</v>
      </c>
      <c r="AA1841" s="47">
        <f>IF(H2ProjectDB689571011[[#This Row],[Dummy_1]]="Electrolysis",
AB1841*VLOOKUP(G1841,ElectrolysisConvF,3,FALSE),
"")</f>
        <v>15.887899678394078</v>
      </c>
      <c r="AB1841" s="46">
        <f t="shared" si="129"/>
        <v>3530.6443729764619</v>
      </c>
      <c r="AC1841" s="98">
        <f>(1569/1000/H2ProjectDB689571011[[#This Row],[LOWE_CF]])</f>
        <v>2.7526315789473688</v>
      </c>
      <c r="AD1841" s="92"/>
      <c r="AE1841" s="92">
        <f t="shared" si="127"/>
        <v>3530.6443729764619</v>
      </c>
      <c r="AF1841" s="93" t="s">
        <v>6275</v>
      </c>
      <c r="AG1841" s="43">
        <v>17.700013296567199</v>
      </c>
      <c r="AH1841" s="43">
        <v>83.269441613770894</v>
      </c>
      <c r="AI1841" s="122" t="s">
        <v>7286</v>
      </c>
      <c r="AJ1841" s="41">
        <v>0.56999999999999995</v>
      </c>
    </row>
    <row r="1842" spans="1:36" ht="35.1" hidden="1" customHeight="1" x14ac:dyDescent="0.25">
      <c r="A1842" s="40">
        <v>2491</v>
      </c>
      <c r="B1842" s="40" t="s">
        <v>6245</v>
      </c>
      <c r="C1842" s="40" t="s">
        <v>539</v>
      </c>
      <c r="D1842" s="44">
        <v>2024</v>
      </c>
      <c r="E1842" s="44"/>
      <c r="F1842" s="90" t="s">
        <v>1331</v>
      </c>
      <c r="G1842" s="90" t="s">
        <v>1259</v>
      </c>
      <c r="H1842" s="40" t="s">
        <v>467</v>
      </c>
      <c r="I1842" s="90" t="s">
        <v>1269</v>
      </c>
      <c r="J1842" s="90" t="s">
        <v>581</v>
      </c>
      <c r="K1842" s="90" t="s">
        <v>578</v>
      </c>
      <c r="L1842" s="90"/>
      <c r="M1842" s="90"/>
      <c r="N1842" s="90"/>
      <c r="O1842" s="90"/>
      <c r="P1842" s="90"/>
      <c r="Q1842" s="90"/>
      <c r="R1842" s="90"/>
      <c r="S1842" s="90"/>
      <c r="T1842" s="90"/>
      <c r="U1842" s="90"/>
      <c r="V1842" s="90"/>
      <c r="W1842" s="90"/>
      <c r="X1842" s="90"/>
      <c r="Y1842" s="90"/>
      <c r="Z1842" s="40" t="s">
        <v>6273</v>
      </c>
      <c r="AA1842" s="47">
        <f>IF(H2ProjectDB689571011[[#This Row],[Dummy_1]]="Electrolysis",
AB1842*VLOOKUP(G1842,ElectrolysisConvF,3,FALSE),
"")</f>
        <v>8.3115283977220251</v>
      </c>
      <c r="AB1842" s="46">
        <f t="shared" si="129"/>
        <v>1847.0063106048947</v>
      </c>
      <c r="AC1842" s="98">
        <f>(720/1000/H2ProjectDB689571011[[#This Row],[LOWE_CF]])</f>
        <v>1.44</v>
      </c>
      <c r="AD1842" s="92"/>
      <c r="AE1842" s="92">
        <f t="shared" si="127"/>
        <v>1847.0063106048947</v>
      </c>
      <c r="AF1842" s="93" t="s">
        <v>6275</v>
      </c>
      <c r="AG1842" s="43">
        <v>0</v>
      </c>
      <c r="AH1842" s="43">
        <v>0</v>
      </c>
      <c r="AI1842" s="122" t="s">
        <v>7286</v>
      </c>
      <c r="AJ1842" s="41">
        <v>0.5</v>
      </c>
    </row>
    <row r="1843" spans="1:36" ht="35.1" hidden="1" customHeight="1" x14ac:dyDescent="0.25">
      <c r="A1843" s="40">
        <v>2492</v>
      </c>
      <c r="B1843" s="90" t="s">
        <v>6246</v>
      </c>
      <c r="C1843" s="40" t="s">
        <v>539</v>
      </c>
      <c r="D1843" s="44">
        <v>2027</v>
      </c>
      <c r="E1843" s="44"/>
      <c r="F1843" s="90" t="s">
        <v>1331</v>
      </c>
      <c r="G1843" s="90" t="s">
        <v>1259</v>
      </c>
      <c r="H1843" s="40" t="s">
        <v>467</v>
      </c>
      <c r="I1843" s="90" t="s">
        <v>1269</v>
      </c>
      <c r="J1843" s="90" t="s">
        <v>581</v>
      </c>
      <c r="K1843" s="90" t="s">
        <v>578</v>
      </c>
      <c r="L1843" s="90"/>
      <c r="M1843" s="90"/>
      <c r="N1843" s="90"/>
      <c r="O1843" s="90"/>
      <c r="P1843" s="90"/>
      <c r="Q1843" s="90"/>
      <c r="R1843" s="90"/>
      <c r="S1843" s="90"/>
      <c r="T1843" s="90"/>
      <c r="U1843" s="90"/>
      <c r="V1843" s="90"/>
      <c r="W1843" s="90"/>
      <c r="X1843" s="90"/>
      <c r="Y1843" s="90"/>
      <c r="Z1843" s="40" t="s">
        <v>6274</v>
      </c>
      <c r="AA1843" s="47">
        <f>IF(H2ProjectDB689571011[[#This Row],[Dummy_1]]="Electrolysis",
AB1843*VLOOKUP(G1843,ElectrolysisConvF,3,FALSE),
"")</f>
        <v>46.175157765122364</v>
      </c>
      <c r="AB1843" s="46">
        <f t="shared" si="129"/>
        <v>10261.146170027192</v>
      </c>
      <c r="AC1843" s="92">
        <f>(4/H2ProjectDB689571011[[#This Row],[LOWE_CF]])</f>
        <v>8</v>
      </c>
      <c r="AD1843" s="92"/>
      <c r="AE1843" s="92">
        <f t="shared" si="127"/>
        <v>10261.146170027192</v>
      </c>
      <c r="AF1843" s="93" t="s">
        <v>6275</v>
      </c>
      <c r="AG1843" s="43">
        <v>23.5224416810313</v>
      </c>
      <c r="AH1843" s="43">
        <v>87.3072111968294</v>
      </c>
      <c r="AI1843" s="122" t="s">
        <v>7286</v>
      </c>
      <c r="AJ1843" s="41">
        <v>0.5</v>
      </c>
    </row>
    <row r="1844" spans="1:36" ht="35.1" customHeight="1" x14ac:dyDescent="0.25">
      <c r="A1844" s="40">
        <v>2493</v>
      </c>
      <c r="B1844" s="90" t="s">
        <v>6280</v>
      </c>
      <c r="C1844" s="90" t="s">
        <v>1052</v>
      </c>
      <c r="D1844" s="44">
        <v>2024</v>
      </c>
      <c r="E1844" s="44"/>
      <c r="F1844" s="90" t="s">
        <v>1540</v>
      </c>
      <c r="G1844" s="90" t="s">
        <v>1263</v>
      </c>
      <c r="H1844" s="90" t="s">
        <v>6276</v>
      </c>
      <c r="I1844" s="90"/>
      <c r="J1844" s="90"/>
      <c r="K1844" s="90" t="s">
        <v>578</v>
      </c>
      <c r="L1844" s="90"/>
      <c r="M1844" s="90"/>
      <c r="N1844" s="90"/>
      <c r="O1844" s="90"/>
      <c r="P1844" s="90"/>
      <c r="Q1844" s="90"/>
      <c r="R1844" s="90"/>
      <c r="S1844" s="90"/>
      <c r="T1844" s="90"/>
      <c r="U1844" s="90"/>
      <c r="V1844" s="90"/>
      <c r="W1844" s="90"/>
      <c r="X1844" s="90"/>
      <c r="Y1844" s="90"/>
      <c r="Z1844" s="90" t="s">
        <v>6277</v>
      </c>
      <c r="AA1844" s="91"/>
      <c r="AB1844" s="92">
        <f>AC1844/(0.089*24*365/10^6)</f>
        <v>50.561797752808992</v>
      </c>
      <c r="AC1844" s="92">
        <f>4.5/10^6*HoursInYear</f>
        <v>3.9420000000000004E-2</v>
      </c>
      <c r="AD1844" s="92"/>
      <c r="AE1844" s="92">
        <f t="shared" si="127"/>
        <v>50.561797752808992</v>
      </c>
      <c r="AF1844" s="93" t="s">
        <v>6279</v>
      </c>
      <c r="AG1844" s="43">
        <v>-23.568546406405801</v>
      </c>
      <c r="AH1844" s="43">
        <v>-46.658470587758003</v>
      </c>
      <c r="AI1844" s="122" t="s">
        <v>1255</v>
      </c>
      <c r="AJ1844" s="41">
        <v>0.9</v>
      </c>
    </row>
    <row r="1845" spans="1:36" ht="35.1" customHeight="1" x14ac:dyDescent="0.25">
      <c r="A1845" s="40">
        <v>2494</v>
      </c>
      <c r="B1845" s="90" t="s">
        <v>6281</v>
      </c>
      <c r="C1845" s="90" t="s">
        <v>1052</v>
      </c>
      <c r="D1845" s="44">
        <v>2024</v>
      </c>
      <c r="E1845" s="44"/>
      <c r="F1845" s="90" t="s">
        <v>1540</v>
      </c>
      <c r="G1845" s="90" t="s">
        <v>1263</v>
      </c>
      <c r="H1845" s="90" t="s">
        <v>6276</v>
      </c>
      <c r="I1845" s="90"/>
      <c r="J1845" s="90"/>
      <c r="K1845" s="90" t="s">
        <v>578</v>
      </c>
      <c r="L1845" s="90"/>
      <c r="M1845" s="90"/>
      <c r="N1845" s="90"/>
      <c r="O1845" s="90"/>
      <c r="P1845" s="90"/>
      <c r="Q1845" s="90"/>
      <c r="R1845" s="90"/>
      <c r="S1845" s="90"/>
      <c r="T1845" s="90"/>
      <c r="U1845" s="90"/>
      <c r="V1845" s="90"/>
      <c r="W1845" s="90"/>
      <c r="X1845" s="90"/>
      <c r="Y1845" s="90"/>
      <c r="Z1845" s="90" t="s">
        <v>6282</v>
      </c>
      <c r="AA1845" s="91"/>
      <c r="AB1845" s="92">
        <f>AC1845/(0.089*24*365/10^6)</f>
        <v>460.67415730337075</v>
      </c>
      <c r="AC1845" s="92">
        <f>41/10^6*HoursInYear</f>
        <v>0.35915999999999998</v>
      </c>
      <c r="AD1845" s="92"/>
      <c r="AE1845" s="92">
        <f t="shared" si="127"/>
        <v>460.67415730337075</v>
      </c>
      <c r="AF1845" s="93" t="s">
        <v>6279</v>
      </c>
      <c r="AG1845" s="43">
        <v>-23.568546406405801</v>
      </c>
      <c r="AH1845" s="43">
        <v>-46.658470587758003</v>
      </c>
      <c r="AI1845" s="122" t="s">
        <v>1255</v>
      </c>
      <c r="AJ1845" s="41">
        <v>0.9</v>
      </c>
    </row>
    <row r="1846" spans="1:36" ht="35.1" customHeight="1" x14ac:dyDescent="0.25">
      <c r="A1846" s="40">
        <v>2495</v>
      </c>
      <c r="B1846" s="90" t="s">
        <v>6283</v>
      </c>
      <c r="C1846" s="90" t="s">
        <v>1052</v>
      </c>
      <c r="D1846" s="44">
        <v>2026</v>
      </c>
      <c r="E1846" s="44"/>
      <c r="F1846" s="90" t="s">
        <v>2222</v>
      </c>
      <c r="G1846" s="90" t="s">
        <v>1259</v>
      </c>
      <c r="H1846" s="40" t="s">
        <v>467</v>
      </c>
      <c r="I1846" s="90" t="s">
        <v>1269</v>
      </c>
      <c r="J1846" s="90" t="s">
        <v>1395</v>
      </c>
      <c r="K1846" s="90" t="s">
        <v>1243</v>
      </c>
      <c r="L1846" s="90"/>
      <c r="M1846" s="90">
        <v>1</v>
      </c>
      <c r="N1846" s="90"/>
      <c r="O1846" s="90"/>
      <c r="P1846" s="90"/>
      <c r="Q1846" s="90"/>
      <c r="R1846" s="90"/>
      <c r="S1846" s="90"/>
      <c r="T1846" s="90"/>
      <c r="U1846" s="90"/>
      <c r="V1846" s="90"/>
      <c r="W1846" s="90"/>
      <c r="X1846" s="90"/>
      <c r="Y1846" s="90"/>
      <c r="Z1846" s="90" t="s">
        <v>6284</v>
      </c>
      <c r="AA1846" s="47">
        <f>IF(H2ProjectDB689571011[[#This Row],[Dummy_1]]="Electrolysis",
AB1846*VLOOKUP(G1846,ElectrolysisConvF,3,FALSE),
"")</f>
        <v>300.13852547329537</v>
      </c>
      <c r="AB1846" s="46">
        <f>AC1846/(H2dens*HoursInYear/10^6)</f>
        <v>66697.450105176758</v>
      </c>
      <c r="AC1846" s="92">
        <v>52</v>
      </c>
      <c r="AD1846" s="92"/>
      <c r="AE1846" s="92">
        <f t="shared" si="127"/>
        <v>66697.450105176758</v>
      </c>
      <c r="AF1846" s="93" t="s">
        <v>6286</v>
      </c>
      <c r="AG1846" s="43">
        <v>-4.7068386655834598</v>
      </c>
      <c r="AH1846" s="43">
        <v>-36.839285886145298</v>
      </c>
      <c r="AI1846" s="122" t="s">
        <v>7286</v>
      </c>
      <c r="AJ1846" s="41">
        <v>0.5</v>
      </c>
    </row>
    <row r="1847" spans="1:36" ht="35.1" hidden="1" customHeight="1" x14ac:dyDescent="0.25">
      <c r="A1847" s="40">
        <v>2496</v>
      </c>
      <c r="B1847" s="90" t="s">
        <v>6287</v>
      </c>
      <c r="C1847" s="90" t="s">
        <v>536</v>
      </c>
      <c r="D1847" s="44">
        <v>2030</v>
      </c>
      <c r="E1847" s="44"/>
      <c r="F1847" s="90" t="s">
        <v>1331</v>
      </c>
      <c r="G1847" s="90" t="s">
        <v>1259</v>
      </c>
      <c r="H1847" s="40" t="s">
        <v>467</v>
      </c>
      <c r="I1847" s="90" t="s">
        <v>5700</v>
      </c>
      <c r="J1847" s="90" t="str">
        <f>IF(I1847&lt;&gt;"Dedicated renewable","N/A",)</f>
        <v>N/A</v>
      </c>
      <c r="K1847" s="90" t="s">
        <v>1268</v>
      </c>
      <c r="L1847" s="90"/>
      <c r="M1847" s="90">
        <v>1</v>
      </c>
      <c r="N1847" s="90"/>
      <c r="O1847" s="90"/>
      <c r="P1847" s="90">
        <v>1</v>
      </c>
      <c r="Q1847" s="90">
        <v>1</v>
      </c>
      <c r="R1847" s="90">
        <v>1</v>
      </c>
      <c r="S1847" s="90"/>
      <c r="T1847" s="90"/>
      <c r="U1847" s="90"/>
      <c r="V1847" s="90"/>
      <c r="W1847" s="90"/>
      <c r="X1847" s="90"/>
      <c r="Y1847" s="90"/>
      <c r="Z1847" s="90" t="s">
        <v>5777</v>
      </c>
      <c r="AA1847" s="91">
        <v>1200</v>
      </c>
      <c r="AB1847" s="46">
        <f>IF(H2ProjectDB689571011[[#This Row],[Dummy_1]]="Electrolysis",
AA1847/VLOOKUP(G1847,ElectrolysisConvF,3,FALSE),
AC1847*10^6/(H2dens*HoursInYear))</f>
        <v>266666.66666666669</v>
      </c>
      <c r="AC1847" s="47">
        <f>AB1847*H2dens*HoursInYear/10^6</f>
        <v>207.904</v>
      </c>
      <c r="AD1847" s="92"/>
      <c r="AE1847" s="92">
        <f t="shared" si="127"/>
        <v>266666.66666666669</v>
      </c>
      <c r="AF1847" s="93" t="s">
        <v>6290</v>
      </c>
      <c r="AG1847" s="43">
        <v>27.884534275986201</v>
      </c>
      <c r="AH1847" s="43">
        <v>-97.265345096881404</v>
      </c>
      <c r="AI1847" s="122" t="s">
        <v>7286</v>
      </c>
      <c r="AJ1847" s="41">
        <v>0.7</v>
      </c>
    </row>
    <row r="1848" spans="1:36" ht="35.1" hidden="1" customHeight="1" x14ac:dyDescent="0.25">
      <c r="A1848" s="40">
        <v>2497</v>
      </c>
      <c r="B1848" s="90" t="s">
        <v>6292</v>
      </c>
      <c r="C1848" s="90" t="s">
        <v>536</v>
      </c>
      <c r="D1848" s="90"/>
      <c r="E1848" s="90"/>
      <c r="F1848" s="90" t="s">
        <v>2222</v>
      </c>
      <c r="G1848" s="90" t="s">
        <v>1259</v>
      </c>
      <c r="H1848" s="40" t="s">
        <v>467</v>
      </c>
      <c r="I1848" s="90" t="s">
        <v>1269</v>
      </c>
      <c r="J1848" s="90" t="s">
        <v>1395</v>
      </c>
      <c r="K1848" s="90" t="s">
        <v>1243</v>
      </c>
      <c r="L1848" s="90"/>
      <c r="M1848" s="90">
        <v>1</v>
      </c>
      <c r="N1848" s="90"/>
      <c r="O1848" s="90"/>
      <c r="P1848" s="90"/>
      <c r="Q1848" s="90"/>
      <c r="R1848" s="90"/>
      <c r="S1848" s="90"/>
      <c r="T1848" s="90"/>
      <c r="U1848" s="90"/>
      <c r="V1848" s="90"/>
      <c r="W1848" s="90"/>
      <c r="X1848" s="90"/>
      <c r="Y1848" s="90"/>
      <c r="Z1848" s="90" t="s">
        <v>1334</v>
      </c>
      <c r="AA1848" s="91">
        <v>1000</v>
      </c>
      <c r="AB1848" s="46">
        <f>IF(H2ProjectDB689571011[[#This Row],[Dummy_1]]="Electrolysis",
AA1848/VLOOKUP(G1848,ElectrolysisConvF,3,FALSE),
AC1848*10^6/(H2dens*HoursInYear))</f>
        <v>222222.22222222225</v>
      </c>
      <c r="AC1848" s="47">
        <f>AB1848*H2dens*HoursInYear/10^6</f>
        <v>173.25333333333333</v>
      </c>
      <c r="AD1848" s="92"/>
      <c r="AE1848" s="92">
        <f t="shared" si="127"/>
        <v>222222.22222222225</v>
      </c>
      <c r="AF1848" s="93" t="s">
        <v>6293</v>
      </c>
      <c r="AG1848" s="43">
        <v>28.858222042544799</v>
      </c>
      <c r="AH1848" s="43">
        <v>-96.105800098928896</v>
      </c>
      <c r="AI1848" s="122" t="s">
        <v>7286</v>
      </c>
      <c r="AJ1848" s="41">
        <v>0.5</v>
      </c>
    </row>
    <row r="1849" spans="1:36" ht="35.1" hidden="1" customHeight="1" x14ac:dyDescent="0.25">
      <c r="A1849" s="40">
        <v>2498</v>
      </c>
      <c r="B1849" s="90" t="s">
        <v>6295</v>
      </c>
      <c r="C1849" s="90" t="s">
        <v>1305</v>
      </c>
      <c r="D1849" s="44">
        <v>2028</v>
      </c>
      <c r="E1849" s="44"/>
      <c r="F1849" s="90" t="s">
        <v>1331</v>
      </c>
      <c r="G1849" s="90" t="s">
        <v>1259</v>
      </c>
      <c r="H1849" s="90" t="s">
        <v>467</v>
      </c>
      <c r="I1849" s="90" t="s">
        <v>1269</v>
      </c>
      <c r="J1849" s="90" t="s">
        <v>581</v>
      </c>
      <c r="K1849" s="90" t="s">
        <v>578</v>
      </c>
      <c r="L1849" s="90"/>
      <c r="M1849" s="90"/>
      <c r="N1849" s="90"/>
      <c r="O1849" s="90"/>
      <c r="P1849" s="90"/>
      <c r="Q1849" s="90"/>
      <c r="R1849" s="90"/>
      <c r="S1849" s="90">
        <v>1</v>
      </c>
      <c r="T1849" s="90"/>
      <c r="U1849" s="90"/>
      <c r="V1849" s="90"/>
      <c r="W1849" s="90"/>
      <c r="X1849" s="90"/>
      <c r="Y1849" s="90"/>
      <c r="Z1849" s="90" t="s">
        <v>3309</v>
      </c>
      <c r="AA1849" s="91">
        <v>70</v>
      </c>
      <c r="AB1849" s="46">
        <f>IF(H2ProjectDB689571011[[#This Row],[Dummy_1]]="Electrolysis",
AA1849/VLOOKUP(G1849,ElectrolysisConvF,3,FALSE),
AC1849*10^6/(H2dens*HoursInYear))</f>
        <v>15555.555555555557</v>
      </c>
      <c r="AC1849" s="47">
        <f>AB1849*H2dens*HoursInYear/10^6</f>
        <v>12.127733333333333</v>
      </c>
      <c r="AD1849" s="92"/>
      <c r="AE1849" s="92">
        <f t="shared" si="127"/>
        <v>15555.555555555557</v>
      </c>
      <c r="AF1849" s="93" t="s">
        <v>6297</v>
      </c>
      <c r="AG1849" s="43">
        <v>49.5072101344986</v>
      </c>
      <c r="AH1849" s="43">
        <v>6.4277422494286602</v>
      </c>
      <c r="AI1849" s="122" t="s">
        <v>7286</v>
      </c>
      <c r="AJ1849" s="41">
        <v>0.5</v>
      </c>
    </row>
    <row r="1850" spans="1:36" ht="35.1" hidden="1" customHeight="1" x14ac:dyDescent="0.25">
      <c r="A1850" s="40">
        <v>2499</v>
      </c>
      <c r="B1850" s="90" t="s">
        <v>6298</v>
      </c>
      <c r="C1850" s="90" t="s">
        <v>1305</v>
      </c>
      <c r="D1850" s="44">
        <v>2027</v>
      </c>
      <c r="E1850" s="44"/>
      <c r="F1850" s="90" t="s">
        <v>1331</v>
      </c>
      <c r="G1850" s="90" t="s">
        <v>1259</v>
      </c>
      <c r="H1850" s="90" t="s">
        <v>467</v>
      </c>
      <c r="I1850" s="90" t="s">
        <v>1269</v>
      </c>
      <c r="J1850" s="90" t="s">
        <v>581</v>
      </c>
      <c r="K1850" s="90" t="s">
        <v>1267</v>
      </c>
      <c r="L1850" s="90"/>
      <c r="M1850" s="90"/>
      <c r="N1850" s="90"/>
      <c r="O1850" s="90"/>
      <c r="P1850" s="90"/>
      <c r="Q1850" s="90"/>
      <c r="R1850" s="90"/>
      <c r="S1850" s="90"/>
      <c r="T1850" s="90"/>
      <c r="U1850" s="90"/>
      <c r="V1850" s="90"/>
      <c r="W1850" s="90">
        <v>1</v>
      </c>
      <c r="X1850" s="90"/>
      <c r="Y1850" s="90"/>
      <c r="Z1850" s="90" t="s">
        <v>1572</v>
      </c>
      <c r="AA1850" s="91">
        <v>130</v>
      </c>
      <c r="AB1850" s="46">
        <f>IF(H2ProjectDB689571011[[#This Row],[Dummy_1]]="Electrolysis",
AA1850/VLOOKUP(G1850,ElectrolysisConvF,3,FALSE),
AC1850*10^6/(H2dens*HoursInYear))</f>
        <v>28888.888888888891</v>
      </c>
      <c r="AC1850" s="47">
        <f>AB1850*H2dens*HoursInYear/10^6</f>
        <v>22.522933333333334</v>
      </c>
      <c r="AD1850" s="92"/>
      <c r="AE1850" s="92">
        <f t="shared" si="127"/>
        <v>28888.888888888891</v>
      </c>
      <c r="AF1850" s="93" t="s">
        <v>6300</v>
      </c>
      <c r="AG1850" s="43">
        <v>53.211538300390401</v>
      </c>
      <c r="AH1850" s="43">
        <v>12.218466174856299</v>
      </c>
      <c r="AI1850" s="122" t="s">
        <v>7286</v>
      </c>
      <c r="AJ1850" s="41">
        <v>0.5</v>
      </c>
    </row>
    <row r="1851" spans="1:36" ht="35.1" hidden="1" customHeight="1" x14ac:dyDescent="0.25">
      <c r="A1851" s="40">
        <v>2500</v>
      </c>
      <c r="B1851" s="40" t="s">
        <v>6301</v>
      </c>
      <c r="C1851" s="90" t="s">
        <v>537</v>
      </c>
      <c r="D1851" s="90"/>
      <c r="E1851" s="90"/>
      <c r="F1851" s="90" t="s">
        <v>1331</v>
      </c>
      <c r="G1851" s="90" t="s">
        <v>457</v>
      </c>
      <c r="H1851" s="90"/>
      <c r="I1851" s="90" t="s">
        <v>1269</v>
      </c>
      <c r="J1851" s="90" t="s">
        <v>1395</v>
      </c>
      <c r="K1851" s="90" t="s">
        <v>578</v>
      </c>
      <c r="L1851" s="90"/>
      <c r="M1851" s="90"/>
      <c r="N1851" s="90"/>
      <c r="O1851" s="90"/>
      <c r="P1851" s="90"/>
      <c r="Q1851" s="90"/>
      <c r="R1851" s="90"/>
      <c r="S1851" s="90"/>
      <c r="T1851" s="90"/>
      <c r="U1851" s="90"/>
      <c r="V1851" s="90"/>
      <c r="W1851" s="90"/>
      <c r="X1851" s="90"/>
      <c r="Y1851" s="90"/>
      <c r="Z1851" s="90" t="s">
        <v>5350</v>
      </c>
      <c r="AA1851" s="91">
        <v>270</v>
      </c>
      <c r="AB1851" s="46">
        <f>IF(H2ProjectDB689571011[[#This Row],[Dummy_1]]="Electrolysis",
AA1851/VLOOKUP(G1851,ElectrolysisConvF,3,FALSE),
AC1851*10^6/(H2dens*HoursInYear))</f>
        <v>58695.652173913048</v>
      </c>
      <c r="AC1851" s="47">
        <f>AB1851*H2dens*HoursInYear/10^6</f>
        <v>45.761478260869559</v>
      </c>
      <c r="AD1851" s="92"/>
      <c r="AE1851" s="92">
        <f t="shared" si="127"/>
        <v>58695.652173913048</v>
      </c>
      <c r="AF1851" s="93" t="s">
        <v>6303</v>
      </c>
      <c r="AG1851" s="43">
        <v>46.062254714151102</v>
      </c>
      <c r="AH1851" s="43">
        <v>122.041625953866</v>
      </c>
      <c r="AI1851" s="122" t="s">
        <v>7286</v>
      </c>
      <c r="AJ1851" s="41">
        <v>0.5</v>
      </c>
    </row>
    <row r="1852" spans="1:36" ht="35.1" hidden="1" customHeight="1" x14ac:dyDescent="0.25">
      <c r="A1852" s="40">
        <v>2501</v>
      </c>
      <c r="B1852" s="40" t="s">
        <v>8471</v>
      </c>
      <c r="C1852" s="90" t="s">
        <v>532</v>
      </c>
      <c r="D1852" s="44">
        <v>2029</v>
      </c>
      <c r="E1852" s="44"/>
      <c r="F1852" s="90" t="s">
        <v>1331</v>
      </c>
      <c r="G1852" s="90" t="s">
        <v>1259</v>
      </c>
      <c r="H1852" s="90" t="s">
        <v>467</v>
      </c>
      <c r="I1852" s="90" t="s">
        <v>1266</v>
      </c>
      <c r="J1852" s="90"/>
      <c r="K1852" s="90" t="s">
        <v>1242</v>
      </c>
      <c r="L1852" s="90"/>
      <c r="M1852" s="90"/>
      <c r="N1852" s="90">
        <v>1</v>
      </c>
      <c r="O1852" s="90"/>
      <c r="P1852" s="90"/>
      <c r="Q1852" s="90"/>
      <c r="R1852" s="90"/>
      <c r="S1852" s="90"/>
      <c r="T1852" s="90"/>
      <c r="U1852" s="90"/>
      <c r="V1852" s="90"/>
      <c r="W1852" s="90"/>
      <c r="X1852" s="90"/>
      <c r="Y1852" s="90"/>
      <c r="Z1852" s="40" t="s">
        <v>8473</v>
      </c>
      <c r="AA1852" s="47">
        <f>IF(H2ProjectDB689571011[[#This Row],[Dummy_1]]="Electrolysis",
AB1852*VLOOKUP(G1852,ElectrolysisConvF,3,FALSE),
"")</f>
        <v>309.2094043404648</v>
      </c>
      <c r="AB1852" s="46">
        <f>AC1852/(H2dens*HoursInYear/10^6)</f>
        <v>68713.200964547737</v>
      </c>
      <c r="AC1852" s="92">
        <f>280*0.191327</f>
        <v>53.571559999999998</v>
      </c>
      <c r="AD1852" s="92"/>
      <c r="AE1852" s="92">
        <f t="shared" si="127"/>
        <v>68713.200964547737</v>
      </c>
      <c r="AF1852" s="93" t="s">
        <v>6307</v>
      </c>
      <c r="AG1852" s="43">
        <v>63.858773805971403</v>
      </c>
      <c r="AH1852" s="43">
        <v>23.030635253632202</v>
      </c>
      <c r="AI1852" s="122" t="s">
        <v>7286</v>
      </c>
      <c r="AJ1852" s="41">
        <v>0.56999999999999995</v>
      </c>
    </row>
    <row r="1853" spans="1:36" ht="35.1" hidden="1" customHeight="1" x14ac:dyDescent="0.25">
      <c r="A1853" s="40">
        <v>2502</v>
      </c>
      <c r="B1853" s="90" t="s">
        <v>6308</v>
      </c>
      <c r="C1853" s="90" t="s">
        <v>536</v>
      </c>
      <c r="D1853" s="44">
        <v>2027</v>
      </c>
      <c r="E1853" s="44"/>
      <c r="F1853" s="90" t="s">
        <v>2222</v>
      </c>
      <c r="G1853" s="90" t="s">
        <v>1259</v>
      </c>
      <c r="H1853" s="90" t="s">
        <v>467</v>
      </c>
      <c r="I1853" s="90" t="s">
        <v>1266</v>
      </c>
      <c r="J1853" s="90"/>
      <c r="K1853" s="90" t="s">
        <v>1243</v>
      </c>
      <c r="L1853" s="90"/>
      <c r="M1853" s="90">
        <v>1</v>
      </c>
      <c r="N1853" s="90"/>
      <c r="O1853" s="90"/>
      <c r="P1853" s="90"/>
      <c r="Q1853" s="90"/>
      <c r="R1853" s="90"/>
      <c r="S1853" s="90"/>
      <c r="T1853" s="90"/>
      <c r="U1853" s="90"/>
      <c r="V1853" s="90"/>
      <c r="W1853" s="90"/>
      <c r="X1853" s="90"/>
      <c r="Y1853" s="90"/>
      <c r="Z1853" s="40" t="s">
        <v>6444</v>
      </c>
      <c r="AA1853" s="47">
        <f>IF(H2ProjectDB689571011[[#This Row],[Dummy_1]]="Electrolysis",
AB1853*VLOOKUP(G1853,ElectrolysisConvF,3,FALSE),
"")</f>
        <v>2188.1195630152129</v>
      </c>
      <c r="AB1853" s="46">
        <f>AC1853/(H2dens*HoursInYear/10^6)</f>
        <v>486248.79178115848</v>
      </c>
      <c r="AC1853" s="92">
        <f>(1200*3/17/0.98/H2ProjectDB689571011[[#This Row],[LOWE_CF]])</f>
        <v>379.09900802426239</v>
      </c>
      <c r="AD1853" s="92"/>
      <c r="AE1853" s="92">
        <f t="shared" si="127"/>
        <v>486248.79178115848</v>
      </c>
      <c r="AF1853" s="93" t="s">
        <v>6310</v>
      </c>
      <c r="AG1853" s="43">
        <v>28.698596586037301</v>
      </c>
      <c r="AH1853" s="43">
        <v>-96.957643788481406</v>
      </c>
      <c r="AI1853" s="122" t="s">
        <v>7286</v>
      </c>
      <c r="AJ1853" s="41">
        <v>0.56999999999999995</v>
      </c>
    </row>
    <row r="1854" spans="1:36" ht="35.1" hidden="1" customHeight="1" x14ac:dyDescent="0.25">
      <c r="A1854" s="40">
        <v>2503</v>
      </c>
      <c r="B1854" s="90" t="s">
        <v>6317</v>
      </c>
      <c r="C1854" s="90" t="s">
        <v>555</v>
      </c>
      <c r="D1854" s="90">
        <v>2023</v>
      </c>
      <c r="E1854" s="90"/>
      <c r="F1854" s="90" t="s">
        <v>1339</v>
      </c>
      <c r="G1854" s="90" t="s">
        <v>457</v>
      </c>
      <c r="H1854" s="90"/>
      <c r="I1854" s="90" t="s">
        <v>1269</v>
      </c>
      <c r="J1854" s="90" t="s">
        <v>1391</v>
      </c>
      <c r="K1854" s="90" t="s">
        <v>612</v>
      </c>
      <c r="L1854" s="90"/>
      <c r="M1854" s="90"/>
      <c r="N1854" s="90"/>
      <c r="O1854" s="90"/>
      <c r="P1854" s="90"/>
      <c r="Q1854" s="90"/>
      <c r="R1854" s="90"/>
      <c r="S1854" s="90"/>
      <c r="T1854" s="90"/>
      <c r="U1854" s="90"/>
      <c r="V1854" s="90"/>
      <c r="W1854" s="90"/>
      <c r="X1854" s="90">
        <v>1</v>
      </c>
      <c r="Y1854" s="90"/>
      <c r="Z1854" s="90" t="s">
        <v>1650</v>
      </c>
      <c r="AA1854" s="91">
        <v>0.5</v>
      </c>
      <c r="AB1854" s="46">
        <f>IF(H2ProjectDB689571011[[#This Row],[Dummy_1]]="Electrolysis",
AA1854/VLOOKUP(G1854,ElectrolysisConvF,3,FALSE),
AC1854*10^6/(H2dens*HoursInYear))</f>
        <v>108.69565217391305</v>
      </c>
      <c r="AC1854" s="47">
        <f>AB1854*H2dens*HoursInYear/10^6</f>
        <v>8.4743478260869559E-2</v>
      </c>
      <c r="AD1854" s="92"/>
      <c r="AE1854" s="92">
        <f t="shared" si="127"/>
        <v>108.69565217391305</v>
      </c>
      <c r="AF1854" s="93" t="s">
        <v>6319</v>
      </c>
      <c r="AG1854" s="43">
        <v>46.323070000930898</v>
      </c>
      <c r="AH1854" s="43">
        <v>6.97194186722552</v>
      </c>
      <c r="AI1854" s="122" t="s">
        <v>7286</v>
      </c>
      <c r="AJ1854" s="41">
        <v>0.3</v>
      </c>
    </row>
    <row r="1855" spans="1:36" ht="35.1" hidden="1" customHeight="1" x14ac:dyDescent="0.25">
      <c r="A1855" s="40">
        <v>2504</v>
      </c>
      <c r="B1855" s="40" t="s">
        <v>6329</v>
      </c>
      <c r="C1855" s="40" t="s">
        <v>559</v>
      </c>
      <c r="D1855" s="44">
        <v>2030</v>
      </c>
      <c r="E1855" s="44"/>
      <c r="F1855" s="90" t="s">
        <v>2222</v>
      </c>
      <c r="G1855" s="90" t="s">
        <v>6330</v>
      </c>
      <c r="H1855" s="90"/>
      <c r="I1855" s="40" t="s">
        <v>1266</v>
      </c>
      <c r="K1855" s="90" t="s">
        <v>578</v>
      </c>
      <c r="L1855" s="90"/>
      <c r="M1855" s="90"/>
      <c r="N1855" s="90"/>
      <c r="O1855" s="90">
        <v>1</v>
      </c>
      <c r="P1855" s="90"/>
      <c r="Q1855" s="90"/>
      <c r="R1855" s="90"/>
      <c r="S1855" s="90"/>
      <c r="T1855" s="90"/>
      <c r="U1855" s="90"/>
      <c r="V1855" s="90"/>
      <c r="W1855" s="90"/>
      <c r="X1855" s="90"/>
      <c r="Y1855" s="90"/>
      <c r="Z1855" s="90" t="s">
        <v>6332</v>
      </c>
      <c r="AA1855" s="47">
        <v>500</v>
      </c>
      <c r="AB1855" s="46">
        <f>IF(H2ProjectDB689571011[[#This Row],[Dummy_1]]="Electrolysis",
AA1855/VLOOKUP(G1855,ElectrolysisConvF,3,FALSE),
AC1855*10^6/(H2dens*HoursInYear))</f>
        <v>111111.11111111112</v>
      </c>
      <c r="AC1855" s="47">
        <f>AB1855*H2dens*HoursInYear/10^6</f>
        <v>86.626666666666665</v>
      </c>
      <c r="AD1855" s="92"/>
      <c r="AE1855" s="92">
        <f t="shared" si="127"/>
        <v>111111.11111111112</v>
      </c>
      <c r="AF1855" s="93" t="s">
        <v>6337</v>
      </c>
      <c r="AG1855" s="43">
        <v>65.585455814139095</v>
      </c>
      <c r="AH1855" s="43">
        <v>22.157661360981201</v>
      </c>
      <c r="AI1855" s="122" t="s">
        <v>7286</v>
      </c>
      <c r="AJ1855" s="41">
        <v>0.56999999999999995</v>
      </c>
    </row>
    <row r="1856" spans="1:36" ht="35.1" hidden="1" customHeight="1" x14ac:dyDescent="0.25">
      <c r="A1856" s="40">
        <v>2505</v>
      </c>
      <c r="B1856" s="40" t="s">
        <v>6610</v>
      </c>
      <c r="C1856" s="40" t="s">
        <v>559</v>
      </c>
      <c r="D1856" s="44">
        <v>2030</v>
      </c>
      <c r="E1856" s="44"/>
      <c r="F1856" s="90" t="s">
        <v>2222</v>
      </c>
      <c r="G1856" s="90" t="s">
        <v>1259</v>
      </c>
      <c r="H1856" s="90" t="s">
        <v>467</v>
      </c>
      <c r="I1856" s="40" t="s">
        <v>1269</v>
      </c>
      <c r="J1856" s="40" t="s">
        <v>1394</v>
      </c>
      <c r="K1856" s="40" t="s">
        <v>578</v>
      </c>
      <c r="L1856" s="90"/>
      <c r="M1856" s="90"/>
      <c r="N1856" s="90"/>
      <c r="O1856" s="90">
        <v>1</v>
      </c>
      <c r="P1856" s="90"/>
      <c r="Q1856" s="90"/>
      <c r="R1856" s="90"/>
      <c r="S1856" s="90"/>
      <c r="T1856" s="90"/>
      <c r="U1856" s="90"/>
      <c r="V1856" s="90"/>
      <c r="W1856" s="90"/>
      <c r="X1856" s="90"/>
      <c r="Y1856" s="90"/>
      <c r="Z1856" s="90" t="s">
        <v>6335</v>
      </c>
      <c r="AA1856" s="45">
        <v>800</v>
      </c>
      <c r="AB1856" s="46">
        <f>IF(H2ProjectDB689571011[[#This Row],[Dummy_1]]="Electrolysis",
AA1856/VLOOKUP(G1856,ElectrolysisConvF,3,FALSE),
AC1856*10^6/(H2dens*HoursInYear))</f>
        <v>177777.77777777778</v>
      </c>
      <c r="AC1856" s="47">
        <f>AB1856*H2dens*HoursInYear/10^6</f>
        <v>138.60266666666666</v>
      </c>
      <c r="AD1856" s="92"/>
      <c r="AE1856" s="92">
        <f t="shared" si="127"/>
        <v>177777.77777777778</v>
      </c>
      <c r="AF1856" s="43" t="s">
        <v>6336</v>
      </c>
      <c r="AG1856" s="43">
        <v>65.828989202636905</v>
      </c>
      <c r="AH1856" s="43">
        <v>21.690453501858499</v>
      </c>
      <c r="AI1856" s="122" t="s">
        <v>7286</v>
      </c>
      <c r="AJ1856" s="41">
        <v>0.8</v>
      </c>
    </row>
    <row r="1857" spans="1:36" ht="35.1" hidden="1" customHeight="1" x14ac:dyDescent="0.25">
      <c r="A1857" s="40">
        <v>2506</v>
      </c>
      <c r="B1857" s="40" t="s">
        <v>6499</v>
      </c>
      <c r="C1857" s="40" t="s">
        <v>535</v>
      </c>
      <c r="D1857" s="44">
        <v>2028</v>
      </c>
      <c r="E1857" s="44"/>
      <c r="F1857" s="90" t="s">
        <v>1331</v>
      </c>
      <c r="G1857" s="90" t="s">
        <v>1259</v>
      </c>
      <c r="H1857" s="40" t="s">
        <v>467</v>
      </c>
      <c r="I1857" s="90" t="s">
        <v>1269</v>
      </c>
      <c r="J1857" s="90" t="s">
        <v>1395</v>
      </c>
      <c r="K1857" s="90" t="s">
        <v>1243</v>
      </c>
      <c r="L1857" s="90"/>
      <c r="M1857" s="90">
        <v>1</v>
      </c>
      <c r="N1857" s="90"/>
      <c r="O1857" s="90"/>
      <c r="P1857" s="90"/>
      <c r="Q1857" s="90"/>
      <c r="R1857" s="90"/>
      <c r="S1857" s="90"/>
      <c r="T1857" s="90"/>
      <c r="U1857" s="90">
        <v>1</v>
      </c>
      <c r="V1857" s="90"/>
      <c r="W1857" s="90"/>
      <c r="X1857" s="90"/>
      <c r="Y1857" s="90"/>
      <c r="Z1857" s="40" t="s">
        <v>6341</v>
      </c>
      <c r="AA1857" s="47">
        <f>IF(H2ProjectDB689571011[[#This Row],[Dummy_1]]="Electrolysis",
AB1857*VLOOKUP(G1857,ElectrolysisConvF,3,FALSE),
"")</f>
        <v>259.83919810805651</v>
      </c>
      <c r="AB1857" s="46">
        <f>AC1857/(H2dens*HoursInYear/10^6)</f>
        <v>57742.044024012561</v>
      </c>
      <c r="AC1857" s="92">
        <f>250*3/17/0.98</f>
        <v>45.018007202881151</v>
      </c>
      <c r="AD1857" s="92"/>
      <c r="AE1857" s="92">
        <f t="shared" si="127"/>
        <v>57742.044024012561</v>
      </c>
      <c r="AF1857" s="43" t="s">
        <v>6343</v>
      </c>
      <c r="AG1857" s="43">
        <v>-15.7767627282992</v>
      </c>
      <c r="AH1857" s="43">
        <v>128.750233278639</v>
      </c>
      <c r="AI1857" s="122" t="s">
        <v>7286</v>
      </c>
      <c r="AJ1857" s="41">
        <v>0.5</v>
      </c>
    </row>
    <row r="1858" spans="1:36" ht="35.1" hidden="1" customHeight="1" x14ac:dyDescent="0.25">
      <c r="A1858" s="40">
        <v>2507</v>
      </c>
      <c r="B1858" s="40" t="s">
        <v>6344</v>
      </c>
      <c r="C1858" s="40" t="s">
        <v>535</v>
      </c>
      <c r="D1858" s="44">
        <v>2028</v>
      </c>
      <c r="E1858" s="44"/>
      <c r="F1858" s="90" t="s">
        <v>2222</v>
      </c>
      <c r="G1858" s="90" t="s">
        <v>1259</v>
      </c>
      <c r="H1858" s="40" t="s">
        <v>467</v>
      </c>
      <c r="I1858" s="90" t="s">
        <v>1269</v>
      </c>
      <c r="J1858" s="90" t="s">
        <v>581</v>
      </c>
      <c r="K1858" s="90" t="s">
        <v>1243</v>
      </c>
      <c r="L1858" s="90"/>
      <c r="M1858" s="90">
        <v>1</v>
      </c>
      <c r="N1858" s="90"/>
      <c r="O1858" s="90"/>
      <c r="P1858" s="90"/>
      <c r="Q1858" s="90"/>
      <c r="R1858" s="90"/>
      <c r="S1858" s="90"/>
      <c r="T1858" s="90"/>
      <c r="U1858" s="90"/>
      <c r="V1858" s="90"/>
      <c r="W1858" s="90"/>
      <c r="X1858" s="90"/>
      <c r="Y1858" s="90"/>
      <c r="Z1858" s="40" t="s">
        <v>2807</v>
      </c>
      <c r="AA1858" s="91">
        <v>5000</v>
      </c>
      <c r="AB1858" s="46">
        <f>IF(H2ProjectDB689571011[[#This Row],[Dummy_1]]="Electrolysis",
AA1858/VLOOKUP(G1858,ElectrolysisConvF,3,FALSE),
AC1858*10^6/(H2dens*HoursInYear))</f>
        <v>1111111.1111111112</v>
      </c>
      <c r="AC1858" s="47">
        <f>AB1858*H2dens*HoursInYear/10^6</f>
        <v>866.26666666666665</v>
      </c>
      <c r="AD1858" s="92"/>
      <c r="AE1858" s="92">
        <f t="shared" si="127"/>
        <v>1111111.1111111112</v>
      </c>
      <c r="AF1858" s="43" t="s">
        <v>6345</v>
      </c>
      <c r="AG1858" s="43">
        <v>-34.186883648537098</v>
      </c>
      <c r="AH1858" s="43">
        <v>136.31548419703901</v>
      </c>
      <c r="AI1858" s="122" t="s">
        <v>7286</v>
      </c>
      <c r="AJ1858" s="41">
        <v>0.5</v>
      </c>
    </row>
    <row r="1859" spans="1:36" ht="35.1" hidden="1" customHeight="1" x14ac:dyDescent="0.25">
      <c r="A1859" s="40">
        <v>2508</v>
      </c>
      <c r="B1859" s="40" t="s">
        <v>6348</v>
      </c>
      <c r="C1859" s="40" t="s">
        <v>1067</v>
      </c>
      <c r="D1859" s="90"/>
      <c r="E1859" s="90"/>
      <c r="F1859" s="90" t="s">
        <v>2222</v>
      </c>
      <c r="G1859" s="90" t="s">
        <v>1259</v>
      </c>
      <c r="H1859" s="40" t="s">
        <v>467</v>
      </c>
      <c r="I1859" s="90" t="s">
        <v>1257</v>
      </c>
      <c r="J1859" s="90" t="s">
        <v>581</v>
      </c>
      <c r="K1859" s="40" t="s">
        <v>578</v>
      </c>
      <c r="L1859" s="90"/>
      <c r="M1859" s="90"/>
      <c r="N1859" s="90"/>
      <c r="O1859" s="90"/>
      <c r="P1859" s="90"/>
      <c r="Q1859" s="90"/>
      <c r="R1859" s="90"/>
      <c r="S1859" s="90"/>
      <c r="T1859" s="90"/>
      <c r="U1859" s="90"/>
      <c r="V1859" s="90"/>
      <c r="W1859" s="90"/>
      <c r="X1859" s="90"/>
      <c r="Y1859" s="90"/>
      <c r="Z1859" s="90"/>
      <c r="AA1859" s="91">
        <f>IF(OR(G1859="ALK",G1859="PEM",G1859="SOEC",G1859="Other Electrolysis"),
AB1859*VLOOKUP(G1859,ElectrolysisConvF,3,FALSE),
"")</f>
        <v>0</v>
      </c>
      <c r="AB1859" s="92"/>
      <c r="AC1859" s="92"/>
      <c r="AD1859" s="92"/>
      <c r="AE1859" s="92">
        <f t="shared" si="127"/>
        <v>0</v>
      </c>
      <c r="AF1859" s="43" t="s">
        <v>6350</v>
      </c>
      <c r="AG1859" s="43">
        <v>17.072432913075001</v>
      </c>
      <c r="AH1859" s="43">
        <v>-96.7269774948536</v>
      </c>
      <c r="AI1859" s="122" t="s">
        <v>7286</v>
      </c>
      <c r="AJ1859" s="41">
        <v>0.56999999999999995</v>
      </c>
    </row>
    <row r="1860" spans="1:36" ht="35.1" hidden="1" customHeight="1" x14ac:dyDescent="0.25">
      <c r="A1860" s="40">
        <v>2509</v>
      </c>
      <c r="B1860" s="40" t="s">
        <v>6351</v>
      </c>
      <c r="C1860" s="40" t="s">
        <v>674</v>
      </c>
      <c r="D1860" s="90"/>
      <c r="E1860" s="90"/>
      <c r="F1860" s="90" t="s">
        <v>2222</v>
      </c>
      <c r="G1860" s="90" t="s">
        <v>1259</v>
      </c>
      <c r="H1860" s="40" t="s">
        <v>467</v>
      </c>
      <c r="I1860" s="90" t="s">
        <v>1269</v>
      </c>
      <c r="J1860" s="90" t="s">
        <v>581</v>
      </c>
      <c r="K1860" s="90" t="s">
        <v>578</v>
      </c>
      <c r="L1860" s="90"/>
      <c r="M1860" s="90"/>
      <c r="N1860" s="90"/>
      <c r="O1860" s="90"/>
      <c r="P1860" s="90"/>
      <c r="Q1860" s="90"/>
      <c r="R1860" s="90"/>
      <c r="S1860" s="90"/>
      <c r="T1860" s="90"/>
      <c r="U1860" s="90"/>
      <c r="V1860" s="90"/>
      <c r="W1860" s="90"/>
      <c r="X1860" s="90"/>
      <c r="Y1860" s="90"/>
      <c r="Z1860" s="40" t="s">
        <v>5010</v>
      </c>
      <c r="AA1860" s="47">
        <f>IF(H2ProjectDB689571011[[#This Row],[Dummy_1]]="Electrolysis",
AB1860*VLOOKUP(G1860,ElectrolysisConvF,3,FALSE),
"")</f>
        <v>1154.3789441280592</v>
      </c>
      <c r="AB1860" s="46">
        <f>AC1860/(H2dens*HoursInYear/10^6)</f>
        <v>256528.65425067983</v>
      </c>
      <c r="AC1860" s="92">
        <v>200</v>
      </c>
      <c r="AD1860" s="92"/>
      <c r="AE1860" s="92">
        <f t="shared" si="127"/>
        <v>256528.65425067983</v>
      </c>
      <c r="AF1860" s="43" t="s">
        <v>6352</v>
      </c>
      <c r="AG1860" s="43">
        <v>19.640255889383699</v>
      </c>
      <c r="AH1860" s="43">
        <v>57.677136295881802</v>
      </c>
      <c r="AI1860" s="122" t="s">
        <v>7286</v>
      </c>
      <c r="AJ1860" s="41">
        <v>0.5</v>
      </c>
    </row>
    <row r="1861" spans="1:36" ht="35.1" hidden="1" customHeight="1" x14ac:dyDescent="0.25">
      <c r="A1861" s="40">
        <v>2510</v>
      </c>
      <c r="B1861" s="40" t="s">
        <v>6355</v>
      </c>
      <c r="C1861" s="90" t="s">
        <v>1975</v>
      </c>
      <c r="D1861" s="90"/>
      <c r="E1861" s="90"/>
      <c r="F1861" s="40" t="s">
        <v>2222</v>
      </c>
      <c r="G1861" s="40" t="s">
        <v>1259</v>
      </c>
      <c r="H1861" s="40" t="s">
        <v>467</v>
      </c>
      <c r="I1861" s="40" t="s">
        <v>1269</v>
      </c>
      <c r="J1861" s="90" t="s">
        <v>581</v>
      </c>
      <c r="K1861" s="40" t="s">
        <v>1243</v>
      </c>
      <c r="L1861" s="90"/>
      <c r="M1861" s="90">
        <v>1</v>
      </c>
      <c r="N1861" s="90"/>
      <c r="O1861" s="90"/>
      <c r="P1861" s="90"/>
      <c r="Q1861" s="90"/>
      <c r="R1861" s="90"/>
      <c r="S1861" s="90"/>
      <c r="T1861" s="90"/>
      <c r="U1861" s="90"/>
      <c r="V1861" s="90"/>
      <c r="W1861" s="90"/>
      <c r="X1861" s="90"/>
      <c r="Y1861" s="90"/>
      <c r="Z1861" s="40" t="s">
        <v>6356</v>
      </c>
      <c r="AA1861" s="91">
        <v>1000</v>
      </c>
      <c r="AB1861" s="46">
        <f>IF(H2ProjectDB689571011[[#This Row],[Dummy_1]]="Electrolysis",
AA1861/VLOOKUP(G1861,ElectrolysisConvF,3,FALSE),
AC1861*10^6/(H2dens*HoursInYear))</f>
        <v>222222.22222222225</v>
      </c>
      <c r="AC1861" s="92">
        <f t="shared" ref="AC1861:AC1867" si="130">AB1861*H2dens*HoursInYear/10^6</f>
        <v>173.25333333333333</v>
      </c>
      <c r="AD1861" s="92"/>
      <c r="AE1861" s="92">
        <f t="shared" si="127"/>
        <v>222222.22222222225</v>
      </c>
      <c r="AF1861" s="43" t="s">
        <v>6358</v>
      </c>
      <c r="AG1861" s="43">
        <v>11.720559332559599</v>
      </c>
      <c r="AH1861" s="43">
        <v>42.772941835833102</v>
      </c>
      <c r="AI1861" s="122" t="s">
        <v>7286</v>
      </c>
      <c r="AJ1861" s="41">
        <v>0.5</v>
      </c>
    </row>
    <row r="1862" spans="1:36" ht="35.1" hidden="1" customHeight="1" x14ac:dyDescent="0.25">
      <c r="A1862" s="40">
        <v>2511</v>
      </c>
      <c r="B1862" s="40" t="s">
        <v>6359</v>
      </c>
      <c r="C1862" s="90" t="s">
        <v>1939</v>
      </c>
      <c r="D1862" s="90"/>
      <c r="E1862" s="90"/>
      <c r="F1862" s="40" t="s">
        <v>2222</v>
      </c>
      <c r="G1862" s="40" t="s">
        <v>1259</v>
      </c>
      <c r="H1862" s="40" t="s">
        <v>467</v>
      </c>
      <c r="I1862" s="40" t="s">
        <v>1269</v>
      </c>
      <c r="J1862" s="90" t="s">
        <v>581</v>
      </c>
      <c r="K1862" s="90" t="s">
        <v>578</v>
      </c>
      <c r="L1862" s="90"/>
      <c r="M1862" s="90"/>
      <c r="N1862" s="90"/>
      <c r="O1862" s="90"/>
      <c r="P1862" s="90"/>
      <c r="Q1862" s="90"/>
      <c r="R1862" s="90"/>
      <c r="S1862" s="90"/>
      <c r="T1862" s="90"/>
      <c r="U1862" s="90"/>
      <c r="V1862" s="90"/>
      <c r="W1862" s="90"/>
      <c r="X1862" s="90"/>
      <c r="Y1862" s="90"/>
      <c r="Z1862" s="40" t="s">
        <v>3209</v>
      </c>
      <c r="AA1862" s="91">
        <v>1000</v>
      </c>
      <c r="AB1862" s="46">
        <f>IF(H2ProjectDB689571011[[#This Row],[Dummy_1]]="Electrolysis",
AA1862/VLOOKUP(G1862,ElectrolysisConvF,3,FALSE),
AC1862*10^6/(H2dens*HoursInYear))</f>
        <v>222222.22222222225</v>
      </c>
      <c r="AC1862" s="92">
        <f t="shared" si="130"/>
        <v>173.25333333333333</v>
      </c>
      <c r="AD1862" s="92"/>
      <c r="AE1862" s="92">
        <f t="shared" si="127"/>
        <v>222222.22222222225</v>
      </c>
      <c r="AF1862" s="43" t="s">
        <v>6358</v>
      </c>
      <c r="AG1862" s="43">
        <v>-4.0606688213255699</v>
      </c>
      <c r="AH1862" s="43">
        <v>39.660919643879801</v>
      </c>
      <c r="AI1862" s="122" t="s">
        <v>7286</v>
      </c>
      <c r="AJ1862" s="41">
        <v>0.5</v>
      </c>
    </row>
    <row r="1863" spans="1:36" ht="35.1" hidden="1" customHeight="1" x14ac:dyDescent="0.25">
      <c r="A1863" s="40">
        <v>2512</v>
      </c>
      <c r="B1863" s="40" t="s">
        <v>6363</v>
      </c>
      <c r="C1863" s="40" t="s">
        <v>530</v>
      </c>
      <c r="D1863" s="44">
        <v>2029</v>
      </c>
      <c r="E1863" s="44"/>
      <c r="F1863" s="90" t="s">
        <v>1331</v>
      </c>
      <c r="G1863" s="90" t="s">
        <v>1259</v>
      </c>
      <c r="H1863" s="90" t="s">
        <v>467</v>
      </c>
      <c r="I1863" s="90" t="s">
        <v>5700</v>
      </c>
      <c r="J1863" s="90"/>
      <c r="K1863" s="90" t="s">
        <v>1267</v>
      </c>
      <c r="L1863" s="90"/>
      <c r="M1863" s="90"/>
      <c r="N1863" s="90"/>
      <c r="O1863" s="90"/>
      <c r="P1863" s="90"/>
      <c r="Q1863" s="90">
        <v>1</v>
      </c>
      <c r="R1863" s="90"/>
      <c r="S1863" s="90"/>
      <c r="T1863" s="90"/>
      <c r="U1863" s="90"/>
      <c r="V1863" s="90"/>
      <c r="W1863" s="90">
        <v>1</v>
      </c>
      <c r="X1863" s="90"/>
      <c r="Y1863" s="90"/>
      <c r="Z1863" s="40" t="s">
        <v>7492</v>
      </c>
      <c r="AA1863" s="91">
        <v>255</v>
      </c>
      <c r="AB1863" s="46">
        <f>IF(H2ProjectDB689571011[[#This Row],[Dummy_1]]="Electrolysis",
AA1863/VLOOKUP(G1863,ElectrolysisConvF,3,FALSE),
AC1863*10^6/(H2dens*HoursInYear))</f>
        <v>56666.666666666672</v>
      </c>
      <c r="AC1863" s="47">
        <f t="shared" si="130"/>
        <v>44.179600000000008</v>
      </c>
      <c r="AD1863" s="92"/>
      <c r="AE1863" s="92">
        <f t="shared" si="127"/>
        <v>56666.666666666672</v>
      </c>
      <c r="AF1863" s="43" t="s">
        <v>6450</v>
      </c>
      <c r="AG1863" s="43">
        <v>49.494889025515803</v>
      </c>
      <c r="AH1863" s="43">
        <v>0.10808378192232</v>
      </c>
      <c r="AI1863" s="122" t="s">
        <v>7286</v>
      </c>
      <c r="AJ1863" s="41">
        <v>0.7</v>
      </c>
    </row>
    <row r="1864" spans="1:36" ht="35.1" hidden="1" customHeight="1" x14ac:dyDescent="0.25">
      <c r="A1864" s="40">
        <v>2513</v>
      </c>
      <c r="B1864" s="40" t="s">
        <v>6367</v>
      </c>
      <c r="C1864" s="90" t="s">
        <v>866</v>
      </c>
      <c r="D1864" s="90"/>
      <c r="E1864" s="90"/>
      <c r="F1864" s="40" t="s">
        <v>2222</v>
      </c>
      <c r="G1864" s="40" t="s">
        <v>1259</v>
      </c>
      <c r="H1864" s="40" t="s">
        <v>467</v>
      </c>
      <c r="I1864" s="90" t="s">
        <v>1269</v>
      </c>
      <c r="J1864" s="90" t="s">
        <v>581</v>
      </c>
      <c r="K1864" s="90" t="s">
        <v>1267</v>
      </c>
      <c r="L1864" s="90"/>
      <c r="M1864" s="90"/>
      <c r="N1864" s="90"/>
      <c r="O1864" s="90"/>
      <c r="P1864" s="90"/>
      <c r="Q1864" s="90">
        <v>1</v>
      </c>
      <c r="R1864" s="90"/>
      <c r="S1864" s="90"/>
      <c r="T1864" s="90"/>
      <c r="U1864" s="90"/>
      <c r="V1864" s="90"/>
      <c r="W1864" s="90">
        <v>1</v>
      </c>
      <c r="X1864" s="90"/>
      <c r="Y1864" s="90"/>
      <c r="Z1864" s="40" t="s">
        <v>6368</v>
      </c>
      <c r="AA1864" s="91">
        <v>1000</v>
      </c>
      <c r="AB1864" s="46">
        <f>IF(H2ProjectDB689571011[[#This Row],[Dummy_1]]="Electrolysis",
AA1864/VLOOKUP(G1864,ElectrolysisConvF,3,FALSE),
AC1864*10^6/(H2dens*HoursInYear))</f>
        <v>222222.22222222225</v>
      </c>
      <c r="AC1864" s="47">
        <f t="shared" si="130"/>
        <v>173.25333333333333</v>
      </c>
      <c r="AD1864" s="92"/>
      <c r="AE1864" s="92">
        <f t="shared" si="127"/>
        <v>222222.22222222225</v>
      </c>
      <c r="AF1864" s="43" t="s">
        <v>6369</v>
      </c>
      <c r="AG1864" s="43">
        <v>-31.210542275626299</v>
      </c>
      <c r="AH1864" s="43">
        <v>17.927527185364301</v>
      </c>
      <c r="AI1864" s="122" t="s">
        <v>7286</v>
      </c>
      <c r="AJ1864" s="41">
        <v>0.5</v>
      </c>
    </row>
    <row r="1865" spans="1:36" ht="35.1" hidden="1" customHeight="1" x14ac:dyDescent="0.25">
      <c r="A1865" s="40">
        <v>2514</v>
      </c>
      <c r="B1865" s="40" t="s">
        <v>6371</v>
      </c>
      <c r="C1865" s="90" t="s">
        <v>1305</v>
      </c>
      <c r="D1865" s="44">
        <v>2026</v>
      </c>
      <c r="E1865" s="44"/>
      <c r="F1865" s="90" t="s">
        <v>1331</v>
      </c>
      <c r="G1865" s="90" t="s">
        <v>1259</v>
      </c>
      <c r="H1865" s="90" t="s">
        <v>467</v>
      </c>
      <c r="I1865" s="90" t="s">
        <v>1257</v>
      </c>
      <c r="J1865" s="90" t="s">
        <v>581</v>
      </c>
      <c r="K1865" s="90" t="s">
        <v>578</v>
      </c>
      <c r="L1865" s="90"/>
      <c r="M1865" s="90"/>
      <c r="N1865" s="90"/>
      <c r="O1865" s="90"/>
      <c r="P1865" s="90"/>
      <c r="Q1865" s="90"/>
      <c r="R1865" s="90"/>
      <c r="S1865" s="90"/>
      <c r="T1865" s="90"/>
      <c r="U1865" s="90"/>
      <c r="V1865" s="90"/>
      <c r="W1865" s="90"/>
      <c r="X1865" s="90"/>
      <c r="Y1865" s="90"/>
      <c r="Z1865" s="40" t="s">
        <v>5218</v>
      </c>
      <c r="AA1865" s="91">
        <v>90</v>
      </c>
      <c r="AB1865" s="46">
        <f>IF(H2ProjectDB689571011[[#This Row],[Dummy_1]]="Electrolysis",
AA1865/VLOOKUP(G1865,ElectrolysisConvF,3,FALSE),
AC1865*10^6/(H2dens*HoursInYear))</f>
        <v>20000</v>
      </c>
      <c r="AC1865" s="47">
        <f t="shared" si="130"/>
        <v>15.5928</v>
      </c>
      <c r="AD1865" s="92"/>
      <c r="AE1865" s="92">
        <f t="shared" si="127"/>
        <v>20000</v>
      </c>
      <c r="AF1865" s="43" t="s">
        <v>6373</v>
      </c>
      <c r="AG1865" s="43">
        <v>51.2605273710641</v>
      </c>
      <c r="AH1865" s="43">
        <v>12.3503662197016</v>
      </c>
      <c r="AI1865" s="122" t="s">
        <v>7286</v>
      </c>
      <c r="AJ1865" s="41">
        <v>0.56999999999999995</v>
      </c>
    </row>
    <row r="1866" spans="1:36" ht="35.1" hidden="1" customHeight="1" x14ac:dyDescent="0.25">
      <c r="A1866" s="40">
        <v>2515</v>
      </c>
      <c r="B1866" s="40" t="s">
        <v>6374</v>
      </c>
      <c r="C1866" s="40" t="s">
        <v>535</v>
      </c>
      <c r="D1866" s="44">
        <v>2024</v>
      </c>
      <c r="E1866" s="44"/>
      <c r="F1866" s="90" t="s">
        <v>5701</v>
      </c>
      <c r="G1866" s="90" t="s">
        <v>1259</v>
      </c>
      <c r="H1866" s="40" t="s">
        <v>467</v>
      </c>
      <c r="I1866" s="90" t="s">
        <v>1269</v>
      </c>
      <c r="J1866" s="90" t="s">
        <v>1391</v>
      </c>
      <c r="K1866" s="90" t="s">
        <v>578</v>
      </c>
      <c r="L1866" s="90"/>
      <c r="M1866" s="90"/>
      <c r="N1866" s="90"/>
      <c r="O1866" s="90"/>
      <c r="P1866" s="90"/>
      <c r="Q1866" s="90"/>
      <c r="R1866" s="90"/>
      <c r="S1866" s="90"/>
      <c r="T1866" s="90"/>
      <c r="U1866" s="90"/>
      <c r="V1866" s="90"/>
      <c r="W1866" s="90"/>
      <c r="X1866" s="90"/>
      <c r="Y1866" s="90"/>
      <c r="Z1866" s="40" t="s">
        <v>2675</v>
      </c>
      <c r="AA1866" s="91">
        <v>12</v>
      </c>
      <c r="AB1866" s="46">
        <f>IF(H2ProjectDB689571011[[#This Row],[Dummy_1]]="Electrolysis",
AA1866/VLOOKUP(G1866,ElectrolysisConvF,3,FALSE),
AC1866*10^6/(H2dens*HoursInYear))</f>
        <v>2666.666666666667</v>
      </c>
      <c r="AC1866" s="47">
        <f t="shared" si="130"/>
        <v>2.07904</v>
      </c>
      <c r="AD1866" s="92"/>
      <c r="AE1866" s="92">
        <f t="shared" si="127"/>
        <v>2666.666666666667</v>
      </c>
      <c r="AF1866" s="43" t="s">
        <v>6377</v>
      </c>
      <c r="AG1866" s="43">
        <v>-29.461616354564299</v>
      </c>
      <c r="AH1866" s="43">
        <v>149.83352557621299</v>
      </c>
      <c r="AI1866" s="122" t="s">
        <v>7286</v>
      </c>
      <c r="AJ1866" s="41">
        <v>0.3</v>
      </c>
    </row>
    <row r="1867" spans="1:36" ht="35.1" hidden="1" customHeight="1" x14ac:dyDescent="0.25">
      <c r="A1867" s="40">
        <v>2516</v>
      </c>
      <c r="B1867" s="40" t="s">
        <v>6380</v>
      </c>
      <c r="C1867" s="90" t="s">
        <v>1305</v>
      </c>
      <c r="D1867" s="44">
        <v>2030</v>
      </c>
      <c r="E1867" s="44"/>
      <c r="F1867" s="90" t="s">
        <v>2222</v>
      </c>
      <c r="G1867" s="90" t="s">
        <v>1259</v>
      </c>
      <c r="H1867" s="90" t="s">
        <v>467</v>
      </c>
      <c r="I1867" s="90" t="s">
        <v>1257</v>
      </c>
      <c r="J1867" s="90" t="s">
        <v>581</v>
      </c>
      <c r="K1867" s="90" t="s">
        <v>1267</v>
      </c>
      <c r="L1867" s="90"/>
      <c r="M1867" s="90"/>
      <c r="N1867" s="90"/>
      <c r="O1867" s="90"/>
      <c r="P1867" s="90"/>
      <c r="Q1867" s="90"/>
      <c r="R1867" s="90"/>
      <c r="S1867" s="90"/>
      <c r="T1867" s="90"/>
      <c r="U1867" s="90"/>
      <c r="V1867" s="90"/>
      <c r="W1867" s="90">
        <v>1</v>
      </c>
      <c r="X1867" s="90"/>
      <c r="Y1867" s="90"/>
      <c r="Z1867" s="40" t="s">
        <v>6381</v>
      </c>
      <c r="AA1867" s="91">
        <v>1000</v>
      </c>
      <c r="AB1867" s="46">
        <f>IF(H2ProjectDB689571011[[#This Row],[Dummy_1]]="Electrolysis",
AA1867/VLOOKUP(G1867,ElectrolysisConvF,3,FALSE),
AC1867*10^6/(H2dens*HoursInYear))</f>
        <v>222222.22222222225</v>
      </c>
      <c r="AC1867" s="47">
        <f t="shared" si="130"/>
        <v>173.25333333333333</v>
      </c>
      <c r="AD1867" s="92"/>
      <c r="AE1867" s="92">
        <f t="shared" si="127"/>
        <v>222222.22222222225</v>
      </c>
      <c r="AF1867" s="43" t="s">
        <v>6383</v>
      </c>
      <c r="AG1867" s="43">
        <v>51.2605273710641</v>
      </c>
      <c r="AH1867" s="43">
        <v>12.3503662197016</v>
      </c>
      <c r="AI1867" s="122" t="s">
        <v>7286</v>
      </c>
      <c r="AJ1867" s="41">
        <v>0.56999999999999995</v>
      </c>
    </row>
    <row r="1868" spans="1:36" ht="35.1" hidden="1" customHeight="1" x14ac:dyDescent="0.25">
      <c r="A1868" s="40">
        <v>2517</v>
      </c>
      <c r="B1868" s="40" t="s">
        <v>6389</v>
      </c>
      <c r="C1868" s="40" t="s">
        <v>539</v>
      </c>
      <c r="D1868" s="90"/>
      <c r="E1868" s="90"/>
      <c r="F1868" s="90" t="s">
        <v>1331</v>
      </c>
      <c r="G1868" s="90" t="s">
        <v>1259</v>
      </c>
      <c r="H1868" s="40" t="s">
        <v>467</v>
      </c>
      <c r="I1868" s="90" t="s">
        <v>1269</v>
      </c>
      <c r="J1868" s="90" t="s">
        <v>581</v>
      </c>
      <c r="K1868" s="90" t="s">
        <v>1243</v>
      </c>
      <c r="L1868" s="90"/>
      <c r="M1868" s="90">
        <v>1</v>
      </c>
      <c r="N1868" s="90"/>
      <c r="O1868" s="90"/>
      <c r="P1868" s="90"/>
      <c r="Q1868" s="90"/>
      <c r="R1868" s="90"/>
      <c r="S1868" s="90"/>
      <c r="T1868" s="90"/>
      <c r="U1868" s="90"/>
      <c r="V1868" s="90"/>
      <c r="W1868" s="90"/>
      <c r="X1868" s="90"/>
      <c r="Y1868" s="90"/>
      <c r="Z1868" s="40" t="s">
        <v>5018</v>
      </c>
      <c r="AA1868" s="47">
        <f>IF(H2ProjectDB689571011[[#This Row],[Dummy_1]]="Electrolysis",
AB1868*VLOOKUP(G1868,ElectrolysisConvF,3,FALSE),
"")</f>
        <v>1039.356792432226</v>
      </c>
      <c r="AB1868" s="46">
        <f>AC1868/(H2dens*HoursInYear/10^6)</f>
        <v>230968.17609605024</v>
      </c>
      <c r="AC1868" s="92">
        <f>(500*3/17/0.98)/H2ProjectDB689571011[[#This Row],[LOWE_CF]]</f>
        <v>180.0720288115246</v>
      </c>
      <c r="AD1868" s="92"/>
      <c r="AE1868" s="92">
        <f t="shared" si="127"/>
        <v>230968.17609605024</v>
      </c>
      <c r="AF1868" s="43" t="s">
        <v>6388</v>
      </c>
      <c r="AG1868" s="43">
        <v>20.469045827368699</v>
      </c>
      <c r="AH1868" s="43">
        <v>84.235174440911294</v>
      </c>
      <c r="AI1868" s="122" t="s">
        <v>7286</v>
      </c>
      <c r="AJ1868" s="41">
        <v>0.5</v>
      </c>
    </row>
    <row r="1869" spans="1:36" ht="35.1" hidden="1" customHeight="1" x14ac:dyDescent="0.25">
      <c r="A1869" s="40">
        <v>2518</v>
      </c>
      <c r="B1869" s="40" t="s">
        <v>6803</v>
      </c>
      <c r="C1869" s="40" t="s">
        <v>1062</v>
      </c>
      <c r="D1869" s="44">
        <v>2027</v>
      </c>
      <c r="E1869" s="44"/>
      <c r="F1869" s="40" t="s">
        <v>1331</v>
      </c>
      <c r="G1869" s="40" t="s">
        <v>1259</v>
      </c>
      <c r="H1869" s="40" t="s">
        <v>467</v>
      </c>
      <c r="I1869" s="40" t="s">
        <v>1269</v>
      </c>
      <c r="J1869" s="90" t="s">
        <v>581</v>
      </c>
      <c r="K1869" s="90" t="s">
        <v>1243</v>
      </c>
      <c r="L1869" s="90"/>
      <c r="M1869" s="90">
        <v>1</v>
      </c>
      <c r="Z1869" s="40" t="s">
        <v>6391</v>
      </c>
      <c r="AA1869" s="47">
        <f>IF(H2ProjectDB689571011[[#This Row],[Dummy_1]]="Electrolysis",
AB1869*VLOOKUP(G1869,ElectrolysisConvF,3,FALSE),
"")</f>
        <v>173.15684161920888</v>
      </c>
      <c r="AB1869" s="46">
        <f>AC1869/(H2dens*HoursInYear/10^6)</f>
        <v>38479.298137601974</v>
      </c>
      <c r="AC1869" s="92">
        <v>30</v>
      </c>
      <c r="AE1869" s="46">
        <f t="shared" si="127"/>
        <v>38479.298137601974</v>
      </c>
      <c r="AF1869" s="43" t="s">
        <v>6393</v>
      </c>
      <c r="AG1869" s="43">
        <v>-7.5165764241692399</v>
      </c>
      <c r="AH1869" s="43">
        <v>112.144196120358</v>
      </c>
      <c r="AI1869" s="122" t="s">
        <v>7286</v>
      </c>
      <c r="AJ1869" s="41">
        <v>0.5</v>
      </c>
    </row>
    <row r="1870" spans="1:36" ht="35.1" hidden="1" customHeight="1" x14ac:dyDescent="0.25">
      <c r="A1870" s="40">
        <v>2519</v>
      </c>
      <c r="B1870" s="40" t="s">
        <v>6394</v>
      </c>
      <c r="C1870" s="87" t="s">
        <v>536</v>
      </c>
      <c r="D1870" s="94">
        <v>2027</v>
      </c>
      <c r="E1870" s="44"/>
      <c r="F1870" s="87" t="s">
        <v>2222</v>
      </c>
      <c r="G1870" s="87" t="s">
        <v>1259</v>
      </c>
      <c r="H1870" s="87" t="s">
        <v>467</v>
      </c>
      <c r="I1870" s="87" t="s">
        <v>1269</v>
      </c>
      <c r="J1870" s="87" t="s">
        <v>1395</v>
      </c>
      <c r="K1870" s="87" t="s">
        <v>578</v>
      </c>
      <c r="Z1870" s="40" t="s">
        <v>6395</v>
      </c>
      <c r="AA1870" s="125">
        <f>IF(H2ProjectDB689571011[[#This Row],[Dummy_1]]="Electrolysis",
AB1870*VLOOKUP(G1870,ElectrolysisConvF,3,FALSE),
"")</f>
        <v>507.92673541634599</v>
      </c>
      <c r="AB1870" s="46">
        <f>AC1870/(H2dens*HoursInYear/10^6)</f>
        <v>112872.60787029912</v>
      </c>
      <c r="AC1870" s="141">
        <f>44/H2ProjectDB689571011[[#This Row],[LOWE_CF]]</f>
        <v>88</v>
      </c>
      <c r="AE1870" s="46">
        <f t="shared" si="127"/>
        <v>112872.60787029912</v>
      </c>
      <c r="AF1870" s="43" t="s">
        <v>6397</v>
      </c>
      <c r="AG1870" s="43">
        <v>30.1923611013654</v>
      </c>
      <c r="AH1870" s="43">
        <v>-90.960558472561701</v>
      </c>
      <c r="AI1870" s="122" t="s">
        <v>7286</v>
      </c>
      <c r="AJ1870" s="41">
        <v>0.5</v>
      </c>
    </row>
    <row r="1871" spans="1:36" ht="35.1" hidden="1" customHeight="1" x14ac:dyDescent="0.25">
      <c r="A1871" s="40">
        <v>2520</v>
      </c>
      <c r="B1871" s="40" t="s">
        <v>6401</v>
      </c>
      <c r="C1871" s="90" t="s">
        <v>1764</v>
      </c>
      <c r="F1871" s="40" t="s">
        <v>2222</v>
      </c>
      <c r="G1871" s="40" t="s">
        <v>1259</v>
      </c>
      <c r="H1871" s="40" t="s">
        <v>467</v>
      </c>
      <c r="I1871" s="40" t="s">
        <v>1269</v>
      </c>
      <c r="J1871" s="40" t="s">
        <v>1391</v>
      </c>
      <c r="K1871" s="90" t="s">
        <v>578</v>
      </c>
      <c r="S1871" s="40">
        <v>1</v>
      </c>
      <c r="Z1871" s="40" t="s">
        <v>6402</v>
      </c>
      <c r="AA1871" s="45">
        <v>352</v>
      </c>
      <c r="AB1871" s="46">
        <f>IF(H2ProjectDB689571011[[#This Row],[Dummy_1]]="Electrolysis",
AA1871/VLOOKUP(G1871,ElectrolysisConvF,3,FALSE),
AC1871*10^6/(H2dens*HoursInYear))</f>
        <v>78222.222222222234</v>
      </c>
      <c r="AC1871" s="47">
        <f>AB1871*H2dens*HoursInYear/10^6</f>
        <v>60.985173333333336</v>
      </c>
      <c r="AE1871" s="46">
        <f t="shared" si="127"/>
        <v>78222.222222222234</v>
      </c>
      <c r="AF1871" s="43" t="s">
        <v>6404</v>
      </c>
      <c r="AG1871" s="43">
        <v>36.521213147542397</v>
      </c>
      <c r="AH1871" s="43">
        <v>-6.2806648661178803</v>
      </c>
      <c r="AI1871" s="122" t="s">
        <v>7286</v>
      </c>
      <c r="AJ1871" s="41">
        <v>0.3</v>
      </c>
    </row>
    <row r="1872" spans="1:36" ht="35.1" hidden="1" customHeight="1" x14ac:dyDescent="0.25">
      <c r="A1872" s="40">
        <v>2521</v>
      </c>
      <c r="B1872" s="40" t="s">
        <v>6411</v>
      </c>
      <c r="C1872" s="40" t="s">
        <v>1943</v>
      </c>
      <c r="F1872" s="40" t="s">
        <v>2222</v>
      </c>
      <c r="G1872" s="40" t="s">
        <v>1259</v>
      </c>
      <c r="H1872" s="40" t="s">
        <v>467</v>
      </c>
      <c r="I1872" s="40" t="s">
        <v>1269</v>
      </c>
      <c r="J1872" s="40" t="s">
        <v>1391</v>
      </c>
      <c r="K1872" s="40" t="s">
        <v>578</v>
      </c>
      <c r="Z1872" s="40" t="s">
        <v>6412</v>
      </c>
      <c r="AA1872" s="47">
        <f>IF(H2ProjectDB689571011[[#This Row],[Dummy_1]]="Electrolysis",
AB1872*VLOOKUP(G1872,ElectrolysisConvF,3,FALSE),
"")</f>
        <v>8426.9662921348317</v>
      </c>
      <c r="AB1872" s="46">
        <f>AC1872/(H2dens*HoursInYear/10^6)</f>
        <v>1872659.1760299627</v>
      </c>
      <c r="AC1872" s="92">
        <f>4*365</f>
        <v>1460</v>
      </c>
      <c r="AE1872" s="46">
        <f t="shared" si="127"/>
        <v>1872659.1760299627</v>
      </c>
      <c r="AF1872" s="43" t="s">
        <v>6413</v>
      </c>
      <c r="AG1872" s="43">
        <v>-22.7865526905832</v>
      </c>
      <c r="AH1872" s="43">
        <v>34.717360570742898</v>
      </c>
      <c r="AI1872" s="122" t="s">
        <v>7286</v>
      </c>
      <c r="AJ1872" s="41">
        <v>0.3</v>
      </c>
    </row>
    <row r="1873" spans="1:36" ht="35.1" hidden="1" customHeight="1" x14ac:dyDescent="0.25">
      <c r="A1873" s="40">
        <v>2522</v>
      </c>
      <c r="B1873" s="40" t="s">
        <v>6415</v>
      </c>
      <c r="C1873" s="90" t="s">
        <v>542</v>
      </c>
      <c r="D1873" s="44">
        <v>2026</v>
      </c>
      <c r="E1873" s="44"/>
      <c r="F1873" s="90" t="s">
        <v>2222</v>
      </c>
      <c r="G1873" s="90" t="s">
        <v>1259</v>
      </c>
      <c r="H1873" s="90" t="s">
        <v>467</v>
      </c>
      <c r="I1873" s="90" t="s">
        <v>1269</v>
      </c>
      <c r="J1873" s="90" t="s">
        <v>581</v>
      </c>
      <c r="K1873" s="90" t="s">
        <v>578</v>
      </c>
      <c r="P1873" s="40">
        <v>1</v>
      </c>
      <c r="Q1873" s="40">
        <v>1</v>
      </c>
      <c r="R1873" s="40">
        <v>1</v>
      </c>
      <c r="Z1873" s="40" t="s">
        <v>1485</v>
      </c>
      <c r="AA1873" s="45">
        <v>100</v>
      </c>
      <c r="AB1873" s="46">
        <f>IF(H2ProjectDB689571011[[#This Row],[Dummy_1]]="Electrolysis",
AA1873/VLOOKUP(G1873,ElectrolysisConvF,3,FALSE),
AC1873*10^6/(H2dens*HoursInYear))</f>
        <v>22222.222222222223</v>
      </c>
      <c r="AC1873" s="47">
        <f>AB1873*H2dens*HoursInYear/10^6</f>
        <v>17.325333333333333</v>
      </c>
      <c r="AE1873" s="46">
        <f t="shared" si="127"/>
        <v>22222.222222222223</v>
      </c>
      <c r="AF1873" s="43" t="s">
        <v>6418</v>
      </c>
      <c r="AG1873" s="43">
        <v>52.865367518009698</v>
      </c>
      <c r="AH1873" s="43">
        <v>-1.25433988510284</v>
      </c>
      <c r="AI1873" s="122" t="s">
        <v>7286</v>
      </c>
      <c r="AJ1873" s="41">
        <v>0.5</v>
      </c>
    </row>
    <row r="1874" spans="1:36" ht="35.1" hidden="1" customHeight="1" x14ac:dyDescent="0.25">
      <c r="A1874" s="40">
        <v>2523</v>
      </c>
      <c r="B1874" s="40" t="s">
        <v>6416</v>
      </c>
      <c r="C1874" s="90" t="s">
        <v>542</v>
      </c>
      <c r="D1874" s="44">
        <v>2030</v>
      </c>
      <c r="E1874" s="44"/>
      <c r="F1874" s="90" t="s">
        <v>2222</v>
      </c>
      <c r="G1874" s="90" t="s">
        <v>1259</v>
      </c>
      <c r="H1874" s="90" t="s">
        <v>467</v>
      </c>
      <c r="I1874" s="90" t="s">
        <v>1269</v>
      </c>
      <c r="J1874" s="90" t="s">
        <v>581</v>
      </c>
      <c r="K1874" s="90" t="s">
        <v>578</v>
      </c>
      <c r="P1874" s="40">
        <v>1</v>
      </c>
      <c r="Q1874" s="40">
        <v>1</v>
      </c>
      <c r="R1874" s="40">
        <v>1</v>
      </c>
      <c r="Z1874" s="40" t="s">
        <v>2054</v>
      </c>
      <c r="AA1874" s="45">
        <f>500-100</f>
        <v>400</v>
      </c>
      <c r="AB1874" s="46">
        <f>IF(H2ProjectDB689571011[[#This Row],[Dummy_1]]="Electrolysis",
AA1874/VLOOKUP(G1874,ElectrolysisConvF,3,FALSE),
AC1874*10^6/(H2dens*HoursInYear))</f>
        <v>88888.888888888891</v>
      </c>
      <c r="AC1874" s="47">
        <f>AB1874*H2dens*HoursInYear/10^6</f>
        <v>69.301333333333332</v>
      </c>
      <c r="AE1874" s="46">
        <f t="shared" si="127"/>
        <v>88888.888888888891</v>
      </c>
      <c r="AF1874" s="43" t="s">
        <v>6418</v>
      </c>
      <c r="AG1874" s="43">
        <v>52.865367518009698</v>
      </c>
      <c r="AH1874" s="43">
        <v>-1.25433988510284</v>
      </c>
      <c r="AI1874" s="122" t="s">
        <v>7286</v>
      </c>
      <c r="AJ1874" s="41">
        <v>0.5</v>
      </c>
    </row>
    <row r="1875" spans="1:36" ht="35.1" hidden="1" customHeight="1" x14ac:dyDescent="0.25">
      <c r="A1875" s="40">
        <v>2524</v>
      </c>
      <c r="B1875" s="40" t="s">
        <v>6466</v>
      </c>
      <c r="C1875" s="90" t="s">
        <v>1305</v>
      </c>
      <c r="D1875" s="44">
        <v>2026</v>
      </c>
      <c r="E1875" s="44"/>
      <c r="F1875" s="90" t="s">
        <v>1331</v>
      </c>
      <c r="G1875" s="90" t="s">
        <v>455</v>
      </c>
      <c r="H1875" s="90"/>
      <c r="I1875" s="90" t="s">
        <v>1269</v>
      </c>
      <c r="J1875" s="40" t="s">
        <v>1393</v>
      </c>
      <c r="K1875" s="90" t="s">
        <v>578</v>
      </c>
      <c r="S1875" s="40">
        <v>1</v>
      </c>
      <c r="Z1875" s="40" t="s">
        <v>1574</v>
      </c>
      <c r="AA1875" s="45">
        <v>200</v>
      </c>
      <c r="AB1875" s="46">
        <f>IF(H2ProjectDB689571011[[#This Row],[Dummy_1]]="Electrolysis",
AA1875/VLOOKUP(G1875,ElectrolysisConvF,3,FALSE),
AC1875*10^6/(H2dens*HoursInYear))</f>
        <v>38461.538461538461</v>
      </c>
      <c r="AC1875" s="47">
        <f>AB1875*H2dens*HoursInYear/10^6</f>
        <v>29.986153846153844</v>
      </c>
      <c r="AE1875" s="46">
        <f t="shared" si="127"/>
        <v>38461.538461538461</v>
      </c>
      <c r="AF1875" s="43" t="s">
        <v>6419</v>
      </c>
      <c r="AG1875" s="43">
        <v>54.130298671892596</v>
      </c>
      <c r="AH1875" s="43">
        <v>13.626443371211099</v>
      </c>
      <c r="AI1875" s="122" t="s">
        <v>7286</v>
      </c>
      <c r="AJ1875" s="41">
        <v>0.55000000000000004</v>
      </c>
    </row>
    <row r="1876" spans="1:36" ht="35.1" hidden="1" customHeight="1" x14ac:dyDescent="0.25">
      <c r="A1876" s="40">
        <v>2525</v>
      </c>
      <c r="B1876" s="40" t="s">
        <v>6467</v>
      </c>
      <c r="C1876" s="90" t="s">
        <v>1305</v>
      </c>
      <c r="D1876" s="44">
        <v>2028</v>
      </c>
      <c r="E1876" s="44"/>
      <c r="F1876" s="90" t="s">
        <v>1331</v>
      </c>
      <c r="G1876" s="90" t="s">
        <v>455</v>
      </c>
      <c r="H1876" s="90"/>
      <c r="I1876" s="90" t="s">
        <v>1269</v>
      </c>
      <c r="J1876" s="40" t="s">
        <v>1393</v>
      </c>
      <c r="K1876" s="90" t="s">
        <v>578</v>
      </c>
      <c r="S1876" s="40">
        <v>1</v>
      </c>
      <c r="Z1876" s="40" t="s">
        <v>2054</v>
      </c>
      <c r="AA1876" s="45">
        <v>300</v>
      </c>
      <c r="AB1876" s="46">
        <f>IF(H2ProjectDB689571011[[#This Row],[Dummy_1]]="Electrolysis",
AA1876/VLOOKUP(G1876,ElectrolysisConvF,3,FALSE),
AC1876*10^6/(H2dens*HoursInYear))</f>
        <v>57692.307692307695</v>
      </c>
      <c r="AC1876" s="47">
        <f>AB1876*H2dens*HoursInYear/10^6</f>
        <v>44.979230769230767</v>
      </c>
      <c r="AE1876" s="46">
        <f t="shared" si="127"/>
        <v>57692.307692307695</v>
      </c>
      <c r="AF1876" s="43" t="s">
        <v>6419</v>
      </c>
      <c r="AG1876" s="43">
        <v>54.130298671892596</v>
      </c>
      <c r="AH1876" s="43">
        <v>13.626443371211099</v>
      </c>
      <c r="AI1876" s="122" t="s">
        <v>7286</v>
      </c>
      <c r="AJ1876" s="41">
        <v>0.55000000000000004</v>
      </c>
    </row>
    <row r="1877" spans="1:36" ht="35.1" hidden="1" customHeight="1" x14ac:dyDescent="0.25">
      <c r="A1877" s="40">
        <v>2526</v>
      </c>
      <c r="B1877" s="40" t="s">
        <v>6421</v>
      </c>
      <c r="C1877" s="87" t="s">
        <v>536</v>
      </c>
      <c r="F1877" s="87" t="s">
        <v>2222</v>
      </c>
      <c r="G1877" s="87" t="s">
        <v>1259</v>
      </c>
      <c r="H1877" s="87" t="s">
        <v>467</v>
      </c>
      <c r="I1877" s="87" t="s">
        <v>1269</v>
      </c>
      <c r="J1877" s="40" t="s">
        <v>581</v>
      </c>
      <c r="K1877" s="87" t="s">
        <v>578</v>
      </c>
      <c r="Z1877" s="40" t="s">
        <v>1334</v>
      </c>
      <c r="AA1877" s="45">
        <v>1000</v>
      </c>
      <c r="AB1877" s="46">
        <f>IF(H2ProjectDB689571011[[#This Row],[Dummy_1]]="Electrolysis",
AA1877/VLOOKUP(G1877,ElectrolysisConvF,3,FALSE),
AC1877*10^6/(H2dens*HoursInYear))</f>
        <v>222222.22222222225</v>
      </c>
      <c r="AC1877" s="47">
        <f>AB1877*H2dens*HoursInYear/10^6</f>
        <v>173.25333333333333</v>
      </c>
      <c r="AE1877" s="46">
        <f t="shared" si="127"/>
        <v>222222.22222222225</v>
      </c>
      <c r="AF1877" s="43" t="s">
        <v>6423</v>
      </c>
      <c r="AG1877" s="43">
        <v>38.972564104209603</v>
      </c>
      <c r="AH1877" s="43">
        <v>-81.132953754037203</v>
      </c>
      <c r="AI1877" s="122" t="s">
        <v>7286</v>
      </c>
      <c r="AJ1877" s="41">
        <v>0.5</v>
      </c>
    </row>
    <row r="1878" spans="1:36" ht="35.1" hidden="1" customHeight="1" x14ac:dyDescent="0.25">
      <c r="A1878" s="40">
        <v>2527</v>
      </c>
      <c r="B1878" s="40" t="s">
        <v>6424</v>
      </c>
      <c r="C1878" s="40" t="s">
        <v>535</v>
      </c>
      <c r="D1878" s="44">
        <v>2027</v>
      </c>
      <c r="E1878" s="44"/>
      <c r="F1878" s="90" t="s">
        <v>2222</v>
      </c>
      <c r="G1878" s="90" t="s">
        <v>1259</v>
      </c>
      <c r="H1878" s="40" t="s">
        <v>467</v>
      </c>
      <c r="I1878" s="90" t="s">
        <v>1269</v>
      </c>
      <c r="J1878" s="90" t="s">
        <v>581</v>
      </c>
      <c r="K1878" s="90" t="s">
        <v>1243</v>
      </c>
      <c r="L1878" s="90"/>
      <c r="M1878" s="90">
        <v>1</v>
      </c>
      <c r="Z1878" s="40" t="s">
        <v>3001</v>
      </c>
      <c r="AA1878" s="47">
        <f>IF(H2ProjectDB689571011[[#This Row],[Dummy_1]]="Electrolysis",
AB1878*VLOOKUP(G1878,ElectrolysisConvF,3,FALSE),
"")</f>
        <v>1039.356792432226</v>
      </c>
      <c r="AB1878" s="46">
        <f>AC1878/(H2dens*HoursInYear/10^6)</f>
        <v>230968.17609605024</v>
      </c>
      <c r="AC1878" s="47">
        <f>1000*3/17/0.98</f>
        <v>180.0720288115246</v>
      </c>
      <c r="AE1878" s="46">
        <f t="shared" si="127"/>
        <v>230968.17609605024</v>
      </c>
      <c r="AF1878" s="43" t="s">
        <v>6426</v>
      </c>
      <c r="AG1878" s="43">
        <v>-28.776172206986399</v>
      </c>
      <c r="AH1878" s="43">
        <v>114.609183849978</v>
      </c>
      <c r="AI1878" s="122" t="s">
        <v>7286</v>
      </c>
      <c r="AJ1878" s="41">
        <v>0.5</v>
      </c>
    </row>
    <row r="1879" spans="1:36" ht="35.1" hidden="1" customHeight="1" x14ac:dyDescent="0.25">
      <c r="A1879" s="40">
        <v>2528</v>
      </c>
      <c r="B1879" s="40" t="s">
        <v>6434</v>
      </c>
      <c r="C1879" s="40" t="s">
        <v>546</v>
      </c>
      <c r="D1879" s="44">
        <v>2027</v>
      </c>
      <c r="E1879" s="44"/>
      <c r="F1879" s="90" t="s">
        <v>2222</v>
      </c>
      <c r="G1879" s="90" t="s">
        <v>1259</v>
      </c>
      <c r="H1879" s="40" t="s">
        <v>467</v>
      </c>
      <c r="I1879" s="90" t="s">
        <v>1269</v>
      </c>
      <c r="J1879" s="90" t="s">
        <v>1393</v>
      </c>
      <c r="K1879" s="90" t="s">
        <v>1243</v>
      </c>
      <c r="AA1879" s="45">
        <f>IF(OR(G1879="ALK",G1879="PEM",G1879="SOEC",G1879="Other Electrolysis"),
AB1879*VLOOKUP(G1879,ElectrolysisConvF,3,FALSE),
"")</f>
        <v>0</v>
      </c>
      <c r="AE1879" s="46">
        <f t="shared" si="127"/>
        <v>0</v>
      </c>
      <c r="AF1879" s="43" t="s">
        <v>6433</v>
      </c>
      <c r="AG1879" s="43">
        <v>53.159524200430198</v>
      </c>
      <c r="AH1879" s="43">
        <v>5.2665681266459696</v>
      </c>
      <c r="AI1879" s="122" t="s">
        <v>7286</v>
      </c>
      <c r="AJ1879" s="41">
        <v>0.55000000000000004</v>
      </c>
    </row>
    <row r="1880" spans="1:36" ht="35.1" hidden="1" customHeight="1" x14ac:dyDescent="0.25">
      <c r="A1880" s="40">
        <v>2529</v>
      </c>
      <c r="B1880" s="40" t="s">
        <v>6437</v>
      </c>
      <c r="C1880" s="40" t="s">
        <v>560</v>
      </c>
      <c r="D1880" s="44">
        <v>2027</v>
      </c>
      <c r="E1880" s="44"/>
      <c r="F1880" s="40" t="s">
        <v>2222</v>
      </c>
      <c r="G1880" s="40" t="s">
        <v>1259</v>
      </c>
      <c r="H1880" s="40" t="s">
        <v>467</v>
      </c>
      <c r="I1880" s="90" t="s">
        <v>1269</v>
      </c>
      <c r="J1880" s="90" t="s">
        <v>581</v>
      </c>
      <c r="K1880" s="90" t="s">
        <v>578</v>
      </c>
      <c r="Z1880" s="40" t="s">
        <v>6438</v>
      </c>
      <c r="AA1880" s="45">
        <f>2*2500</f>
        <v>5000</v>
      </c>
      <c r="AB1880" s="46">
        <f>IF(H2ProjectDB689571011[[#This Row],[Dummy_1]]="Electrolysis",
AA1880/VLOOKUP(G1880,ElectrolysisConvF,3,FALSE),
AC1880*10^6/(H2dens*HoursInYear))</f>
        <v>1111111.1111111112</v>
      </c>
      <c r="AC1880" s="47">
        <f t="shared" ref="AC1880:AC1885" si="131">AB1880*H2dens*HoursInYear/10^6</f>
        <v>866.26666666666665</v>
      </c>
      <c r="AE1880" s="46">
        <f t="shared" si="127"/>
        <v>1111111.1111111112</v>
      </c>
      <c r="AF1880" s="43" t="s">
        <v>6436</v>
      </c>
      <c r="AG1880" s="43">
        <v>-25.406457474116401</v>
      </c>
      <c r="AH1880" s="43">
        <v>-70.479934188710402</v>
      </c>
      <c r="AI1880" s="122" t="s">
        <v>7286</v>
      </c>
      <c r="AJ1880" s="41">
        <v>0.5</v>
      </c>
    </row>
    <row r="1881" spans="1:36" ht="35.1" hidden="1" customHeight="1" x14ac:dyDescent="0.25">
      <c r="A1881" s="40">
        <v>2530</v>
      </c>
      <c r="B1881" s="40" t="s">
        <v>6439</v>
      </c>
      <c r="C1881" s="40" t="s">
        <v>560</v>
      </c>
      <c r="D1881" s="44">
        <v>2029</v>
      </c>
      <c r="E1881" s="44"/>
      <c r="F1881" s="40" t="s">
        <v>2222</v>
      </c>
      <c r="G1881" s="40" t="s">
        <v>1259</v>
      </c>
      <c r="H1881" s="40" t="s">
        <v>467</v>
      </c>
      <c r="I1881" s="90" t="s">
        <v>1269</v>
      </c>
      <c r="J1881" s="90" t="s">
        <v>581</v>
      </c>
      <c r="K1881" s="90" t="s">
        <v>578</v>
      </c>
      <c r="Z1881" s="40" t="s">
        <v>6438</v>
      </c>
      <c r="AA1881" s="45">
        <f>2*2500</f>
        <v>5000</v>
      </c>
      <c r="AB1881" s="46">
        <f>IF(H2ProjectDB689571011[[#This Row],[Dummy_1]]="Electrolysis",
AA1881/VLOOKUP(G1881,ElectrolysisConvF,3,FALSE),
AC1881*10^6/(H2dens*HoursInYear))</f>
        <v>1111111.1111111112</v>
      </c>
      <c r="AC1881" s="47">
        <f t="shared" si="131"/>
        <v>866.26666666666665</v>
      </c>
      <c r="AE1881" s="46">
        <f t="shared" ref="AE1881:AE1900" si="132">IF(AND(G1881&lt;&gt;"NG w CCUS",G1881&lt;&gt;"Oil w CCUS",G1881&lt;&gt;"Coal w CCUS"),AB1881,AD1881*10^3/(HoursInYear*IF(G1881="NG w CCUS",0.9105,1.9075)))</f>
        <v>1111111.1111111112</v>
      </c>
      <c r="AF1881" s="43" t="s">
        <v>6436</v>
      </c>
      <c r="AG1881" s="43">
        <v>-25.406457474116401</v>
      </c>
      <c r="AH1881" s="43">
        <v>-70.479934188710402</v>
      </c>
      <c r="AI1881" s="122" t="s">
        <v>7286</v>
      </c>
      <c r="AJ1881" s="41">
        <v>0.5</v>
      </c>
    </row>
    <row r="1882" spans="1:36" ht="35.1" hidden="1" customHeight="1" x14ac:dyDescent="0.25">
      <c r="A1882" s="40">
        <v>2531</v>
      </c>
      <c r="B1882" s="40" t="s">
        <v>6440</v>
      </c>
      <c r="C1882" s="40" t="s">
        <v>560</v>
      </c>
      <c r="D1882" s="44">
        <v>2031</v>
      </c>
      <c r="E1882" s="44"/>
      <c r="F1882" s="40" t="s">
        <v>2222</v>
      </c>
      <c r="G1882" s="40" t="s">
        <v>1259</v>
      </c>
      <c r="H1882" s="40" t="s">
        <v>467</v>
      </c>
      <c r="I1882" s="90" t="s">
        <v>1269</v>
      </c>
      <c r="J1882" s="90" t="s">
        <v>581</v>
      </c>
      <c r="K1882" s="90" t="s">
        <v>578</v>
      </c>
      <c r="Z1882" s="40" t="s">
        <v>6438</v>
      </c>
      <c r="AA1882" s="45">
        <f>2*2500</f>
        <v>5000</v>
      </c>
      <c r="AB1882" s="46">
        <f>IF(H2ProjectDB689571011[[#This Row],[Dummy_1]]="Electrolysis",
AA1882/VLOOKUP(G1882,ElectrolysisConvF,3,FALSE),
AC1882*10^6/(H2dens*HoursInYear))</f>
        <v>1111111.1111111112</v>
      </c>
      <c r="AC1882" s="47">
        <f t="shared" si="131"/>
        <v>866.26666666666665</v>
      </c>
      <c r="AE1882" s="46">
        <f t="shared" si="132"/>
        <v>1111111.1111111112</v>
      </c>
      <c r="AF1882" s="43" t="s">
        <v>6436</v>
      </c>
      <c r="AG1882" s="43">
        <v>-25.406457474116401</v>
      </c>
      <c r="AH1882" s="43">
        <v>-70.479934188710402</v>
      </c>
      <c r="AI1882" s="122" t="s">
        <v>7286</v>
      </c>
      <c r="AJ1882" s="41">
        <v>0.5</v>
      </c>
    </row>
    <row r="1883" spans="1:36" ht="35.1" hidden="1" customHeight="1" x14ac:dyDescent="0.25">
      <c r="A1883" s="40">
        <v>2532</v>
      </c>
      <c r="B1883" s="40" t="s">
        <v>6441</v>
      </c>
      <c r="C1883" s="40" t="s">
        <v>560</v>
      </c>
      <c r="D1883" s="44">
        <v>2033</v>
      </c>
      <c r="E1883" s="44"/>
      <c r="F1883" s="40" t="s">
        <v>2222</v>
      </c>
      <c r="G1883" s="40" t="s">
        <v>1259</v>
      </c>
      <c r="H1883" s="40" t="s">
        <v>467</v>
      </c>
      <c r="I1883" s="90" t="s">
        <v>1269</v>
      </c>
      <c r="J1883" s="90" t="s">
        <v>581</v>
      </c>
      <c r="K1883" s="90" t="s">
        <v>578</v>
      </c>
      <c r="Z1883" s="40" t="s">
        <v>6442</v>
      </c>
      <c r="AA1883" s="45">
        <f>4*2500</f>
        <v>10000</v>
      </c>
      <c r="AB1883" s="46">
        <f>IF(H2ProjectDB689571011[[#This Row],[Dummy_1]]="Electrolysis",
AA1883/VLOOKUP(G1883,ElectrolysisConvF,3,FALSE),
AC1883*10^6/(H2dens*HoursInYear))</f>
        <v>2222222.2222222225</v>
      </c>
      <c r="AC1883" s="47">
        <f t="shared" si="131"/>
        <v>1732.5333333333333</v>
      </c>
      <c r="AE1883" s="46">
        <f t="shared" si="132"/>
        <v>2222222.2222222225</v>
      </c>
      <c r="AF1883" s="43" t="s">
        <v>6436</v>
      </c>
      <c r="AG1883" s="43">
        <v>-25.406457474116401</v>
      </c>
      <c r="AH1883" s="43">
        <v>-70.479934188710402</v>
      </c>
      <c r="AI1883" s="122" t="s">
        <v>7286</v>
      </c>
      <c r="AJ1883" s="41">
        <v>0.5</v>
      </c>
    </row>
    <row r="1884" spans="1:36" ht="35.1" hidden="1" customHeight="1" x14ac:dyDescent="0.25">
      <c r="A1884" s="40">
        <v>2533</v>
      </c>
      <c r="B1884" s="40" t="s">
        <v>6997</v>
      </c>
      <c r="C1884" s="40" t="s">
        <v>537</v>
      </c>
      <c r="D1884" s="44">
        <v>2025</v>
      </c>
      <c r="E1884" s="44"/>
      <c r="F1884" s="90" t="s">
        <v>5701</v>
      </c>
      <c r="G1884" s="90" t="s">
        <v>457</v>
      </c>
      <c r="I1884" s="40" t="s">
        <v>5700</v>
      </c>
      <c r="J1884" s="90"/>
      <c r="K1884" s="90" t="s">
        <v>1268</v>
      </c>
      <c r="M1884" s="40">
        <v>1</v>
      </c>
      <c r="N1884" s="40">
        <v>1</v>
      </c>
      <c r="Q1884" s="40">
        <v>1</v>
      </c>
      <c r="Z1884" s="43" t="s">
        <v>7942</v>
      </c>
      <c r="AA1884" s="47">
        <v>640</v>
      </c>
      <c r="AB1884" s="46">
        <f>IF(H2ProjectDB689571011[[#This Row],[Dummy_1]]="Electrolysis",
AA1884/VLOOKUP(G1884,ElectrolysisConvF,3,FALSE),
AC1884*10^6/(H2dens*HoursInYear))</f>
        <v>139130.4347826087</v>
      </c>
      <c r="AC1884" s="47">
        <f t="shared" si="131"/>
        <v>108.47165217391304</v>
      </c>
      <c r="AE1884" s="46">
        <f t="shared" si="132"/>
        <v>139130.4347826087</v>
      </c>
      <c r="AF1884" s="43" t="s">
        <v>7943</v>
      </c>
      <c r="AG1884" s="43">
        <v>45.146898549152901</v>
      </c>
      <c r="AH1884" s="43">
        <v>124.82884507520799</v>
      </c>
      <c r="AI1884" s="122" t="s">
        <v>7286</v>
      </c>
      <c r="AJ1884" s="41">
        <v>0.7</v>
      </c>
    </row>
    <row r="1885" spans="1:36" ht="35.1" hidden="1" customHeight="1" x14ac:dyDescent="0.25">
      <c r="A1885" s="40">
        <v>2534</v>
      </c>
      <c r="B1885" s="40" t="s">
        <v>6451</v>
      </c>
      <c r="C1885" s="90" t="s">
        <v>531</v>
      </c>
      <c r="D1885" s="44">
        <v>2026</v>
      </c>
      <c r="E1885" s="44"/>
      <c r="F1885" s="40" t="s">
        <v>1331</v>
      </c>
      <c r="G1885" s="40" t="s">
        <v>1259</v>
      </c>
      <c r="H1885" s="40" t="s">
        <v>467</v>
      </c>
      <c r="I1885" s="90" t="s">
        <v>5700</v>
      </c>
      <c r="J1885" s="90" t="s">
        <v>1395</v>
      </c>
      <c r="K1885" s="90" t="s">
        <v>1243</v>
      </c>
      <c r="M1885" s="40">
        <v>1</v>
      </c>
      <c r="Q1885" s="40">
        <v>1</v>
      </c>
      <c r="Z1885" s="40" t="s">
        <v>1572</v>
      </c>
      <c r="AA1885" s="45">
        <v>130</v>
      </c>
      <c r="AB1885" s="46">
        <f>IF(H2ProjectDB689571011[[#This Row],[Dummy_1]]="Electrolysis",
AA1885/VLOOKUP(G1885,ElectrolysisConvF,3,FALSE),
AC1885*10^6/(H2dens*HoursInYear))</f>
        <v>28888.888888888891</v>
      </c>
      <c r="AC1885" s="47">
        <f t="shared" si="131"/>
        <v>22.522933333333334</v>
      </c>
      <c r="AE1885" s="46">
        <f t="shared" si="132"/>
        <v>28888.888888888891</v>
      </c>
      <c r="AF1885" s="43" t="s">
        <v>6452</v>
      </c>
      <c r="AG1885" s="43">
        <v>61.031530350674998</v>
      </c>
      <c r="AH1885" s="43">
        <v>5.0874556413026601</v>
      </c>
      <c r="AI1885" s="122" t="s">
        <v>7286</v>
      </c>
      <c r="AJ1885" s="41">
        <v>0.7</v>
      </c>
    </row>
    <row r="1886" spans="1:36" ht="35.1" hidden="1" customHeight="1" x14ac:dyDescent="0.25">
      <c r="A1886" s="40">
        <v>2535</v>
      </c>
      <c r="B1886" s="40" t="s">
        <v>6458</v>
      </c>
      <c r="C1886" s="40" t="s">
        <v>1995</v>
      </c>
      <c r="D1886" s="44"/>
      <c r="E1886" s="44"/>
      <c r="F1886" s="40" t="s">
        <v>2222</v>
      </c>
      <c r="G1886" s="40" t="s">
        <v>1259</v>
      </c>
      <c r="H1886" s="40" t="s">
        <v>467</v>
      </c>
      <c r="I1886" s="40" t="s">
        <v>1269</v>
      </c>
      <c r="J1886" s="40" t="s">
        <v>1395</v>
      </c>
      <c r="K1886" s="90" t="s">
        <v>578</v>
      </c>
      <c r="Z1886" s="40" t="s">
        <v>4961</v>
      </c>
      <c r="AA1886" s="47">
        <f>IF(H2ProjectDB689571011[[#This Row],[Dummy_1]]="Electrolysis",
AB1886*VLOOKUP(G1886,ElectrolysisConvF,3,FALSE),
"")</f>
        <v>20787.132522702785</v>
      </c>
      <c r="AB1886" s="46">
        <f>AC1886/(H2dens*HoursInYear/10^6)</f>
        <v>4619362.7828228418</v>
      </c>
      <c r="AC1886" s="47">
        <f>10000*0.180072/H2ProjectDB689571011[[#This Row],[LOWE_CF]]</f>
        <v>3601.44</v>
      </c>
      <c r="AE1886" s="46">
        <f t="shared" si="132"/>
        <v>4619362.7828228418</v>
      </c>
      <c r="AF1886" s="43" t="s">
        <v>6461</v>
      </c>
      <c r="AG1886" s="43">
        <v>19.171723</v>
      </c>
      <c r="AH1886" s="43">
        <v>-15.994444</v>
      </c>
      <c r="AI1886" s="122" t="s">
        <v>7286</v>
      </c>
      <c r="AJ1886" s="41">
        <v>0.5</v>
      </c>
    </row>
    <row r="1887" spans="1:36" ht="35.1" hidden="1" customHeight="1" x14ac:dyDescent="0.25">
      <c r="A1887" s="40">
        <v>2536</v>
      </c>
      <c r="B1887" s="40" t="s">
        <v>6462</v>
      </c>
      <c r="C1887" s="40" t="s">
        <v>535</v>
      </c>
      <c r="D1887" s="44">
        <v>2028</v>
      </c>
      <c r="E1887" s="44"/>
      <c r="F1887" s="90" t="s">
        <v>1331</v>
      </c>
      <c r="G1887" s="90" t="s">
        <v>1259</v>
      </c>
      <c r="H1887" s="40" t="s">
        <v>467</v>
      </c>
      <c r="I1887" s="90" t="s">
        <v>1269</v>
      </c>
      <c r="J1887" s="90" t="s">
        <v>581</v>
      </c>
      <c r="K1887" s="90" t="s">
        <v>1243</v>
      </c>
      <c r="M1887" s="40">
        <v>1</v>
      </c>
      <c r="Z1887" s="40" t="s">
        <v>6463</v>
      </c>
      <c r="AA1887" s="47">
        <f>IF(H2ProjectDB689571011[[#This Row],[Dummy_1]]="Electrolysis",
AB1887*VLOOKUP(G1887,ElectrolysisConvF,3,FALSE),
"")</f>
        <v>948.41307309440629</v>
      </c>
      <c r="AB1887" s="46">
        <f>AC1887/(H2dens*HoursInYear/10^6)</f>
        <v>210758.46068764586</v>
      </c>
      <c r="AC1887" s="47">
        <f>912.5*3/17/0.98</f>
        <v>164.31572629051621</v>
      </c>
      <c r="AE1887" s="46">
        <f t="shared" si="132"/>
        <v>210758.46068764586</v>
      </c>
      <c r="AF1887" s="43" t="s">
        <v>7642</v>
      </c>
      <c r="AG1887" s="43">
        <v>-12.303260050520599</v>
      </c>
      <c r="AH1887" s="43">
        <v>136.80987943345301</v>
      </c>
      <c r="AI1887" s="122" t="s">
        <v>7286</v>
      </c>
      <c r="AJ1887" s="41">
        <v>0.5</v>
      </c>
    </row>
    <row r="1888" spans="1:36" ht="35.1" hidden="1" customHeight="1" x14ac:dyDescent="0.25">
      <c r="A1888" s="40">
        <v>2537</v>
      </c>
      <c r="B1888" s="40" t="s">
        <v>6469</v>
      </c>
      <c r="C1888" s="90" t="s">
        <v>1305</v>
      </c>
      <c r="D1888" s="44">
        <v>2023</v>
      </c>
      <c r="F1888" s="40" t="s">
        <v>1540</v>
      </c>
      <c r="G1888" s="40" t="s">
        <v>456</v>
      </c>
      <c r="I1888" s="90" t="s">
        <v>1269</v>
      </c>
      <c r="J1888" s="90" t="s">
        <v>581</v>
      </c>
      <c r="K1888" s="40" t="s">
        <v>578</v>
      </c>
      <c r="Z1888" s="40" t="s">
        <v>5683</v>
      </c>
      <c r="AA1888" s="45">
        <f>250/1000</f>
        <v>0.25</v>
      </c>
      <c r="AB1888" s="46">
        <f>IF(H2ProjectDB689571011[[#This Row],[Dummy_1]]="Electrolysis",
AA1888/VLOOKUP(G1888,ElectrolysisConvF,3,FALSE),
AC1888*10^6/(H2dens*HoursInYear))</f>
        <v>65.78947368421052</v>
      </c>
      <c r="AC1888" s="47">
        <f>AB1888*H2dens*HoursInYear/10^6</f>
        <v>5.1292105263157896E-2</v>
      </c>
      <c r="AE1888" s="46">
        <f t="shared" si="132"/>
        <v>65.78947368421052</v>
      </c>
      <c r="AF1888" s="43" t="s">
        <v>6470</v>
      </c>
      <c r="AG1888" s="43">
        <v>52.482556513702299</v>
      </c>
      <c r="AH1888" s="43">
        <v>7.2996678118249898</v>
      </c>
      <c r="AI1888" s="122" t="s">
        <v>7286</v>
      </c>
      <c r="AJ1888" s="41">
        <v>0.5</v>
      </c>
    </row>
    <row r="1889" spans="1:36" ht="35.1" hidden="1" customHeight="1" x14ac:dyDescent="0.25">
      <c r="A1889" s="40">
        <v>2538</v>
      </c>
      <c r="B1889" s="40" t="s">
        <v>6472</v>
      </c>
      <c r="C1889" s="40" t="s">
        <v>1761</v>
      </c>
      <c r="D1889" s="44">
        <v>2027</v>
      </c>
      <c r="E1889" s="44"/>
      <c r="F1889" s="40" t="s">
        <v>1331</v>
      </c>
      <c r="G1889" s="40" t="s">
        <v>1259</v>
      </c>
      <c r="H1889" s="40" t="s">
        <v>467</v>
      </c>
      <c r="I1889" s="40" t="s">
        <v>1269</v>
      </c>
      <c r="J1889" s="90" t="s">
        <v>1395</v>
      </c>
      <c r="K1889" s="90" t="s">
        <v>578</v>
      </c>
      <c r="Z1889" s="40" t="s">
        <v>8705</v>
      </c>
      <c r="AA1889" s="91">
        <v>330</v>
      </c>
      <c r="AB1889" s="46">
        <f>IF(H2ProjectDB689571011[[#This Row],[Dummy_1]]="Electrolysis",
AA1889/VLOOKUP(G1889,ElectrolysisConvF,3,FALSE),
AC1889*10^6/(H2dens*HoursInYear))</f>
        <v>73333.333333333343</v>
      </c>
      <c r="AC1889" s="47">
        <f>AB1889*H2dens*HoursInYear/10^6</f>
        <v>57.1736</v>
      </c>
      <c r="AE1889" s="46">
        <f t="shared" si="132"/>
        <v>73333.333333333343</v>
      </c>
      <c r="AF1889" s="43" t="s">
        <v>8704</v>
      </c>
      <c r="AG1889" s="43">
        <v>37.956009712257902</v>
      </c>
      <c r="AH1889" s="43">
        <v>-8.8184891898123698</v>
      </c>
      <c r="AI1889" s="122" t="s">
        <v>7286</v>
      </c>
      <c r="AJ1889" s="41">
        <v>0.5</v>
      </c>
    </row>
    <row r="1890" spans="1:36" ht="35.1" hidden="1" customHeight="1" x14ac:dyDescent="0.25">
      <c r="A1890" s="40">
        <v>2539</v>
      </c>
      <c r="B1890" s="40" t="s">
        <v>6476</v>
      </c>
      <c r="C1890" s="40" t="s">
        <v>539</v>
      </c>
      <c r="D1890" s="44">
        <v>2030</v>
      </c>
      <c r="E1890" s="44"/>
      <c r="F1890" s="90" t="s">
        <v>2222</v>
      </c>
      <c r="G1890" s="90" t="s">
        <v>1263</v>
      </c>
      <c r="H1890" s="40" t="s">
        <v>990</v>
      </c>
      <c r="I1890" s="90"/>
      <c r="J1890" s="90"/>
      <c r="K1890" s="90" t="s">
        <v>578</v>
      </c>
      <c r="L1890" s="40">
        <v>1</v>
      </c>
      <c r="Z1890" s="40" t="s">
        <v>6477</v>
      </c>
      <c r="AB1890" s="46">
        <f t="shared" ref="AB1890:AB1895" si="133">AC1890/(H2dens*HoursInYear/10^6)</f>
        <v>498.805716598544</v>
      </c>
      <c r="AC1890" s="98">
        <f>(350/1000/H2ProjectDB689571011[[#This Row],[LOWE_CF]])</f>
        <v>0.38888888888888884</v>
      </c>
      <c r="AE1890" s="46">
        <f t="shared" si="132"/>
        <v>498.805716598544</v>
      </c>
      <c r="AF1890" s="43" t="s">
        <v>6475</v>
      </c>
      <c r="AG1890" s="43">
        <v>22.370918769708599</v>
      </c>
      <c r="AH1890" s="43">
        <v>73.122750766370501</v>
      </c>
      <c r="AI1890" s="122" t="s">
        <v>1255</v>
      </c>
      <c r="AJ1890" s="41">
        <v>0.9</v>
      </c>
    </row>
    <row r="1891" spans="1:36" ht="35.1" hidden="1" customHeight="1" x14ac:dyDescent="0.25">
      <c r="A1891" s="40">
        <v>2540</v>
      </c>
      <c r="B1891" s="40" t="s">
        <v>6478</v>
      </c>
      <c r="C1891" s="40" t="s">
        <v>539</v>
      </c>
      <c r="D1891" s="44">
        <v>2027</v>
      </c>
      <c r="E1891" s="44"/>
      <c r="F1891" s="90" t="s">
        <v>2222</v>
      </c>
      <c r="G1891" s="90" t="s">
        <v>1259</v>
      </c>
      <c r="H1891" s="40" t="s">
        <v>467</v>
      </c>
      <c r="I1891" s="90" t="s">
        <v>1269</v>
      </c>
      <c r="J1891" s="90" t="s">
        <v>581</v>
      </c>
      <c r="K1891" s="90" t="s">
        <v>578</v>
      </c>
      <c r="L1891" s="40">
        <v>1</v>
      </c>
      <c r="Z1891" s="40" t="s">
        <v>6482</v>
      </c>
      <c r="AA1891" s="78">
        <f>IF(H2ProjectDB689571011[[#This Row],[Dummy_1]]="Electrolysis",
AB1891*VLOOKUP(G1891,ElectrolysisConvF,3,FALSE),
"")</f>
        <v>1.1543789441280591E-2</v>
      </c>
      <c r="AB1891" s="46">
        <f t="shared" si="133"/>
        <v>2.5652865425067981</v>
      </c>
      <c r="AC1891" s="98">
        <f>(1/1000/H2ProjectDB689571011[[#This Row],[LOWE_CF]])</f>
        <v>2E-3</v>
      </c>
      <c r="AE1891" s="46">
        <f t="shared" si="132"/>
        <v>2.5652865425067981</v>
      </c>
      <c r="AF1891" s="43" t="s">
        <v>6475</v>
      </c>
      <c r="AG1891" s="43">
        <v>13.2803940405198</v>
      </c>
      <c r="AH1891" s="43">
        <v>80.562414237457702</v>
      </c>
      <c r="AI1891" s="122" t="s">
        <v>7286</v>
      </c>
      <c r="AJ1891" s="41">
        <v>0.5</v>
      </c>
    </row>
    <row r="1892" spans="1:36" ht="35.1" hidden="1" customHeight="1" x14ac:dyDescent="0.25">
      <c r="A1892" s="40">
        <v>2541</v>
      </c>
      <c r="B1892" s="40" t="s">
        <v>6479</v>
      </c>
      <c r="C1892" s="40" t="s">
        <v>539</v>
      </c>
      <c r="D1892" s="44">
        <v>2030</v>
      </c>
      <c r="E1892" s="44"/>
      <c r="F1892" s="90" t="s">
        <v>2222</v>
      </c>
      <c r="G1892" s="90" t="s">
        <v>1259</v>
      </c>
      <c r="H1892" s="40" t="s">
        <v>467</v>
      </c>
      <c r="I1892" s="90" t="s">
        <v>1269</v>
      </c>
      <c r="J1892" s="90" t="s">
        <v>581</v>
      </c>
      <c r="K1892" s="90" t="s">
        <v>578</v>
      </c>
      <c r="L1892" s="40">
        <v>1</v>
      </c>
      <c r="Z1892" s="40" t="s">
        <v>6483</v>
      </c>
      <c r="AA1892" s="78">
        <f>IF(H2ProjectDB689571011[[#This Row],[Dummy_1]]="Electrolysis",
AB1892*VLOOKUP(G1892,ElectrolysisConvF,3,FALSE),
"")</f>
        <v>4.6175157765122363E-2</v>
      </c>
      <c r="AB1892" s="46">
        <f t="shared" si="133"/>
        <v>10.261146170027192</v>
      </c>
      <c r="AC1892" s="98">
        <f>((5-1)/1000/H2ProjectDB689571011[[#This Row],[LOWE_CF]])</f>
        <v>8.0000000000000002E-3</v>
      </c>
      <c r="AE1892" s="46">
        <f t="shared" si="132"/>
        <v>10.261146170027192</v>
      </c>
      <c r="AF1892" s="43" t="s">
        <v>6475</v>
      </c>
      <c r="AG1892" s="43">
        <v>13.2803940405198</v>
      </c>
      <c r="AH1892" s="43">
        <v>80.562414237457702</v>
      </c>
      <c r="AI1892" s="122" t="s">
        <v>7286</v>
      </c>
      <c r="AJ1892" s="41">
        <v>0.5</v>
      </c>
    </row>
    <row r="1893" spans="1:36" ht="35.1" hidden="1" customHeight="1" x14ac:dyDescent="0.25">
      <c r="A1893" s="40">
        <v>2542</v>
      </c>
      <c r="B1893" s="40" t="s">
        <v>6480</v>
      </c>
      <c r="C1893" s="40" t="s">
        <v>539</v>
      </c>
      <c r="D1893" s="44">
        <v>2025</v>
      </c>
      <c r="E1893" s="44"/>
      <c r="F1893" s="90" t="s">
        <v>2222</v>
      </c>
      <c r="G1893" s="90" t="s">
        <v>1259</v>
      </c>
      <c r="H1893" s="40" t="s">
        <v>467</v>
      </c>
      <c r="I1893" s="90" t="s">
        <v>1269</v>
      </c>
      <c r="J1893" s="90" t="s">
        <v>581</v>
      </c>
      <c r="K1893" s="90" t="s">
        <v>578</v>
      </c>
      <c r="L1893" s="40">
        <v>1</v>
      </c>
      <c r="Z1893" s="40" t="s">
        <v>6484</v>
      </c>
      <c r="AA1893" s="78">
        <f>IF(H2ProjectDB689571011[[#This Row],[Dummy_1]]="Electrolysis",
AB1893*VLOOKUP(G1893,ElectrolysisConvF,3,FALSE),
"")</f>
        <v>5.7718947206402953E-3</v>
      </c>
      <c r="AB1893" s="46">
        <f t="shared" si="133"/>
        <v>1.2826432712533991</v>
      </c>
      <c r="AC1893" s="98">
        <f>(0.5/1000/H2ProjectDB689571011[[#This Row],[LOWE_CF]])</f>
        <v>1E-3</v>
      </c>
      <c r="AE1893" s="46">
        <f t="shared" si="132"/>
        <v>1.2826432712533991</v>
      </c>
      <c r="AF1893" s="43" t="s">
        <v>6475</v>
      </c>
      <c r="AG1893" s="43">
        <v>14.741083316501401</v>
      </c>
      <c r="AH1893" s="43">
        <v>75.0636378765073</v>
      </c>
      <c r="AI1893" s="122" t="s">
        <v>7286</v>
      </c>
      <c r="AJ1893" s="41">
        <v>0.5</v>
      </c>
    </row>
    <row r="1894" spans="1:36" ht="35.1" hidden="1" customHeight="1" x14ac:dyDescent="0.25">
      <c r="A1894" s="40">
        <v>2543</v>
      </c>
      <c r="B1894" s="40" t="s">
        <v>6481</v>
      </c>
      <c r="C1894" s="40" t="s">
        <v>539</v>
      </c>
      <c r="D1894" s="44">
        <v>2030</v>
      </c>
      <c r="E1894" s="44"/>
      <c r="F1894" s="90" t="s">
        <v>2222</v>
      </c>
      <c r="G1894" s="90" t="s">
        <v>1259</v>
      </c>
      <c r="H1894" s="40" t="s">
        <v>467</v>
      </c>
      <c r="I1894" s="90" t="s">
        <v>1269</v>
      </c>
      <c r="J1894" s="90" t="s">
        <v>581</v>
      </c>
      <c r="K1894" s="90" t="s">
        <v>578</v>
      </c>
      <c r="L1894" s="40">
        <v>1</v>
      </c>
      <c r="Z1894" s="40" t="s">
        <v>6483</v>
      </c>
      <c r="AA1894" s="78">
        <f>IF(H2ProjectDB689571011[[#This Row],[Dummy_1]]="Electrolysis",
AB1894*VLOOKUP(G1894,ElectrolysisConvF,3,FALSE),
"")</f>
        <v>4.6175157765122363E-2</v>
      </c>
      <c r="AB1894" s="46">
        <f t="shared" si="133"/>
        <v>10.261146170027192</v>
      </c>
      <c r="AC1894" s="98">
        <f>((5-1)/1000/H2ProjectDB689571011[[#This Row],[LOWE_CF]])</f>
        <v>8.0000000000000002E-3</v>
      </c>
      <c r="AE1894" s="46">
        <f t="shared" si="132"/>
        <v>10.261146170027192</v>
      </c>
      <c r="AF1894" s="43" t="s">
        <v>6475</v>
      </c>
      <c r="AG1894" s="43">
        <v>14.741083316501401</v>
      </c>
      <c r="AH1894" s="43">
        <v>75.0636378765073</v>
      </c>
      <c r="AI1894" s="122" t="s">
        <v>7286</v>
      </c>
      <c r="AJ1894" s="41">
        <v>0.5</v>
      </c>
    </row>
    <row r="1895" spans="1:36" ht="35.1" hidden="1" customHeight="1" x14ac:dyDescent="0.25">
      <c r="A1895" s="40">
        <v>2544</v>
      </c>
      <c r="B1895" s="40" t="s">
        <v>6487</v>
      </c>
      <c r="C1895" s="40" t="s">
        <v>536</v>
      </c>
      <c r="D1895" s="44">
        <v>2027</v>
      </c>
      <c r="E1895" s="44"/>
      <c r="F1895" s="90" t="s">
        <v>2222</v>
      </c>
      <c r="G1895" s="90" t="s">
        <v>1259</v>
      </c>
      <c r="H1895" s="40" t="s">
        <v>467</v>
      </c>
      <c r="I1895" s="90" t="s">
        <v>1269</v>
      </c>
      <c r="J1895" s="90" t="s">
        <v>1394</v>
      </c>
      <c r="K1895" s="40" t="s">
        <v>578</v>
      </c>
      <c r="Q1895" s="40">
        <v>1</v>
      </c>
      <c r="Z1895" s="40" t="s">
        <v>6488</v>
      </c>
      <c r="AA1895" s="47">
        <f>IF(H2ProjectDB689571011[[#This Row],[Dummy_1]]="Electrolysis",
AB1895*VLOOKUP(G1895,ElectrolysisConvF,3,FALSE),
"")</f>
        <v>92.169943820224717</v>
      </c>
      <c r="AB1895" s="46">
        <f t="shared" si="133"/>
        <v>20482.209737827718</v>
      </c>
      <c r="AC1895" s="97">
        <f>((35/10^3)*365)/H2ProjectDB689571011[[#This Row],[LOWE_CF]]</f>
        <v>15.96875</v>
      </c>
      <c r="AE1895" s="46">
        <f t="shared" si="132"/>
        <v>20482.209737827718</v>
      </c>
      <c r="AF1895" s="43" t="s">
        <v>6486</v>
      </c>
      <c r="AG1895" s="43">
        <v>44.927891114206403</v>
      </c>
      <c r="AH1895" s="43">
        <v>-74.891692199196399</v>
      </c>
      <c r="AI1895" s="122" t="s">
        <v>7286</v>
      </c>
      <c r="AJ1895" s="41">
        <v>0.8</v>
      </c>
    </row>
    <row r="1896" spans="1:36" ht="35.1" hidden="1" customHeight="1" x14ac:dyDescent="0.25">
      <c r="A1896" s="40">
        <v>2545</v>
      </c>
      <c r="B1896" s="87" t="s">
        <v>6490</v>
      </c>
      <c r="C1896" s="87" t="s">
        <v>1062</v>
      </c>
      <c r="D1896" s="94">
        <v>2026</v>
      </c>
      <c r="E1896" s="94"/>
      <c r="F1896" s="87" t="s">
        <v>1331</v>
      </c>
      <c r="G1896" s="87" t="s">
        <v>1259</v>
      </c>
      <c r="H1896" s="87" t="s">
        <v>467</v>
      </c>
      <c r="I1896" s="87" t="s">
        <v>1269</v>
      </c>
      <c r="J1896" s="124" t="s">
        <v>581</v>
      </c>
      <c r="K1896" s="124" t="s">
        <v>578</v>
      </c>
      <c r="L1896" s="87"/>
      <c r="M1896" s="87"/>
      <c r="N1896" s="87"/>
      <c r="O1896" s="87"/>
      <c r="P1896" s="87">
        <v>1</v>
      </c>
      <c r="Q1896" s="87"/>
      <c r="R1896" s="87"/>
      <c r="S1896" s="87"/>
      <c r="T1896" s="87"/>
      <c r="U1896" s="87"/>
      <c r="V1896" s="87"/>
      <c r="W1896" s="87"/>
      <c r="X1896" s="87"/>
      <c r="Y1896" s="87"/>
      <c r="Z1896" s="87" t="s">
        <v>7853</v>
      </c>
      <c r="AA1896" s="125">
        <v>300</v>
      </c>
      <c r="AB1896" s="46">
        <f>IF(H2ProjectDB689571011[[#This Row],[Dummy_1]]="Electrolysis",
AA1896/VLOOKUP(G1896,ElectrolysisConvF,3,FALSE),
AC1896*10^6/(H2dens*HoursInYear))</f>
        <v>66666.666666666672</v>
      </c>
      <c r="AC1896" s="125">
        <f t="shared" ref="AC1896:AC1901" si="134">AB1896*H2dens*HoursInYear/10^6</f>
        <v>51.975999999999999</v>
      </c>
      <c r="AD1896" s="141"/>
      <c r="AE1896" s="141">
        <f t="shared" si="132"/>
        <v>66666.666666666672</v>
      </c>
      <c r="AF1896" s="142" t="s">
        <v>6491</v>
      </c>
      <c r="AG1896" s="43">
        <v>0</v>
      </c>
      <c r="AH1896" s="43">
        <v>0</v>
      </c>
      <c r="AI1896" s="122" t="s">
        <v>7286</v>
      </c>
      <c r="AJ1896" s="86">
        <v>0.5</v>
      </c>
    </row>
    <row r="1897" spans="1:36" ht="35.1" hidden="1" customHeight="1" x14ac:dyDescent="0.25">
      <c r="A1897" s="40">
        <v>2547</v>
      </c>
      <c r="B1897" s="40" t="s">
        <v>6493</v>
      </c>
      <c r="C1897" s="40" t="s">
        <v>535</v>
      </c>
      <c r="F1897" s="90" t="s">
        <v>1331</v>
      </c>
      <c r="G1897" s="90" t="s">
        <v>1259</v>
      </c>
      <c r="H1897" s="40" t="s">
        <v>467</v>
      </c>
      <c r="I1897" s="90" t="s">
        <v>1269</v>
      </c>
      <c r="J1897" s="90" t="s">
        <v>581</v>
      </c>
      <c r="K1897" s="90" t="s">
        <v>1243</v>
      </c>
      <c r="L1897" s="90"/>
      <c r="M1897" s="90">
        <v>1</v>
      </c>
      <c r="Z1897" s="40" t="s">
        <v>1334</v>
      </c>
      <c r="AA1897" s="45">
        <v>1000</v>
      </c>
      <c r="AB1897" s="46">
        <f>IF(H2ProjectDB689571011[[#This Row],[Dummy_1]]="Electrolysis",
AA1897/VLOOKUP(G1897,ElectrolysisConvF,3,FALSE),
AC1897*10^6/(H2dens*HoursInYear))</f>
        <v>222222.22222222225</v>
      </c>
      <c r="AC1897" s="47">
        <f t="shared" si="134"/>
        <v>173.25333333333333</v>
      </c>
      <c r="AE1897" s="46">
        <f t="shared" si="132"/>
        <v>222222.22222222225</v>
      </c>
      <c r="AF1897" s="43" t="s">
        <v>6495</v>
      </c>
      <c r="AG1897" s="43">
        <v>-20.056075826332201</v>
      </c>
      <c r="AH1897" s="43">
        <v>147.90723585490599</v>
      </c>
      <c r="AI1897" s="122" t="s">
        <v>7286</v>
      </c>
      <c r="AJ1897" s="41">
        <v>0.5</v>
      </c>
    </row>
    <row r="1898" spans="1:36" ht="35.1" hidden="1" customHeight="1" x14ac:dyDescent="0.25">
      <c r="A1898" s="40">
        <v>2548</v>
      </c>
      <c r="B1898" s="40" t="s">
        <v>6496</v>
      </c>
      <c r="C1898" s="90" t="s">
        <v>542</v>
      </c>
      <c r="D1898" s="44">
        <v>2025</v>
      </c>
      <c r="E1898" s="44"/>
      <c r="F1898" s="90" t="s">
        <v>5701</v>
      </c>
      <c r="G1898" s="90" t="s">
        <v>1259</v>
      </c>
      <c r="H1898" s="90" t="s">
        <v>467</v>
      </c>
      <c r="I1898" s="90" t="s">
        <v>1269</v>
      </c>
      <c r="J1898" s="90" t="s">
        <v>581</v>
      </c>
      <c r="K1898" s="90" t="s">
        <v>578</v>
      </c>
      <c r="Q1898" s="40">
        <v>1</v>
      </c>
      <c r="Z1898" s="40" t="s">
        <v>1336</v>
      </c>
      <c r="AA1898" s="45">
        <v>2.5</v>
      </c>
      <c r="AB1898" s="46">
        <f>IF(H2ProjectDB689571011[[#This Row],[Dummy_1]]="Electrolysis",
AA1898/VLOOKUP(G1898,ElectrolysisConvF,3,FALSE),
AC1898*10^6/(H2dens*HoursInYear))</f>
        <v>555.55555555555554</v>
      </c>
      <c r="AC1898" s="47">
        <f t="shared" si="134"/>
        <v>0.43313333333333331</v>
      </c>
      <c r="AE1898" s="46">
        <f t="shared" si="132"/>
        <v>555.55555555555554</v>
      </c>
      <c r="AF1898" s="43" t="s">
        <v>6498</v>
      </c>
      <c r="AG1898" s="43">
        <v>55.394009975333702</v>
      </c>
      <c r="AH1898" s="43">
        <v>-4.1915785320300296</v>
      </c>
      <c r="AI1898" s="122" t="s">
        <v>7286</v>
      </c>
      <c r="AJ1898" s="41">
        <v>0.5</v>
      </c>
    </row>
    <row r="1899" spans="1:36" ht="35.1" hidden="1" customHeight="1" x14ac:dyDescent="0.25">
      <c r="A1899" s="40">
        <v>2549</v>
      </c>
      <c r="B1899" s="40" t="s">
        <v>8075</v>
      </c>
      <c r="C1899" s="40" t="s">
        <v>1305</v>
      </c>
      <c r="D1899" s="44">
        <v>2028</v>
      </c>
      <c r="E1899" s="44"/>
      <c r="F1899" s="90" t="s">
        <v>5701</v>
      </c>
      <c r="G1899" s="90" t="s">
        <v>455</v>
      </c>
      <c r="H1899" s="90"/>
      <c r="I1899" s="90" t="s">
        <v>1257</v>
      </c>
      <c r="J1899" s="90" t="s">
        <v>581</v>
      </c>
      <c r="K1899" s="40" t="s">
        <v>578</v>
      </c>
      <c r="O1899" s="40">
        <v>1</v>
      </c>
      <c r="P1899" s="40">
        <v>1</v>
      </c>
      <c r="Q1899" s="40">
        <v>1</v>
      </c>
      <c r="Z1899" s="40" t="s">
        <v>5166</v>
      </c>
      <c r="AA1899" s="45">
        <v>280</v>
      </c>
      <c r="AB1899" s="46">
        <f>IF(H2ProjectDB689571011[[#This Row],[Dummy_1]]="Electrolysis",
AA1899/VLOOKUP(G1899,ElectrolysisConvF,3,FALSE),
AC1899*10^6/(H2dens*HoursInYear))</f>
        <v>53846.153846153851</v>
      </c>
      <c r="AC1899" s="47">
        <f t="shared" si="134"/>
        <v>41.980615384615383</v>
      </c>
      <c r="AE1899" s="46">
        <f t="shared" si="132"/>
        <v>53846.153846153851</v>
      </c>
      <c r="AF1899" s="43" t="s">
        <v>8137</v>
      </c>
      <c r="AG1899" s="43">
        <v>53.359480143554002</v>
      </c>
      <c r="AH1899" s="43">
        <v>7.2095886770882798</v>
      </c>
      <c r="AI1899" s="122" t="s">
        <v>7286</v>
      </c>
      <c r="AJ1899" s="41">
        <v>0.56999999999999995</v>
      </c>
    </row>
    <row r="1900" spans="1:36" ht="35.1" hidden="1" customHeight="1" x14ac:dyDescent="0.25">
      <c r="A1900" s="40">
        <v>2550</v>
      </c>
      <c r="B1900" s="40" t="s">
        <v>6503</v>
      </c>
      <c r="C1900" s="40" t="s">
        <v>531</v>
      </c>
      <c r="D1900" s="44">
        <v>2024</v>
      </c>
      <c r="E1900" s="44"/>
      <c r="F1900" s="40" t="s">
        <v>5701</v>
      </c>
      <c r="G1900" s="40" t="s">
        <v>455</v>
      </c>
      <c r="I1900" s="40" t="s">
        <v>1269</v>
      </c>
      <c r="J1900" s="40" t="s">
        <v>1393</v>
      </c>
      <c r="K1900" s="90" t="s">
        <v>1243</v>
      </c>
      <c r="M1900" s="40">
        <v>1</v>
      </c>
      <c r="Z1900" s="40" t="s">
        <v>1480</v>
      </c>
      <c r="AA1900" s="45">
        <v>1</v>
      </c>
      <c r="AB1900" s="46">
        <f>IF(H2ProjectDB689571011[[#This Row],[Dummy_1]]="Electrolysis",
AA1900/VLOOKUP(G1900,ElectrolysisConvF,3,FALSE),
AC1900*10^6/(H2dens*HoursInYear))</f>
        <v>192.30769230769232</v>
      </c>
      <c r="AC1900" s="47">
        <f t="shared" si="134"/>
        <v>0.14993076923076926</v>
      </c>
      <c r="AE1900" s="46">
        <f t="shared" si="132"/>
        <v>192.30769230769232</v>
      </c>
      <c r="AF1900" s="43" t="s">
        <v>6502</v>
      </c>
      <c r="AG1900" s="43">
        <v>59.274901871929998</v>
      </c>
      <c r="AH1900" s="43">
        <v>5.5259229669454397</v>
      </c>
      <c r="AI1900" s="122" t="s">
        <v>7286</v>
      </c>
      <c r="AJ1900" s="41">
        <v>0.55000000000000004</v>
      </c>
    </row>
    <row r="1901" spans="1:36" ht="35.1" hidden="1" customHeight="1" x14ac:dyDescent="0.25">
      <c r="A1901" s="40">
        <v>2551</v>
      </c>
      <c r="B1901" s="40" t="s">
        <v>6505</v>
      </c>
      <c r="C1901" s="40" t="s">
        <v>1995</v>
      </c>
      <c r="D1901" s="44">
        <v>2037</v>
      </c>
      <c r="E1901" s="44"/>
      <c r="F1901" s="40" t="s">
        <v>1331</v>
      </c>
      <c r="G1901" s="40" t="s">
        <v>1259</v>
      </c>
      <c r="H1901" s="40" t="s">
        <v>467</v>
      </c>
      <c r="I1901" s="40" t="s">
        <v>1269</v>
      </c>
      <c r="J1901" s="40" t="s">
        <v>1395</v>
      </c>
      <c r="K1901" s="40" t="s">
        <v>1243</v>
      </c>
      <c r="M1901" s="40">
        <v>1</v>
      </c>
      <c r="Z1901" s="40" t="s">
        <v>3234</v>
      </c>
      <c r="AA1901" s="46">
        <v>12500</v>
      </c>
      <c r="AB1901" s="46">
        <f>IF(H2ProjectDB689571011[[#This Row],[Dummy_1]]="Electrolysis",
AA1901/VLOOKUP(G1901,ElectrolysisConvF,3,FALSE),
AC1901*10^6/(H2dens*HoursInYear))</f>
        <v>2777777.777777778</v>
      </c>
      <c r="AC1901" s="47">
        <f t="shared" si="134"/>
        <v>2165.6666666666665</v>
      </c>
      <c r="AE1901" s="46">
        <f>AB1901</f>
        <v>2777777.777777778</v>
      </c>
      <c r="AF1901" s="43" t="s">
        <v>6806</v>
      </c>
      <c r="AG1901" s="43">
        <v>23.7</v>
      </c>
      <c r="AH1901" s="43">
        <v>-9.2200000000000006</v>
      </c>
      <c r="AI1901" s="122" t="s">
        <v>7286</v>
      </c>
      <c r="AJ1901" s="41">
        <v>0.5</v>
      </c>
    </row>
    <row r="1902" spans="1:36" ht="35.1" hidden="1" customHeight="1" x14ac:dyDescent="0.25">
      <c r="A1902" s="40">
        <v>2552</v>
      </c>
      <c r="B1902" s="40" t="s">
        <v>6506</v>
      </c>
      <c r="C1902" s="40" t="s">
        <v>536</v>
      </c>
      <c r="D1902" s="44">
        <v>2027</v>
      </c>
      <c r="E1902" s="44"/>
      <c r="F1902" s="90" t="s">
        <v>1331</v>
      </c>
      <c r="G1902" s="90" t="s">
        <v>1261</v>
      </c>
      <c r="H1902" s="90" t="s">
        <v>5708</v>
      </c>
      <c r="K1902" s="90" t="s">
        <v>1243</v>
      </c>
      <c r="L1902" s="90"/>
      <c r="M1902" s="90">
        <v>1</v>
      </c>
      <c r="N1902" s="90"/>
      <c r="R1902" s="40">
        <v>1</v>
      </c>
      <c r="Z1902" s="40" t="s">
        <v>5012</v>
      </c>
      <c r="AA1902" s="47" t="str">
        <f>IF(OR(G1902="ALK",G1902="PEM",G1902="SOEC",G1902="Other Electrolysis"),
AB1902*VLOOKUP(G1902,ElectrolysisConvF,3,FALSE),
"")</f>
        <v/>
      </c>
      <c r="AB1902" s="46">
        <f>IF(H2ProjectDB689571011[[#This Row],[Dummy_1]]="Electrolysis",
AA1902/VLOOKUP(G1902,ElectrolysisConvF,3,FALSE),
AC1902*10^6/(H2dens*HoursInYear))</f>
        <v>230968.17609605024</v>
      </c>
      <c r="AC1902" s="92">
        <f>1000*3/17/0.98</f>
        <v>180.0720288115246</v>
      </c>
      <c r="AE1902" s="46">
        <f t="shared" ref="AE1902:AE1965" si="135">IF(AND(G1902&lt;&gt;"NG w CCUS",G1902&lt;&gt;"Oil w CCUS",G1902&lt;&gt;"Coal w CCUS"),AB1902,AD1902*10^3/(HoursInYear*IF(G1902="NG w CCUS",0.9105,1.9075)))</f>
        <v>0</v>
      </c>
      <c r="AF1902" s="43" t="s">
        <v>6508</v>
      </c>
      <c r="AG1902" s="43">
        <v>29.6143275876274</v>
      </c>
      <c r="AH1902" s="43">
        <v>-94.899921141176904</v>
      </c>
      <c r="AI1902" s="122" t="s">
        <v>7287</v>
      </c>
      <c r="AJ1902" s="41">
        <v>0.9</v>
      </c>
    </row>
    <row r="1903" spans="1:36" s="77" customFormat="1" ht="35.1" hidden="1" customHeight="1" x14ac:dyDescent="0.25">
      <c r="A1903" s="40">
        <v>2556</v>
      </c>
      <c r="B1903" s="90" t="s">
        <v>6511</v>
      </c>
      <c r="C1903" s="90" t="s">
        <v>537</v>
      </c>
      <c r="D1903" s="44">
        <v>2027</v>
      </c>
      <c r="E1903" s="44"/>
      <c r="F1903" s="90" t="s">
        <v>5701</v>
      </c>
      <c r="G1903" s="90" t="s">
        <v>1259</v>
      </c>
      <c r="H1903" s="40" t="s">
        <v>467</v>
      </c>
      <c r="I1903" s="90" t="s">
        <v>1269</v>
      </c>
      <c r="J1903" s="90" t="s">
        <v>1392</v>
      </c>
      <c r="K1903" s="90" t="s">
        <v>1242</v>
      </c>
      <c r="L1903" s="90"/>
      <c r="M1903" s="90"/>
      <c r="N1903" s="90">
        <v>1</v>
      </c>
      <c r="O1903" s="90"/>
      <c r="P1903" s="90"/>
      <c r="Q1903" s="90"/>
      <c r="R1903" s="90"/>
      <c r="S1903" s="90"/>
      <c r="T1903" s="90"/>
      <c r="U1903" s="90"/>
      <c r="V1903" s="90"/>
      <c r="W1903" s="90"/>
      <c r="X1903" s="90"/>
      <c r="Y1903" s="90"/>
      <c r="Z1903" s="40" t="s">
        <v>6512</v>
      </c>
      <c r="AA1903" s="47">
        <f>IF(H2ProjectDB689571011[[#This Row],[Dummy_1]]="Electrolysis",
AB1903*VLOOKUP(G1903,ElectrolysisConvF,3,FALSE),
"")</f>
        <v>721.48684008003693</v>
      </c>
      <c r="AB1903" s="92">
        <f>AC1903/(H2dens*HoursInYear/10^6)</f>
        <v>160330.40890667489</v>
      </c>
      <c r="AC1903" s="47">
        <f>50/H2ProjectDB689571011[[#This Row],[LOWE_CF]]</f>
        <v>125</v>
      </c>
      <c r="AD1903" s="92"/>
      <c r="AE1903" s="92">
        <f t="shared" si="135"/>
        <v>160330.40890667489</v>
      </c>
      <c r="AF1903" s="93" t="s">
        <v>7437</v>
      </c>
      <c r="AG1903" s="43">
        <v>45.6256610172764</v>
      </c>
      <c r="AH1903" s="43">
        <v>122.84099282129699</v>
      </c>
      <c r="AI1903" s="122" t="s">
        <v>7286</v>
      </c>
      <c r="AJ1903" s="41">
        <v>0.4</v>
      </c>
    </row>
    <row r="1904" spans="1:36" ht="35.1" customHeight="1" x14ac:dyDescent="0.25">
      <c r="A1904" s="40">
        <v>2560</v>
      </c>
      <c r="B1904" s="40" t="s">
        <v>6564</v>
      </c>
      <c r="C1904" s="40" t="s">
        <v>1052</v>
      </c>
      <c r="D1904" s="44">
        <v>2027</v>
      </c>
      <c r="E1904" s="44"/>
      <c r="F1904" s="40" t="s">
        <v>2222</v>
      </c>
      <c r="G1904" s="40" t="s">
        <v>1259</v>
      </c>
      <c r="H1904" s="40" t="s">
        <v>467</v>
      </c>
      <c r="I1904" s="40" t="s">
        <v>1269</v>
      </c>
      <c r="J1904" s="40" t="s">
        <v>1395</v>
      </c>
      <c r="K1904" s="40" t="s">
        <v>578</v>
      </c>
      <c r="P1904" s="40">
        <v>1</v>
      </c>
      <c r="Z1904" s="40" t="s">
        <v>6568</v>
      </c>
      <c r="AA1904" s="47">
        <f>IF(H2ProjectDB689571011[[#This Row],[Dummy_1]]="Electrolysis",
AB1904*VLOOKUP(G1904,ElectrolysisConvF,3,FALSE),
"")</f>
        <v>233.85527829725083</v>
      </c>
      <c r="AB1904" s="46">
        <f>AC1904/(H2dens*HoursInYear/10^6)</f>
        <v>51967.839621611303</v>
      </c>
      <c r="AC1904" s="46">
        <f>(500*0.45)*3/17/0.98</f>
        <v>40.516206482593034</v>
      </c>
      <c r="AE1904" s="46">
        <f t="shared" si="135"/>
        <v>51967.839621611303</v>
      </c>
      <c r="AF1904" s="43" t="s">
        <v>6567</v>
      </c>
      <c r="AG1904" s="43">
        <v>-19.746794386516999</v>
      </c>
      <c r="AH1904" s="43">
        <v>-47.933054083246198</v>
      </c>
      <c r="AI1904" s="122" t="s">
        <v>7286</v>
      </c>
      <c r="AJ1904" s="41">
        <v>0.5</v>
      </c>
    </row>
    <row r="1905" spans="1:36" ht="35.1" hidden="1" customHeight="1" x14ac:dyDescent="0.25">
      <c r="A1905" s="40">
        <v>2561</v>
      </c>
      <c r="B1905" s="40" t="s">
        <v>6565</v>
      </c>
      <c r="C1905" s="40" t="s">
        <v>536</v>
      </c>
      <c r="D1905" s="44">
        <v>2027</v>
      </c>
      <c r="E1905" s="44"/>
      <c r="F1905" s="40" t="s">
        <v>1331</v>
      </c>
      <c r="G1905" s="40" t="s">
        <v>1259</v>
      </c>
      <c r="H1905" s="40" t="s">
        <v>467</v>
      </c>
      <c r="I1905" s="40" t="s">
        <v>1269</v>
      </c>
      <c r="J1905" s="40" t="s">
        <v>581</v>
      </c>
      <c r="K1905" s="40" t="s">
        <v>578</v>
      </c>
      <c r="P1905" s="40">
        <v>1</v>
      </c>
      <c r="Z1905" s="40" t="s">
        <v>6569</v>
      </c>
      <c r="AA1905" s="47">
        <f>IF(H2ProjectDB689571011[[#This Row],[Dummy_1]]="Electrolysis",
AB1905*VLOOKUP(G1905,ElectrolysisConvF,3,FALSE),
"")</f>
        <v>327.3973896161512</v>
      </c>
      <c r="AB1905" s="46">
        <f>AC1905/(H2dens*HoursInYear/10^6)</f>
        <v>72754.975470255828</v>
      </c>
      <c r="AC1905" s="46">
        <f>(700*0.45)*3/17/0.98</f>
        <v>56.72268907563025</v>
      </c>
      <c r="AE1905" s="46">
        <f t="shared" si="135"/>
        <v>72754.975470255828</v>
      </c>
      <c r="AF1905" s="43" t="s">
        <v>6573</v>
      </c>
      <c r="AG1905" s="43">
        <v>46.2794322667486</v>
      </c>
      <c r="AH1905" s="43">
        <v>-119.272198629081</v>
      </c>
      <c r="AI1905" s="122" t="s">
        <v>7286</v>
      </c>
      <c r="AJ1905" s="41">
        <v>0.5</v>
      </c>
    </row>
    <row r="1906" spans="1:36" ht="35.1" hidden="1" customHeight="1" x14ac:dyDescent="0.25">
      <c r="A1906" s="40">
        <v>2562</v>
      </c>
      <c r="B1906" s="40" t="s">
        <v>6570</v>
      </c>
      <c r="C1906" s="40" t="s">
        <v>1945</v>
      </c>
      <c r="D1906" s="44">
        <v>2024</v>
      </c>
      <c r="F1906" s="40" t="s">
        <v>1339</v>
      </c>
      <c r="G1906" s="40" t="s">
        <v>455</v>
      </c>
      <c r="I1906" s="40" t="s">
        <v>1269</v>
      </c>
      <c r="J1906" s="40" t="s">
        <v>1391</v>
      </c>
      <c r="K1906" s="40" t="s">
        <v>578</v>
      </c>
      <c r="Q1906" s="40">
        <v>1</v>
      </c>
      <c r="Z1906" s="40" t="s">
        <v>1484</v>
      </c>
      <c r="AA1906" s="47">
        <v>5</v>
      </c>
      <c r="AB1906" s="46">
        <f>IF(H2ProjectDB689571011[[#This Row],[Dummy_1]]="Electrolysis",
AA1906/VLOOKUP(G1906,ElectrolysisConvF,3,FALSE),
AC1906*10^6/(H2dens*HoursInYear))</f>
        <v>961.53846153846155</v>
      </c>
      <c r="AC1906" s="47">
        <f>AB1906*H2dens*HoursInYear/10^6</f>
        <v>0.74965384615384612</v>
      </c>
      <c r="AE1906" s="46">
        <f t="shared" si="135"/>
        <v>961.53846153846155</v>
      </c>
      <c r="AF1906" s="43" t="s">
        <v>7450</v>
      </c>
      <c r="AG1906" s="43">
        <v>-22.973849093590001</v>
      </c>
      <c r="AH1906" s="43">
        <v>14.5190665163872</v>
      </c>
      <c r="AI1906" s="122" t="s">
        <v>7286</v>
      </c>
      <c r="AJ1906" s="41">
        <v>0.3</v>
      </c>
    </row>
    <row r="1907" spans="1:36" ht="35.1" hidden="1" customHeight="1" x14ac:dyDescent="0.25">
      <c r="A1907" s="40">
        <v>2563</v>
      </c>
      <c r="B1907" s="40" t="s">
        <v>6577</v>
      </c>
      <c r="C1907" s="40" t="s">
        <v>545</v>
      </c>
      <c r="D1907" s="44">
        <v>2026</v>
      </c>
      <c r="E1907" s="44"/>
      <c r="F1907" s="40" t="s">
        <v>1331</v>
      </c>
      <c r="G1907" s="40" t="s">
        <v>1259</v>
      </c>
      <c r="H1907" s="90" t="s">
        <v>467</v>
      </c>
      <c r="I1907" s="90" t="s">
        <v>1269</v>
      </c>
      <c r="J1907" s="40" t="s">
        <v>581</v>
      </c>
      <c r="K1907" s="40" t="s">
        <v>1267</v>
      </c>
      <c r="Q1907" s="40">
        <v>1</v>
      </c>
      <c r="W1907" s="40">
        <v>1</v>
      </c>
      <c r="Z1907" s="40" t="s">
        <v>6580</v>
      </c>
      <c r="AA1907" s="47">
        <f>IF(H2ProjectDB689571011[[#This Row],[Dummy_1]]="Electrolysis",
AB1907*VLOOKUP(G1907,ElectrolysisConvF,3,FALSE),
"")</f>
        <v>403.24195993514394</v>
      </c>
      <c r="AB1907" s="46">
        <f>AC1907/(H2dens*HoursInYear/10^6)</f>
        <v>89609.324430031993</v>
      </c>
      <c r="AC1907" s="47">
        <f>(68*0.045/0.73/0.12)/H2ProjectDB689571011[[#This Row],[LOWE_CF]]</f>
        <v>69.863013698630141</v>
      </c>
      <c r="AE1907" s="46">
        <f t="shared" si="135"/>
        <v>89609.324430031993</v>
      </c>
      <c r="AF1907" s="43" t="s">
        <v>6579</v>
      </c>
      <c r="AG1907" s="43">
        <v>55.0090102393915</v>
      </c>
      <c r="AH1907" s="43">
        <v>11.9111668084083</v>
      </c>
      <c r="AI1907" s="122" t="s">
        <v>7286</v>
      </c>
      <c r="AJ1907" s="41">
        <v>0.5</v>
      </c>
    </row>
    <row r="1908" spans="1:36" ht="35.1" hidden="1" customHeight="1" x14ac:dyDescent="0.25">
      <c r="A1908" s="40">
        <v>2564</v>
      </c>
      <c r="B1908" s="40" t="s">
        <v>6595</v>
      </c>
      <c r="C1908" s="40" t="s">
        <v>535</v>
      </c>
      <c r="D1908" s="44">
        <v>2026</v>
      </c>
      <c r="E1908" s="44"/>
      <c r="F1908" s="40" t="s">
        <v>1331</v>
      </c>
      <c r="G1908" s="40" t="s">
        <v>455</v>
      </c>
      <c r="I1908" s="90" t="s">
        <v>1266</v>
      </c>
      <c r="J1908" s="90"/>
      <c r="K1908" s="90" t="s">
        <v>1243</v>
      </c>
      <c r="L1908" s="90"/>
      <c r="M1908" s="90">
        <v>1</v>
      </c>
      <c r="Z1908" s="40" t="s">
        <v>6597</v>
      </c>
      <c r="AA1908" s="46">
        <v>550</v>
      </c>
      <c r="AB1908" s="46">
        <f>IF(H2ProjectDB689571011[[#This Row],[Dummy_1]]="Electrolysis",
AA1908/VLOOKUP(G1908,ElectrolysisConvF,3,FALSE),
AC1908*10^6/(H2dens*HoursInYear))</f>
        <v>105769.23076923078</v>
      </c>
      <c r="AC1908" s="47">
        <f>AB1908*H2dens*HoursInYear/10^6</f>
        <v>82.461923076923085</v>
      </c>
      <c r="AE1908" s="46">
        <f t="shared" si="135"/>
        <v>105769.23076923078</v>
      </c>
      <c r="AF1908" s="43" t="s">
        <v>6679</v>
      </c>
      <c r="AG1908" s="43">
        <v>-27.4288441464941</v>
      </c>
      <c r="AH1908" s="43">
        <v>153.18484365671699</v>
      </c>
      <c r="AI1908" s="122" t="s">
        <v>7286</v>
      </c>
      <c r="AJ1908" s="41">
        <v>0.56999999999999995</v>
      </c>
    </row>
    <row r="1909" spans="1:36" ht="35.1" hidden="1" customHeight="1" x14ac:dyDescent="0.25">
      <c r="A1909" s="40">
        <v>2565</v>
      </c>
      <c r="B1909" s="40" t="s">
        <v>6598</v>
      </c>
      <c r="C1909" s="40" t="s">
        <v>536</v>
      </c>
      <c r="D1909" s="44">
        <v>2026</v>
      </c>
      <c r="E1909" s="44"/>
      <c r="F1909" s="40" t="s">
        <v>5701</v>
      </c>
      <c r="G1909" s="40" t="s">
        <v>457</v>
      </c>
      <c r="I1909" s="40" t="s">
        <v>1266</v>
      </c>
      <c r="K1909" s="40" t="s">
        <v>578</v>
      </c>
      <c r="Q1909" s="40">
        <v>1</v>
      </c>
      <c r="Z1909" s="40" t="s">
        <v>2605</v>
      </c>
      <c r="AA1909" s="45">
        <v>80</v>
      </c>
      <c r="AB1909" s="46">
        <f>IF(H2ProjectDB689571011[[#This Row],[Dummy_1]]="Electrolysis",
AA1909/VLOOKUP(G1909,ElectrolysisConvF,3,FALSE),
AC1909*10^6/(H2dens*HoursInYear))</f>
        <v>17391.304347826088</v>
      </c>
      <c r="AC1909" s="47">
        <f>AB1909*H2dens*HoursInYear/10^6</f>
        <v>13.55895652173913</v>
      </c>
      <c r="AE1909" s="46">
        <f t="shared" si="135"/>
        <v>17391.304347826088</v>
      </c>
      <c r="AF1909" s="43" t="s">
        <v>6745</v>
      </c>
      <c r="AG1909" s="43">
        <v>33.448575935132098</v>
      </c>
      <c r="AH1909" s="43">
        <v>-112.071492652816</v>
      </c>
      <c r="AI1909" s="122" t="s">
        <v>7286</v>
      </c>
      <c r="AJ1909" s="41">
        <v>0.56999999999999995</v>
      </c>
    </row>
    <row r="1910" spans="1:36" ht="35.1" customHeight="1" x14ac:dyDescent="0.25">
      <c r="A1910" s="40">
        <v>2566</v>
      </c>
      <c r="B1910" s="40" t="s">
        <v>8343</v>
      </c>
      <c r="C1910" s="40" t="s">
        <v>1052</v>
      </c>
      <c r="D1910" s="44"/>
      <c r="E1910" s="44"/>
      <c r="F1910" s="40" t="s">
        <v>2222</v>
      </c>
      <c r="G1910" s="40" t="s">
        <v>1259</v>
      </c>
      <c r="H1910" s="40" t="s">
        <v>467</v>
      </c>
      <c r="I1910" s="40" t="s">
        <v>1269</v>
      </c>
      <c r="J1910" s="40" t="s">
        <v>1395</v>
      </c>
      <c r="K1910" s="90" t="s">
        <v>1243</v>
      </c>
      <c r="L1910" s="90"/>
      <c r="M1910" s="90">
        <v>1</v>
      </c>
      <c r="Z1910" s="40" t="s">
        <v>8263</v>
      </c>
      <c r="AA1910" s="144">
        <f>IF(H2ProjectDB689571011[[#This Row],[Dummy_1]]="Electrolysis",
AB1910*VLOOKUP(G1910,ElectrolysisConvF,3,FALSE),
"")</f>
        <v>16161.305217792826</v>
      </c>
      <c r="AB1910" s="145">
        <f>AC1910/(H2dens*HoursInYear/10^6)</f>
        <v>3591401.1595095173</v>
      </c>
      <c r="AC1910" s="145">
        <f>2800</f>
        <v>2800</v>
      </c>
      <c r="AE1910" s="46">
        <f t="shared" si="135"/>
        <v>3591401.1595095173</v>
      </c>
      <c r="AF1910" s="43" t="s">
        <v>8010</v>
      </c>
      <c r="AG1910" s="43">
        <v>-7.6821737666255503</v>
      </c>
      <c r="AH1910" s="43">
        <v>-42.5222369705834</v>
      </c>
      <c r="AI1910" s="122" t="s">
        <v>7286</v>
      </c>
      <c r="AJ1910" s="41">
        <v>0.5</v>
      </c>
    </row>
    <row r="1911" spans="1:36" ht="35.1" hidden="1" customHeight="1" x14ac:dyDescent="0.25">
      <c r="A1911" s="40">
        <v>2567</v>
      </c>
      <c r="B1911" s="40" t="s">
        <v>6602</v>
      </c>
      <c r="C1911" s="40" t="s">
        <v>533</v>
      </c>
      <c r="D1911" s="44"/>
      <c r="E1911" s="44"/>
      <c r="F1911" s="90" t="s">
        <v>2222</v>
      </c>
      <c r="G1911" s="90" t="s">
        <v>1259</v>
      </c>
      <c r="H1911" s="40" t="s">
        <v>467</v>
      </c>
      <c r="I1911" s="90" t="s">
        <v>1269</v>
      </c>
      <c r="J1911" s="40" t="s">
        <v>581</v>
      </c>
      <c r="K1911" s="90" t="s">
        <v>578</v>
      </c>
      <c r="O1911" s="40">
        <v>1</v>
      </c>
      <c r="AA1911" s="47"/>
      <c r="AC1911" s="47"/>
      <c r="AE1911" s="46">
        <f t="shared" si="135"/>
        <v>0</v>
      </c>
      <c r="AF1911" s="43" t="s">
        <v>6604</v>
      </c>
      <c r="AG1911" s="43">
        <v>50.318944145323997</v>
      </c>
      <c r="AH1911" s="43">
        <v>-66.074942910473894</v>
      </c>
      <c r="AI1911" s="122" t="s">
        <v>7286</v>
      </c>
      <c r="AJ1911" s="41">
        <v>0.5</v>
      </c>
    </row>
    <row r="1912" spans="1:36" ht="35.1" hidden="1" customHeight="1" x14ac:dyDescent="0.25">
      <c r="A1912" s="40">
        <v>2568</v>
      </c>
      <c r="B1912" s="40" t="s">
        <v>6614</v>
      </c>
      <c r="C1912" s="40" t="s">
        <v>1062</v>
      </c>
      <c r="D1912" s="44">
        <v>2023</v>
      </c>
      <c r="E1912" s="44"/>
      <c r="F1912" s="40" t="s">
        <v>1339</v>
      </c>
      <c r="G1912" s="40" t="s">
        <v>1259</v>
      </c>
      <c r="H1912" s="40" t="s">
        <v>467</v>
      </c>
      <c r="I1912" s="40" t="s">
        <v>1269</v>
      </c>
      <c r="J1912" s="40" t="s">
        <v>1395</v>
      </c>
      <c r="K1912" s="90" t="s">
        <v>578</v>
      </c>
      <c r="R1912" s="40">
        <v>1</v>
      </c>
      <c r="Z1912" s="40" t="s">
        <v>6615</v>
      </c>
      <c r="AA1912" s="47">
        <f>IF(H2ProjectDB689571011[[#This Row],[Dummy_1]]="Electrolysis",
AB1912*VLOOKUP(G1912,ElectrolysisConvF,3,FALSE),
"")</f>
        <v>0.29436663075265507</v>
      </c>
      <c r="AB1912" s="46">
        <f>AC1912/(H2dens*HoursInYear/10^6)</f>
        <v>65.41480683392335</v>
      </c>
      <c r="AC1912" s="47">
        <f>51/1000</f>
        <v>5.0999999999999997E-2</v>
      </c>
      <c r="AE1912" s="46">
        <f t="shared" si="135"/>
        <v>65.41480683392335</v>
      </c>
      <c r="AF1912" s="43" t="s">
        <v>6617</v>
      </c>
      <c r="AG1912" s="43">
        <v>-6.1942249070772402</v>
      </c>
      <c r="AH1912" s="43">
        <v>106.82057427381601</v>
      </c>
      <c r="AI1912" s="122" t="s">
        <v>7286</v>
      </c>
      <c r="AJ1912" s="41">
        <v>0.5</v>
      </c>
    </row>
    <row r="1913" spans="1:36" ht="35.1" hidden="1" customHeight="1" x14ac:dyDescent="0.25">
      <c r="A1913" s="40">
        <v>2569</v>
      </c>
      <c r="B1913" s="40" t="s">
        <v>6465</v>
      </c>
      <c r="C1913" s="40" t="s">
        <v>542</v>
      </c>
      <c r="D1913" s="44">
        <v>2028</v>
      </c>
      <c r="E1913" s="44"/>
      <c r="F1913" s="40" t="s">
        <v>1331</v>
      </c>
      <c r="G1913" s="40" t="s">
        <v>1261</v>
      </c>
      <c r="H1913" s="40" t="s">
        <v>5708</v>
      </c>
      <c r="K1913" s="40" t="s">
        <v>578</v>
      </c>
      <c r="L1913" s="40">
        <v>1</v>
      </c>
      <c r="Z1913" s="40" t="s">
        <v>7306</v>
      </c>
      <c r="AA1913" s="47" t="str">
        <f>IF(H2ProjectDB689571011[[#This Row],[Dummy_1]]="Electrolysis",
AB1913*VLOOKUP(G1913,ElectrolysisConvF,3,FALSE),
"")</f>
        <v/>
      </c>
      <c r="AB1913" s="46">
        <f>AC1913/(H2dens*HoursInYear/10^6)</f>
        <v>295007.95238828176</v>
      </c>
      <c r="AC1913" s="47">
        <v>230</v>
      </c>
      <c r="AD1913" s="118">
        <f>1.9*10^6-AD91</f>
        <v>1900000</v>
      </c>
      <c r="AE1913" s="46">
        <f t="shared" si="135"/>
        <v>238215.24126188885</v>
      </c>
      <c r="AF1913" s="43" t="s">
        <v>7308</v>
      </c>
      <c r="AG1913" s="43">
        <v>53.277031209918</v>
      </c>
      <c r="AH1913" s="43">
        <v>-2.8418691477882398</v>
      </c>
      <c r="AI1913" s="122" t="s">
        <v>7287</v>
      </c>
      <c r="AJ1913" s="41">
        <v>0.9</v>
      </c>
    </row>
    <row r="1914" spans="1:36" ht="35.1" hidden="1" customHeight="1" x14ac:dyDescent="0.25">
      <c r="A1914" s="40">
        <v>2570</v>
      </c>
      <c r="B1914" s="40" t="s">
        <v>6622</v>
      </c>
      <c r="C1914" s="40" t="s">
        <v>1761</v>
      </c>
      <c r="D1914" s="44">
        <v>2030</v>
      </c>
      <c r="E1914" s="44"/>
      <c r="F1914" s="40" t="s">
        <v>2222</v>
      </c>
      <c r="G1914" s="40" t="s">
        <v>1259</v>
      </c>
      <c r="H1914" s="40" t="s">
        <v>467</v>
      </c>
      <c r="I1914" s="40" t="s">
        <v>5700</v>
      </c>
      <c r="J1914" s="40" t="s">
        <v>1391</v>
      </c>
      <c r="K1914" s="90" t="s">
        <v>1243</v>
      </c>
      <c r="L1914" s="90"/>
      <c r="M1914" s="90">
        <v>1</v>
      </c>
      <c r="N1914" s="90"/>
      <c r="O1914" s="90"/>
      <c r="P1914" s="90"/>
      <c r="Q1914" s="90"/>
      <c r="R1914" s="90"/>
      <c r="S1914" s="90"/>
      <c r="T1914" s="90"/>
      <c r="U1914" s="90"/>
      <c r="V1914" s="90"/>
      <c r="W1914" s="90"/>
      <c r="X1914" s="90"/>
      <c r="Y1914" s="90"/>
      <c r="Z1914" s="40" t="s">
        <v>2857</v>
      </c>
      <c r="AA1914" s="91">
        <v>700</v>
      </c>
      <c r="AB1914" s="46">
        <f>IF(H2ProjectDB689571011[[#This Row],[Dummy_1]]="Electrolysis",
AA1914/VLOOKUP(G1914,ElectrolysisConvF,3,FALSE),
AC1914*10^6/(H2dens*HoursInYear))</f>
        <v>155555.55555555556</v>
      </c>
      <c r="AC1914" s="47">
        <f>AB1914*H2dens*HoursInYear/10^6</f>
        <v>121.27733333333335</v>
      </c>
      <c r="AE1914" s="46">
        <f t="shared" si="135"/>
        <v>155555.55555555556</v>
      </c>
      <c r="AF1914" s="43" t="s">
        <v>6625</v>
      </c>
      <c r="AG1914" s="43">
        <v>37.958893568872803</v>
      </c>
      <c r="AH1914" s="43">
        <v>-8.8600732888896907</v>
      </c>
      <c r="AI1914" s="122" t="s">
        <v>7286</v>
      </c>
      <c r="AJ1914" s="41">
        <v>0.7</v>
      </c>
    </row>
    <row r="1915" spans="1:36" ht="35.1" hidden="1" customHeight="1" x14ac:dyDescent="0.25">
      <c r="A1915" s="40">
        <v>2571</v>
      </c>
      <c r="B1915" s="40" t="s">
        <v>6626</v>
      </c>
      <c r="C1915" s="40" t="s">
        <v>535</v>
      </c>
      <c r="D1915" s="44">
        <v>2028</v>
      </c>
      <c r="E1915" s="44"/>
      <c r="F1915" s="90" t="s">
        <v>2222</v>
      </c>
      <c r="G1915" s="90" t="s">
        <v>1259</v>
      </c>
      <c r="H1915" s="40" t="s">
        <v>467</v>
      </c>
      <c r="I1915" s="90" t="s">
        <v>1269</v>
      </c>
      <c r="J1915" s="90" t="s">
        <v>581</v>
      </c>
      <c r="K1915" s="90" t="s">
        <v>578</v>
      </c>
      <c r="O1915" s="40">
        <v>1</v>
      </c>
      <c r="Z1915" s="40" t="s">
        <v>6627</v>
      </c>
      <c r="AA1915" s="47">
        <f>IF(H2ProjectDB689571011[[#This Row],[Dummy_1]]="Electrolysis",
AB1915*VLOOKUP(G1915,ElectrolysisConvF,3,FALSE),
"")</f>
        <v>5.7718947206402955</v>
      </c>
      <c r="AB1915" s="46">
        <f>AC1915/(H2dens*HoursInYear/10^6)</f>
        <v>1282.643271253399</v>
      </c>
      <c r="AC1915" s="47">
        <v>1</v>
      </c>
      <c r="AE1915" s="46">
        <f t="shared" si="135"/>
        <v>1282.643271253399</v>
      </c>
      <c r="AF1915" s="43" t="s">
        <v>6629</v>
      </c>
      <c r="AG1915" s="43">
        <v>-31.273557443135498</v>
      </c>
      <c r="AH1915" s="43">
        <v>115.957761374424</v>
      </c>
      <c r="AI1915" s="122" t="s">
        <v>7286</v>
      </c>
      <c r="AJ1915" s="41">
        <v>0.5</v>
      </c>
    </row>
    <row r="1916" spans="1:36" ht="35.1" hidden="1" customHeight="1" x14ac:dyDescent="0.25">
      <c r="A1916" s="40">
        <v>2572</v>
      </c>
      <c r="B1916" s="40" t="s">
        <v>6637</v>
      </c>
      <c r="C1916" s="40" t="s">
        <v>531</v>
      </c>
      <c r="D1916" s="44">
        <v>2024</v>
      </c>
      <c r="E1916" s="44"/>
      <c r="F1916" s="90" t="s">
        <v>1339</v>
      </c>
      <c r="G1916" s="90" t="s">
        <v>1261</v>
      </c>
      <c r="H1916" s="40" t="s">
        <v>1665</v>
      </c>
      <c r="K1916" s="40" t="s">
        <v>578</v>
      </c>
      <c r="Z1916" s="40" t="s">
        <v>5872</v>
      </c>
      <c r="AA1916" s="47"/>
      <c r="AB1916" s="46">
        <f>IF(H2ProjectDB689571011[[#This Row],[Dummy_1]]="Electrolysis",
AA1916/VLOOKUP(G1916,ElectrolysisConvF,3,FALSE),
AC1916*10^6/(H2dens*HoursInYear))</f>
        <v>520.18310445276734</v>
      </c>
      <c r="AC1916" s="47">
        <f>(1/1000)*365/H2ProjectDB689571011[[#This Row],[LOWE_CF]]</f>
        <v>0.40555555555555556</v>
      </c>
      <c r="AE1916" s="46">
        <f t="shared" si="135"/>
        <v>0</v>
      </c>
      <c r="AF1916" s="43" t="s">
        <v>6639</v>
      </c>
      <c r="AG1916" s="43">
        <v>60.5582877313865</v>
      </c>
      <c r="AH1916" s="43">
        <v>4.83767676960779</v>
      </c>
      <c r="AI1916" s="122" t="s">
        <v>7287</v>
      </c>
      <c r="AJ1916" s="41">
        <v>0.9</v>
      </c>
    </row>
    <row r="1917" spans="1:36" ht="35.1" hidden="1" customHeight="1" x14ac:dyDescent="0.25">
      <c r="A1917" s="40">
        <v>2573</v>
      </c>
      <c r="B1917" s="40" t="s">
        <v>6640</v>
      </c>
      <c r="C1917" s="40" t="s">
        <v>536</v>
      </c>
      <c r="D1917" s="44">
        <v>2030</v>
      </c>
      <c r="E1917" s="44"/>
      <c r="F1917" s="90" t="s">
        <v>2222</v>
      </c>
      <c r="G1917" s="90" t="s">
        <v>1261</v>
      </c>
      <c r="H1917" s="90" t="s">
        <v>1665</v>
      </c>
      <c r="I1917" s="90"/>
      <c r="J1917" s="90"/>
      <c r="K1917" s="90" t="s">
        <v>1243</v>
      </c>
      <c r="Q1917" s="40">
        <v>1</v>
      </c>
      <c r="Z1917" s="40" t="s">
        <v>6643</v>
      </c>
      <c r="AA1917" s="47"/>
      <c r="AB1917" s="46">
        <f>IF(H2ProjectDB689571011[[#This Row],[Dummy_1]]="Electrolysis",
AA1917/VLOOKUP(G1917,ElectrolysisConvF,3,FALSE),
AC1917*10^6/(H2dens*HoursInYear))</f>
        <v>461936.35219210049</v>
      </c>
      <c r="AC1917" s="92">
        <f>2000*3/17/0.98</f>
        <v>360.14405762304921</v>
      </c>
      <c r="AE1917" s="46">
        <f t="shared" si="135"/>
        <v>0</v>
      </c>
      <c r="AF1917" s="43" t="s">
        <v>6642</v>
      </c>
      <c r="AG1917" s="43">
        <v>29.794207411278801</v>
      </c>
      <c r="AH1917" s="43">
        <v>-92.573616502083794</v>
      </c>
      <c r="AI1917" s="122" t="s">
        <v>7287</v>
      </c>
      <c r="AJ1917" s="41">
        <v>0.9</v>
      </c>
    </row>
    <row r="1918" spans="1:36" ht="35.1" hidden="1" customHeight="1" x14ac:dyDescent="0.25">
      <c r="A1918" s="40">
        <v>2574</v>
      </c>
      <c r="B1918" s="40" t="s">
        <v>6644</v>
      </c>
      <c r="C1918" s="40" t="s">
        <v>539</v>
      </c>
      <c r="D1918" s="44">
        <v>2027</v>
      </c>
      <c r="E1918" s="44"/>
      <c r="F1918" s="90" t="s">
        <v>2222</v>
      </c>
      <c r="G1918" s="90" t="s">
        <v>1259</v>
      </c>
      <c r="H1918" s="40" t="s">
        <v>467</v>
      </c>
      <c r="I1918" s="90" t="s">
        <v>1269</v>
      </c>
      <c r="J1918" s="90" t="s">
        <v>581</v>
      </c>
      <c r="K1918" s="40" t="s">
        <v>1243</v>
      </c>
      <c r="M1918" s="40">
        <v>1</v>
      </c>
      <c r="Z1918" s="40" t="s">
        <v>6645</v>
      </c>
      <c r="AA1918" s="47">
        <f>IF(H2ProjectDB689571011[[#This Row],[Dummy_1]]="Electrolysis",
AB1918*VLOOKUP(G1918,ElectrolysisConvF,3,FALSE),
"")</f>
        <v>276.46890678697213</v>
      </c>
      <c r="AB1918" s="46">
        <f>AC1918/(H2dens*HoursInYear/10^6)</f>
        <v>61437.534841549365</v>
      </c>
      <c r="AC1918" s="92">
        <f>(133*3/17/0.98)/H2ProjectDB689571011[[#This Row],[LOWE_CF]]</f>
        <v>47.899159663865547</v>
      </c>
      <c r="AE1918" s="46">
        <f t="shared" si="135"/>
        <v>61437.534841549365</v>
      </c>
      <c r="AF1918" s="43" t="s">
        <v>6647</v>
      </c>
      <c r="AG1918" s="43">
        <v>23.021205425406901</v>
      </c>
      <c r="AH1918" s="43">
        <v>70.212470573721703</v>
      </c>
      <c r="AI1918" s="122" t="s">
        <v>7286</v>
      </c>
      <c r="AJ1918" s="41">
        <v>0.5</v>
      </c>
    </row>
    <row r="1919" spans="1:36" ht="35.1" hidden="1" customHeight="1" x14ac:dyDescent="0.25">
      <c r="A1919" s="40">
        <v>2575</v>
      </c>
      <c r="B1919" s="40" t="s">
        <v>6650</v>
      </c>
      <c r="C1919" s="40" t="s">
        <v>539</v>
      </c>
      <c r="D1919" s="44">
        <v>2025</v>
      </c>
      <c r="E1919" s="44"/>
      <c r="F1919" s="90" t="s">
        <v>2222</v>
      </c>
      <c r="G1919" s="90" t="s">
        <v>1259</v>
      </c>
      <c r="H1919" s="40" t="s">
        <v>467</v>
      </c>
      <c r="I1919" s="90" t="s">
        <v>1269</v>
      </c>
      <c r="J1919" s="90" t="s">
        <v>581</v>
      </c>
      <c r="K1919" s="40" t="s">
        <v>1243</v>
      </c>
      <c r="M1919" s="40">
        <v>1</v>
      </c>
      <c r="Z1919" s="40" t="s">
        <v>6651</v>
      </c>
      <c r="AA1919" s="47">
        <f>IF(H2ProjectDB689571011[[#This Row],[Dummy_1]]="Electrolysis",
AB1919*VLOOKUP(G1919,ElectrolysisConvF,3,FALSE),
"")</f>
        <v>15.590351886483392</v>
      </c>
      <c r="AB1919" s="46">
        <f>AC1919/(H2dens*HoursInYear/10^6)</f>
        <v>3464.5226414407539</v>
      </c>
      <c r="AC1919" s="92">
        <f>(15*3/17/0.98)</f>
        <v>2.7010804321728692</v>
      </c>
      <c r="AE1919" s="46">
        <f t="shared" si="135"/>
        <v>3464.5226414407539</v>
      </c>
      <c r="AF1919" s="43" t="s">
        <v>6649</v>
      </c>
      <c r="AG1919" s="43">
        <v>25.219046621684701</v>
      </c>
      <c r="AH1919" s="43">
        <v>75.8644713014465</v>
      </c>
      <c r="AI1919" s="122" t="s">
        <v>7286</v>
      </c>
      <c r="AJ1919" s="41">
        <v>0.5</v>
      </c>
    </row>
    <row r="1920" spans="1:36" ht="35.1" hidden="1" customHeight="1" x14ac:dyDescent="0.25">
      <c r="A1920" s="40">
        <v>2576</v>
      </c>
      <c r="B1920" s="40" t="s">
        <v>6652</v>
      </c>
      <c r="C1920" s="40" t="s">
        <v>1066</v>
      </c>
      <c r="D1920" s="44"/>
      <c r="E1920" s="44"/>
      <c r="F1920" s="40" t="s">
        <v>2222</v>
      </c>
      <c r="G1920" s="40" t="s">
        <v>1261</v>
      </c>
      <c r="H1920" s="40" t="s">
        <v>6653</v>
      </c>
      <c r="K1920" s="40" t="s">
        <v>578</v>
      </c>
      <c r="Z1920" s="40" t="s">
        <v>6654</v>
      </c>
      <c r="AA1920" s="47"/>
      <c r="AB1920" s="46">
        <f>AC1920/(H2dens*HoursInYear/10^6)</f>
        <v>2808.9887640449438</v>
      </c>
      <c r="AC1920" s="47">
        <f>6/1000*365</f>
        <v>2.19</v>
      </c>
      <c r="AE1920" s="46">
        <f t="shared" si="135"/>
        <v>0</v>
      </c>
      <c r="AF1920" s="43" t="s">
        <v>6655</v>
      </c>
      <c r="AG1920" s="43">
        <v>22.5257151417782</v>
      </c>
      <c r="AH1920" s="43">
        <v>54.007737440482998</v>
      </c>
      <c r="AI1920" s="122" t="s">
        <v>7287</v>
      </c>
      <c r="AJ1920" s="41">
        <v>0.9</v>
      </c>
    </row>
    <row r="1921" spans="1:36" ht="35.1" hidden="1" customHeight="1" x14ac:dyDescent="0.25">
      <c r="A1921" s="40">
        <v>2577</v>
      </c>
      <c r="B1921" s="90" t="s">
        <v>6661</v>
      </c>
      <c r="C1921" s="40" t="s">
        <v>1045</v>
      </c>
      <c r="D1921" s="44"/>
      <c r="E1921" s="44"/>
      <c r="F1921" s="90" t="s">
        <v>2222</v>
      </c>
      <c r="G1921" s="90" t="s">
        <v>1259</v>
      </c>
      <c r="H1921" s="90" t="s">
        <v>467</v>
      </c>
      <c r="I1921" s="90" t="s">
        <v>1269</v>
      </c>
      <c r="J1921" s="90" t="s">
        <v>1395</v>
      </c>
      <c r="K1921" s="90" t="s">
        <v>1243</v>
      </c>
      <c r="L1921" s="90"/>
      <c r="M1921" s="90">
        <v>1</v>
      </c>
      <c r="N1921" s="90"/>
      <c r="Z1921" s="40" t="s">
        <v>5286</v>
      </c>
      <c r="AA1921" s="47">
        <f>IF(H2ProjectDB689571011[[#This Row],[Dummy_1]]="Electrolysis",
AB1921*VLOOKUP(G1921,ElectrolysisConvF,3,FALSE),
"")</f>
        <v>2494.4563018373424</v>
      </c>
      <c r="AB1921" s="46">
        <f>AC1921/(H2dens*HoursInYear/10^6)</f>
        <v>554323.62263052061</v>
      </c>
      <c r="AC1921" s="47">
        <f>(1200*3/17/0.98)/H2ProjectDB689571011[[#This Row],[LOWE_CF]]</f>
        <v>432.17286914765907</v>
      </c>
      <c r="AE1921" s="46">
        <f t="shared" si="135"/>
        <v>554323.62263052061</v>
      </c>
      <c r="AF1921" s="43" t="s">
        <v>6663</v>
      </c>
      <c r="AG1921" s="43">
        <v>29.673639376082001</v>
      </c>
      <c r="AH1921" s="43">
        <v>32.3348108807118</v>
      </c>
      <c r="AI1921" s="122" t="s">
        <v>7286</v>
      </c>
      <c r="AJ1921" s="41">
        <v>0.5</v>
      </c>
    </row>
    <row r="1922" spans="1:36" ht="35.1" hidden="1" customHeight="1" x14ac:dyDescent="0.25">
      <c r="A1922" s="40">
        <v>2578</v>
      </c>
      <c r="B1922" s="40" t="s">
        <v>6664</v>
      </c>
      <c r="C1922" s="40" t="s">
        <v>1305</v>
      </c>
      <c r="D1922" s="44">
        <v>2025</v>
      </c>
      <c r="E1922" s="44"/>
      <c r="F1922" s="90" t="s">
        <v>1331</v>
      </c>
      <c r="G1922" s="90" t="s">
        <v>1259</v>
      </c>
      <c r="H1922" s="90" t="s">
        <v>467</v>
      </c>
      <c r="I1922" s="90" t="s">
        <v>1269</v>
      </c>
      <c r="J1922" s="40" t="s">
        <v>1392</v>
      </c>
      <c r="K1922" s="40" t="s">
        <v>578</v>
      </c>
      <c r="Q1922" s="40">
        <v>1</v>
      </c>
      <c r="Z1922" s="40" t="s">
        <v>1484</v>
      </c>
      <c r="AA1922" s="47">
        <v>5</v>
      </c>
      <c r="AB1922" s="46">
        <f>IF(H2ProjectDB689571011[[#This Row],[Dummy_1]]="Electrolysis",
AA1922/VLOOKUP(G1922,ElectrolysisConvF,3,FALSE),
AC1922*10^6/(H2dens*HoursInYear))</f>
        <v>1111.1111111111111</v>
      </c>
      <c r="AC1922" s="47">
        <f>AB1922*H2dens*HoursInYear/10^6</f>
        <v>0.86626666666666663</v>
      </c>
      <c r="AE1922" s="46">
        <f t="shared" si="135"/>
        <v>1111.1111111111111</v>
      </c>
      <c r="AF1922" s="43" t="s">
        <v>6666</v>
      </c>
      <c r="AG1922" s="43">
        <v>50.673657681679799</v>
      </c>
      <c r="AH1922" s="43">
        <v>9.7746923188994703</v>
      </c>
      <c r="AI1922" s="122" t="s">
        <v>7286</v>
      </c>
      <c r="AJ1922" s="41">
        <v>0.4</v>
      </c>
    </row>
    <row r="1923" spans="1:36" ht="35.1" hidden="1" customHeight="1" x14ac:dyDescent="0.25">
      <c r="A1923" s="40">
        <v>2579</v>
      </c>
      <c r="B1923" s="40" t="s">
        <v>6667</v>
      </c>
      <c r="C1923" s="40" t="s">
        <v>1097</v>
      </c>
      <c r="D1923" s="44">
        <v>2028</v>
      </c>
      <c r="E1923" s="44"/>
      <c r="F1923" s="40" t="s">
        <v>1331</v>
      </c>
      <c r="G1923" s="40" t="s">
        <v>1259</v>
      </c>
      <c r="H1923" s="40" t="s">
        <v>467</v>
      </c>
      <c r="I1923" s="40" t="s">
        <v>1269</v>
      </c>
      <c r="J1923" s="40" t="s">
        <v>581</v>
      </c>
      <c r="K1923" s="40" t="s">
        <v>578</v>
      </c>
      <c r="P1923" s="40">
        <v>1</v>
      </c>
      <c r="Z1923" s="40" t="s">
        <v>3267</v>
      </c>
      <c r="AA1923" s="47">
        <v>8000</v>
      </c>
      <c r="AB1923" s="46">
        <f>IF(H2ProjectDB689571011[[#This Row],[Dummy_1]]="Electrolysis",
AA1923/VLOOKUP(G1923,ElectrolysisConvF,3,FALSE),
AC1923*10^6/(H2dens*HoursInYear))</f>
        <v>1777777.777777778</v>
      </c>
      <c r="AC1923" s="47">
        <f>AB1923*H2dens*HoursInYear/10^6</f>
        <v>1386.0266666666666</v>
      </c>
      <c r="AE1923" s="46">
        <f t="shared" si="135"/>
        <v>1777777.777777778</v>
      </c>
      <c r="AF1923" s="43" t="s">
        <v>6669</v>
      </c>
      <c r="AG1923" s="43">
        <v>23.723174731851</v>
      </c>
      <c r="AH1923" s="43">
        <v>-15.934762435401</v>
      </c>
      <c r="AI1923" s="122" t="s">
        <v>7286</v>
      </c>
      <c r="AJ1923" s="41">
        <v>0.5</v>
      </c>
    </row>
    <row r="1924" spans="1:36" ht="35.1" hidden="1" customHeight="1" x14ac:dyDescent="0.25">
      <c r="A1924" s="40">
        <v>2580</v>
      </c>
      <c r="B1924" s="40" t="s">
        <v>6670</v>
      </c>
      <c r="C1924" s="40" t="s">
        <v>556</v>
      </c>
      <c r="D1924" s="44"/>
      <c r="E1924" s="44"/>
      <c r="F1924" s="90" t="s">
        <v>2222</v>
      </c>
      <c r="G1924" s="90" t="s">
        <v>1259</v>
      </c>
      <c r="H1924" s="90" t="s">
        <v>467</v>
      </c>
      <c r="I1924" s="90" t="s">
        <v>1269</v>
      </c>
      <c r="J1924" s="40" t="s">
        <v>1393</v>
      </c>
      <c r="K1924" s="90" t="s">
        <v>578</v>
      </c>
      <c r="AA1924" s="47">
        <f>IF(OR(G1924="ALK",G1924="PEM",G1924="SOEC",G1924="Other Electrolysis"),
AB1924*VLOOKUP(G1924,ElectrolysisConvF,3,FALSE),
"")</f>
        <v>0</v>
      </c>
      <c r="AC1924" s="47"/>
      <c r="AE1924" s="46">
        <f t="shared" si="135"/>
        <v>0</v>
      </c>
      <c r="AF1924" s="43" t="s">
        <v>6672</v>
      </c>
      <c r="AG1924" s="43">
        <v>59.512971119310002</v>
      </c>
      <c r="AH1924" s="43">
        <v>24.8209245595583</v>
      </c>
      <c r="AI1924" s="122" t="s">
        <v>7286</v>
      </c>
      <c r="AJ1924" s="41">
        <v>0.55000000000000004</v>
      </c>
    </row>
    <row r="1925" spans="1:36" ht="35.1" hidden="1" customHeight="1" x14ac:dyDescent="0.25">
      <c r="A1925" s="40">
        <v>2581</v>
      </c>
      <c r="B1925" s="40" t="s">
        <v>6673</v>
      </c>
      <c r="C1925" s="40" t="s">
        <v>1062</v>
      </c>
      <c r="D1925" s="44"/>
      <c r="E1925" s="44"/>
      <c r="F1925" s="40" t="s">
        <v>2222</v>
      </c>
      <c r="G1925" s="40" t="s">
        <v>1259</v>
      </c>
      <c r="H1925" s="40" t="s">
        <v>467</v>
      </c>
      <c r="I1925" s="40" t="s">
        <v>1269</v>
      </c>
      <c r="J1925" s="90" t="s">
        <v>581</v>
      </c>
      <c r="K1925" s="90" t="s">
        <v>578</v>
      </c>
      <c r="Z1925" s="40" t="s">
        <v>6674</v>
      </c>
      <c r="AA1925" s="47">
        <f>IF(H2ProjectDB689571011[[#This Row],[Dummy_1]]="Electrolysis",
AB1925*VLOOKUP(G1925,ElectrolysisConvF,3,FALSE),
"")</f>
        <v>577.18947206402959</v>
      </c>
      <c r="AB1925" s="46">
        <f>AC1925/(H2dens*HoursInYear/10^6)</f>
        <v>128264.32712533991</v>
      </c>
      <c r="AC1925" s="46">
        <v>100</v>
      </c>
      <c r="AE1925" s="46">
        <f t="shared" si="135"/>
        <v>128264.32712533991</v>
      </c>
      <c r="AF1925" s="43" t="s">
        <v>6676</v>
      </c>
      <c r="AG1925" s="43">
        <v>0</v>
      </c>
      <c r="AH1925" s="43">
        <v>0</v>
      </c>
      <c r="AI1925" s="122" t="s">
        <v>7286</v>
      </c>
      <c r="AJ1925" s="41">
        <v>0.5</v>
      </c>
    </row>
    <row r="1926" spans="1:36" ht="35.1" hidden="1" customHeight="1" x14ac:dyDescent="0.25">
      <c r="A1926" s="40">
        <v>2582</v>
      </c>
      <c r="B1926" s="40" t="s">
        <v>6680</v>
      </c>
      <c r="C1926" s="40" t="s">
        <v>533</v>
      </c>
      <c r="D1926" s="44"/>
      <c r="E1926" s="44"/>
      <c r="F1926" s="90" t="s">
        <v>2222</v>
      </c>
      <c r="G1926" s="90" t="s">
        <v>1259</v>
      </c>
      <c r="H1926" s="40" t="s">
        <v>467</v>
      </c>
      <c r="I1926" s="90" t="s">
        <v>1269</v>
      </c>
      <c r="J1926" s="40" t="s">
        <v>1394</v>
      </c>
      <c r="K1926" s="40" t="s">
        <v>1243</v>
      </c>
      <c r="Z1926" s="40" t="s">
        <v>6681</v>
      </c>
      <c r="AA1926" s="95">
        <v>1000</v>
      </c>
      <c r="AB1926" s="46">
        <f>IF(H2ProjectDB689571011[[#This Row],[Dummy_1]]="Electrolysis",
AA1926/VLOOKUP(G1926,ElectrolysisConvF,3,FALSE),
AC1926*10^6/(H2dens*HoursInYear))</f>
        <v>222222.22222222225</v>
      </c>
      <c r="AC1926" s="47">
        <f>AB1926*H2dens*HoursInYear/10^6</f>
        <v>173.25333333333333</v>
      </c>
      <c r="AE1926" s="46">
        <f t="shared" si="135"/>
        <v>222222.22222222225</v>
      </c>
      <c r="AF1926" s="43" t="s">
        <v>6682</v>
      </c>
      <c r="AG1926" s="43">
        <v>53.917485491530002</v>
      </c>
      <c r="AH1926" s="43">
        <v>-122.760666639468</v>
      </c>
      <c r="AI1926" s="122" t="s">
        <v>7286</v>
      </c>
      <c r="AJ1926" s="41">
        <v>0.8</v>
      </c>
    </row>
    <row r="1927" spans="1:36" ht="35.1" hidden="1" customHeight="1" x14ac:dyDescent="0.25">
      <c r="A1927" s="40">
        <v>2583</v>
      </c>
      <c r="B1927" s="40" t="s">
        <v>6691</v>
      </c>
      <c r="C1927" s="40" t="s">
        <v>1764</v>
      </c>
      <c r="D1927" s="44">
        <v>2024</v>
      </c>
      <c r="E1927" s="44"/>
      <c r="F1927" s="40" t="s">
        <v>5701</v>
      </c>
      <c r="G1927" s="40" t="s">
        <v>1259</v>
      </c>
      <c r="H1927" s="40" t="s">
        <v>467</v>
      </c>
      <c r="I1927" s="40" t="s">
        <v>1269</v>
      </c>
      <c r="J1927" s="90" t="s">
        <v>581</v>
      </c>
      <c r="K1927" s="90" t="s">
        <v>578</v>
      </c>
      <c r="Z1927" s="40" t="s">
        <v>1336</v>
      </c>
      <c r="AA1927" s="47">
        <v>2.5</v>
      </c>
      <c r="AB1927" s="46">
        <f>IF(H2ProjectDB689571011[[#This Row],[Dummy_1]]="Electrolysis",
AA1927/VLOOKUP(G1927,ElectrolysisConvF,3,FALSE),
AC1927*10^6/(H2dens*HoursInYear))</f>
        <v>555.55555555555554</v>
      </c>
      <c r="AC1927" s="47">
        <f>AB1927*H2dens*HoursInYear/10^6</f>
        <v>0.43313333333333331</v>
      </c>
      <c r="AE1927" s="46">
        <f t="shared" si="135"/>
        <v>555.55555555555554</v>
      </c>
      <c r="AF1927" s="43" t="s">
        <v>6690</v>
      </c>
      <c r="AG1927" s="43">
        <v>41.817438704712004</v>
      </c>
      <c r="AH1927" s="43">
        <v>-2.4446085222590099</v>
      </c>
      <c r="AI1927" s="122" t="s">
        <v>7286</v>
      </c>
      <c r="AJ1927" s="41">
        <v>0.5</v>
      </c>
    </row>
    <row r="1928" spans="1:36" ht="35.1" hidden="1" customHeight="1" x14ac:dyDescent="0.25">
      <c r="A1928" s="40">
        <v>2584</v>
      </c>
      <c r="B1928" s="40" t="s">
        <v>8699</v>
      </c>
      <c r="C1928" s="90" t="s">
        <v>532</v>
      </c>
      <c r="D1928" s="44"/>
      <c r="E1928" s="44"/>
      <c r="F1928" s="90" t="s">
        <v>2222</v>
      </c>
      <c r="G1928" s="90" t="s">
        <v>1259</v>
      </c>
      <c r="H1928" s="90" t="s">
        <v>467</v>
      </c>
      <c r="I1928" s="40" t="s">
        <v>1269</v>
      </c>
      <c r="J1928" s="40" t="s">
        <v>581</v>
      </c>
      <c r="K1928" s="90" t="s">
        <v>1267</v>
      </c>
      <c r="W1928" s="40">
        <v>1</v>
      </c>
      <c r="Z1928" s="40" t="s">
        <v>2081</v>
      </c>
      <c r="AA1928" s="47">
        <v>3000</v>
      </c>
      <c r="AB1928" s="46">
        <f>IF(H2ProjectDB689571011[[#This Row],[Dummy_1]]="Electrolysis",
AA1928/VLOOKUP(G1928,ElectrolysisConvF,3,FALSE),
AC1928*10^6/(H2dens*HoursInYear))</f>
        <v>666666.66666666674</v>
      </c>
      <c r="AC1928" s="47">
        <f>AB1928*H2dens*HoursInYear/10^6</f>
        <v>519.76</v>
      </c>
      <c r="AE1928" s="46">
        <f t="shared" si="135"/>
        <v>666666.66666666674</v>
      </c>
      <c r="AF1928" s="43" t="s">
        <v>6701</v>
      </c>
      <c r="AG1928" s="43">
        <v>60.164363689624302</v>
      </c>
      <c r="AH1928" s="43">
        <v>20.060124675210702</v>
      </c>
      <c r="AI1928" s="122" t="s">
        <v>7286</v>
      </c>
      <c r="AJ1928" s="41">
        <v>0.5</v>
      </c>
    </row>
    <row r="1929" spans="1:36" ht="35.1" hidden="1" customHeight="1" x14ac:dyDescent="0.25">
      <c r="A1929" s="40">
        <v>2585</v>
      </c>
      <c r="B1929" s="40" t="s">
        <v>6704</v>
      </c>
      <c r="C1929" s="40" t="s">
        <v>866</v>
      </c>
      <c r="D1929" s="44">
        <v>2024</v>
      </c>
      <c r="E1929" s="44"/>
      <c r="F1929" s="40" t="s">
        <v>1540</v>
      </c>
      <c r="G1929" s="40" t="s">
        <v>1255</v>
      </c>
      <c r="H1929" s="40" t="s">
        <v>2727</v>
      </c>
      <c r="K1929" s="90" t="s">
        <v>578</v>
      </c>
      <c r="O1929" s="40">
        <v>1</v>
      </c>
      <c r="Z1929" s="40" t="s">
        <v>6705</v>
      </c>
      <c r="AA1929" s="47"/>
      <c r="AB1929" s="46">
        <f>AC1929/(H2dens*HoursInYear/10^6)</f>
        <v>56.179775280898888</v>
      </c>
      <c r="AC1929" s="96">
        <f>(5/10^6)*8760</f>
        <v>4.3800000000000006E-2</v>
      </c>
      <c r="AE1929" s="46">
        <f t="shared" si="135"/>
        <v>56.179775280898888</v>
      </c>
      <c r="AF1929" s="43" t="s">
        <v>6707</v>
      </c>
      <c r="AG1929" s="43">
        <v>-25.6551170753138</v>
      </c>
      <c r="AH1929" s="43">
        <v>27.2514737040933</v>
      </c>
      <c r="AI1929" s="122" t="s">
        <v>1255</v>
      </c>
      <c r="AJ1929" s="41">
        <v>0.9</v>
      </c>
    </row>
    <row r="1930" spans="1:36" ht="35.1" hidden="1" customHeight="1" x14ac:dyDescent="0.25">
      <c r="A1930" s="40">
        <v>2586</v>
      </c>
      <c r="B1930" s="40" t="s">
        <v>6710</v>
      </c>
      <c r="C1930" s="40" t="s">
        <v>1305</v>
      </c>
      <c r="D1930" s="44">
        <v>2023</v>
      </c>
      <c r="E1930" s="90"/>
      <c r="F1930" s="90" t="s">
        <v>1339</v>
      </c>
      <c r="G1930" s="90" t="s">
        <v>3239</v>
      </c>
      <c r="I1930" s="90" t="s">
        <v>1257</v>
      </c>
      <c r="J1930" s="90" t="s">
        <v>581</v>
      </c>
      <c r="K1930" s="90" t="s">
        <v>578</v>
      </c>
      <c r="P1930" s="40">
        <v>1</v>
      </c>
      <c r="Z1930" s="40" t="s">
        <v>6713</v>
      </c>
      <c r="AA1930" s="47">
        <f>120/1000</f>
        <v>0.12</v>
      </c>
      <c r="AB1930" s="46">
        <f>IF(H2ProjectDB689571011[[#This Row],[Dummy_1]]="Electrolysis",
AA1930/VLOOKUP(G1930,ElectrolysisConvF,3,FALSE),
AC1930*10^6/(H2dens*HoursInYear))</f>
        <v>26.666666666666668</v>
      </c>
      <c r="AC1930" s="47">
        <f>AB1930*H2dens*HoursInYear/10^6</f>
        <v>2.0790400000000001E-2</v>
      </c>
      <c r="AE1930" s="46">
        <f t="shared" si="135"/>
        <v>26.666666666666668</v>
      </c>
      <c r="AF1930" s="43" t="s">
        <v>6712</v>
      </c>
      <c r="AG1930" s="43">
        <v>52.295865413767601</v>
      </c>
      <c r="AH1930" s="43">
        <v>7.5863714232756196</v>
      </c>
      <c r="AI1930" s="122" t="s">
        <v>7286</v>
      </c>
      <c r="AJ1930" s="41">
        <v>0.56999999999999995</v>
      </c>
    </row>
    <row r="1931" spans="1:36" ht="35.1" hidden="1" customHeight="1" x14ac:dyDescent="0.25">
      <c r="A1931" s="40">
        <v>2587</v>
      </c>
      <c r="B1931" s="40" t="s">
        <v>6716</v>
      </c>
      <c r="C1931" s="40" t="s">
        <v>1305</v>
      </c>
      <c r="D1931" s="44">
        <v>2026</v>
      </c>
      <c r="E1931" s="44"/>
      <c r="F1931" s="90" t="s">
        <v>5701</v>
      </c>
      <c r="G1931" s="90" t="s">
        <v>1259</v>
      </c>
      <c r="H1931" s="90" t="s">
        <v>467</v>
      </c>
      <c r="I1931" s="40" t="s">
        <v>1269</v>
      </c>
      <c r="J1931" s="40" t="s">
        <v>1392</v>
      </c>
      <c r="K1931" s="40" t="s">
        <v>578</v>
      </c>
      <c r="Q1931" s="40">
        <v>1</v>
      </c>
      <c r="Z1931" s="40" t="s">
        <v>1484</v>
      </c>
      <c r="AA1931" s="47">
        <v>5</v>
      </c>
      <c r="AB1931" s="46">
        <f>IF(H2ProjectDB689571011[[#This Row],[Dummy_1]]="Electrolysis",
AA1931/VLOOKUP(G1931,ElectrolysisConvF,3,FALSE),
AC1931*10^6/(H2dens*HoursInYear))</f>
        <v>1111.1111111111111</v>
      </c>
      <c r="AC1931" s="47">
        <f>AB1931*H2dens*HoursInYear/10^6</f>
        <v>0.86626666666666663</v>
      </c>
      <c r="AE1931" s="46">
        <f t="shared" si="135"/>
        <v>1111.1111111111111</v>
      </c>
      <c r="AF1931" s="43" t="s">
        <v>6714</v>
      </c>
      <c r="AG1931" s="43">
        <v>50.988165061222901</v>
      </c>
      <c r="AH1931" s="43">
        <v>6.5719970131987102</v>
      </c>
      <c r="AI1931" s="122" t="s">
        <v>7286</v>
      </c>
      <c r="AJ1931" s="41">
        <v>0.4</v>
      </c>
    </row>
    <row r="1932" spans="1:36" ht="35.1" hidden="1" customHeight="1" x14ac:dyDescent="0.25">
      <c r="A1932" s="40">
        <v>2588</v>
      </c>
      <c r="B1932" s="40" t="s">
        <v>6717</v>
      </c>
      <c r="C1932" s="40" t="s">
        <v>554</v>
      </c>
      <c r="D1932" s="44"/>
      <c r="E1932" s="44"/>
      <c r="F1932" s="40" t="s">
        <v>1331</v>
      </c>
      <c r="G1932" s="40" t="s">
        <v>455</v>
      </c>
      <c r="I1932" s="40" t="s">
        <v>1269</v>
      </c>
      <c r="J1932" s="90" t="s">
        <v>1392</v>
      </c>
      <c r="K1932" s="90" t="s">
        <v>578</v>
      </c>
      <c r="Q1932" s="40">
        <v>1</v>
      </c>
      <c r="R1932" s="40">
        <v>1</v>
      </c>
      <c r="Z1932" s="40" t="s">
        <v>6718</v>
      </c>
      <c r="AA1932" s="47">
        <f>IF(H2ProjectDB689571011[[#This Row],[Dummy_1]]="Electrolysis",
AB1932*VLOOKUP(G1932,ElectrolysisConvF,3,FALSE),
"")</f>
        <v>90.041557641988604</v>
      </c>
      <c r="AB1932" s="46">
        <f>AC1932/(H2dens*HoursInYear/10^6)</f>
        <v>17315.684161920886</v>
      </c>
      <c r="AC1932" s="47">
        <v>13.5</v>
      </c>
      <c r="AE1932" s="46">
        <f t="shared" si="135"/>
        <v>17315.684161920886</v>
      </c>
      <c r="AF1932" s="43" t="s">
        <v>6720</v>
      </c>
      <c r="AG1932" s="43">
        <v>35.011928076648502</v>
      </c>
      <c r="AH1932" s="43">
        <v>26.1367750384861</v>
      </c>
      <c r="AI1932" s="122" t="s">
        <v>7286</v>
      </c>
      <c r="AJ1932" s="41">
        <v>0.4</v>
      </c>
    </row>
    <row r="1933" spans="1:36" ht="35.1" hidden="1" customHeight="1" x14ac:dyDescent="0.25">
      <c r="A1933" s="40">
        <v>2589</v>
      </c>
      <c r="B1933" s="40" t="s">
        <v>6724</v>
      </c>
      <c r="C1933" s="40" t="s">
        <v>546</v>
      </c>
      <c r="D1933" s="44">
        <v>2025</v>
      </c>
      <c r="E1933" s="44"/>
      <c r="F1933" s="90" t="s">
        <v>1331</v>
      </c>
      <c r="G1933" s="90" t="s">
        <v>1259</v>
      </c>
      <c r="H1933" s="90" t="s">
        <v>467</v>
      </c>
      <c r="I1933" s="40" t="s">
        <v>1269</v>
      </c>
      <c r="J1933" s="40" t="s">
        <v>1392</v>
      </c>
      <c r="K1933" s="40" t="s">
        <v>578</v>
      </c>
      <c r="P1933" s="40">
        <v>1</v>
      </c>
      <c r="Z1933" s="40" t="s">
        <v>1495</v>
      </c>
      <c r="AA1933" s="45">
        <v>20</v>
      </c>
      <c r="AB1933" s="46">
        <f>IF(H2ProjectDB689571011[[#This Row],[Dummy_1]]="Electrolysis",
AA1933/VLOOKUP(G1933,ElectrolysisConvF,3,FALSE),
AC1933*10^6/(H2dens*HoursInYear))</f>
        <v>4444.4444444444443</v>
      </c>
      <c r="AC1933" s="47">
        <f>AB1933*H2dens*HoursInYear/10^6</f>
        <v>3.4650666666666665</v>
      </c>
      <c r="AE1933" s="46">
        <f t="shared" si="135"/>
        <v>4444.4444444444443</v>
      </c>
      <c r="AF1933" s="43" t="s">
        <v>6726</v>
      </c>
      <c r="AG1933" s="43">
        <v>53.334414502966901</v>
      </c>
      <c r="AH1933" s="43">
        <v>6.9213599498701699</v>
      </c>
      <c r="AI1933" s="122" t="s">
        <v>7286</v>
      </c>
      <c r="AJ1933" s="41">
        <v>0.4</v>
      </c>
    </row>
    <row r="1934" spans="1:36" ht="35.1" hidden="1" customHeight="1" x14ac:dyDescent="0.25">
      <c r="A1934" s="40">
        <v>2590</v>
      </c>
      <c r="B1934" s="40" t="s">
        <v>6727</v>
      </c>
      <c r="C1934" s="40" t="s">
        <v>533</v>
      </c>
      <c r="D1934" s="44">
        <v>2024</v>
      </c>
      <c r="E1934" s="44"/>
      <c r="F1934" s="90" t="s">
        <v>1540</v>
      </c>
      <c r="G1934" s="90" t="s">
        <v>1259</v>
      </c>
      <c r="H1934" s="90" t="s">
        <v>467</v>
      </c>
      <c r="I1934" s="40" t="s">
        <v>1269</v>
      </c>
      <c r="J1934" s="90" t="s">
        <v>581</v>
      </c>
      <c r="K1934" s="40" t="s">
        <v>1268</v>
      </c>
      <c r="P1934" s="40">
        <v>1</v>
      </c>
      <c r="Q1934" s="40">
        <v>1</v>
      </c>
      <c r="AA1934" s="47">
        <f>IF(OR(G1934="ALK",G1934="PEM",G1934="SOEC",G1934="Other Electrolysis"),
AB1934*VLOOKUP(G1934,ElectrolysisConvF,3,FALSE),
"")</f>
        <v>0</v>
      </c>
      <c r="AC1934" s="47"/>
      <c r="AE1934" s="46">
        <f t="shared" si="135"/>
        <v>0</v>
      </c>
      <c r="AF1934" s="43" t="s">
        <v>6729</v>
      </c>
      <c r="AG1934" s="43">
        <v>56.6498373497339</v>
      </c>
      <c r="AH1934" s="43">
        <v>-76.407431235832902</v>
      </c>
      <c r="AI1934" s="122" t="s">
        <v>7286</v>
      </c>
      <c r="AJ1934" s="41">
        <v>0.5</v>
      </c>
    </row>
    <row r="1935" spans="1:36" ht="35.1" hidden="1" customHeight="1" x14ac:dyDescent="0.25">
      <c r="A1935" s="40">
        <v>2591</v>
      </c>
      <c r="B1935" s="40" t="s">
        <v>6732</v>
      </c>
      <c r="C1935" s="40" t="s">
        <v>530</v>
      </c>
      <c r="D1935" s="44">
        <v>2025</v>
      </c>
      <c r="E1935" s="44"/>
      <c r="F1935" s="90" t="s">
        <v>1331</v>
      </c>
      <c r="G1935" s="90" t="s">
        <v>1259</v>
      </c>
      <c r="H1935" s="90" t="s">
        <v>467</v>
      </c>
      <c r="I1935" s="40" t="s">
        <v>1269</v>
      </c>
      <c r="J1935" s="40" t="s">
        <v>581</v>
      </c>
      <c r="K1935" s="90" t="s">
        <v>578</v>
      </c>
      <c r="Q1935" s="40">
        <v>1</v>
      </c>
      <c r="Z1935" s="40" t="s">
        <v>6733</v>
      </c>
      <c r="AA1935" s="47">
        <v>5</v>
      </c>
      <c r="AB1935" s="46">
        <f>IF(H2ProjectDB689571011[[#This Row],[Dummy_1]]="Electrolysis",
AA1935/VLOOKUP(G1935,ElectrolysisConvF,3,FALSE),
AC1935*10^6/(H2dens*HoursInYear))</f>
        <v>1111.1111111111111</v>
      </c>
      <c r="AC1935" s="47">
        <f>AB1935*H2dens*HoursInYear/10^6</f>
        <v>0.86626666666666663</v>
      </c>
      <c r="AE1935" s="46">
        <f t="shared" si="135"/>
        <v>1111.1111111111111</v>
      </c>
      <c r="AF1935" s="43" t="s">
        <v>6735</v>
      </c>
      <c r="AG1935" s="43">
        <v>45.371012634036397</v>
      </c>
      <c r="AH1935" s="43">
        <v>5.9927340455622504</v>
      </c>
      <c r="AI1935" s="122" t="s">
        <v>7286</v>
      </c>
      <c r="AJ1935" s="41">
        <v>0.5</v>
      </c>
    </row>
    <row r="1936" spans="1:36" ht="35.1" hidden="1" customHeight="1" x14ac:dyDescent="0.25">
      <c r="A1936" s="40">
        <v>2592</v>
      </c>
      <c r="B1936" s="40" t="s">
        <v>6736</v>
      </c>
      <c r="C1936" s="40" t="s">
        <v>1945</v>
      </c>
      <c r="D1936" s="44">
        <v>2024</v>
      </c>
      <c r="E1936" s="44"/>
      <c r="F1936" s="90" t="s">
        <v>5701</v>
      </c>
      <c r="G1936" s="90" t="s">
        <v>457</v>
      </c>
      <c r="H1936" s="90" t="s">
        <v>467</v>
      </c>
      <c r="I1936" s="40" t="s">
        <v>1269</v>
      </c>
      <c r="J1936" s="40" t="s">
        <v>1391</v>
      </c>
      <c r="K1936" s="40" t="s">
        <v>578</v>
      </c>
      <c r="O1936" s="40">
        <v>1</v>
      </c>
      <c r="Z1936" s="40" t="s">
        <v>6737</v>
      </c>
      <c r="AA1936" s="47">
        <v>12</v>
      </c>
      <c r="AB1936" s="46">
        <f>IF(H2ProjectDB689571011[[#This Row],[Dummy_1]]="Electrolysis",
AA1936/VLOOKUP(G1936,ElectrolysisConvF,3,FALSE),
AC1936*10^6/(H2dens*HoursInYear))</f>
        <v>2608.695652173913</v>
      </c>
      <c r="AC1936" s="47">
        <f>AB1936*H2dens*HoursInYear/10^6</f>
        <v>2.0338434782608692</v>
      </c>
      <c r="AE1936" s="46">
        <f t="shared" si="135"/>
        <v>2608.695652173913</v>
      </c>
      <c r="AF1936" s="43" t="s">
        <v>6739</v>
      </c>
      <c r="AG1936" s="43">
        <v>-18.6212832033066</v>
      </c>
      <c r="AH1936" s="43">
        <v>17.169134827041798</v>
      </c>
      <c r="AI1936" s="122" t="s">
        <v>7286</v>
      </c>
      <c r="AJ1936" s="41">
        <v>0.3</v>
      </c>
    </row>
    <row r="1937" spans="1:36" ht="35.1" hidden="1" customHeight="1" x14ac:dyDescent="0.25">
      <c r="A1937" s="40">
        <v>2593</v>
      </c>
      <c r="B1937" s="40" t="s">
        <v>6758</v>
      </c>
      <c r="C1937" s="40" t="s">
        <v>1945</v>
      </c>
      <c r="D1937" s="44">
        <v>2026</v>
      </c>
      <c r="E1937" s="44"/>
      <c r="F1937" s="90" t="s">
        <v>1331</v>
      </c>
      <c r="G1937" s="90" t="s">
        <v>1259</v>
      </c>
      <c r="H1937" s="90" t="s">
        <v>467</v>
      </c>
      <c r="I1937" s="40" t="s">
        <v>1269</v>
      </c>
      <c r="J1937" s="40" t="s">
        <v>1395</v>
      </c>
      <c r="K1937" s="40" t="s">
        <v>578</v>
      </c>
      <c r="O1937" s="40">
        <v>1</v>
      </c>
      <c r="AA1937" s="47"/>
      <c r="AC1937" s="47"/>
      <c r="AE1937" s="46">
        <f t="shared" si="135"/>
        <v>0</v>
      </c>
      <c r="AF1937" s="43" t="s">
        <v>6739</v>
      </c>
      <c r="AG1937" s="43">
        <v>-18.6212832033066</v>
      </c>
      <c r="AH1937" s="43">
        <v>17.169134827041798</v>
      </c>
      <c r="AI1937" s="122" t="s">
        <v>7286</v>
      </c>
      <c r="AJ1937" s="41">
        <v>0.5</v>
      </c>
    </row>
    <row r="1938" spans="1:36" ht="35.1" hidden="1" customHeight="1" x14ac:dyDescent="0.25">
      <c r="A1938" s="40">
        <v>2594</v>
      </c>
      <c r="B1938" s="40" t="s">
        <v>6741</v>
      </c>
      <c r="C1938" s="40" t="s">
        <v>1305</v>
      </c>
      <c r="D1938" s="44">
        <v>2026</v>
      </c>
      <c r="E1938" s="44"/>
      <c r="F1938" s="90" t="s">
        <v>1331</v>
      </c>
      <c r="G1938" s="90" t="s">
        <v>1259</v>
      </c>
      <c r="H1938" s="90" t="s">
        <v>467</v>
      </c>
      <c r="I1938" s="90" t="s">
        <v>1269</v>
      </c>
      <c r="J1938" s="90" t="s">
        <v>581</v>
      </c>
      <c r="K1938" s="40" t="s">
        <v>578</v>
      </c>
      <c r="L1938" s="40">
        <v>1</v>
      </c>
      <c r="N1938" s="40">
        <v>1</v>
      </c>
      <c r="Z1938" s="40" t="s">
        <v>2054</v>
      </c>
      <c r="AA1938" s="47">
        <v>500</v>
      </c>
      <c r="AB1938" s="46">
        <f>IF(H2ProjectDB689571011[[#This Row],[Dummy_1]]="Electrolysis",
AA1938/VLOOKUP(G1938,ElectrolysisConvF,3,FALSE),
AC1938*10^6/(H2dens*HoursInYear))</f>
        <v>111111.11111111112</v>
      </c>
      <c r="AC1938" s="47">
        <f>AB1938*H2dens*HoursInYear/10^6</f>
        <v>86.626666666666665</v>
      </c>
      <c r="AE1938" s="46">
        <f t="shared" si="135"/>
        <v>111111.11111111112</v>
      </c>
      <c r="AF1938" s="43" t="s">
        <v>6743</v>
      </c>
      <c r="AG1938" s="43">
        <v>54.190387293908202</v>
      </c>
      <c r="AH1938" s="43">
        <v>9.1086294005900399</v>
      </c>
      <c r="AI1938" s="122" t="s">
        <v>7286</v>
      </c>
      <c r="AJ1938" s="41">
        <v>0.5</v>
      </c>
    </row>
    <row r="1939" spans="1:36" ht="35.1" hidden="1" customHeight="1" x14ac:dyDescent="0.25">
      <c r="A1939" s="40">
        <v>2595</v>
      </c>
      <c r="B1939" s="40" t="s">
        <v>6761</v>
      </c>
      <c r="C1939" s="40" t="s">
        <v>535</v>
      </c>
      <c r="D1939" s="44">
        <v>2025</v>
      </c>
      <c r="E1939" s="44"/>
      <c r="F1939" s="40" t="s">
        <v>5701</v>
      </c>
      <c r="G1939" s="40" t="s">
        <v>455</v>
      </c>
      <c r="I1939" s="90" t="s">
        <v>1269</v>
      </c>
      <c r="J1939" s="40" t="s">
        <v>1395</v>
      </c>
      <c r="K1939" s="90" t="s">
        <v>578</v>
      </c>
      <c r="P1939" s="40">
        <v>1</v>
      </c>
      <c r="Z1939" s="40" t="s">
        <v>1510</v>
      </c>
      <c r="AA1939" s="47">
        <v>30</v>
      </c>
      <c r="AB1939" s="46">
        <f>IF(H2ProjectDB689571011[[#This Row],[Dummy_1]]="Electrolysis",
AA1939/VLOOKUP(G1939,ElectrolysisConvF,3,FALSE),
AC1939*10^6/(H2dens*HoursInYear))</f>
        <v>5769.2307692307695</v>
      </c>
      <c r="AC1939" s="47">
        <f>AB1939*H2dens*HoursInYear/10^6</f>
        <v>4.4979230769230769</v>
      </c>
      <c r="AE1939" s="46">
        <f t="shared" si="135"/>
        <v>5769.2307692307695</v>
      </c>
      <c r="AF1939" s="43" t="s">
        <v>6763</v>
      </c>
      <c r="AG1939" s="43">
        <v>-23.841535520383299</v>
      </c>
      <c r="AH1939" s="43">
        <v>151.250589188345</v>
      </c>
      <c r="AI1939" s="122" t="s">
        <v>7286</v>
      </c>
      <c r="AJ1939" s="41">
        <v>0.5</v>
      </c>
    </row>
    <row r="1940" spans="1:36" ht="35.1" hidden="1" customHeight="1" x14ac:dyDescent="0.25">
      <c r="A1940" s="40">
        <v>2596</v>
      </c>
      <c r="B1940" s="40" t="s">
        <v>6747</v>
      </c>
      <c r="C1940" s="40" t="s">
        <v>535</v>
      </c>
      <c r="D1940" s="44">
        <v>2025</v>
      </c>
      <c r="E1940" s="44"/>
      <c r="F1940" s="40" t="s">
        <v>5701</v>
      </c>
      <c r="G1940" s="40" t="s">
        <v>1259</v>
      </c>
      <c r="H1940" s="40" t="s">
        <v>467</v>
      </c>
      <c r="I1940" s="90" t="s">
        <v>1269</v>
      </c>
      <c r="J1940" s="40" t="s">
        <v>1395</v>
      </c>
      <c r="K1940" s="90" t="s">
        <v>578</v>
      </c>
      <c r="O1940" s="40">
        <v>1</v>
      </c>
      <c r="Z1940" s="40" t="s">
        <v>6748</v>
      </c>
      <c r="AA1940" s="47">
        <f>IF(H2ProjectDB689571011[[#This Row],[Dummy_1]]="Electrolysis",
AB1940*VLOOKUP(G1940,ElectrolysisConvF,3,FALSE),
"")</f>
        <v>8.6578420809604424</v>
      </c>
      <c r="AB1940" s="46">
        <f>AC1940/(H2dens*HoursInYear/10^6)</f>
        <v>1923.9649068800986</v>
      </c>
      <c r="AC1940" s="47">
        <v>1.5</v>
      </c>
      <c r="AE1940" s="46">
        <f t="shared" si="135"/>
        <v>1923.9649068800986</v>
      </c>
      <c r="AF1940" s="43" t="s">
        <v>6857</v>
      </c>
      <c r="AG1940" s="43">
        <v>-28.168833065703399</v>
      </c>
      <c r="AH1940" s="43">
        <v>152.98145474606201</v>
      </c>
      <c r="AI1940" s="122" t="s">
        <v>7286</v>
      </c>
      <c r="AJ1940" s="41">
        <v>0.5</v>
      </c>
    </row>
    <row r="1941" spans="1:36" ht="34.5" hidden="1" customHeight="1" x14ac:dyDescent="0.25">
      <c r="A1941" s="40">
        <v>2597</v>
      </c>
      <c r="B1941" s="40" t="s">
        <v>6753</v>
      </c>
      <c r="C1941" s="40" t="s">
        <v>1045</v>
      </c>
      <c r="D1941" s="44">
        <v>2026</v>
      </c>
      <c r="E1941" s="44"/>
      <c r="F1941" s="40" t="s">
        <v>1331</v>
      </c>
      <c r="G1941" s="40" t="s">
        <v>1259</v>
      </c>
      <c r="H1941" s="40" t="s">
        <v>467</v>
      </c>
      <c r="I1941" s="40" t="s">
        <v>1269</v>
      </c>
      <c r="J1941" s="40" t="s">
        <v>1395</v>
      </c>
      <c r="K1941" s="40" t="s">
        <v>1243</v>
      </c>
      <c r="M1941" s="40">
        <v>1</v>
      </c>
      <c r="Z1941" s="40" t="s">
        <v>1485</v>
      </c>
      <c r="AA1941" s="45">
        <f>100-15</f>
        <v>85</v>
      </c>
      <c r="AB1941" s="46">
        <f>IF(H2ProjectDB689571011[[#This Row],[Dummy_1]]="Electrolysis",
AA1941/VLOOKUP(G1941,ElectrolysisConvF,3,FALSE),
AC1941*10^6/(H2dens*HoursInYear))</f>
        <v>18888.888888888891</v>
      </c>
      <c r="AC1941" s="47">
        <f>AB1941*H2dens*HoursInYear/10^6</f>
        <v>14.726533333333334</v>
      </c>
      <c r="AE1941" s="46">
        <f t="shared" si="135"/>
        <v>18888.888888888891</v>
      </c>
      <c r="AF1941" s="43" t="s">
        <v>7665</v>
      </c>
      <c r="AG1941" s="43">
        <v>29.6333926321958</v>
      </c>
      <c r="AH1941" s="43">
        <v>32.3008063477238</v>
      </c>
      <c r="AI1941" s="122" t="s">
        <v>7286</v>
      </c>
      <c r="AJ1941" s="41">
        <v>0.5</v>
      </c>
    </row>
    <row r="1942" spans="1:36" ht="35.1" hidden="1" customHeight="1" x14ac:dyDescent="0.25">
      <c r="A1942" s="40">
        <v>2598</v>
      </c>
      <c r="B1942" s="40" t="s">
        <v>6762</v>
      </c>
      <c r="C1942" s="40" t="s">
        <v>535</v>
      </c>
      <c r="D1942" s="44">
        <v>2028</v>
      </c>
      <c r="E1942" s="44"/>
      <c r="F1942" s="40" t="s">
        <v>5701</v>
      </c>
      <c r="G1942" s="40" t="s">
        <v>455</v>
      </c>
      <c r="I1942" s="90" t="s">
        <v>1269</v>
      </c>
      <c r="J1942" s="40" t="s">
        <v>1395</v>
      </c>
      <c r="K1942" s="90" t="s">
        <v>578</v>
      </c>
      <c r="P1942" s="40">
        <v>1</v>
      </c>
      <c r="Z1942" s="40" t="s">
        <v>1483</v>
      </c>
      <c r="AA1942" s="47">
        <v>20</v>
      </c>
      <c r="AB1942" s="46">
        <f>IF(H2ProjectDB689571011[[#This Row],[Dummy_1]]="Electrolysis",
AA1942/VLOOKUP(G1942,ElectrolysisConvF,3,FALSE),
AC1942*10^6/(H2dens*HoursInYear))</f>
        <v>3846.1538461538462</v>
      </c>
      <c r="AC1942" s="47">
        <f>AB1942*H2dens*HoursInYear/10^6</f>
        <v>2.9986153846153845</v>
      </c>
      <c r="AE1942" s="46">
        <f t="shared" si="135"/>
        <v>3846.1538461538462</v>
      </c>
      <c r="AF1942" s="43" t="s">
        <v>6763</v>
      </c>
      <c r="AG1942" s="43">
        <v>-23.841535520383299</v>
      </c>
      <c r="AH1942" s="43">
        <v>151.250589188345</v>
      </c>
      <c r="AI1942" s="122" t="s">
        <v>7286</v>
      </c>
      <c r="AJ1942" s="41">
        <v>0.5</v>
      </c>
    </row>
    <row r="1943" spans="1:36" ht="35.1" hidden="1" customHeight="1" x14ac:dyDescent="0.25">
      <c r="A1943" s="40">
        <v>2599</v>
      </c>
      <c r="B1943" s="40" t="s">
        <v>6764</v>
      </c>
      <c r="C1943" s="40" t="s">
        <v>546</v>
      </c>
      <c r="D1943" s="44">
        <v>2029</v>
      </c>
      <c r="E1943" s="44"/>
      <c r="F1943" s="90" t="s">
        <v>2222</v>
      </c>
      <c r="G1943" s="90" t="s">
        <v>1259</v>
      </c>
      <c r="H1943" s="90" t="s">
        <v>467</v>
      </c>
      <c r="I1943" s="40" t="s">
        <v>1269</v>
      </c>
      <c r="J1943" s="40" t="s">
        <v>1395</v>
      </c>
      <c r="K1943" s="40" t="s">
        <v>578</v>
      </c>
      <c r="P1943" s="40">
        <v>1</v>
      </c>
      <c r="Z1943" s="40" t="s">
        <v>7266</v>
      </c>
      <c r="AA1943" s="47">
        <v>225</v>
      </c>
      <c r="AB1943" s="46">
        <f>IF(H2ProjectDB689571011[[#This Row],[Dummy_1]]="Electrolysis",
AA1943/VLOOKUP(G1943,ElectrolysisConvF,3,FALSE),
AC1943*10^6/(H2dens*HoursInYear))</f>
        <v>50000.000000000007</v>
      </c>
      <c r="AC1943" s="47">
        <f>AB1943*H2dens*HoursInYear/10^6</f>
        <v>38.981999999999999</v>
      </c>
      <c r="AE1943" s="46">
        <f t="shared" si="135"/>
        <v>50000.000000000007</v>
      </c>
      <c r="AF1943" s="43" t="s">
        <v>7268</v>
      </c>
      <c r="AG1943" s="43">
        <v>51.958861608753999</v>
      </c>
      <c r="AH1943" s="43">
        <v>4.0563419055455601</v>
      </c>
      <c r="AI1943" s="122" t="s">
        <v>7286</v>
      </c>
      <c r="AJ1943" s="41">
        <v>0.5</v>
      </c>
    </row>
    <row r="1944" spans="1:36" ht="35.1" hidden="1" customHeight="1" x14ac:dyDescent="0.25">
      <c r="A1944" s="40">
        <v>2600</v>
      </c>
      <c r="B1944" s="40" t="s">
        <v>6766</v>
      </c>
      <c r="C1944" s="40" t="s">
        <v>1097</v>
      </c>
      <c r="D1944" s="44">
        <v>2028</v>
      </c>
      <c r="E1944" s="44"/>
      <c r="F1944" s="90" t="s">
        <v>2222</v>
      </c>
      <c r="G1944" s="90" t="s">
        <v>1259</v>
      </c>
      <c r="H1944" s="40" t="s">
        <v>467</v>
      </c>
      <c r="I1944" s="90" t="s">
        <v>1269</v>
      </c>
      <c r="J1944" s="90" t="s">
        <v>1395</v>
      </c>
      <c r="K1944" s="40" t="s">
        <v>578</v>
      </c>
      <c r="Z1944" s="40" t="s">
        <v>1334</v>
      </c>
      <c r="AA1944" s="47">
        <v>1000</v>
      </c>
      <c r="AB1944" s="46">
        <f>IF(H2ProjectDB689571011[[#This Row],[Dummy_1]]="Electrolysis",
AA1944/VLOOKUP(G1944,ElectrolysisConvF,3,FALSE),
AC1944*10^6/(H2dens*HoursInYear))</f>
        <v>222222.22222222225</v>
      </c>
      <c r="AC1944" s="47">
        <f>AB1944*H2dens*HoursInYear/10^6</f>
        <v>173.25333333333333</v>
      </c>
      <c r="AE1944" s="46">
        <f t="shared" si="135"/>
        <v>222222.22222222225</v>
      </c>
      <c r="AF1944" s="43" t="s">
        <v>6769</v>
      </c>
      <c r="AG1944" s="43">
        <v>23.723174731851</v>
      </c>
      <c r="AH1944" s="43">
        <v>-15.934762435401</v>
      </c>
      <c r="AI1944" s="122" t="s">
        <v>7286</v>
      </c>
      <c r="AJ1944" s="41">
        <v>0.5</v>
      </c>
    </row>
    <row r="1945" spans="1:36" ht="35.1" hidden="1" customHeight="1" x14ac:dyDescent="0.25">
      <c r="A1945" s="40">
        <v>2601</v>
      </c>
      <c r="B1945" s="40" t="s">
        <v>6767</v>
      </c>
      <c r="C1945" s="40" t="s">
        <v>1097</v>
      </c>
      <c r="D1945" s="44">
        <v>2030</v>
      </c>
      <c r="E1945" s="44"/>
      <c r="F1945" s="90" t="s">
        <v>2222</v>
      </c>
      <c r="G1945" s="90" t="s">
        <v>1259</v>
      </c>
      <c r="H1945" s="40" t="s">
        <v>467</v>
      </c>
      <c r="I1945" s="90" t="s">
        <v>1269</v>
      </c>
      <c r="J1945" s="90" t="s">
        <v>1395</v>
      </c>
      <c r="K1945" s="40" t="s">
        <v>578</v>
      </c>
      <c r="Z1945" s="40" t="s">
        <v>3267</v>
      </c>
      <c r="AA1945" s="47">
        <v>7000</v>
      </c>
      <c r="AB1945" s="46">
        <f>IF(H2ProjectDB689571011[[#This Row],[Dummy_1]]="Electrolysis",
AA1945/VLOOKUP(G1945,ElectrolysisConvF,3,FALSE),
AC1945*10^6/(H2dens*HoursInYear))</f>
        <v>1555555.5555555557</v>
      </c>
      <c r="AC1945" s="47">
        <f>AB1945*H2dens*HoursInYear/10^6</f>
        <v>1212.7733333333335</v>
      </c>
      <c r="AE1945" s="46">
        <f t="shared" si="135"/>
        <v>1555555.5555555557</v>
      </c>
      <c r="AF1945" s="43" t="s">
        <v>6769</v>
      </c>
      <c r="AG1945" s="43">
        <v>23.723174731851</v>
      </c>
      <c r="AH1945" s="43">
        <v>-15.934762435401</v>
      </c>
      <c r="AI1945" s="122" t="s">
        <v>7286</v>
      </c>
      <c r="AJ1945" s="41">
        <v>0.5</v>
      </c>
    </row>
    <row r="1946" spans="1:36" ht="35.1" hidden="1" customHeight="1" x14ac:dyDescent="0.25">
      <c r="A1946" s="40">
        <v>2602</v>
      </c>
      <c r="B1946" s="40" t="s">
        <v>6771</v>
      </c>
      <c r="C1946" s="40" t="s">
        <v>1305</v>
      </c>
      <c r="D1946" s="44">
        <v>2023</v>
      </c>
      <c r="E1946" s="44">
        <v>2026</v>
      </c>
      <c r="F1946" s="90" t="s">
        <v>1339</v>
      </c>
      <c r="G1946" s="90" t="s">
        <v>1259</v>
      </c>
      <c r="H1946" s="90" t="s">
        <v>467</v>
      </c>
      <c r="I1946" s="90" t="s">
        <v>1269</v>
      </c>
      <c r="J1946" s="90" t="s">
        <v>581</v>
      </c>
      <c r="K1946" s="40" t="s">
        <v>1242</v>
      </c>
      <c r="P1946" s="40">
        <v>1</v>
      </c>
      <c r="Q1946" s="40">
        <v>1</v>
      </c>
      <c r="AA1946" s="47">
        <f>IF(OR(G1946="ALK",G1946="PEM",G1946="SOEC",G1946="Other Electrolysis"),
AB1946*VLOOKUP(G1946,ElectrolysisConvF,3,FALSE),
"")</f>
        <v>0</v>
      </c>
      <c r="AC1946" s="47"/>
      <c r="AE1946" s="46">
        <f t="shared" si="135"/>
        <v>0</v>
      </c>
      <c r="AF1946" s="43" t="s">
        <v>6774</v>
      </c>
      <c r="AG1946" s="43">
        <v>51.324711167337902</v>
      </c>
      <c r="AH1946" s="43">
        <v>12.024311061848</v>
      </c>
      <c r="AI1946" s="122" t="s">
        <v>7286</v>
      </c>
      <c r="AJ1946" s="41">
        <v>0.5</v>
      </c>
    </row>
    <row r="1947" spans="1:36" ht="35.1" hidden="1" customHeight="1" x14ac:dyDescent="0.25">
      <c r="A1947" s="40">
        <v>2603</v>
      </c>
      <c r="B1947" s="40" t="s">
        <v>6775</v>
      </c>
      <c r="C1947" s="40" t="s">
        <v>537</v>
      </c>
      <c r="D1947" s="44">
        <v>2026</v>
      </c>
      <c r="E1947" s="44"/>
      <c r="F1947" s="90" t="s">
        <v>5701</v>
      </c>
      <c r="G1947" s="90" t="s">
        <v>1259</v>
      </c>
      <c r="H1947" s="90" t="s">
        <v>467</v>
      </c>
      <c r="I1947" s="90" t="s">
        <v>1269</v>
      </c>
      <c r="J1947" s="90" t="s">
        <v>1392</v>
      </c>
      <c r="K1947" s="40" t="s">
        <v>1242</v>
      </c>
      <c r="Q1947" s="40">
        <v>1</v>
      </c>
      <c r="Z1947" s="40" t="s">
        <v>6776</v>
      </c>
      <c r="AA1947" s="47">
        <f>IF(H2ProjectDB689571011[[#This Row],[Dummy_1]]="Electrolysis",
AB1947*VLOOKUP(G1947,ElectrolysisConvF,3,FALSE),
"")</f>
        <v>552.15965060797294</v>
      </c>
      <c r="AB1947" s="46">
        <f>AC1947/(H2dens*HoursInYear/10^6)</f>
        <v>122702.14457954954</v>
      </c>
      <c r="AC1947" s="92">
        <f>500*0.191327</f>
        <v>95.663499999999999</v>
      </c>
      <c r="AE1947" s="46">
        <f t="shared" si="135"/>
        <v>122702.14457954954</v>
      </c>
      <c r="AF1947" s="43" t="s">
        <v>7435</v>
      </c>
      <c r="AG1947" s="43">
        <v>46.092382485894298</v>
      </c>
      <c r="AH1947" s="43">
        <v>122.03680664307301</v>
      </c>
      <c r="AI1947" s="122" t="s">
        <v>7286</v>
      </c>
      <c r="AJ1947" s="41">
        <v>0.4</v>
      </c>
    </row>
    <row r="1948" spans="1:36" ht="35.1" hidden="1" customHeight="1" x14ac:dyDescent="0.25">
      <c r="A1948" s="40">
        <v>2604</v>
      </c>
      <c r="B1948" s="40" t="s">
        <v>6788</v>
      </c>
      <c r="C1948" s="40" t="s">
        <v>1045</v>
      </c>
      <c r="D1948" s="44">
        <v>2027</v>
      </c>
      <c r="E1948" s="44"/>
      <c r="F1948" s="40" t="s">
        <v>2222</v>
      </c>
      <c r="G1948" s="40" t="s">
        <v>1259</v>
      </c>
      <c r="H1948" s="40" t="s">
        <v>467</v>
      </c>
      <c r="I1948" s="90" t="s">
        <v>1269</v>
      </c>
      <c r="J1948" s="40" t="s">
        <v>1395</v>
      </c>
      <c r="K1948" s="90" t="s">
        <v>1242</v>
      </c>
      <c r="N1948" s="40">
        <v>1</v>
      </c>
      <c r="Q1948" s="40">
        <v>1</v>
      </c>
      <c r="Z1948" s="40" t="s">
        <v>6790</v>
      </c>
      <c r="AA1948" s="47">
        <v>190</v>
      </c>
      <c r="AB1948" s="46">
        <f>IF(H2ProjectDB689571011[[#This Row],[Dummy_1]]="Electrolysis",
AA1948/VLOOKUP(G1948,ElectrolysisConvF,3,FALSE),
AC1948*10^6/(H2dens*HoursInYear))</f>
        <v>42222.222222222226</v>
      </c>
      <c r="AC1948" s="47">
        <f>AB1948*H2dens*HoursInYear/10^6</f>
        <v>32.91813333333333</v>
      </c>
      <c r="AE1948" s="46">
        <f t="shared" si="135"/>
        <v>42222.222222222226</v>
      </c>
      <c r="AF1948" s="43" t="s">
        <v>6792</v>
      </c>
      <c r="AG1948" s="43">
        <v>31.2665542268882</v>
      </c>
      <c r="AH1948" s="43">
        <v>32.3004465182525</v>
      </c>
      <c r="AI1948" s="122" t="s">
        <v>7286</v>
      </c>
      <c r="AJ1948" s="41">
        <v>0.5</v>
      </c>
    </row>
    <row r="1949" spans="1:36" ht="35.1" hidden="1" customHeight="1" x14ac:dyDescent="0.25">
      <c r="A1949" s="40">
        <v>2605</v>
      </c>
      <c r="B1949" s="40" t="s">
        <v>6799</v>
      </c>
      <c r="C1949" s="40" t="s">
        <v>538</v>
      </c>
      <c r="D1949" s="44">
        <v>2023</v>
      </c>
      <c r="F1949" s="40" t="s">
        <v>1339</v>
      </c>
      <c r="G1949" s="40" t="s">
        <v>457</v>
      </c>
      <c r="I1949" s="40" t="s">
        <v>1266</v>
      </c>
      <c r="K1949" s="40" t="s">
        <v>578</v>
      </c>
      <c r="R1949" s="40">
        <v>1</v>
      </c>
      <c r="Z1949" s="40" t="s">
        <v>6800</v>
      </c>
      <c r="AA1949" s="47">
        <f>IF(H2ProjectDB689571011[[#This Row],[Dummy_1]]="Electrolysis",
AB1949*VLOOKUP(G1949,ElectrolysisConvF,3,FALSE),
"")</f>
        <v>5.0599999999999996</v>
      </c>
      <c r="AB1949" s="46">
        <v>1100</v>
      </c>
      <c r="AC1949" s="47">
        <f>AB1949*H2dens*HoursInYear/10^6</f>
        <v>0.85760399999999992</v>
      </c>
      <c r="AE1949" s="46">
        <f t="shared" si="135"/>
        <v>1100</v>
      </c>
      <c r="AF1949" s="43" t="s">
        <v>6801</v>
      </c>
      <c r="AG1949" s="43">
        <v>35.019607365012099</v>
      </c>
      <c r="AH1949" s="43">
        <v>134.833137729952</v>
      </c>
      <c r="AI1949" s="122" t="s">
        <v>7286</v>
      </c>
      <c r="AJ1949" s="41">
        <v>0.56999999999999995</v>
      </c>
    </row>
    <row r="1950" spans="1:36" ht="35.1" hidden="1" customHeight="1" x14ac:dyDescent="0.25">
      <c r="A1950" s="40">
        <v>2606</v>
      </c>
      <c r="B1950" s="40" t="s">
        <v>6834</v>
      </c>
      <c r="C1950" s="40" t="s">
        <v>546</v>
      </c>
      <c r="D1950" s="44">
        <v>2028</v>
      </c>
      <c r="E1950" s="44"/>
      <c r="F1950" s="40" t="s">
        <v>1331</v>
      </c>
      <c r="G1950" s="40" t="s">
        <v>457</v>
      </c>
      <c r="I1950" s="40" t="s">
        <v>1269</v>
      </c>
      <c r="J1950" s="40" t="s">
        <v>1395</v>
      </c>
      <c r="K1950" s="40" t="s">
        <v>578</v>
      </c>
      <c r="P1950" s="40">
        <v>1</v>
      </c>
      <c r="W1950" s="40">
        <v>1</v>
      </c>
      <c r="Z1950" s="40" t="s">
        <v>1483</v>
      </c>
      <c r="AA1950" s="47">
        <v>50</v>
      </c>
      <c r="AB1950" s="46">
        <f>IF(H2ProjectDB689571011[[#This Row],[Dummy_1]]="Electrolysis",
AA1950/VLOOKUP(G1950,ElectrolysisConvF,3,FALSE),
AC1950*10^6/(H2dens*HoursInYear))</f>
        <v>10869.565217391304</v>
      </c>
      <c r="AC1950" s="47">
        <f>AB1950*H2dens*HoursInYear/10^6</f>
        <v>8.4743478260869551</v>
      </c>
      <c r="AE1950" s="46">
        <f t="shared" si="135"/>
        <v>10869.565217391304</v>
      </c>
      <c r="AF1950" s="43" t="s">
        <v>6837</v>
      </c>
      <c r="AG1950" s="43">
        <v>53.334414502966901</v>
      </c>
      <c r="AH1950" s="43">
        <v>6.9213599498701699</v>
      </c>
      <c r="AI1950" s="122" t="s">
        <v>7286</v>
      </c>
      <c r="AJ1950" s="41">
        <v>0.5</v>
      </c>
    </row>
    <row r="1951" spans="1:36" ht="35.1" hidden="1" customHeight="1" x14ac:dyDescent="0.25">
      <c r="A1951" s="40">
        <v>2607</v>
      </c>
      <c r="B1951" s="40" t="s">
        <v>6838</v>
      </c>
      <c r="C1951" s="40" t="s">
        <v>1045</v>
      </c>
      <c r="D1951" s="44"/>
      <c r="E1951" s="44"/>
      <c r="F1951" s="40" t="s">
        <v>2222</v>
      </c>
      <c r="G1951" s="40" t="s">
        <v>1259</v>
      </c>
      <c r="H1951" s="40" t="s">
        <v>467</v>
      </c>
      <c r="I1951" s="40" t="s">
        <v>1269</v>
      </c>
      <c r="J1951" s="40" t="s">
        <v>1395</v>
      </c>
      <c r="K1951" s="40" t="s">
        <v>1243</v>
      </c>
      <c r="M1951" s="40">
        <v>1</v>
      </c>
      <c r="Z1951" s="40" t="s">
        <v>6839</v>
      </c>
      <c r="AA1951" s="47">
        <f>IF(H2ProjectDB689571011[[#This Row],[Dummy_1]]="Electrolysis",
AB1951*VLOOKUP(G1951,ElectrolysisConvF,3,FALSE),
"")</f>
        <v>623.6140754593356</v>
      </c>
      <c r="AB1951" s="46">
        <f>AC1951/(H2dens*HoursInYear/10^6)</f>
        <v>138580.90565763015</v>
      </c>
      <c r="AC1951" s="47">
        <f>(600*3/17/0.98)</f>
        <v>108.04321728691477</v>
      </c>
      <c r="AE1951" s="46">
        <f t="shared" si="135"/>
        <v>138580.90565763015</v>
      </c>
      <c r="AF1951" s="43" t="s">
        <v>6842</v>
      </c>
      <c r="AG1951" s="43">
        <v>29.659369000000002</v>
      </c>
      <c r="AH1951" s="43">
        <v>32.344810000000003</v>
      </c>
      <c r="AI1951" s="122" t="s">
        <v>7286</v>
      </c>
      <c r="AJ1951" s="41">
        <v>0.5</v>
      </c>
    </row>
    <row r="1952" spans="1:36" ht="35.1" hidden="1" customHeight="1" x14ac:dyDescent="0.25">
      <c r="A1952" s="40">
        <v>2609</v>
      </c>
      <c r="B1952" s="40" t="s">
        <v>6851</v>
      </c>
      <c r="C1952" s="40" t="s">
        <v>536</v>
      </c>
      <c r="D1952" s="44">
        <v>2027</v>
      </c>
      <c r="E1952" s="44"/>
      <c r="F1952" s="90" t="s">
        <v>1331</v>
      </c>
      <c r="G1952" s="90" t="s">
        <v>1261</v>
      </c>
      <c r="H1952" s="40" t="s">
        <v>6987</v>
      </c>
      <c r="K1952" s="40" t="s">
        <v>1243</v>
      </c>
      <c r="M1952" s="40">
        <v>1</v>
      </c>
      <c r="P1952" s="40">
        <v>1</v>
      </c>
      <c r="Q1952" s="40">
        <v>1</v>
      </c>
      <c r="Z1952" s="40" t="s">
        <v>6852</v>
      </c>
      <c r="AA1952" s="47"/>
      <c r="AB1952" s="46">
        <f>AC1952/(H2dens*HoursInYear/10^6)</f>
        <v>203251.9949645242</v>
      </c>
      <c r="AC1952" s="47">
        <f>(880*3/17/0.98)</f>
        <v>158.46338535414165</v>
      </c>
      <c r="AE1952" s="46">
        <f t="shared" si="135"/>
        <v>0</v>
      </c>
      <c r="AF1952" s="43" t="s">
        <v>6854</v>
      </c>
      <c r="AG1952" s="43">
        <v>29.892583411931898</v>
      </c>
      <c r="AH1952" s="43">
        <v>-93.895723762819699</v>
      </c>
      <c r="AI1952" s="122" t="s">
        <v>7287</v>
      </c>
      <c r="AJ1952" s="41">
        <v>0.9</v>
      </c>
    </row>
    <row r="1953" spans="1:36" ht="35.1" hidden="1" customHeight="1" x14ac:dyDescent="0.25">
      <c r="A1953" s="40">
        <v>2611</v>
      </c>
      <c r="B1953" s="40" t="s">
        <v>6858</v>
      </c>
      <c r="C1953" s="40" t="s">
        <v>533</v>
      </c>
      <c r="D1953" s="44">
        <v>2028</v>
      </c>
      <c r="E1953" s="44"/>
      <c r="F1953" s="40" t="s">
        <v>1331</v>
      </c>
      <c r="G1953" s="40" t="s">
        <v>1259</v>
      </c>
      <c r="H1953" s="40" t="s">
        <v>467</v>
      </c>
      <c r="I1953" s="40" t="s">
        <v>1269</v>
      </c>
      <c r="J1953" s="40" t="s">
        <v>1395</v>
      </c>
      <c r="K1953" s="40" t="s">
        <v>1268</v>
      </c>
      <c r="Q1953" s="40">
        <v>1</v>
      </c>
      <c r="W1953" s="40">
        <v>1</v>
      </c>
      <c r="Z1953" s="40" t="s">
        <v>8339</v>
      </c>
      <c r="AA1953" s="47">
        <v>500</v>
      </c>
      <c r="AB1953" s="46">
        <f>IF(H2ProjectDB689571011[[#This Row],[Dummy_1]]="Electrolysis",
AA1953/VLOOKUP(G1953,ElectrolysisConvF,3,FALSE),
AC1953*10^6/(H2dens*HoursInYear))</f>
        <v>111111.11111111112</v>
      </c>
      <c r="AC1953" s="47">
        <f>AB1953*H2dens*HoursInYear/10^6</f>
        <v>86.626666666666665</v>
      </c>
      <c r="AE1953" s="46">
        <f t="shared" si="135"/>
        <v>111111.11111111112</v>
      </c>
      <c r="AF1953" s="43" t="s">
        <v>6860</v>
      </c>
      <c r="AG1953" s="43">
        <v>46.9154099346854</v>
      </c>
      <c r="AH1953" s="43">
        <v>-72.615525918884302</v>
      </c>
      <c r="AI1953" s="122" t="s">
        <v>7286</v>
      </c>
      <c r="AJ1953" s="41">
        <v>0.5</v>
      </c>
    </row>
    <row r="1954" spans="1:36" ht="35.1" hidden="1" customHeight="1" x14ac:dyDescent="0.25">
      <c r="A1954" s="40">
        <v>2612</v>
      </c>
      <c r="B1954" s="107" t="s">
        <v>8337</v>
      </c>
      <c r="C1954" s="40" t="s">
        <v>1764</v>
      </c>
      <c r="D1954" s="44">
        <v>2028</v>
      </c>
      <c r="E1954" s="44"/>
      <c r="F1954" s="40" t="s">
        <v>1331</v>
      </c>
      <c r="G1954" s="40" t="s">
        <v>1259</v>
      </c>
      <c r="H1954" s="40" t="s">
        <v>467</v>
      </c>
      <c r="I1954" s="40" t="s">
        <v>1257</v>
      </c>
      <c r="K1954" s="40" t="s">
        <v>1242</v>
      </c>
      <c r="P1954" s="40">
        <v>1</v>
      </c>
      <c r="Z1954" s="40" t="s">
        <v>6868</v>
      </c>
      <c r="AA1954" s="47">
        <f>IF(H2ProjectDB689571011[[#This Row],[Dummy_1]]="Electrolysis",
AB1954*VLOOKUP(G1954,ElectrolysisConvF,3,FALSE),
"")</f>
        <v>331.29579036478373</v>
      </c>
      <c r="AB1954" s="46">
        <f>AC1954/(H2dens*HoursInYear/10^6)</f>
        <v>73621.286747729726</v>
      </c>
      <c r="AC1954" s="92">
        <f>300*0.191327</f>
        <v>57.398099999999999</v>
      </c>
      <c r="AE1954" s="46">
        <f t="shared" si="135"/>
        <v>73621.286747729726</v>
      </c>
      <c r="AF1954" s="43" t="s">
        <v>6863</v>
      </c>
      <c r="AG1954" s="43">
        <v>37.219795785612398</v>
      </c>
      <c r="AH1954" s="43">
        <v>-6.9371736040033998</v>
      </c>
      <c r="AI1954" s="122" t="s">
        <v>7286</v>
      </c>
      <c r="AJ1954" s="41">
        <v>0.56999999999999995</v>
      </c>
    </row>
    <row r="1955" spans="1:36" ht="35.1" hidden="1" customHeight="1" x14ac:dyDescent="0.25">
      <c r="A1955" s="40">
        <v>2613</v>
      </c>
      <c r="B1955" s="40" t="s">
        <v>6864</v>
      </c>
      <c r="C1955" s="40" t="s">
        <v>1995</v>
      </c>
      <c r="D1955" s="44">
        <v>2028</v>
      </c>
      <c r="E1955" s="44"/>
      <c r="F1955" s="40" t="s">
        <v>2222</v>
      </c>
      <c r="G1955" s="40" t="s">
        <v>1259</v>
      </c>
      <c r="H1955" s="40" t="s">
        <v>467</v>
      </c>
      <c r="I1955" s="40" t="s">
        <v>1269</v>
      </c>
      <c r="J1955" s="40" t="s">
        <v>1395</v>
      </c>
      <c r="K1955" s="40" t="s">
        <v>578</v>
      </c>
      <c r="Z1955" s="40" t="s">
        <v>6865</v>
      </c>
      <c r="AA1955" s="47">
        <v>35000</v>
      </c>
      <c r="AB1955" s="46">
        <f>IF(H2ProjectDB689571011[[#This Row],[Dummy_1]]="Electrolysis",
AA1955/VLOOKUP(G1955,ElectrolysisConvF,3,FALSE),
AC1955*10^6/(H2dens*HoursInYear))</f>
        <v>7777777.777777778</v>
      </c>
      <c r="AC1955" s="47">
        <f>AB1955*H2dens*HoursInYear/10^6</f>
        <v>6063.8666666666668</v>
      </c>
      <c r="AE1955" s="46">
        <f t="shared" si="135"/>
        <v>7777777.777777778</v>
      </c>
      <c r="AF1955" s="43" t="s">
        <v>6867</v>
      </c>
      <c r="AG1955" s="43">
        <v>18.6211088216298</v>
      </c>
      <c r="AH1955" s="43">
        <v>-12.4682963675008</v>
      </c>
      <c r="AI1955" s="122" t="s">
        <v>7286</v>
      </c>
      <c r="AJ1955" s="41">
        <v>0.5</v>
      </c>
    </row>
    <row r="1956" spans="1:36" ht="35.1" hidden="1" customHeight="1" x14ac:dyDescent="0.25">
      <c r="A1956" s="40">
        <v>2614</v>
      </c>
      <c r="B1956" s="40" t="s">
        <v>6869</v>
      </c>
      <c r="C1956" s="40" t="s">
        <v>1045</v>
      </c>
      <c r="D1956" s="44">
        <v>2028</v>
      </c>
      <c r="E1956" s="44"/>
      <c r="F1956" s="40" t="s">
        <v>1331</v>
      </c>
      <c r="G1956" s="40" t="s">
        <v>1259</v>
      </c>
      <c r="H1956" s="40" t="s">
        <v>467</v>
      </c>
      <c r="I1956" s="40" t="s">
        <v>1269</v>
      </c>
      <c r="J1956" s="40" t="s">
        <v>1395</v>
      </c>
      <c r="K1956" s="40" t="s">
        <v>1242</v>
      </c>
      <c r="N1956" s="40">
        <v>1</v>
      </c>
      <c r="P1956" s="40">
        <v>1</v>
      </c>
      <c r="Q1956" s="40">
        <v>1</v>
      </c>
      <c r="Z1956" s="40" t="s">
        <v>6870</v>
      </c>
      <c r="AA1956" s="47">
        <f>IF(H2ProjectDB689571011[[#This Row],[Dummy_1]]="Electrolysis",
AB1956*VLOOKUP(G1956,ElectrolysisConvF,3,FALSE),
"")</f>
        <v>662.59158072956745</v>
      </c>
      <c r="AB1956" s="46">
        <f>AC1956/(H2dens*HoursInYear/10^6)</f>
        <v>147242.57349545945</v>
      </c>
      <c r="AC1956" s="92">
        <f>300*0.191327/H2ProjectDB689571011[[#This Row],[LOWE_CF]]</f>
        <v>114.7962</v>
      </c>
      <c r="AE1956" s="46">
        <f t="shared" si="135"/>
        <v>147242.57349545945</v>
      </c>
      <c r="AF1956" s="43" t="s">
        <v>6872</v>
      </c>
      <c r="AG1956" s="43">
        <v>29.659369000000002</v>
      </c>
      <c r="AH1956" s="43">
        <v>32.344810000000003</v>
      </c>
      <c r="AI1956" s="122" t="s">
        <v>7286</v>
      </c>
      <c r="AJ1956" s="41">
        <v>0.5</v>
      </c>
    </row>
    <row r="1957" spans="1:36" ht="35.1" hidden="1" customHeight="1" x14ac:dyDescent="0.25">
      <c r="A1957" s="40">
        <v>2615</v>
      </c>
      <c r="B1957" s="40" t="s">
        <v>6873</v>
      </c>
      <c r="C1957" s="40" t="s">
        <v>1850</v>
      </c>
      <c r="D1957" s="44">
        <v>2028</v>
      </c>
      <c r="E1957" s="44"/>
      <c r="F1957" s="40" t="s">
        <v>2222</v>
      </c>
      <c r="G1957" s="40" t="s">
        <v>1259</v>
      </c>
      <c r="H1957" s="40" t="s">
        <v>467</v>
      </c>
      <c r="I1957" s="40" t="s">
        <v>1269</v>
      </c>
      <c r="J1957" s="40" t="s">
        <v>1395</v>
      </c>
      <c r="K1957" s="40" t="s">
        <v>578</v>
      </c>
      <c r="Z1957" s="40" t="s">
        <v>6874</v>
      </c>
      <c r="AA1957" s="47">
        <v>350</v>
      </c>
      <c r="AB1957" s="46">
        <f>IF(H2ProjectDB689571011[[#This Row],[Dummy_1]]="Electrolysis",
AA1957/VLOOKUP(G1957,ElectrolysisConvF,3,FALSE),
AC1957*10^6/(H2dens*HoursInYear))</f>
        <v>77777.777777777781</v>
      </c>
      <c r="AC1957" s="47">
        <f>AB1957*H2dens*HoursInYear/10^6</f>
        <v>60.638666666666673</v>
      </c>
      <c r="AE1957" s="46">
        <f t="shared" si="135"/>
        <v>77777.777777777781</v>
      </c>
      <c r="AF1957" s="43" t="s">
        <v>6876</v>
      </c>
      <c r="AG1957" s="43">
        <v>18.452420186297999</v>
      </c>
      <c r="AH1957" s="43">
        <v>-68.948785539605396</v>
      </c>
      <c r="AI1957" s="122" t="s">
        <v>7286</v>
      </c>
      <c r="AJ1957" s="41">
        <v>0.5</v>
      </c>
    </row>
    <row r="1958" spans="1:36" ht="35.1" hidden="1" customHeight="1" x14ac:dyDescent="0.25">
      <c r="A1958" s="40">
        <v>2622</v>
      </c>
      <c r="B1958" s="40" t="s">
        <v>6953</v>
      </c>
      <c r="C1958" s="40" t="s">
        <v>1099</v>
      </c>
      <c r="D1958" s="44">
        <v>2026</v>
      </c>
      <c r="E1958" s="44"/>
      <c r="F1958" s="40" t="s">
        <v>5701</v>
      </c>
      <c r="G1958" s="40" t="s">
        <v>1261</v>
      </c>
      <c r="H1958" s="40" t="s">
        <v>4057</v>
      </c>
      <c r="K1958" s="40" t="s">
        <v>1243</v>
      </c>
      <c r="M1958" s="40">
        <v>1</v>
      </c>
      <c r="Z1958" s="40" t="s">
        <v>7613</v>
      </c>
      <c r="AA1958" s="47"/>
      <c r="AB1958" s="46">
        <f>AC1958/(H2dens*HoursInYear/10^6)</f>
        <v>277161.8113152603</v>
      </c>
      <c r="AC1958" s="47">
        <f>(1.2*1000*3/17/0.98)</f>
        <v>216.08643457382954</v>
      </c>
      <c r="AD1958" s="46">
        <v>1500000</v>
      </c>
      <c r="AE1958" s="46">
        <f t="shared" si="135"/>
        <v>188064.66415412276</v>
      </c>
      <c r="AF1958" s="43" t="s">
        <v>6956</v>
      </c>
      <c r="AG1958" s="43">
        <v>24.989710011697799</v>
      </c>
      <c r="AH1958" s="43">
        <v>51.5723527971168</v>
      </c>
      <c r="AI1958" s="122" t="s">
        <v>7287</v>
      </c>
      <c r="AJ1958" s="41">
        <v>0.9</v>
      </c>
    </row>
    <row r="1959" spans="1:36" ht="35.1" hidden="1" customHeight="1" x14ac:dyDescent="0.25">
      <c r="A1959" s="40">
        <v>2623</v>
      </c>
      <c r="B1959" s="40" t="s">
        <v>6970</v>
      </c>
      <c r="C1959" s="40" t="s">
        <v>540</v>
      </c>
      <c r="D1959" s="44">
        <v>2023</v>
      </c>
      <c r="F1959" s="40" t="s">
        <v>1540</v>
      </c>
      <c r="G1959" s="40" t="s">
        <v>455</v>
      </c>
      <c r="I1959" s="40" t="s">
        <v>1269</v>
      </c>
      <c r="J1959" s="40" t="s">
        <v>1395</v>
      </c>
      <c r="K1959" s="40" t="s">
        <v>578</v>
      </c>
      <c r="S1959" s="40">
        <v>1</v>
      </c>
      <c r="U1959" s="40">
        <v>1</v>
      </c>
      <c r="Z1959" s="40" t="s">
        <v>6971</v>
      </c>
      <c r="AA1959" s="47">
        <v>2</v>
      </c>
      <c r="AB1959" s="46">
        <f>IF(H2ProjectDB689571011[[#This Row],[Dummy_1]]="Electrolysis",
AA1959/VLOOKUP(G1959,ElectrolysisConvF,3,FALSE),
AC1959*10^6/(H2dens*HoursInYear))</f>
        <v>384.61538461538464</v>
      </c>
      <c r="AC1959" s="47">
        <f>AB1959*H2dens*HoursInYear/10^6</f>
        <v>0.29986153846153851</v>
      </c>
      <c r="AE1959" s="46">
        <f t="shared" si="135"/>
        <v>384.61538461538464</v>
      </c>
      <c r="AF1959" s="43" t="s">
        <v>6973</v>
      </c>
      <c r="AG1959" s="43">
        <v>47.985168254848503</v>
      </c>
      <c r="AH1959" s="43">
        <v>13.5608745428873</v>
      </c>
      <c r="AI1959" s="122" t="s">
        <v>7286</v>
      </c>
      <c r="AJ1959" s="41">
        <v>0.5</v>
      </c>
    </row>
    <row r="1960" spans="1:36" ht="35.1" hidden="1" customHeight="1" x14ac:dyDescent="0.25">
      <c r="A1960" s="40">
        <v>2624</v>
      </c>
      <c r="B1960" s="40" t="s">
        <v>6978</v>
      </c>
      <c r="C1960" s="40" t="s">
        <v>536</v>
      </c>
      <c r="D1960" s="44">
        <v>2025</v>
      </c>
      <c r="E1960" s="44"/>
      <c r="F1960" s="40" t="s">
        <v>1540</v>
      </c>
      <c r="G1960" s="40" t="s">
        <v>1260</v>
      </c>
      <c r="K1960" s="40" t="s">
        <v>578</v>
      </c>
      <c r="Z1960" s="40" t="s">
        <v>6974</v>
      </c>
      <c r="AA1960" s="47" t="str">
        <f>IF(OR(G1960="ALK",G1960="PEM",G1960="SOEC",G1960="Other Electrolysis"),
AB1960*VLOOKUP(G1960,ElectrolysisConvF,3,FALSE),
"")</f>
        <v/>
      </c>
      <c r="AB1960" s="46">
        <f>IF(H2ProjectDB689571011[[#This Row],[Dummy_1]]="Electrolysis",
AA1960/VLOOKUP(G1960,ElectrolysisConvF,3,FALSE),
AC1960*10^6/(H2dens*HoursInYear))</f>
        <v>7802.7465667915103</v>
      </c>
      <c r="AC1960" s="47">
        <f>(15/1000)*365/H2ProjectDB689571011[[#This Row],[LOWE_CF]]</f>
        <v>6.083333333333333</v>
      </c>
      <c r="AE1960" s="46">
        <f t="shared" si="135"/>
        <v>0</v>
      </c>
      <c r="AF1960" s="43" t="s">
        <v>6976</v>
      </c>
      <c r="AG1960" s="43">
        <v>44.273986741645501</v>
      </c>
      <c r="AH1960" s="43">
        <v>-105.455085541004</v>
      </c>
      <c r="AI1960" s="122" t="s">
        <v>7287</v>
      </c>
      <c r="AJ1960" s="41">
        <v>0.9</v>
      </c>
    </row>
    <row r="1961" spans="1:36" ht="35.1" hidden="1" customHeight="1" x14ac:dyDescent="0.25">
      <c r="A1961" s="40">
        <v>2625</v>
      </c>
      <c r="B1961" s="40" t="s">
        <v>6979</v>
      </c>
      <c r="C1961" s="40" t="s">
        <v>536</v>
      </c>
      <c r="D1961" s="44">
        <v>2026</v>
      </c>
      <c r="E1961" s="44"/>
      <c r="F1961" s="40" t="s">
        <v>1540</v>
      </c>
      <c r="G1961" s="40" t="s">
        <v>1261</v>
      </c>
      <c r="H1961" s="90" t="s">
        <v>5709</v>
      </c>
      <c r="K1961" s="40" t="s">
        <v>578</v>
      </c>
      <c r="Z1961" s="40" t="s">
        <v>6980</v>
      </c>
      <c r="AA1961" s="47" t="str">
        <f>IF(OR(G1961="ALK",G1961="PEM",G1961="SOEC",G1961="Other Electrolysis"),
AB1961*VLOOKUP(G1961,ElectrolysisConvF,3,FALSE),
"")</f>
        <v/>
      </c>
      <c r="AB1961" s="46">
        <f>IF(H2ProjectDB689571011[[#This Row],[Dummy_1]]="Electrolysis",
AA1961/VLOOKUP(G1961,ElectrolysisConvF,3,FALSE),
AC1961*10^6/(H2dens*HoursInYear))</f>
        <v>520.18310445276734</v>
      </c>
      <c r="AC1961" s="47">
        <f>(1/1000)*365/H2ProjectDB689571011[[#This Row],[LOWE_CF]]</f>
        <v>0.40555555555555556</v>
      </c>
      <c r="AE1961" s="46">
        <f t="shared" si="135"/>
        <v>0</v>
      </c>
      <c r="AF1961" s="43" t="s">
        <v>6981</v>
      </c>
      <c r="AG1961" s="43">
        <v>41.059194306983699</v>
      </c>
      <c r="AH1961" s="43">
        <v>-104.891578101129</v>
      </c>
      <c r="AI1961" s="122" t="s">
        <v>7287</v>
      </c>
      <c r="AJ1961" s="41">
        <v>0.9</v>
      </c>
    </row>
    <row r="1962" spans="1:36" ht="35.1" hidden="1" customHeight="1" x14ac:dyDescent="0.25">
      <c r="A1962" s="40">
        <v>2626</v>
      </c>
      <c r="B1962" s="40" t="s">
        <v>6983</v>
      </c>
      <c r="C1962" s="40" t="s">
        <v>975</v>
      </c>
      <c r="D1962" s="44">
        <v>2025</v>
      </c>
      <c r="E1962" s="44"/>
      <c r="F1962" s="40" t="s">
        <v>5701</v>
      </c>
      <c r="G1962" s="40" t="s">
        <v>457</v>
      </c>
      <c r="I1962" s="40" t="s">
        <v>1269</v>
      </c>
      <c r="J1962" s="40" t="s">
        <v>1391</v>
      </c>
      <c r="K1962" s="40" t="s">
        <v>578</v>
      </c>
      <c r="Q1962" s="40">
        <v>1</v>
      </c>
      <c r="R1962" s="40">
        <v>1</v>
      </c>
      <c r="Z1962" s="40" t="s">
        <v>6984</v>
      </c>
      <c r="AA1962" s="47">
        <f>IF(H2ProjectDB689571011[[#This Row],[Dummy_1]]="Electrolysis",
AB1962*VLOOKUP(G1962,ElectrolysisConvF,3,FALSE),
"")</f>
        <v>4.3071161048689133</v>
      </c>
      <c r="AB1962" s="46">
        <f>AC1962/(H2dens*HoursInYear/10^6)</f>
        <v>936.32958801498125</v>
      </c>
      <c r="AC1962" s="92">
        <f>((0.6/1000)*365/H2ProjectDB689571011[[#This Row],[LOWE_CF]])</f>
        <v>0.73</v>
      </c>
      <c r="AE1962" s="46">
        <f t="shared" si="135"/>
        <v>936.32958801498125</v>
      </c>
      <c r="AF1962" s="43" t="s">
        <v>6986</v>
      </c>
      <c r="AG1962" s="43">
        <v>36.061285189991104</v>
      </c>
      <c r="AH1962" s="43">
        <v>128.07766768624899</v>
      </c>
      <c r="AI1962" s="122" t="s">
        <v>7286</v>
      </c>
      <c r="AJ1962" s="41">
        <v>0.3</v>
      </c>
    </row>
    <row r="1963" spans="1:36" ht="35.1" hidden="1" customHeight="1" x14ac:dyDescent="0.25">
      <c r="A1963" s="40">
        <v>2627</v>
      </c>
      <c r="B1963" s="40" t="s">
        <v>6989</v>
      </c>
      <c r="C1963" s="40" t="s">
        <v>1305</v>
      </c>
      <c r="D1963" s="44">
        <v>2023</v>
      </c>
      <c r="E1963" s="44"/>
      <c r="F1963" s="40" t="s">
        <v>1540</v>
      </c>
      <c r="G1963" s="40" t="s">
        <v>3239</v>
      </c>
      <c r="K1963" s="40" t="s">
        <v>578</v>
      </c>
      <c r="Z1963" s="40" t="s">
        <v>6988</v>
      </c>
      <c r="AA1963" s="91">
        <v>1</v>
      </c>
      <c r="AB1963" s="46">
        <f>IF(H2ProjectDB689571011[[#This Row],[Dummy_1]]="Electrolysis",
AA1963/VLOOKUP(G1963,ElectrolysisConvF,3,FALSE),
AC1963*10^6/(H2dens*HoursInYear))</f>
        <v>222.22222222222223</v>
      </c>
      <c r="AC1963" s="47">
        <f t="shared" ref="AC1963:AC1968" si="136">AB1963*H2dens*HoursInYear/10^6</f>
        <v>0.17325333333333334</v>
      </c>
      <c r="AE1963" s="46">
        <f t="shared" si="135"/>
        <v>222.22222222222223</v>
      </c>
      <c r="AF1963" s="43" t="s">
        <v>6991</v>
      </c>
      <c r="AG1963" s="43">
        <v>52.200034047141301</v>
      </c>
      <c r="AH1963" s="43">
        <v>7.6232186944920102</v>
      </c>
      <c r="AI1963" s="122" t="s">
        <v>7286</v>
      </c>
      <c r="AJ1963" s="41" t="e">
        <v>#N/A</v>
      </c>
    </row>
    <row r="1964" spans="1:36" ht="35.1" hidden="1" customHeight="1" x14ac:dyDescent="0.25">
      <c r="A1964" s="40">
        <v>2628</v>
      </c>
      <c r="B1964" s="40" t="s">
        <v>6912</v>
      </c>
      <c r="C1964" s="40" t="s">
        <v>532</v>
      </c>
      <c r="D1964" s="44">
        <v>2027</v>
      </c>
      <c r="E1964" s="44"/>
      <c r="F1964" s="40" t="s">
        <v>1331</v>
      </c>
      <c r="G1964" s="40" t="s">
        <v>1259</v>
      </c>
      <c r="H1964" s="40" t="s">
        <v>467</v>
      </c>
      <c r="I1964" s="40" t="s">
        <v>1257</v>
      </c>
      <c r="K1964" s="40" t="s">
        <v>612</v>
      </c>
      <c r="Q1964" s="40">
        <v>1</v>
      </c>
      <c r="Z1964" s="40" t="s">
        <v>8708</v>
      </c>
      <c r="AA1964" s="47">
        <v>50</v>
      </c>
      <c r="AB1964" s="46">
        <f>IF(H2ProjectDB689571011[[#This Row],[Dummy_1]]="Electrolysis",
AA1964/VLOOKUP(G1964,ElectrolysisConvF,3,FALSE),
AC1964*10^6/(H2dens*HoursInYear))</f>
        <v>11111.111111111111</v>
      </c>
      <c r="AC1964" s="166">
        <f t="shared" si="136"/>
        <v>8.6626666666666665</v>
      </c>
      <c r="AE1964" s="46">
        <f t="shared" si="135"/>
        <v>11111.111111111111</v>
      </c>
      <c r="AF1964" s="43" t="s">
        <v>6914</v>
      </c>
      <c r="AG1964" s="43">
        <v>60.466259494063799</v>
      </c>
      <c r="AH1964" s="43">
        <v>25.112715704318202</v>
      </c>
      <c r="AI1964" s="122" t="s">
        <v>7286</v>
      </c>
      <c r="AJ1964" s="41">
        <v>0.56999999999999995</v>
      </c>
    </row>
    <row r="1965" spans="1:36" ht="35.1" hidden="1" customHeight="1" x14ac:dyDescent="0.25">
      <c r="A1965" s="40">
        <v>2629</v>
      </c>
      <c r="B1965" s="40" t="s">
        <v>6915</v>
      </c>
      <c r="C1965" s="40" t="s">
        <v>532</v>
      </c>
      <c r="D1965" s="44">
        <v>2027</v>
      </c>
      <c r="E1965" s="44"/>
      <c r="F1965" s="40" t="s">
        <v>1331</v>
      </c>
      <c r="G1965" s="40" t="s">
        <v>1259</v>
      </c>
      <c r="H1965" s="40" t="s">
        <v>467</v>
      </c>
      <c r="I1965" s="40" t="s">
        <v>1257</v>
      </c>
      <c r="K1965" s="40" t="s">
        <v>612</v>
      </c>
      <c r="Q1965" s="40">
        <v>1</v>
      </c>
      <c r="U1965" s="40">
        <v>1</v>
      </c>
      <c r="Z1965" s="40" t="s">
        <v>8709</v>
      </c>
      <c r="AA1965" s="47">
        <v>150</v>
      </c>
      <c r="AB1965" s="46">
        <f>IF(H2ProjectDB689571011[[#This Row],[Dummy_1]]="Electrolysis",
AA1965/VLOOKUP(G1965,ElectrolysisConvF,3,FALSE),
AC1965*10^6/(H2dens*HoursInYear))</f>
        <v>33333.333333333336</v>
      </c>
      <c r="AC1965" s="166">
        <f t="shared" si="136"/>
        <v>25.988</v>
      </c>
      <c r="AE1965" s="46">
        <f t="shared" si="135"/>
        <v>33333.333333333336</v>
      </c>
      <c r="AF1965" s="43" t="s">
        <v>6918</v>
      </c>
      <c r="AG1965" s="43">
        <v>61.552737935342698</v>
      </c>
      <c r="AH1965" s="43">
        <v>23.974372407829001</v>
      </c>
      <c r="AI1965" s="122" t="s">
        <v>7286</v>
      </c>
      <c r="AJ1965" s="41">
        <v>0.56999999999999995</v>
      </c>
    </row>
    <row r="1966" spans="1:36" ht="35.1" hidden="1" customHeight="1" x14ac:dyDescent="0.25">
      <c r="A1966" s="40">
        <v>2630</v>
      </c>
      <c r="B1966" s="40" t="s">
        <v>6919</v>
      </c>
      <c r="C1966" s="40" t="s">
        <v>532</v>
      </c>
      <c r="D1966" s="44">
        <v>2027</v>
      </c>
      <c r="E1966" s="44"/>
      <c r="F1966" s="40" t="s">
        <v>1331</v>
      </c>
      <c r="G1966" s="40" t="s">
        <v>1259</v>
      </c>
      <c r="H1966" s="40" t="s">
        <v>467</v>
      </c>
      <c r="I1966" s="40" t="s">
        <v>1257</v>
      </c>
      <c r="K1966" s="40" t="s">
        <v>612</v>
      </c>
      <c r="Q1966" s="40">
        <v>1</v>
      </c>
      <c r="U1966" s="40">
        <v>1</v>
      </c>
      <c r="Z1966" s="40" t="s">
        <v>8710</v>
      </c>
      <c r="AA1966" s="47">
        <v>100</v>
      </c>
      <c r="AB1966" s="46">
        <f>IF(H2ProjectDB689571011[[#This Row],[Dummy_1]]="Electrolysis",
AA1966/VLOOKUP(G1966,ElectrolysisConvF,3,FALSE),
AC1966*10^6/(H2dens*HoursInYear))</f>
        <v>22222.222222222223</v>
      </c>
      <c r="AC1966" s="166">
        <f t="shared" si="136"/>
        <v>17.325333333333333</v>
      </c>
      <c r="AE1966" s="46">
        <f t="shared" ref="AE1966:AE2025" si="137">IF(AND(G1966&lt;&gt;"NG w CCUS",G1966&lt;&gt;"Oil w CCUS",G1966&lt;&gt;"Coal w CCUS"),AB1966,AD1966*10^3/(HoursInYear*IF(G1966="NG w CCUS",0.9105,1.9075)))</f>
        <v>22222.222222222223</v>
      </c>
      <c r="AF1966" s="43" t="s">
        <v>6921</v>
      </c>
      <c r="AG1966" s="43">
        <v>60.982708914364103</v>
      </c>
      <c r="AH1966" s="43">
        <v>25.7894591105701</v>
      </c>
      <c r="AI1966" s="122" t="s">
        <v>7286</v>
      </c>
      <c r="AJ1966" s="41">
        <v>0.56999999999999995</v>
      </c>
    </row>
    <row r="1967" spans="1:36" ht="35.1" hidden="1" customHeight="1" x14ac:dyDescent="0.25">
      <c r="A1967" s="40">
        <v>2631</v>
      </c>
      <c r="B1967" s="40" t="s">
        <v>6922</v>
      </c>
      <c r="C1967" s="40" t="s">
        <v>532</v>
      </c>
      <c r="D1967" s="44">
        <v>2026</v>
      </c>
      <c r="E1967" s="44"/>
      <c r="F1967" s="40" t="s">
        <v>1331</v>
      </c>
      <c r="G1967" s="40" t="s">
        <v>1259</v>
      </c>
      <c r="H1967" s="40" t="s">
        <v>467</v>
      </c>
      <c r="I1967" s="40" t="s">
        <v>1257</v>
      </c>
      <c r="K1967" s="40" t="s">
        <v>612</v>
      </c>
      <c r="Q1967" s="40">
        <v>1</v>
      </c>
      <c r="U1967" s="40">
        <v>1</v>
      </c>
      <c r="Z1967" s="40" t="s">
        <v>8709</v>
      </c>
      <c r="AA1967" s="47">
        <v>150</v>
      </c>
      <c r="AB1967" s="46">
        <f>IF(H2ProjectDB689571011[[#This Row],[Dummy_1]]="Electrolysis",
AA1967/VLOOKUP(G1967,ElectrolysisConvF,3,FALSE),
AC1967*10^6/(H2dens*HoursInYear))</f>
        <v>33333.333333333336</v>
      </c>
      <c r="AC1967" s="166">
        <f t="shared" si="136"/>
        <v>25.988</v>
      </c>
      <c r="AE1967" s="46">
        <f t="shared" si="137"/>
        <v>33333.333333333336</v>
      </c>
      <c r="AF1967" s="43" t="s">
        <v>6924</v>
      </c>
      <c r="AG1967" s="43">
        <v>60.524987037944797</v>
      </c>
      <c r="AH1967" s="43">
        <v>26.852572720545499</v>
      </c>
      <c r="AI1967" s="122" t="s">
        <v>7286</v>
      </c>
      <c r="AJ1967" s="41">
        <v>0.56999999999999995</v>
      </c>
    </row>
    <row r="1968" spans="1:36" ht="35.1" hidden="1" customHeight="1" x14ac:dyDescent="0.25">
      <c r="A1968" s="40">
        <v>2632</v>
      </c>
      <c r="B1968" s="40" t="s">
        <v>6925</v>
      </c>
      <c r="C1968" s="40" t="s">
        <v>532</v>
      </c>
      <c r="D1968" s="44">
        <v>2027</v>
      </c>
      <c r="E1968" s="44"/>
      <c r="F1968" s="40" t="s">
        <v>1331</v>
      </c>
      <c r="G1968" s="40" t="s">
        <v>1259</v>
      </c>
      <c r="H1968" s="40" t="s">
        <v>467</v>
      </c>
      <c r="I1968" s="40" t="s">
        <v>1257</v>
      </c>
      <c r="K1968" s="40" t="s">
        <v>612</v>
      </c>
      <c r="Q1968" s="40">
        <v>1</v>
      </c>
      <c r="U1968" s="40">
        <v>1</v>
      </c>
      <c r="Z1968" s="40" t="s">
        <v>8708</v>
      </c>
      <c r="AA1968" s="47">
        <v>50</v>
      </c>
      <c r="AB1968" s="46">
        <f>IF(H2ProjectDB689571011[[#This Row],[Dummy_1]]="Electrolysis",
AA1968/VLOOKUP(G1968,ElectrolysisConvF,3,FALSE),
AC1968*10^6/(H2dens*HoursInYear))</f>
        <v>11111.111111111111</v>
      </c>
      <c r="AC1968" s="166">
        <f t="shared" si="136"/>
        <v>8.6626666666666665</v>
      </c>
      <c r="AE1968" s="46">
        <f t="shared" si="137"/>
        <v>11111.111111111111</v>
      </c>
      <c r="AF1968" s="43" t="s">
        <v>6927</v>
      </c>
      <c r="AG1968" s="43">
        <v>61.670336543215299</v>
      </c>
      <c r="AH1968" s="43">
        <v>27.2900970047199</v>
      </c>
      <c r="AI1968" s="122" t="s">
        <v>7286</v>
      </c>
      <c r="AJ1968" s="41">
        <v>0.56999999999999995</v>
      </c>
    </row>
    <row r="1969" spans="1:36" ht="35.1" hidden="1" customHeight="1" x14ac:dyDescent="0.25">
      <c r="A1969" s="40">
        <v>2633</v>
      </c>
      <c r="B1969" s="40" t="s">
        <v>6928</v>
      </c>
      <c r="C1969" s="40" t="s">
        <v>532</v>
      </c>
      <c r="D1969" s="44">
        <v>2027</v>
      </c>
      <c r="E1969" s="44"/>
      <c r="F1969" s="40" t="s">
        <v>1331</v>
      </c>
      <c r="G1969" s="40" t="s">
        <v>1259</v>
      </c>
      <c r="H1969" s="40" t="s">
        <v>467</v>
      </c>
      <c r="I1969" s="40" t="s">
        <v>1266</v>
      </c>
      <c r="K1969" s="40" t="s">
        <v>578</v>
      </c>
      <c r="N1969" s="40">
        <v>1</v>
      </c>
      <c r="Q1969" s="40">
        <v>1</v>
      </c>
      <c r="Z1969" s="40" t="s">
        <v>8759</v>
      </c>
      <c r="AA1969" s="47">
        <f>IF(H2ProjectDB689571011[[#This Row],[Dummy_1]]="Electrolysis",
AB1969*VLOOKUP(G1969,ElectrolysisConvF,3,FALSE),
"")</f>
        <v>69.262736647683539</v>
      </c>
      <c r="AB1969" s="46">
        <f>AC1969/(H2dens*HoursInYear/10^6)</f>
        <v>15391.719255040789</v>
      </c>
      <c r="AC1969" s="92">
        <f>12</f>
        <v>12</v>
      </c>
      <c r="AE1969" s="46">
        <f t="shared" si="137"/>
        <v>15391.719255040789</v>
      </c>
      <c r="AF1969" s="43" t="s">
        <v>8758</v>
      </c>
      <c r="AG1969" s="43">
        <v>61.488708321493398</v>
      </c>
      <c r="AH1969" s="43">
        <v>21.811209689166599</v>
      </c>
      <c r="AI1969" s="122" t="s">
        <v>7286</v>
      </c>
      <c r="AJ1969" s="41">
        <v>0.56999999999999995</v>
      </c>
    </row>
    <row r="1970" spans="1:36" ht="35.1" hidden="1" customHeight="1" x14ac:dyDescent="0.25">
      <c r="A1970" s="40">
        <v>2634</v>
      </c>
      <c r="B1970" s="40" t="s">
        <v>6998</v>
      </c>
      <c r="C1970" s="40" t="s">
        <v>537</v>
      </c>
      <c r="D1970" s="44"/>
      <c r="E1970" s="44"/>
      <c r="F1970" s="40" t="s">
        <v>2222</v>
      </c>
      <c r="G1970" s="40" t="s">
        <v>457</v>
      </c>
      <c r="I1970" s="40" t="s">
        <v>5700</v>
      </c>
      <c r="K1970" s="40" t="s">
        <v>1268</v>
      </c>
      <c r="M1970" s="40">
        <v>1</v>
      </c>
      <c r="N1970" s="40">
        <v>1</v>
      </c>
      <c r="Q1970" s="40">
        <v>1</v>
      </c>
      <c r="Z1970" s="43" t="s">
        <v>7000</v>
      </c>
      <c r="AA1970" s="47">
        <f>IF(H2ProjectDB689571011[[#This Row],[Dummy_1]]="Electrolysis",
AB1970*VLOOKUP(G1970,ElectrolysisConvF,3,FALSE),
"")</f>
        <v>808.49178212149889</v>
      </c>
      <c r="AB1970" s="46">
        <f>AC1970/(H2dens*HoursInYear/10^6)</f>
        <v>175759.08306989106</v>
      </c>
      <c r="AC1970" s="46">
        <f>(110-45)+(400*3/17/0.98)</f>
        <v>137.02881152460986</v>
      </c>
      <c r="AE1970" s="46">
        <f t="shared" si="137"/>
        <v>175759.08306989106</v>
      </c>
      <c r="AF1970" s="43" t="s">
        <v>6999</v>
      </c>
      <c r="AG1970" s="43">
        <v>45.146898549152901</v>
      </c>
      <c r="AH1970" s="43">
        <v>124.82884507520799</v>
      </c>
      <c r="AI1970" s="122" t="s">
        <v>7286</v>
      </c>
      <c r="AJ1970" s="41">
        <v>0.7</v>
      </c>
    </row>
    <row r="1971" spans="1:36" ht="34.35" hidden="1" customHeight="1" x14ac:dyDescent="0.25">
      <c r="A1971" s="40">
        <v>2635</v>
      </c>
      <c r="B1971" s="40" t="s">
        <v>7001</v>
      </c>
      <c r="C1971" s="40" t="s">
        <v>537</v>
      </c>
      <c r="D1971" s="44">
        <v>2024</v>
      </c>
      <c r="E1971" s="44"/>
      <c r="F1971" s="40" t="s">
        <v>5701</v>
      </c>
      <c r="G1971" s="40" t="s">
        <v>1259</v>
      </c>
      <c r="H1971" s="40" t="s">
        <v>467</v>
      </c>
      <c r="I1971" s="40" t="s">
        <v>1269</v>
      </c>
      <c r="J1971" s="40" t="s">
        <v>1395</v>
      </c>
      <c r="K1971" s="40" t="s">
        <v>578</v>
      </c>
      <c r="P1971" s="40">
        <v>1</v>
      </c>
      <c r="Z1971" s="40" t="s">
        <v>7002</v>
      </c>
      <c r="AA1971" s="47">
        <f>IF(H2ProjectDB689571011[[#This Row],[Dummy_1]]="Electrolysis",
AB1971*VLOOKUP(G1971,ElectrolysisConvF,3,FALSE),
"")</f>
        <v>115.43789441280592</v>
      </c>
      <c r="AB1971" s="46">
        <f>AC1971/(H2dens*HoursInYear/10^6)</f>
        <v>25652.865425067983</v>
      </c>
      <c r="AC1971" s="47">
        <f>20</f>
        <v>20</v>
      </c>
      <c r="AE1971" s="46">
        <f t="shared" si="137"/>
        <v>25652.865425067983</v>
      </c>
      <c r="AF1971" s="43" t="s">
        <v>5329</v>
      </c>
      <c r="AG1971" s="43">
        <v>39.674057844664297</v>
      </c>
      <c r="AH1971" s="43">
        <v>109.724756063919</v>
      </c>
      <c r="AI1971" s="122" t="s">
        <v>7286</v>
      </c>
      <c r="AJ1971" s="41">
        <v>0.5</v>
      </c>
    </row>
    <row r="1972" spans="1:36" ht="35.1" hidden="1" customHeight="1" x14ac:dyDescent="0.25">
      <c r="A1972" s="40">
        <v>2645</v>
      </c>
      <c r="B1972" s="40" t="s">
        <v>7009</v>
      </c>
      <c r="C1972" s="40" t="s">
        <v>537</v>
      </c>
      <c r="D1972" s="44">
        <v>2023</v>
      </c>
      <c r="F1972" s="40" t="s">
        <v>1339</v>
      </c>
      <c r="G1972" s="40" t="s">
        <v>1263</v>
      </c>
      <c r="I1972" s="40" t="str">
        <f>IF(AND(G1972&lt;&gt;"ALK",G1972&lt;&gt;"PEM",G1972&lt;&gt;"SOEC",G1972&lt;&gt;"Other electrolysis"),"N/A","")</f>
        <v>N/A</v>
      </c>
      <c r="K1972" s="40" t="s">
        <v>578</v>
      </c>
      <c r="Q1972" s="40">
        <v>1</v>
      </c>
      <c r="Z1972" s="40" t="s">
        <v>7010</v>
      </c>
      <c r="AB1972" s="46">
        <v>3000</v>
      </c>
      <c r="AC1972" s="47">
        <f>AB1972*H2dens*HoursInYear/10^6</f>
        <v>2.3389199999999999</v>
      </c>
      <c r="AE1972" s="46">
        <f t="shared" si="137"/>
        <v>3000</v>
      </c>
      <c r="AF1972" s="40" t="s">
        <v>8848</v>
      </c>
      <c r="AG1972" s="43">
        <v>22.9933648645892</v>
      </c>
      <c r="AH1972" s="43">
        <v>113.076252802835</v>
      </c>
      <c r="AI1972" s="122" t="s">
        <v>1255</v>
      </c>
      <c r="AJ1972" s="41">
        <v>0.9</v>
      </c>
    </row>
    <row r="1973" spans="1:36" ht="35.1" hidden="1" customHeight="1" x14ac:dyDescent="0.25">
      <c r="A1973" s="40">
        <v>2647</v>
      </c>
      <c r="B1973" s="43" t="s">
        <v>7011</v>
      </c>
      <c r="C1973" s="40" t="s">
        <v>537</v>
      </c>
      <c r="D1973" s="44">
        <v>2024</v>
      </c>
      <c r="E1973" s="44"/>
      <c r="F1973" s="90" t="s">
        <v>5701</v>
      </c>
      <c r="G1973" s="90" t="s">
        <v>457</v>
      </c>
      <c r="I1973" s="90" t="s">
        <v>1269</v>
      </c>
      <c r="J1973" s="90" t="s">
        <v>1392</v>
      </c>
      <c r="K1973" s="90" t="s">
        <v>1268</v>
      </c>
      <c r="L1973" s="90"/>
      <c r="M1973" s="90"/>
      <c r="N1973" s="90">
        <v>1</v>
      </c>
      <c r="O1973" s="90"/>
      <c r="P1973" s="90"/>
      <c r="Q1973" s="90"/>
      <c r="R1973" s="90"/>
      <c r="S1973" s="90"/>
      <c r="T1973" s="90"/>
      <c r="U1973" s="90"/>
      <c r="V1973" s="90"/>
      <c r="W1973" s="90"/>
      <c r="X1973" s="90"/>
      <c r="Y1973" s="90"/>
      <c r="Z1973" s="40" t="s">
        <v>7926</v>
      </c>
      <c r="AA1973" s="47">
        <f>IF(H2ProjectDB689571011[[#This Row],[Dummy_1]]="Electrolysis",
AB1973*VLOOKUP(G1973,ElectrolysisConvF,3,FALSE),
"")</f>
        <v>56.442986506592788</v>
      </c>
      <c r="AB1973" s="46">
        <f>AC1973/(H2dens*HoursInYear/10^6)</f>
        <v>12270.214457954955</v>
      </c>
      <c r="AC1973" s="92">
        <f>(50*0.191327)</f>
        <v>9.5663499999999999</v>
      </c>
      <c r="AD1973" s="90"/>
      <c r="AE1973" s="91">
        <f t="shared" si="137"/>
        <v>12270.214457954955</v>
      </c>
      <c r="AF1973" s="90" t="s">
        <v>7922</v>
      </c>
      <c r="AG1973" s="43">
        <v>44.040597120455701</v>
      </c>
      <c r="AH1973" s="43">
        <v>87.252295890057297</v>
      </c>
      <c r="AI1973" s="123" t="s">
        <v>7286</v>
      </c>
      <c r="AJ1973" s="41">
        <v>0.4</v>
      </c>
    </row>
    <row r="1974" spans="1:36" ht="35.1" hidden="1" customHeight="1" x14ac:dyDescent="0.25">
      <c r="A1974" s="40">
        <v>2672</v>
      </c>
      <c r="B1974" s="43" t="s">
        <v>7012</v>
      </c>
      <c r="C1974" s="40" t="s">
        <v>537</v>
      </c>
      <c r="D1974" s="44">
        <v>2024</v>
      </c>
      <c r="E1974" s="44"/>
      <c r="F1974" s="90" t="s">
        <v>5701</v>
      </c>
      <c r="G1974" s="90" t="s">
        <v>1259</v>
      </c>
      <c r="H1974" s="40" t="s">
        <v>467</v>
      </c>
      <c r="I1974" s="90" t="s">
        <v>1269</v>
      </c>
      <c r="J1974" s="90" t="s">
        <v>1392</v>
      </c>
      <c r="K1974" s="90" t="s">
        <v>1242</v>
      </c>
      <c r="L1974" s="90"/>
      <c r="M1974" s="90"/>
      <c r="N1974" s="90">
        <v>1</v>
      </c>
      <c r="O1974" s="90"/>
      <c r="P1974" s="90"/>
      <c r="Q1974" s="90"/>
      <c r="R1974" s="90"/>
      <c r="S1974" s="90"/>
      <c r="T1974" s="90"/>
      <c r="U1974" s="90"/>
      <c r="V1974" s="90"/>
      <c r="W1974" s="90"/>
      <c r="X1974" s="90"/>
      <c r="Y1974" s="90"/>
      <c r="Z1974" s="40" t="s">
        <v>7929</v>
      </c>
      <c r="AA1974" s="47">
        <f>IF(H2ProjectDB689571011[[#This Row],[Dummy_1]]="Electrolysis",
AB1974*VLOOKUP(G1974,ElectrolysisConvF,3,FALSE),
"")</f>
        <v>11.04319301215946</v>
      </c>
      <c r="AB1974" s="46">
        <f>AC1974/(H2dens*HoursInYear/10^6)</f>
        <v>2454.0428915909911</v>
      </c>
      <c r="AC1974" s="92">
        <f>(10*0.191327)</f>
        <v>1.91327</v>
      </c>
      <c r="AD1974" s="90"/>
      <c r="AE1974" s="91">
        <f t="shared" si="137"/>
        <v>2454.0428915909911</v>
      </c>
      <c r="AF1974" s="90" t="s">
        <v>7922</v>
      </c>
      <c r="AG1974" s="43">
        <v>38.920833999999999</v>
      </c>
      <c r="AH1974" s="43">
        <v>121.639168</v>
      </c>
      <c r="AI1974" s="123" t="s">
        <v>7286</v>
      </c>
      <c r="AJ1974" s="41">
        <v>0.4</v>
      </c>
    </row>
    <row r="1975" spans="1:36" ht="35.1" hidden="1" customHeight="1" x14ac:dyDescent="0.25">
      <c r="A1975" s="40">
        <v>2683</v>
      </c>
      <c r="B1975" s="43" t="s">
        <v>7014</v>
      </c>
      <c r="C1975" s="40" t="s">
        <v>537</v>
      </c>
      <c r="D1975" s="44"/>
      <c r="E1975" s="44"/>
      <c r="F1975" s="90" t="s">
        <v>2222</v>
      </c>
      <c r="G1975" s="90" t="s">
        <v>1259</v>
      </c>
      <c r="H1975" s="40" t="s">
        <v>467</v>
      </c>
      <c r="I1975" s="90" t="s">
        <v>1269</v>
      </c>
      <c r="J1975" s="90" t="s">
        <v>1392</v>
      </c>
      <c r="K1975" s="90" t="s">
        <v>1268</v>
      </c>
      <c r="L1975" s="90"/>
      <c r="M1975" s="90"/>
      <c r="N1975" s="90">
        <v>1</v>
      </c>
      <c r="O1975" s="90"/>
      <c r="P1975" s="90"/>
      <c r="Q1975" s="90"/>
      <c r="R1975" s="90"/>
      <c r="S1975" s="90"/>
      <c r="T1975" s="90"/>
      <c r="U1975" s="90"/>
      <c r="V1975" s="90"/>
      <c r="W1975" s="90"/>
      <c r="X1975" s="90"/>
      <c r="Y1975" s="90"/>
      <c r="Z1975" s="40" t="s">
        <v>7927</v>
      </c>
      <c r="AA1975" s="47">
        <f>IF(H2ProjectDB689571011[[#This Row],[Dummy_1]]="Electrolysis",
AB1975*VLOOKUP(G1975,ElectrolysisConvF,3,FALSE),
"")</f>
        <v>55.215965060797295</v>
      </c>
      <c r="AB1975" s="46">
        <f>AC1975/(H2dens*HoursInYear/10^6)</f>
        <v>12270.214457954955</v>
      </c>
      <c r="AC1975" s="92">
        <f>(50*0.191327)</f>
        <v>9.5663499999999999</v>
      </c>
      <c r="AD1975" s="90"/>
      <c r="AE1975" s="91">
        <f t="shared" si="137"/>
        <v>12270.214457954955</v>
      </c>
      <c r="AF1975" s="90" t="s">
        <v>7922</v>
      </c>
      <c r="AG1975" s="43">
        <v>44.040597120455701</v>
      </c>
      <c r="AH1975" s="43">
        <v>87.252295890057297</v>
      </c>
      <c r="AI1975" s="123" t="s">
        <v>7286</v>
      </c>
      <c r="AJ1975" s="41">
        <v>0.4</v>
      </c>
    </row>
    <row r="1976" spans="1:36" ht="35.1" hidden="1" customHeight="1" x14ac:dyDescent="0.25">
      <c r="A1976" s="40">
        <v>2684</v>
      </c>
      <c r="B1976" s="43" t="s">
        <v>7015</v>
      </c>
      <c r="C1976" s="40" t="s">
        <v>537</v>
      </c>
      <c r="D1976" s="44"/>
      <c r="E1976" s="44"/>
      <c r="F1976" s="90" t="s">
        <v>2222</v>
      </c>
      <c r="G1976" s="90" t="s">
        <v>1259</v>
      </c>
      <c r="H1976" s="40" t="s">
        <v>467</v>
      </c>
      <c r="I1976" s="90" t="s">
        <v>1269</v>
      </c>
      <c r="J1976" s="90" t="s">
        <v>1392</v>
      </c>
      <c r="K1976" s="90" t="s">
        <v>1268</v>
      </c>
      <c r="L1976" s="90"/>
      <c r="M1976" s="90"/>
      <c r="N1976" s="90">
        <v>1</v>
      </c>
      <c r="O1976" s="90"/>
      <c r="P1976" s="90"/>
      <c r="Q1976" s="90"/>
      <c r="R1976" s="90"/>
      <c r="S1976" s="90"/>
      <c r="T1976" s="90"/>
      <c r="U1976" s="90"/>
      <c r="V1976" s="90"/>
      <c r="W1976" s="90"/>
      <c r="X1976" s="90"/>
      <c r="Y1976" s="90"/>
      <c r="Z1976" s="40" t="s">
        <v>7928</v>
      </c>
      <c r="AA1976" s="47">
        <f>IF(H2ProjectDB689571011[[#This Row],[Dummy_1]]="Electrolysis",
AB1976*VLOOKUP(G1976,ElectrolysisConvF,3,FALSE),
"")</f>
        <v>220.86386024318918</v>
      </c>
      <c r="AB1976" s="46">
        <f>AC1976/(H2dens*HoursInYear/10^6)</f>
        <v>49080.85783181982</v>
      </c>
      <c r="AC1976" s="92">
        <f>(200*0.191327)</f>
        <v>38.2654</v>
      </c>
      <c r="AD1976" s="90"/>
      <c r="AE1976" s="91">
        <f t="shared" si="137"/>
        <v>49080.85783181982</v>
      </c>
      <c r="AF1976" s="90" t="s">
        <v>7922</v>
      </c>
      <c r="AG1976" s="43">
        <v>44.040597120455701</v>
      </c>
      <c r="AH1976" s="43">
        <v>87.252295890057297</v>
      </c>
      <c r="AI1976" s="123" t="s">
        <v>7286</v>
      </c>
      <c r="AJ1976" s="41">
        <v>0.4</v>
      </c>
    </row>
    <row r="1977" spans="1:36" ht="35.1" hidden="1" customHeight="1" x14ac:dyDescent="0.25">
      <c r="A1977" s="40">
        <v>2686</v>
      </c>
      <c r="B1977" s="40" t="s">
        <v>7017</v>
      </c>
      <c r="C1977" s="40" t="s">
        <v>1094</v>
      </c>
      <c r="D1977" s="44">
        <v>2023</v>
      </c>
      <c r="F1977" s="40" t="s">
        <v>1339</v>
      </c>
      <c r="G1977" s="40" t="s">
        <v>1259</v>
      </c>
      <c r="H1977" s="40" t="s">
        <v>467</v>
      </c>
      <c r="I1977" s="40" t="s">
        <v>1269</v>
      </c>
      <c r="J1977" s="40" t="s">
        <v>1391</v>
      </c>
      <c r="K1977" s="40" t="s">
        <v>578</v>
      </c>
      <c r="T1977" s="40">
        <v>1</v>
      </c>
      <c r="Z1977" s="40" t="s">
        <v>7018</v>
      </c>
      <c r="AA1977" s="47">
        <f>IF(H2ProjectDB689571011[[#This Row],[Dummy_1]]="Electrolysis",
AB1977*VLOOKUP(G1977,ElectrolysisConvF,3,FALSE),
"")</f>
        <v>4.10958904109589E-3</v>
      </c>
      <c r="AB1977" s="46">
        <f>8000/(365*24)</f>
        <v>0.91324200913242004</v>
      </c>
      <c r="AC1977" s="46">
        <f>AB1977*H2dens*HoursInYear/10^6</f>
        <v>7.1199999999999985E-4</v>
      </c>
      <c r="AE1977" s="46">
        <f t="shared" si="137"/>
        <v>0.91324200913242004</v>
      </c>
      <c r="AF1977" s="43" t="s">
        <v>7020</v>
      </c>
      <c r="AG1977" s="43">
        <v>-12.5020284718409</v>
      </c>
      <c r="AH1977" s="43">
        <v>-76.730100471163595</v>
      </c>
      <c r="AI1977" s="122" t="s">
        <v>7286</v>
      </c>
      <c r="AJ1977" s="41">
        <v>0.3</v>
      </c>
    </row>
    <row r="1978" spans="1:36" ht="35.1" hidden="1" customHeight="1" x14ac:dyDescent="0.25">
      <c r="A1978" s="40">
        <v>2687</v>
      </c>
      <c r="B1978" s="40" t="s">
        <v>7022</v>
      </c>
      <c r="C1978" s="40" t="s">
        <v>1305</v>
      </c>
      <c r="D1978" s="44">
        <v>2021</v>
      </c>
      <c r="F1978" s="40" t="s">
        <v>1540</v>
      </c>
      <c r="G1978" s="40" t="s">
        <v>455</v>
      </c>
      <c r="I1978" s="40" t="s">
        <v>1269</v>
      </c>
      <c r="J1978" s="40" t="s">
        <v>1395</v>
      </c>
      <c r="K1978" s="40" t="s">
        <v>1267</v>
      </c>
      <c r="Q1978" s="40">
        <v>1</v>
      </c>
      <c r="W1978" s="40">
        <v>1</v>
      </c>
      <c r="Z1978" s="40" t="s">
        <v>7023</v>
      </c>
      <c r="AA1978" s="47">
        <f>IF(H2ProjectDB689571011[[#This Row],[Dummy_1]]="Electrolysis",
AB1978*VLOOKUP(G1978,ElectrolysisConvF,3,FALSE),
"")</f>
        <v>1.2334459950957344</v>
      </c>
      <c r="AB1978" s="92">
        <f>AC1978/(H2dens*HoursInYear/10^6)</f>
        <v>237.20115290302584</v>
      </c>
      <c r="AC1978" s="47">
        <f>(0.36*0.045/0.73/0.12)</f>
        <v>0.18493150684931506</v>
      </c>
      <c r="AE1978" s="46">
        <f t="shared" si="137"/>
        <v>237.20115290302584</v>
      </c>
      <c r="AF1978" s="43" t="s">
        <v>7025</v>
      </c>
      <c r="AG1978" s="43">
        <v>52.850519574624499</v>
      </c>
      <c r="AH1978" s="43">
        <v>7.7049415129989303</v>
      </c>
      <c r="AI1978" s="122" t="s">
        <v>7286</v>
      </c>
      <c r="AJ1978" s="41">
        <v>0.5</v>
      </c>
    </row>
    <row r="1979" spans="1:36" ht="35.1" hidden="1" customHeight="1" x14ac:dyDescent="0.25">
      <c r="A1979" s="40">
        <v>2688</v>
      </c>
      <c r="B1979" s="40" t="s">
        <v>7031</v>
      </c>
      <c r="C1979" s="40" t="s">
        <v>533</v>
      </c>
      <c r="D1979" s="44">
        <v>2030</v>
      </c>
      <c r="E1979" s="44"/>
      <c r="F1979" s="40" t="s">
        <v>2222</v>
      </c>
      <c r="I1979" s="40" t="str">
        <f>IF(AND(G1979&lt;&gt;"ALK",G1979&lt;&gt;"PEM",G1979&lt;&gt;"SOEC",G1979&lt;&gt;"Other electrolysis"),"N/A","")</f>
        <v>N/A</v>
      </c>
      <c r="K1979" s="40" t="s">
        <v>578</v>
      </c>
      <c r="M1979" s="40">
        <v>1</v>
      </c>
      <c r="P1979" s="40">
        <v>1</v>
      </c>
      <c r="AA1979" s="91" t="str">
        <f>IF(OR(G1979="ALK",G1979="PEM",G1979="SOEC",G1979="Other Electrolysis"),
AB1979*VLOOKUP(G1979,ElectrolysisConvF,3,FALSE),
"")</f>
        <v/>
      </c>
      <c r="AE1979" s="46">
        <f t="shared" si="137"/>
        <v>0</v>
      </c>
      <c r="AF1979" s="43" t="s">
        <v>7034</v>
      </c>
      <c r="AG1979" s="43">
        <v>54.718476188405099</v>
      </c>
      <c r="AH1979" s="43">
        <v>-122.782168055715</v>
      </c>
      <c r="AI1979" s="122" t="e">
        <v>#N/A</v>
      </c>
      <c r="AJ1979" s="41">
        <v>0.56999999999999995</v>
      </c>
    </row>
    <row r="1980" spans="1:36" ht="35.1" hidden="1" customHeight="1" x14ac:dyDescent="0.25">
      <c r="A1980" s="40">
        <v>2689</v>
      </c>
      <c r="B1980" s="40" t="s">
        <v>7042</v>
      </c>
      <c r="C1980" s="40" t="s">
        <v>2013</v>
      </c>
      <c r="D1980" s="44"/>
      <c r="E1980" s="44"/>
      <c r="F1980" s="40" t="s">
        <v>1331</v>
      </c>
      <c r="G1980" s="40" t="s">
        <v>1259</v>
      </c>
      <c r="H1980" s="40" t="s">
        <v>467</v>
      </c>
      <c r="I1980" s="40" t="s">
        <v>1269</v>
      </c>
      <c r="J1980" s="40" t="s">
        <v>1392</v>
      </c>
      <c r="K1980" s="40" t="s">
        <v>578</v>
      </c>
      <c r="Z1980" s="40" t="s">
        <v>5027</v>
      </c>
      <c r="AA1980" s="47">
        <f>IF(H2ProjectDB689571011[[#This Row],[Dummy_1]]="Electrolysis",
AB1980*VLOOKUP(G1980,ElectrolysisConvF,3,FALSE),
"")</f>
        <v>288.59473603201479</v>
      </c>
      <c r="AB1980" s="46">
        <f t="shared" ref="AB1980:AB1991" si="138">AC1980/(H2dens*HoursInYear/10^6)</f>
        <v>64132.163562669957</v>
      </c>
      <c r="AC1980" s="47">
        <f>50</f>
        <v>50</v>
      </c>
      <c r="AE1980" s="46">
        <f t="shared" si="137"/>
        <v>64132.163562669957</v>
      </c>
      <c r="AF1980" s="43" t="s">
        <v>7044</v>
      </c>
      <c r="AG1980" s="43">
        <v>29.468754530814799</v>
      </c>
      <c r="AH1980" s="43">
        <v>34.978001300940697</v>
      </c>
      <c r="AI1980" s="122" t="s">
        <v>7286</v>
      </c>
      <c r="AJ1980" s="41">
        <v>0.4</v>
      </c>
    </row>
    <row r="1981" spans="1:36" ht="35.1" hidden="1" customHeight="1" x14ac:dyDescent="0.25">
      <c r="A1981" s="40">
        <v>2690</v>
      </c>
      <c r="B1981" s="40" t="s">
        <v>7045</v>
      </c>
      <c r="C1981" s="40" t="s">
        <v>2013</v>
      </c>
      <c r="D1981" s="44"/>
      <c r="E1981" s="44"/>
      <c r="F1981" s="40" t="s">
        <v>1331</v>
      </c>
      <c r="G1981" s="40" t="s">
        <v>1259</v>
      </c>
      <c r="H1981" s="40" t="s">
        <v>467</v>
      </c>
      <c r="I1981" s="40" t="s">
        <v>2022</v>
      </c>
      <c r="K1981" s="40" t="s">
        <v>1243</v>
      </c>
      <c r="M1981" s="40">
        <v>1</v>
      </c>
      <c r="Z1981" s="40" t="s">
        <v>7056</v>
      </c>
      <c r="AA1981" s="47">
        <f>IF(H2ProjectDB689571011[[#This Row],[Dummy_1]]="Electrolysis",
AB1981*VLOOKUP(G1981,ElectrolysisConvF,3,FALSE),
"")</f>
        <v>129.91959905402825</v>
      </c>
      <c r="AB1981" s="46">
        <f t="shared" si="138"/>
        <v>28871.02201200628</v>
      </c>
      <c r="AC1981" s="92">
        <f>(125*3/17/0.98)</f>
        <v>22.509003601440575</v>
      </c>
      <c r="AE1981" s="46">
        <f t="shared" si="137"/>
        <v>28871.02201200628</v>
      </c>
      <c r="AF1981" s="43" t="s">
        <v>7044</v>
      </c>
      <c r="AG1981" s="43">
        <v>0</v>
      </c>
      <c r="AH1981" s="43">
        <v>0</v>
      </c>
      <c r="AI1981" s="122" t="s">
        <v>7286</v>
      </c>
      <c r="AJ1981" s="41">
        <v>0.56999999999999995</v>
      </c>
    </row>
    <row r="1982" spans="1:36" ht="35.1" hidden="1" customHeight="1" x14ac:dyDescent="0.25">
      <c r="A1982" s="40">
        <v>2691</v>
      </c>
      <c r="B1982" s="40" t="s">
        <v>7046</v>
      </c>
      <c r="C1982" s="40" t="s">
        <v>2013</v>
      </c>
      <c r="D1982" s="44"/>
      <c r="E1982" s="44"/>
      <c r="F1982" s="40" t="s">
        <v>1331</v>
      </c>
      <c r="G1982" s="40" t="s">
        <v>1259</v>
      </c>
      <c r="H1982" s="40" t="s">
        <v>467</v>
      </c>
      <c r="I1982" s="40" t="s">
        <v>2022</v>
      </c>
      <c r="K1982" s="40" t="s">
        <v>1243</v>
      </c>
      <c r="M1982" s="40">
        <v>1</v>
      </c>
      <c r="Z1982" s="40" t="s">
        <v>7057</v>
      </c>
      <c r="AA1982" s="47">
        <f>IF(H2ProjectDB689571011[[#This Row],[Dummy_1]]="Electrolysis",
AB1982*VLOOKUP(G1982,ElectrolysisConvF,3,FALSE),
"")</f>
        <v>1039.356792432226</v>
      </c>
      <c r="AB1982" s="46">
        <f t="shared" si="138"/>
        <v>230968.17609605024</v>
      </c>
      <c r="AC1982" s="92">
        <f>(1000*3/17/0.98)</f>
        <v>180.0720288115246</v>
      </c>
      <c r="AE1982" s="46">
        <f t="shared" si="137"/>
        <v>230968.17609605024</v>
      </c>
      <c r="AF1982" s="43" t="s">
        <v>7044</v>
      </c>
      <c r="AG1982" s="43">
        <v>0</v>
      </c>
      <c r="AH1982" s="43">
        <v>0</v>
      </c>
      <c r="AI1982" s="122" t="s">
        <v>7286</v>
      </c>
      <c r="AJ1982" s="41">
        <v>0.56999999999999995</v>
      </c>
    </row>
    <row r="1983" spans="1:36" ht="35.1" hidden="1" customHeight="1" x14ac:dyDescent="0.25">
      <c r="A1983" s="40">
        <v>2692</v>
      </c>
      <c r="B1983" s="40" t="s">
        <v>8371</v>
      </c>
      <c r="C1983" s="40" t="s">
        <v>2013</v>
      </c>
      <c r="D1983" s="44"/>
      <c r="E1983" s="44"/>
      <c r="F1983" s="40" t="s">
        <v>1331</v>
      </c>
      <c r="G1983" s="40" t="s">
        <v>1259</v>
      </c>
      <c r="H1983" s="40" t="s">
        <v>467</v>
      </c>
      <c r="I1983" s="40" t="s">
        <v>2022</v>
      </c>
      <c r="K1983" s="40" t="s">
        <v>1243</v>
      </c>
      <c r="M1983" s="40">
        <v>1</v>
      </c>
      <c r="Z1983" s="40" t="s">
        <v>7058</v>
      </c>
      <c r="AA1983" s="47">
        <f>IF(H2ProjectDB689571011[[#This Row],[Dummy_1]]="Electrolysis",
AB1983*VLOOKUP(G1983,ElectrolysisConvF,3,FALSE),
"")</f>
        <v>103.93567924322261</v>
      </c>
      <c r="AB1983" s="46">
        <f t="shared" si="138"/>
        <v>23096.817609605027</v>
      </c>
      <c r="AC1983" s="92">
        <f>(100*3/17/0.98)</f>
        <v>18.007202881152462</v>
      </c>
      <c r="AE1983" s="46">
        <f t="shared" si="137"/>
        <v>23096.817609605027</v>
      </c>
      <c r="AF1983" s="43" t="s">
        <v>7044</v>
      </c>
      <c r="AG1983" s="43">
        <v>0</v>
      </c>
      <c r="AH1983" s="43">
        <v>0</v>
      </c>
      <c r="AI1983" s="122" t="s">
        <v>7286</v>
      </c>
      <c r="AJ1983" s="41">
        <v>0.56999999999999995</v>
      </c>
    </row>
    <row r="1984" spans="1:36" ht="35.1" hidden="1" customHeight="1" x14ac:dyDescent="0.25">
      <c r="A1984" s="40">
        <v>2693</v>
      </c>
      <c r="B1984" s="40" t="s">
        <v>8372</v>
      </c>
      <c r="C1984" s="40" t="s">
        <v>2013</v>
      </c>
      <c r="D1984" s="44">
        <v>2030</v>
      </c>
      <c r="E1984" s="44"/>
      <c r="F1984" s="40" t="s">
        <v>2222</v>
      </c>
      <c r="G1984" s="40" t="s">
        <v>1259</v>
      </c>
      <c r="H1984" s="40" t="s">
        <v>467</v>
      </c>
      <c r="I1984" s="40" t="s">
        <v>2022</v>
      </c>
      <c r="K1984" s="40" t="s">
        <v>1243</v>
      </c>
      <c r="M1984" s="40">
        <v>1</v>
      </c>
      <c r="Z1984" s="40" t="s">
        <v>7059</v>
      </c>
      <c r="AA1984" s="47">
        <f>IF(H2ProjectDB689571011[[#This Row],[Dummy_1]]="Electrolysis",
AB1984*VLOOKUP(G1984,ElectrolysisConvF,3,FALSE),
"")</f>
        <v>935.42111318900334</v>
      </c>
      <c r="AB1984" s="46">
        <f t="shared" si="138"/>
        <v>207871.35848644521</v>
      </c>
      <c r="AC1984" s="92">
        <f>(900*3/17/0.98)</f>
        <v>162.06482593037214</v>
      </c>
      <c r="AE1984" s="46">
        <f t="shared" si="137"/>
        <v>207871.35848644521</v>
      </c>
      <c r="AF1984" s="43" t="s">
        <v>7044</v>
      </c>
      <c r="AG1984" s="43">
        <v>0</v>
      </c>
      <c r="AH1984" s="43">
        <v>0</v>
      </c>
      <c r="AI1984" s="122" t="s">
        <v>7286</v>
      </c>
      <c r="AJ1984" s="41">
        <v>0.56999999999999995</v>
      </c>
    </row>
    <row r="1985" spans="1:36" ht="35.1" hidden="1" customHeight="1" x14ac:dyDescent="0.25">
      <c r="A1985" s="40">
        <v>2694</v>
      </c>
      <c r="B1985" s="40" t="s">
        <v>7047</v>
      </c>
      <c r="C1985" s="40" t="s">
        <v>2013</v>
      </c>
      <c r="D1985" s="44"/>
      <c r="E1985" s="44"/>
      <c r="F1985" s="40" t="s">
        <v>1331</v>
      </c>
      <c r="G1985" s="40" t="s">
        <v>1259</v>
      </c>
      <c r="H1985" s="40" t="s">
        <v>467</v>
      </c>
      <c r="I1985" s="40" t="s">
        <v>2022</v>
      </c>
      <c r="K1985" s="40" t="s">
        <v>1243</v>
      </c>
      <c r="M1985" s="40">
        <v>1</v>
      </c>
      <c r="Z1985" s="40" t="s">
        <v>7055</v>
      </c>
      <c r="AA1985" s="47">
        <f>IF(H2ProjectDB689571011[[#This Row],[Dummy_1]]="Electrolysis",
AB1985*VLOOKUP(G1985,ElectrolysisConvF,3,FALSE),
"")</f>
        <v>155.9035188648339</v>
      </c>
      <c r="AB1985" s="46">
        <f t="shared" si="138"/>
        <v>34645.226414407538</v>
      </c>
      <c r="AC1985" s="92">
        <f>(150*3/17/0.98)</f>
        <v>27.010804321728692</v>
      </c>
      <c r="AE1985" s="46">
        <f t="shared" si="137"/>
        <v>34645.226414407538</v>
      </c>
      <c r="AF1985" s="43" t="s">
        <v>7044</v>
      </c>
      <c r="AG1985" s="43">
        <v>0</v>
      </c>
      <c r="AH1985" s="43">
        <v>0</v>
      </c>
      <c r="AI1985" s="122" t="s">
        <v>7286</v>
      </c>
      <c r="AJ1985" s="41">
        <v>0.56999999999999995</v>
      </c>
    </row>
    <row r="1986" spans="1:36" ht="35.1" hidden="1" customHeight="1" x14ac:dyDescent="0.25">
      <c r="A1986" s="40">
        <v>2695</v>
      </c>
      <c r="B1986" s="40" t="s">
        <v>7048</v>
      </c>
      <c r="C1986" s="40" t="s">
        <v>2013</v>
      </c>
      <c r="D1986" s="44"/>
      <c r="E1986" s="44"/>
      <c r="F1986" s="40" t="s">
        <v>1331</v>
      </c>
      <c r="G1986" s="40" t="s">
        <v>1259</v>
      </c>
      <c r="H1986" s="40" t="s">
        <v>467</v>
      </c>
      <c r="I1986" s="40" t="s">
        <v>2022</v>
      </c>
      <c r="K1986" s="40" t="s">
        <v>1243</v>
      </c>
      <c r="M1986" s="40">
        <v>1</v>
      </c>
      <c r="Z1986" s="40" t="s">
        <v>7058</v>
      </c>
      <c r="AA1986" s="47">
        <f>IF(H2ProjectDB689571011[[#This Row],[Dummy_1]]="Electrolysis",
AB1986*VLOOKUP(G1986,ElectrolysisConvF,3,FALSE),
"")</f>
        <v>103.93567924322261</v>
      </c>
      <c r="AB1986" s="46">
        <f t="shared" si="138"/>
        <v>23096.817609605027</v>
      </c>
      <c r="AC1986" s="92">
        <f>(100*3/17/0.98)</f>
        <v>18.007202881152462</v>
      </c>
      <c r="AE1986" s="46">
        <f t="shared" si="137"/>
        <v>23096.817609605027</v>
      </c>
      <c r="AF1986" s="43" t="s">
        <v>7050</v>
      </c>
      <c r="AG1986" s="43">
        <v>0</v>
      </c>
      <c r="AH1986" s="43">
        <v>0</v>
      </c>
      <c r="AI1986" s="122" t="s">
        <v>7286</v>
      </c>
      <c r="AJ1986" s="41">
        <v>0.56999999999999995</v>
      </c>
    </row>
    <row r="1987" spans="1:36" ht="35.1" hidden="1" customHeight="1" x14ac:dyDescent="0.25">
      <c r="A1987" s="40">
        <v>2696</v>
      </c>
      <c r="B1987" s="40" t="s">
        <v>7051</v>
      </c>
      <c r="C1987" s="40" t="s">
        <v>2013</v>
      </c>
      <c r="D1987" s="44"/>
      <c r="E1987" s="44"/>
      <c r="F1987" s="40" t="s">
        <v>1331</v>
      </c>
      <c r="G1987" s="40" t="s">
        <v>1259</v>
      </c>
      <c r="H1987" s="40" t="s">
        <v>467</v>
      </c>
      <c r="I1987" s="40" t="s">
        <v>2022</v>
      </c>
      <c r="K1987" s="40" t="s">
        <v>1243</v>
      </c>
      <c r="M1987" s="40">
        <v>1</v>
      </c>
      <c r="Z1987" s="40" t="s">
        <v>7060</v>
      </c>
      <c r="AA1987" s="47">
        <f>IF(H2ProjectDB689571011[[#This Row],[Dummy_1]]="Electrolysis",
AB1987*VLOOKUP(G1987,ElectrolysisConvF,3,FALSE),
"")</f>
        <v>155.9035188648339</v>
      </c>
      <c r="AB1987" s="46">
        <f t="shared" si="138"/>
        <v>34645.226414407538</v>
      </c>
      <c r="AC1987" s="92">
        <f>(150*3/17/0.98)</f>
        <v>27.010804321728692</v>
      </c>
      <c r="AE1987" s="46">
        <f t="shared" si="137"/>
        <v>34645.226414407538</v>
      </c>
      <c r="AF1987" s="43" t="s">
        <v>7050</v>
      </c>
      <c r="AG1987" s="43">
        <v>0</v>
      </c>
      <c r="AH1987" s="43">
        <v>0</v>
      </c>
      <c r="AI1987" s="122" t="s">
        <v>7286</v>
      </c>
      <c r="AJ1987" s="41">
        <v>0.56999999999999995</v>
      </c>
    </row>
    <row r="1988" spans="1:36" ht="35.1" hidden="1" customHeight="1" x14ac:dyDescent="0.25">
      <c r="A1988" s="40">
        <v>2697</v>
      </c>
      <c r="B1988" s="40" t="s">
        <v>7052</v>
      </c>
      <c r="C1988" s="40" t="s">
        <v>2013</v>
      </c>
      <c r="D1988" s="44"/>
      <c r="E1988" s="44"/>
      <c r="F1988" s="40" t="s">
        <v>1331</v>
      </c>
      <c r="G1988" s="40" t="s">
        <v>1259</v>
      </c>
      <c r="H1988" s="40" t="s">
        <v>467</v>
      </c>
      <c r="I1988" s="40" t="s">
        <v>2022</v>
      </c>
      <c r="K1988" s="40" t="s">
        <v>1243</v>
      </c>
      <c r="M1988" s="40">
        <v>1</v>
      </c>
      <c r="Z1988" s="40" t="s">
        <v>7061</v>
      </c>
      <c r="AA1988" s="47">
        <f>IF(H2ProjectDB689571011[[#This Row],[Dummy_1]]="Electrolysis",
AB1988*VLOOKUP(G1988,ElectrolysisConvF,3,FALSE),
"")</f>
        <v>207.87135848644522</v>
      </c>
      <c r="AB1988" s="46">
        <f t="shared" si="138"/>
        <v>46193.635219210053</v>
      </c>
      <c r="AC1988" s="92">
        <f>(200*3/17/0.98)</f>
        <v>36.014405762304925</v>
      </c>
      <c r="AE1988" s="46">
        <f t="shared" si="137"/>
        <v>46193.635219210053</v>
      </c>
      <c r="AF1988" s="43" t="s">
        <v>7050</v>
      </c>
      <c r="AG1988" s="43">
        <v>0</v>
      </c>
      <c r="AH1988" s="43">
        <v>0</v>
      </c>
      <c r="AI1988" s="122" t="s">
        <v>7286</v>
      </c>
      <c r="AJ1988" s="41">
        <v>0.56999999999999995</v>
      </c>
    </row>
    <row r="1989" spans="1:36" ht="35.1" hidden="1" customHeight="1" x14ac:dyDescent="0.25">
      <c r="A1989" s="40">
        <v>2698</v>
      </c>
      <c r="B1989" s="40" t="s">
        <v>7053</v>
      </c>
      <c r="C1989" s="40" t="s">
        <v>2013</v>
      </c>
      <c r="D1989" s="44"/>
      <c r="E1989" s="44"/>
      <c r="F1989" s="40" t="s">
        <v>1331</v>
      </c>
      <c r="G1989" s="40" t="s">
        <v>1259</v>
      </c>
      <c r="H1989" s="40" t="s">
        <v>467</v>
      </c>
      <c r="I1989" s="40" t="s">
        <v>2022</v>
      </c>
      <c r="K1989" s="40" t="s">
        <v>1243</v>
      </c>
      <c r="M1989" s="40">
        <v>1</v>
      </c>
      <c r="Z1989" s="40" t="s">
        <v>7059</v>
      </c>
      <c r="AA1989" s="47">
        <f>IF(H2ProjectDB689571011[[#This Row],[Dummy_1]]="Electrolysis",
AB1989*VLOOKUP(G1989,ElectrolysisConvF,3,FALSE),
"")</f>
        <v>1039.356792432226</v>
      </c>
      <c r="AB1989" s="46">
        <f t="shared" si="138"/>
        <v>230968.17609605024</v>
      </c>
      <c r="AC1989" s="92">
        <f>(1000*3/17/0.98)</f>
        <v>180.0720288115246</v>
      </c>
      <c r="AE1989" s="46">
        <f t="shared" si="137"/>
        <v>230968.17609605024</v>
      </c>
      <c r="AF1989" s="43" t="s">
        <v>7050</v>
      </c>
      <c r="AG1989" s="43">
        <v>0</v>
      </c>
      <c r="AH1989" s="43">
        <v>0</v>
      </c>
      <c r="AI1989" s="122" t="s">
        <v>7286</v>
      </c>
      <c r="AJ1989" s="41">
        <v>0.56999999999999995</v>
      </c>
    </row>
    <row r="1990" spans="1:36" ht="35.1" hidden="1" customHeight="1" x14ac:dyDescent="0.25">
      <c r="A1990" s="40">
        <v>2699</v>
      </c>
      <c r="B1990" s="40" t="s">
        <v>7054</v>
      </c>
      <c r="C1990" s="40" t="s">
        <v>2013</v>
      </c>
      <c r="D1990" s="44"/>
      <c r="E1990" s="44"/>
      <c r="F1990" s="40" t="s">
        <v>1331</v>
      </c>
      <c r="G1990" s="40" t="s">
        <v>1259</v>
      </c>
      <c r="H1990" s="40" t="s">
        <v>467</v>
      </c>
      <c r="I1990" s="40" t="s">
        <v>2022</v>
      </c>
      <c r="K1990" s="40" t="s">
        <v>1243</v>
      </c>
      <c r="M1990" s="40">
        <v>1</v>
      </c>
      <c r="Z1990" s="40" t="s">
        <v>7062</v>
      </c>
      <c r="AA1990" s="47">
        <f>IF(H2ProjectDB689571011[[#This Row],[Dummy_1]]="Electrolysis",
AB1990*VLOOKUP(G1990,ElectrolysisConvF,3,FALSE),
"")</f>
        <v>187.08422263780071</v>
      </c>
      <c r="AB1990" s="46">
        <f t="shared" si="138"/>
        <v>41574.271697289048</v>
      </c>
      <c r="AC1990" s="92">
        <f>(180*3/17/0.98)</f>
        <v>32.41296518607443</v>
      </c>
      <c r="AE1990" s="46">
        <f t="shared" si="137"/>
        <v>41574.271697289048</v>
      </c>
      <c r="AF1990" s="43" t="s">
        <v>7064</v>
      </c>
      <c r="AG1990" s="43">
        <v>0</v>
      </c>
      <c r="AH1990" s="43">
        <v>0</v>
      </c>
      <c r="AI1990" s="122" t="s">
        <v>7286</v>
      </c>
      <c r="AJ1990" s="41">
        <v>0.56999999999999995</v>
      </c>
    </row>
    <row r="1991" spans="1:36" ht="35.1" hidden="1" customHeight="1" x14ac:dyDescent="0.25">
      <c r="A1991" s="40">
        <v>2700</v>
      </c>
      <c r="B1991" s="40" t="s">
        <v>7066</v>
      </c>
      <c r="C1991" s="40" t="s">
        <v>1783</v>
      </c>
      <c r="D1991" s="44">
        <v>2028</v>
      </c>
      <c r="E1991" s="44"/>
      <c r="F1991" s="40" t="s">
        <v>1331</v>
      </c>
      <c r="G1991" s="40" t="s">
        <v>1259</v>
      </c>
      <c r="H1991" s="40" t="s">
        <v>467</v>
      </c>
      <c r="I1991" s="40" t="s">
        <v>1269</v>
      </c>
      <c r="J1991" s="40" t="s">
        <v>1395</v>
      </c>
      <c r="K1991" s="40" t="s">
        <v>578</v>
      </c>
      <c r="P1991" s="40">
        <v>1</v>
      </c>
      <c r="Z1991" s="40" t="s">
        <v>7067</v>
      </c>
      <c r="AA1991" s="47">
        <f>IF(H2ProjectDB689571011[[#This Row],[Dummy_1]]="Electrolysis",
AB1991*VLOOKUP(G1991,ElectrolysisConvF,3,FALSE),
"")</f>
        <v>346.31368323841775</v>
      </c>
      <c r="AB1991" s="46">
        <f t="shared" si="138"/>
        <v>76958.596275203949</v>
      </c>
      <c r="AC1991" s="98">
        <f>(30/H2ProjectDB689571011[[#This Row],[LOWE_CF]])</f>
        <v>60</v>
      </c>
      <c r="AE1991" s="46">
        <f t="shared" si="137"/>
        <v>76958.596275203949</v>
      </c>
      <c r="AF1991" s="43" t="s">
        <v>7069</v>
      </c>
      <c r="AG1991" s="43">
        <v>44.0727466408729</v>
      </c>
      <c r="AH1991" s="43">
        <v>22.1021008263228</v>
      </c>
      <c r="AI1991" s="122" t="s">
        <v>7286</v>
      </c>
      <c r="AJ1991" s="41">
        <v>0.5</v>
      </c>
    </row>
    <row r="1992" spans="1:36" ht="35.1" hidden="1" customHeight="1" x14ac:dyDescent="0.25">
      <c r="A1992" s="40">
        <v>2701</v>
      </c>
      <c r="B1992" s="40" t="s">
        <v>7072</v>
      </c>
      <c r="C1992" s="40" t="s">
        <v>1305</v>
      </c>
      <c r="D1992" s="44">
        <v>2023</v>
      </c>
      <c r="F1992" s="40" t="s">
        <v>1339</v>
      </c>
      <c r="G1992" s="40" t="s">
        <v>3239</v>
      </c>
      <c r="I1992" s="40" t="s">
        <v>1269</v>
      </c>
      <c r="J1992" s="40" t="s">
        <v>1391</v>
      </c>
      <c r="K1992" s="40" t="s">
        <v>578</v>
      </c>
      <c r="R1992" s="40">
        <v>1</v>
      </c>
      <c r="U1992" s="40">
        <v>1</v>
      </c>
      <c r="Z1992" s="40" t="s">
        <v>8044</v>
      </c>
      <c r="AA1992" s="91">
        <v>1.3540000000000001</v>
      </c>
      <c r="AB1992" s="46">
        <f>IF(H2ProjectDB689571011[[#This Row],[Dummy_1]]="Electrolysis",
AA1992/VLOOKUP(G1992,ElectrolysisConvF,3,FALSE),
AC1992*10^6/(H2dens*HoursInYear))</f>
        <v>300.88888888888891</v>
      </c>
      <c r="AC1992" s="47">
        <f>AB1992*H2dens*HoursInYear/10^6</f>
        <v>0.23458501333333337</v>
      </c>
      <c r="AE1992" s="46">
        <f t="shared" si="137"/>
        <v>300.88888888888891</v>
      </c>
      <c r="AF1992" s="43" t="s">
        <v>7074</v>
      </c>
      <c r="AG1992" s="43">
        <v>52.329927267671998</v>
      </c>
      <c r="AH1992" s="43">
        <v>10.905076082521401</v>
      </c>
      <c r="AI1992" s="122" t="s">
        <v>7286</v>
      </c>
      <c r="AJ1992" s="41">
        <v>0.3</v>
      </c>
    </row>
    <row r="1993" spans="1:36" ht="35.1" hidden="1" customHeight="1" x14ac:dyDescent="0.25">
      <c r="A1993" s="40">
        <v>2702</v>
      </c>
      <c r="B1993" s="40" t="s">
        <v>7075</v>
      </c>
      <c r="C1993" s="40" t="s">
        <v>541</v>
      </c>
      <c r="D1993" s="44">
        <v>2026</v>
      </c>
      <c r="E1993" s="44"/>
      <c r="F1993" s="40" t="s">
        <v>1331</v>
      </c>
      <c r="G1993" s="40" t="s">
        <v>3239</v>
      </c>
      <c r="I1993" s="40" t="s">
        <v>1269</v>
      </c>
      <c r="J1993" s="40" t="s">
        <v>581</v>
      </c>
      <c r="K1993" s="40" t="s">
        <v>578</v>
      </c>
      <c r="P1993" s="40">
        <v>1</v>
      </c>
      <c r="Z1993" s="40" t="s">
        <v>7076</v>
      </c>
      <c r="AA1993" s="91">
        <v>1</v>
      </c>
      <c r="AB1993" s="46">
        <f>IF(H2ProjectDB689571011[[#This Row],[Dummy_1]]="Electrolysis",
AA1993/VLOOKUP(G1993,ElectrolysisConvF,3,FALSE),
AC1993*10^6/(H2dens*HoursInYear))</f>
        <v>222.22222222222223</v>
      </c>
      <c r="AC1993" s="47">
        <f>AB1993*H2dens*HoursInYear/10^6</f>
        <v>0.17325333333333334</v>
      </c>
      <c r="AE1993" s="46">
        <f t="shared" si="137"/>
        <v>222.22222222222223</v>
      </c>
      <c r="AF1993" s="43" t="s">
        <v>7077</v>
      </c>
      <c r="AG1993" s="43">
        <v>46.0052405699426</v>
      </c>
      <c r="AH1993" s="43">
        <v>8.3251221987411093</v>
      </c>
      <c r="AI1993" s="122" t="s">
        <v>7286</v>
      </c>
      <c r="AJ1993" s="41">
        <v>0.5</v>
      </c>
    </row>
    <row r="1994" spans="1:36" ht="35.1" hidden="1" customHeight="1" x14ac:dyDescent="0.25">
      <c r="A1994" s="40">
        <v>2703</v>
      </c>
      <c r="B1994" s="40" t="s">
        <v>7080</v>
      </c>
      <c r="C1994" s="40" t="s">
        <v>542</v>
      </c>
      <c r="D1994" s="44">
        <v>2024</v>
      </c>
      <c r="E1994" s="44"/>
      <c r="F1994" s="40" t="s">
        <v>5701</v>
      </c>
      <c r="G1994" s="40" t="s">
        <v>3239</v>
      </c>
      <c r="I1994" s="40" t="s">
        <v>1269</v>
      </c>
      <c r="J1994" s="40" t="s">
        <v>581</v>
      </c>
      <c r="K1994" s="40" t="s">
        <v>578</v>
      </c>
      <c r="Q1994" s="40">
        <v>1</v>
      </c>
      <c r="Z1994" s="40" t="s">
        <v>7076</v>
      </c>
      <c r="AA1994" s="91">
        <v>1</v>
      </c>
      <c r="AB1994" s="46">
        <f>IF(H2ProjectDB689571011[[#This Row],[Dummy_1]]="Electrolysis",
AA1994/VLOOKUP(G1994,ElectrolysisConvF,3,FALSE),
AC1994*10^6/(H2dens*HoursInYear))</f>
        <v>222.22222222222223</v>
      </c>
      <c r="AC1994" s="47">
        <f>AB1994*H2dens*HoursInYear/10^6</f>
        <v>0.17325333333333334</v>
      </c>
      <c r="AE1994" s="46">
        <f t="shared" si="137"/>
        <v>222.22222222222223</v>
      </c>
      <c r="AF1994" s="43" t="s">
        <v>7082</v>
      </c>
      <c r="AG1994" s="43">
        <v>52.7713601535241</v>
      </c>
      <c r="AH1994" s="43">
        <v>-1.2048478201122499</v>
      </c>
      <c r="AI1994" s="122" t="s">
        <v>7286</v>
      </c>
      <c r="AJ1994" s="41">
        <v>0.5</v>
      </c>
    </row>
    <row r="1995" spans="1:36" ht="35.1" hidden="1" customHeight="1" x14ac:dyDescent="0.25">
      <c r="A1995" s="40">
        <v>2704</v>
      </c>
      <c r="B1995" s="40" t="s">
        <v>7084</v>
      </c>
      <c r="C1995" s="40" t="s">
        <v>1752</v>
      </c>
      <c r="D1995" s="44">
        <v>2024</v>
      </c>
      <c r="E1995" s="44"/>
      <c r="F1995" s="40" t="s">
        <v>5701</v>
      </c>
      <c r="G1995" s="40" t="s">
        <v>3239</v>
      </c>
      <c r="I1995" s="40" t="s">
        <v>1269</v>
      </c>
      <c r="J1995" s="40" t="s">
        <v>1392</v>
      </c>
      <c r="K1995" s="40" t="s">
        <v>578</v>
      </c>
      <c r="P1995" s="40">
        <v>1</v>
      </c>
      <c r="Z1995" s="40" t="s">
        <v>8045</v>
      </c>
      <c r="AA1995" s="91">
        <v>0.5</v>
      </c>
      <c r="AB1995" s="46">
        <f>IF(H2ProjectDB689571011[[#This Row],[Dummy_1]]="Electrolysis",
AA1995/VLOOKUP(G1995,ElectrolysisConvF,3,FALSE),
AC1995*10^6/(H2dens*HoursInYear))</f>
        <v>111.11111111111111</v>
      </c>
      <c r="AC1995" s="47">
        <f>AB1995*H2dens*HoursInYear/10^6</f>
        <v>8.6626666666666671E-2</v>
      </c>
      <c r="AE1995" s="46">
        <f t="shared" si="137"/>
        <v>111.11111111111111</v>
      </c>
      <c r="AF1995" s="43" t="s">
        <v>7085</v>
      </c>
      <c r="AG1995" s="43">
        <v>49.295397013953703</v>
      </c>
      <c r="AH1995" s="43">
        <v>14.1497448823086</v>
      </c>
      <c r="AI1995" s="122" t="s">
        <v>7286</v>
      </c>
      <c r="AJ1995" s="41">
        <v>0.4</v>
      </c>
    </row>
    <row r="1996" spans="1:36" ht="34.5" hidden="1" customHeight="1" x14ac:dyDescent="0.25">
      <c r="A1996" s="81">
        <v>2705</v>
      </c>
      <c r="B1996" s="81" t="s">
        <v>7086</v>
      </c>
      <c r="C1996" s="81" t="s">
        <v>537</v>
      </c>
      <c r="D1996" s="101">
        <v>2025</v>
      </c>
      <c r="E1996" s="101"/>
      <c r="F1996" s="81" t="s">
        <v>1331</v>
      </c>
      <c r="G1996" s="81" t="s">
        <v>3239</v>
      </c>
      <c r="H1996" s="81"/>
      <c r="I1996" s="81" t="s">
        <v>2022</v>
      </c>
      <c r="J1996" s="81"/>
      <c r="K1996" s="81" t="s">
        <v>578</v>
      </c>
      <c r="L1996" s="81"/>
      <c r="M1996" s="81"/>
      <c r="N1996" s="81"/>
      <c r="O1996" s="81"/>
      <c r="P1996" s="81"/>
      <c r="Q1996" s="81"/>
      <c r="R1996" s="81"/>
      <c r="S1996" s="81"/>
      <c r="T1996" s="81"/>
      <c r="U1996" s="81"/>
      <c r="V1996" s="81"/>
      <c r="W1996" s="81"/>
      <c r="X1996" s="81"/>
      <c r="Y1996" s="81"/>
      <c r="Z1996" s="81" t="s">
        <v>7081</v>
      </c>
      <c r="AA1996" s="83" t="str">
        <f>IF(OR(G1996="ALK",G1996="PEM",G1996="SOEC",G1996="Other Electrolysis"),
AB1996*VLOOKUP(G1996,ElectrolysisConvF,3,FALSE),
"")</f>
        <v/>
      </c>
      <c r="AB1996" s="85"/>
      <c r="AC1996" s="85"/>
      <c r="AD1996" s="84"/>
      <c r="AE1996" s="84">
        <f t="shared" si="137"/>
        <v>0</v>
      </c>
      <c r="AF1996" s="82" t="s">
        <v>7088</v>
      </c>
      <c r="AG1996" s="82">
        <v>0</v>
      </c>
      <c r="AH1996" s="82">
        <v>0</v>
      </c>
      <c r="AI1996" s="122" t="s">
        <v>7286</v>
      </c>
      <c r="AJ1996" s="41">
        <v>0.56999999999999995</v>
      </c>
    </row>
    <row r="1997" spans="1:36" ht="35.1" hidden="1" customHeight="1" x14ac:dyDescent="0.25">
      <c r="A1997" s="40">
        <v>2706</v>
      </c>
      <c r="B1997" s="40" t="s">
        <v>7103</v>
      </c>
      <c r="C1997" s="40" t="s">
        <v>1305</v>
      </c>
      <c r="D1997" s="44">
        <v>2025</v>
      </c>
      <c r="E1997" s="44"/>
      <c r="F1997" s="90" t="s">
        <v>2222</v>
      </c>
      <c r="G1997" s="90" t="s">
        <v>1259</v>
      </c>
      <c r="H1997" s="90" t="s">
        <v>467</v>
      </c>
      <c r="I1997" s="40" t="s">
        <v>1257</v>
      </c>
      <c r="K1997" s="40" t="s">
        <v>1242</v>
      </c>
      <c r="N1997" s="40">
        <v>1</v>
      </c>
      <c r="P1997" s="40">
        <v>1</v>
      </c>
      <c r="Q1997" s="40">
        <v>1</v>
      </c>
      <c r="AA1997" s="91">
        <f>IF(OR(G1997="ALK",G1997="PEM",G1997="SOEC",G1997="Other Electrolysis"),
AB1997*VLOOKUP(G1997,ElectrolysisConvF,3,FALSE),
"")</f>
        <v>0</v>
      </c>
      <c r="AE1997" s="46">
        <f t="shared" si="137"/>
        <v>0</v>
      </c>
      <c r="AF1997" s="43" t="s">
        <v>7102</v>
      </c>
      <c r="AG1997" s="43">
        <v>50.649816894120399</v>
      </c>
      <c r="AH1997" s="43">
        <v>10.6791241268308</v>
      </c>
      <c r="AI1997" s="122" t="s">
        <v>7286</v>
      </c>
      <c r="AJ1997" s="41">
        <v>0.56999999999999995</v>
      </c>
    </row>
    <row r="1998" spans="1:36" ht="35.1" hidden="1" customHeight="1" x14ac:dyDescent="0.25">
      <c r="A1998" s="40">
        <v>2707</v>
      </c>
      <c r="B1998" s="40" t="s">
        <v>7089</v>
      </c>
      <c r="C1998" s="40" t="s">
        <v>530</v>
      </c>
      <c r="D1998" s="44">
        <v>2028</v>
      </c>
      <c r="E1998" s="44"/>
      <c r="F1998" s="90" t="s">
        <v>1331</v>
      </c>
      <c r="G1998" s="90" t="s">
        <v>1259</v>
      </c>
      <c r="H1998" s="90" t="s">
        <v>467</v>
      </c>
      <c r="I1998" s="90" t="s">
        <v>1257</v>
      </c>
      <c r="J1998" s="90" t="s">
        <v>581</v>
      </c>
      <c r="K1998" s="40" t="s">
        <v>1242</v>
      </c>
      <c r="N1998" s="40">
        <v>1</v>
      </c>
      <c r="P1998" s="40">
        <v>1</v>
      </c>
      <c r="Z1998" s="40" t="s">
        <v>7093</v>
      </c>
      <c r="AA1998" s="47">
        <f>IF(H2ProjectDB689571011[[#This Row],[Dummy_1]]="Electrolysis",
AB1998*VLOOKUP(G1998,ElectrolysisConvF,3,FALSE),
"")</f>
        <v>290.61034242524892</v>
      </c>
      <c r="AB1998" s="46">
        <f>AC1998/(H2dens*HoursInYear/10^6)</f>
        <v>64580.076094499767</v>
      </c>
      <c r="AC1998" s="92">
        <f>150*0.191327/H2ProjectDB689571011[[#This Row],[LOWE_CF]]</f>
        <v>50.349210526315794</v>
      </c>
      <c r="AE1998" s="46">
        <f t="shared" si="137"/>
        <v>64580.076094499767</v>
      </c>
      <c r="AF1998" s="43" t="s">
        <v>7092</v>
      </c>
      <c r="AG1998" s="43">
        <v>45.360475960041001</v>
      </c>
      <c r="AH1998" s="43">
        <v>4.7967982292175204</v>
      </c>
      <c r="AI1998" s="122" t="s">
        <v>7286</v>
      </c>
      <c r="AJ1998" s="41">
        <v>0.56999999999999995</v>
      </c>
    </row>
    <row r="1999" spans="1:36" ht="35.1" hidden="1" customHeight="1" x14ac:dyDescent="0.25">
      <c r="A1999" s="40">
        <v>2708</v>
      </c>
      <c r="B1999" s="40" t="s">
        <v>7097</v>
      </c>
      <c r="C1999" s="40" t="s">
        <v>1305</v>
      </c>
      <c r="D1999" s="44">
        <v>2028</v>
      </c>
      <c r="E1999" s="44"/>
      <c r="F1999" s="40" t="s">
        <v>2222</v>
      </c>
      <c r="G1999" s="40" t="s">
        <v>1259</v>
      </c>
      <c r="H1999" s="40" t="s">
        <v>467</v>
      </c>
      <c r="I1999" s="40" t="s">
        <v>1266</v>
      </c>
      <c r="K1999" s="40" t="s">
        <v>1242</v>
      </c>
      <c r="N1999" s="40">
        <v>1</v>
      </c>
      <c r="Q1999" s="40">
        <v>1</v>
      </c>
      <c r="Z1999" s="40" t="s">
        <v>7098</v>
      </c>
      <c r="AA1999" s="91">
        <v>85</v>
      </c>
      <c r="AB1999" s="46">
        <f>IF(H2ProjectDB689571011[[#This Row],[Dummy_1]]="Electrolysis",
AA1999/VLOOKUP(G1999,ElectrolysisConvF,3,FALSE),
AC1999*10^6/(H2dens*HoursInYear))</f>
        <v>18888.888888888891</v>
      </c>
      <c r="AC1999" s="47">
        <f>AB1999*H2dens*HoursInYear/10^6</f>
        <v>14.726533333333334</v>
      </c>
      <c r="AE1999" s="46">
        <f t="shared" si="137"/>
        <v>18888.888888888891</v>
      </c>
      <c r="AF1999" s="43" t="s">
        <v>7100</v>
      </c>
      <c r="AG1999" s="43">
        <v>52.944065903062899</v>
      </c>
      <c r="AH1999" s="43">
        <v>8.8838280968108396</v>
      </c>
      <c r="AI1999" s="122" t="s">
        <v>7286</v>
      </c>
      <c r="AJ1999" s="41">
        <v>0.56999999999999995</v>
      </c>
    </row>
    <row r="2000" spans="1:36" ht="35.1" hidden="1" customHeight="1" x14ac:dyDescent="0.25">
      <c r="A2000" s="40">
        <v>2709</v>
      </c>
      <c r="B2000" s="40" t="s">
        <v>7104</v>
      </c>
      <c r="C2000" s="40" t="s">
        <v>550</v>
      </c>
      <c r="D2000" s="44">
        <v>2026</v>
      </c>
      <c r="E2000" s="44"/>
      <c r="F2000" s="40" t="s">
        <v>1331</v>
      </c>
      <c r="G2000" s="40" t="s">
        <v>1259</v>
      </c>
      <c r="H2000" s="40" t="s">
        <v>467</v>
      </c>
      <c r="I2000" s="40" t="s">
        <v>1269</v>
      </c>
      <c r="J2000" s="40" t="s">
        <v>1395</v>
      </c>
      <c r="K2000" s="40" t="s">
        <v>578</v>
      </c>
      <c r="N2000" s="40">
        <v>1</v>
      </c>
      <c r="Q2000" s="40">
        <v>1</v>
      </c>
      <c r="Z2000" s="40" t="s">
        <v>8696</v>
      </c>
      <c r="AA2000" s="91">
        <v>60</v>
      </c>
      <c r="AB2000" s="46">
        <f>IF(H2ProjectDB689571011[[#This Row],[Dummy_1]]="Electrolysis",
AA2000/VLOOKUP(G2000,ElectrolysisConvF,3,FALSE),
AC2000*10^6/(H2dens*HoursInYear))</f>
        <v>13333.333333333334</v>
      </c>
      <c r="AC2000" s="47">
        <f>AB2000*H2dens*HoursInYear/10^6</f>
        <v>10.395200000000001</v>
      </c>
      <c r="AE2000" s="46">
        <f t="shared" si="137"/>
        <v>13333.333333333334</v>
      </c>
      <c r="AF2000" s="43" t="s">
        <v>7106</v>
      </c>
      <c r="AG2000" s="43">
        <v>63.810665105346601</v>
      </c>
      <c r="AH2000" s="43">
        <v>-22.682991206314998</v>
      </c>
      <c r="AI2000" s="122" t="s">
        <v>7286</v>
      </c>
      <c r="AJ2000" s="41">
        <v>0.5</v>
      </c>
    </row>
    <row r="2001" spans="1:36" ht="35.1" hidden="1" customHeight="1" x14ac:dyDescent="0.25">
      <c r="A2001" s="40">
        <v>2710</v>
      </c>
      <c r="B2001" s="40" t="s">
        <v>7107</v>
      </c>
      <c r="C2001" s="40" t="s">
        <v>542</v>
      </c>
      <c r="D2001" s="44">
        <v>2026</v>
      </c>
      <c r="E2001" s="44"/>
      <c r="F2001" s="90" t="s">
        <v>1331</v>
      </c>
      <c r="G2001" s="90" t="s">
        <v>1259</v>
      </c>
      <c r="H2001" s="90" t="s">
        <v>467</v>
      </c>
      <c r="I2001" s="40" t="s">
        <v>1257</v>
      </c>
      <c r="K2001" s="40" t="s">
        <v>1242</v>
      </c>
      <c r="N2001" s="40">
        <v>1</v>
      </c>
      <c r="Z2001" s="40" t="s">
        <v>7117</v>
      </c>
      <c r="AA2001" s="47">
        <f>IF(H2ProjectDB689571011[[#This Row],[Dummy_1]]="Electrolysis",
AB2001*VLOOKUP(G2001,ElectrolysisConvF,3,FALSE),
"")</f>
        <v>38.748045656699858</v>
      </c>
      <c r="AB2001" s="46">
        <f>AC2001/(H2dens*HoursInYear/10^6)</f>
        <v>8610.6768125999697</v>
      </c>
      <c r="AC2001" s="92">
        <f>20*0.191327/H2ProjectDB689571011[[#This Row],[LOWE_CF]]</f>
        <v>6.7132280701754397</v>
      </c>
      <c r="AE2001" s="46">
        <f t="shared" si="137"/>
        <v>8610.6768125999697</v>
      </c>
      <c r="AF2001" s="43" t="s">
        <v>7108</v>
      </c>
      <c r="AG2001" s="43">
        <v>57.707518771078298</v>
      </c>
      <c r="AH2001" s="43">
        <v>-4.0295463546217398</v>
      </c>
      <c r="AI2001" s="122" t="s">
        <v>7286</v>
      </c>
      <c r="AJ2001" s="41">
        <v>0.56999999999999995</v>
      </c>
    </row>
    <row r="2002" spans="1:36" ht="35.1" hidden="1" customHeight="1" x14ac:dyDescent="0.25">
      <c r="A2002" s="40">
        <v>2711</v>
      </c>
      <c r="B2002" s="40" t="s">
        <v>7110</v>
      </c>
      <c r="C2002" s="40" t="s">
        <v>1764</v>
      </c>
      <c r="D2002" s="44">
        <v>2025</v>
      </c>
      <c r="E2002" s="44"/>
      <c r="F2002" s="40" t="s">
        <v>2222</v>
      </c>
      <c r="G2002" s="40" t="s">
        <v>1259</v>
      </c>
      <c r="H2002" s="40" t="s">
        <v>467</v>
      </c>
      <c r="I2002" s="40" t="s">
        <v>1269</v>
      </c>
      <c r="J2002" s="40" t="s">
        <v>1395</v>
      </c>
      <c r="K2002" s="40" t="s">
        <v>1242</v>
      </c>
      <c r="N2002" s="40">
        <v>1</v>
      </c>
      <c r="Q2002" s="40">
        <v>1</v>
      </c>
      <c r="Z2002" s="40" t="s">
        <v>7111</v>
      </c>
      <c r="AA2002" s="47">
        <f>IF(H2ProjectDB689571011[[#This Row],[Dummy_1]]="Electrolysis",
AB2002*VLOOKUP(G2002,ElectrolysisConvF,3,FALSE),
"")</f>
        <v>69.572115976604593</v>
      </c>
      <c r="AB2002" s="46">
        <f>AC2002/(H2dens*HoursInYear/10^6)</f>
        <v>15460.470217023243</v>
      </c>
      <c r="AC2002" s="92">
        <f>31.5*0.191327/H2ProjectDB689571011[[#This Row],[LOWE_CF]]</f>
        <v>12.053601</v>
      </c>
      <c r="AE2002" s="46">
        <f t="shared" si="137"/>
        <v>15460.470217023243</v>
      </c>
      <c r="AF2002" s="43" t="s">
        <v>7114</v>
      </c>
      <c r="AG2002" s="43">
        <v>36.521213147542397</v>
      </c>
      <c r="AH2002" s="43">
        <v>-6.2806648661178803</v>
      </c>
      <c r="AI2002" s="122" t="s">
        <v>7286</v>
      </c>
      <c r="AJ2002" s="41">
        <v>0.5</v>
      </c>
    </row>
    <row r="2003" spans="1:36" ht="35.1" hidden="1" customHeight="1" x14ac:dyDescent="0.25">
      <c r="A2003" s="40">
        <v>2712</v>
      </c>
      <c r="B2003" s="40" t="s">
        <v>7115</v>
      </c>
      <c r="C2003" s="40" t="s">
        <v>1764</v>
      </c>
      <c r="D2003" s="44"/>
      <c r="E2003" s="44"/>
      <c r="F2003" s="40" t="s">
        <v>2222</v>
      </c>
      <c r="G2003" s="40" t="s">
        <v>1259</v>
      </c>
      <c r="H2003" s="40" t="s">
        <v>467</v>
      </c>
      <c r="I2003" s="40" t="s">
        <v>1269</v>
      </c>
      <c r="J2003" s="40" t="s">
        <v>1395</v>
      </c>
      <c r="K2003" s="40" t="s">
        <v>1242</v>
      </c>
      <c r="N2003" s="40">
        <v>1</v>
      </c>
      <c r="Q2003" s="40">
        <v>1</v>
      </c>
      <c r="Z2003" s="40" t="s">
        <v>7116</v>
      </c>
      <c r="AA2003" s="47">
        <f>IF(H2ProjectDB689571011[[#This Row],[Dummy_1]]="Electrolysis",
AB2003*VLOOKUP(G2003,ElectrolysisConvF,3,FALSE),
"")</f>
        <v>2208.6386024318917</v>
      </c>
      <c r="AB2003" s="46">
        <f>AC2003/(H2dens*HoursInYear/10^6)</f>
        <v>490808.57831819815</v>
      </c>
      <c r="AC2003" s="92">
        <f>1000*0.191327/H2ProjectDB689571011[[#This Row],[LOWE_CF]]</f>
        <v>382.654</v>
      </c>
      <c r="AE2003" s="46">
        <f t="shared" si="137"/>
        <v>490808.57831819815</v>
      </c>
      <c r="AG2003" s="43">
        <v>0</v>
      </c>
      <c r="AH2003" s="43">
        <v>0</v>
      </c>
      <c r="AI2003" s="122" t="s">
        <v>7286</v>
      </c>
      <c r="AJ2003" s="41">
        <v>0.5</v>
      </c>
    </row>
    <row r="2004" spans="1:36" ht="35.1" hidden="1" customHeight="1" x14ac:dyDescent="0.25">
      <c r="A2004" s="40">
        <v>2713</v>
      </c>
      <c r="B2004" s="40" t="s">
        <v>7122</v>
      </c>
      <c r="C2004" s="40" t="s">
        <v>531</v>
      </c>
      <c r="D2004" s="44">
        <v>2025</v>
      </c>
      <c r="E2004" s="44"/>
      <c r="F2004" s="40" t="s">
        <v>5701</v>
      </c>
      <c r="G2004" s="40" t="s">
        <v>457</v>
      </c>
      <c r="I2004" s="40" t="s">
        <v>1257</v>
      </c>
      <c r="K2004" s="40" t="s">
        <v>578</v>
      </c>
      <c r="P2004" s="40">
        <v>1</v>
      </c>
      <c r="Q2004" s="40">
        <v>1</v>
      </c>
      <c r="Z2004" s="40" t="s">
        <v>7126</v>
      </c>
      <c r="AA2004" s="91">
        <v>20</v>
      </c>
      <c r="AB2004" s="46">
        <f>IF(H2ProjectDB689571011[[#This Row],[Dummy_1]]="Electrolysis",
AA2004/VLOOKUP(G2004,ElectrolysisConvF,3,FALSE),
AC2004*10^6/(H2dens*HoursInYear))</f>
        <v>4347.826086956522</v>
      </c>
      <c r="AC2004" s="47">
        <f>AB2004*H2dens*HoursInYear/10^6</f>
        <v>3.3897391304347826</v>
      </c>
      <c r="AE2004" s="46">
        <f t="shared" si="137"/>
        <v>4347.826086956522</v>
      </c>
      <c r="AF2004" s="43" t="s">
        <v>7475</v>
      </c>
      <c r="AG2004" s="43">
        <v>58.144920016219899</v>
      </c>
      <c r="AH2004" s="43">
        <v>8.02465756689522</v>
      </c>
      <c r="AI2004" s="122" t="s">
        <v>7286</v>
      </c>
      <c r="AJ2004" s="41">
        <v>0.56999999999999995</v>
      </c>
    </row>
    <row r="2005" spans="1:36" ht="35.1" hidden="1" customHeight="1" x14ac:dyDescent="0.25">
      <c r="A2005" s="40">
        <v>2714</v>
      </c>
      <c r="B2005" s="40" t="s">
        <v>7123</v>
      </c>
      <c r="C2005" s="40" t="s">
        <v>531</v>
      </c>
      <c r="D2005" s="44">
        <v>2027</v>
      </c>
      <c r="E2005" s="44"/>
      <c r="F2005" s="40" t="s">
        <v>1331</v>
      </c>
      <c r="G2005" s="40" t="s">
        <v>1259</v>
      </c>
      <c r="H2005" s="40" t="s">
        <v>467</v>
      </c>
      <c r="I2005" s="40" t="s">
        <v>1257</v>
      </c>
      <c r="K2005" s="40" t="s">
        <v>578</v>
      </c>
      <c r="P2005" s="40">
        <v>1</v>
      </c>
      <c r="Q2005" s="40">
        <v>1</v>
      </c>
      <c r="Z2005" s="40" t="s">
        <v>3923</v>
      </c>
      <c r="AA2005" s="91">
        <v>40</v>
      </c>
      <c r="AB2005" s="46">
        <f>IF(H2ProjectDB689571011[[#This Row],[Dummy_1]]="Electrolysis",
AA2005/VLOOKUP(G2005,ElectrolysisConvF,3,FALSE),
AC2005*10^6/(H2dens*HoursInYear))</f>
        <v>8888.8888888888887</v>
      </c>
      <c r="AC2005" s="47">
        <f>AB2005*H2dens*HoursInYear/10^6</f>
        <v>6.930133333333333</v>
      </c>
      <c r="AE2005" s="46">
        <f t="shared" si="137"/>
        <v>8888.8888888888887</v>
      </c>
      <c r="AF2005" s="43" t="s">
        <v>7125</v>
      </c>
      <c r="AG2005" s="43">
        <v>58.144920016219899</v>
      </c>
      <c r="AH2005" s="43">
        <v>8.02465756689522</v>
      </c>
      <c r="AI2005" s="122" t="s">
        <v>7286</v>
      </c>
      <c r="AJ2005" s="41">
        <v>0.56999999999999995</v>
      </c>
    </row>
    <row r="2006" spans="1:36" ht="35.1" hidden="1" customHeight="1" x14ac:dyDescent="0.25">
      <c r="A2006" s="40">
        <v>2715</v>
      </c>
      <c r="B2006" s="90" t="s">
        <v>4862</v>
      </c>
      <c r="C2006" s="90" t="s">
        <v>559</v>
      </c>
      <c r="D2006" s="90"/>
      <c r="E2006" s="90"/>
      <c r="F2006" s="90" t="s">
        <v>1331</v>
      </c>
      <c r="G2006" s="90" t="s">
        <v>1259</v>
      </c>
      <c r="H2006" s="40" t="s">
        <v>467</v>
      </c>
      <c r="I2006" s="90" t="s">
        <v>1269</v>
      </c>
      <c r="J2006" s="90" t="s">
        <v>1393</v>
      </c>
      <c r="K2006" s="90" t="s">
        <v>578</v>
      </c>
      <c r="L2006" s="90"/>
      <c r="M2006" s="90">
        <v>1</v>
      </c>
      <c r="N2006" s="90">
        <v>1</v>
      </c>
      <c r="O2006" s="90"/>
      <c r="P2006" s="90"/>
      <c r="Q2006" s="90"/>
      <c r="R2006" s="90"/>
      <c r="S2006" s="90"/>
      <c r="T2006" s="90"/>
      <c r="U2006" s="90"/>
      <c r="V2006" s="90"/>
      <c r="W2006" s="90">
        <v>1</v>
      </c>
      <c r="X2006" s="90"/>
      <c r="Y2006" s="90"/>
      <c r="Z2006" s="40" t="s">
        <v>5526</v>
      </c>
      <c r="AA2006" s="91">
        <v>600</v>
      </c>
      <c r="AB2006" s="46">
        <f>IF(H2ProjectDB689571011[[#This Row],[Dummy_1]]="Electrolysis",
AA2006/VLOOKUP(G2006,ElectrolysisConvF,3,FALSE),
AC2006*10^6/(H2dens*HoursInYear))</f>
        <v>133333.33333333334</v>
      </c>
      <c r="AC2006" s="47">
        <f>AB2006*H2dens*HoursInYear/10^6</f>
        <v>103.952</v>
      </c>
      <c r="AD2006" s="92"/>
      <c r="AE2006" s="92">
        <f t="shared" si="137"/>
        <v>133333.33333333334</v>
      </c>
      <c r="AF2006" s="93" t="s">
        <v>4864</v>
      </c>
      <c r="AG2006" s="43">
        <v>61.319846155236498</v>
      </c>
      <c r="AH2006" s="43">
        <v>17.387107209766</v>
      </c>
      <c r="AI2006" s="122" t="s">
        <v>7286</v>
      </c>
      <c r="AJ2006" s="41">
        <v>0.55000000000000004</v>
      </c>
    </row>
    <row r="2007" spans="1:36" ht="35.1" hidden="1" customHeight="1" x14ac:dyDescent="0.25">
      <c r="A2007" s="40">
        <v>2715</v>
      </c>
      <c r="B2007" s="40" t="s">
        <v>7127</v>
      </c>
      <c r="C2007" s="40" t="s">
        <v>1305</v>
      </c>
      <c r="D2007" s="44">
        <v>2024</v>
      </c>
      <c r="E2007" s="44"/>
      <c r="F2007" s="40" t="s">
        <v>5701</v>
      </c>
      <c r="G2007" s="40" t="s">
        <v>1259</v>
      </c>
      <c r="H2007" s="40" t="s">
        <v>467</v>
      </c>
      <c r="I2007" s="40" t="s">
        <v>1266</v>
      </c>
      <c r="K2007" s="40" t="s">
        <v>578</v>
      </c>
      <c r="P2007" s="40">
        <v>1</v>
      </c>
      <c r="Q2007" s="40">
        <v>1</v>
      </c>
      <c r="Z2007" s="40" t="s">
        <v>7128</v>
      </c>
      <c r="AA2007" s="91">
        <v>10</v>
      </c>
      <c r="AB2007" s="46">
        <f>IF(H2ProjectDB689571011[[#This Row],[Dummy_1]]="Electrolysis",
AA2007/VLOOKUP(G2007,ElectrolysisConvF,3,FALSE),
AC2007*10^6/(H2dens*HoursInYear))</f>
        <v>2222.2222222222222</v>
      </c>
      <c r="AC2007" s="47">
        <f>AB2007*H2dens*HoursInYear/10^6</f>
        <v>1.7325333333333333</v>
      </c>
      <c r="AE2007" s="46">
        <f t="shared" si="137"/>
        <v>2222.2222222222222</v>
      </c>
      <c r="AF2007" s="43" t="s">
        <v>7130</v>
      </c>
      <c r="AG2007" s="43">
        <v>61.319846155236498</v>
      </c>
      <c r="AH2007" s="43">
        <v>17.387107209766</v>
      </c>
      <c r="AI2007" s="122" t="s">
        <v>7286</v>
      </c>
      <c r="AJ2007" s="41">
        <v>0.56999999999999995</v>
      </c>
    </row>
    <row r="2008" spans="1:36" ht="35.1" hidden="1" customHeight="1" x14ac:dyDescent="0.25">
      <c r="A2008" s="40">
        <v>2718</v>
      </c>
      <c r="B2008" s="40" t="s">
        <v>7477</v>
      </c>
      <c r="C2008" s="40" t="s">
        <v>537</v>
      </c>
      <c r="D2008" s="44">
        <v>2027</v>
      </c>
      <c r="E2008" s="44"/>
      <c r="F2008" s="40" t="s">
        <v>1331</v>
      </c>
      <c r="G2008" s="40" t="s">
        <v>1259</v>
      </c>
      <c r="H2008" s="40" t="s">
        <v>467</v>
      </c>
      <c r="I2008" s="40" t="s">
        <v>1257</v>
      </c>
      <c r="K2008" s="40" t="s">
        <v>1242</v>
      </c>
      <c r="N2008" s="40">
        <v>1</v>
      </c>
      <c r="Z2008" s="40" t="s">
        <v>7924</v>
      </c>
      <c r="AA2008" s="47">
        <f>IF(H2ProjectDB689571011[[#This Row],[Dummy_1]]="Electrolysis",
AB2008*VLOOKUP(G2008,ElectrolysisConvF,3,FALSE),
"")</f>
        <v>387.48045656699855</v>
      </c>
      <c r="AB2008" s="46">
        <f>AC2008/(H2dens*HoursInYear/10^6)</f>
        <v>86106.76812599969</v>
      </c>
      <c r="AC2008" s="92">
        <f>200*0.191327/H2ProjectDB689571011[[#This Row],[LOWE_CF]]</f>
        <v>67.132280701754397</v>
      </c>
      <c r="AE2008" s="46">
        <f t="shared" si="137"/>
        <v>86106.76812599969</v>
      </c>
      <c r="AF2008" s="43" t="s">
        <v>7922</v>
      </c>
      <c r="AG2008" s="43">
        <v>36.793120405981199</v>
      </c>
      <c r="AH2008" s="43">
        <v>121.11506794169701</v>
      </c>
      <c r="AI2008" s="122" t="s">
        <v>7286</v>
      </c>
      <c r="AJ2008" s="41">
        <v>0.56999999999999995</v>
      </c>
    </row>
    <row r="2009" spans="1:36" ht="35.1" hidden="1" customHeight="1" x14ac:dyDescent="0.25">
      <c r="A2009" s="40">
        <v>2719</v>
      </c>
      <c r="B2009" s="40" t="s">
        <v>7135</v>
      </c>
      <c r="C2009" s="40" t="s">
        <v>539</v>
      </c>
      <c r="D2009" s="44"/>
      <c r="E2009" s="44"/>
      <c r="F2009" s="40" t="s">
        <v>2222</v>
      </c>
      <c r="G2009" s="40" t="s">
        <v>1259</v>
      </c>
      <c r="H2009" s="40" t="s">
        <v>467</v>
      </c>
      <c r="I2009" s="40" t="s">
        <v>1269</v>
      </c>
      <c r="J2009" s="40" t="s">
        <v>1395</v>
      </c>
      <c r="K2009" s="40" t="s">
        <v>1268</v>
      </c>
      <c r="M2009" s="40">
        <v>1</v>
      </c>
      <c r="N2009" s="40">
        <v>1</v>
      </c>
      <c r="Z2009" s="40" t="s">
        <v>7136</v>
      </c>
      <c r="AA2009" s="47">
        <f>IF(H2ProjectDB689571011[[#This Row],[Dummy_1]]="Electrolysis",
AB2009*VLOOKUP(G2009,ElectrolysisConvF,3,FALSE),
"")</f>
        <v>86.188808312304431</v>
      </c>
      <c r="AB2009" s="46">
        <f>AC2009/(H2dens*HoursInYear/10^6)</f>
        <v>19153.068513845432</v>
      </c>
      <c r="AC2009" s="92">
        <f>((27*0.191327)+(12.775*3/17/0.98))/H2ProjectDB689571011[[#This Row],[LOWE_CF]]</f>
        <v>14.932498336134453</v>
      </c>
      <c r="AE2009" s="46">
        <f t="shared" si="137"/>
        <v>19153.068513845432</v>
      </c>
      <c r="AF2009" s="43" t="s">
        <v>7138</v>
      </c>
      <c r="AG2009" s="43">
        <v>22.247923317098898</v>
      </c>
      <c r="AH2009" s="43">
        <v>71.696361561598394</v>
      </c>
      <c r="AI2009" s="122" t="s">
        <v>7286</v>
      </c>
      <c r="AJ2009" s="41">
        <v>0.5</v>
      </c>
    </row>
    <row r="2010" spans="1:36" ht="35.1" hidden="1" customHeight="1" x14ac:dyDescent="0.25">
      <c r="A2010" s="40">
        <v>2720</v>
      </c>
      <c r="B2010" s="40" t="s">
        <v>7139</v>
      </c>
      <c r="C2010" s="40" t="s">
        <v>539</v>
      </c>
      <c r="D2010" s="44"/>
      <c r="E2010" s="44"/>
      <c r="F2010" s="40" t="s">
        <v>2222</v>
      </c>
      <c r="G2010" s="40" t="s">
        <v>1259</v>
      </c>
      <c r="H2010" s="40" t="s">
        <v>467</v>
      </c>
      <c r="I2010" s="40" t="s">
        <v>1269</v>
      </c>
      <c r="J2010" s="40" t="s">
        <v>1395</v>
      </c>
      <c r="K2010" s="40" t="s">
        <v>1267</v>
      </c>
      <c r="N2010" s="40">
        <v>1</v>
      </c>
      <c r="Q2010" s="40">
        <v>1</v>
      </c>
      <c r="W2010" s="40">
        <v>1</v>
      </c>
      <c r="Z2010" s="40" t="s">
        <v>5000</v>
      </c>
      <c r="AA2010" s="47">
        <f>IF(H2ProjectDB689571011[[#This Row],[Dummy_1]]="Electrolysis",
AB2010*VLOOKUP(G2010,ElectrolysisConvF,3,FALSE),
"")</f>
        <v>220.86386024318918</v>
      </c>
      <c r="AB2010" s="46">
        <f>AC2010/(H2dens*HoursInYear/10^6)</f>
        <v>49080.85783181982</v>
      </c>
      <c r="AC2010" s="92">
        <f>(100*0.191327)/H2ProjectDB689571011[[#This Row],[LOWE_CF]]</f>
        <v>38.2654</v>
      </c>
      <c r="AE2010" s="46">
        <f t="shared" si="137"/>
        <v>49080.85783181982</v>
      </c>
      <c r="AF2010" s="43" t="s">
        <v>7140</v>
      </c>
      <c r="AG2010" s="43">
        <v>8.3188534359363508</v>
      </c>
      <c r="AH2010" s="43">
        <v>77.740448506199698</v>
      </c>
      <c r="AI2010" s="122" t="s">
        <v>7286</v>
      </c>
      <c r="AJ2010" s="41">
        <v>0.5</v>
      </c>
    </row>
    <row r="2011" spans="1:36" ht="35.1" hidden="1" customHeight="1" x14ac:dyDescent="0.25">
      <c r="A2011" s="40">
        <v>2721</v>
      </c>
      <c r="B2011" s="40" t="s">
        <v>7143</v>
      </c>
      <c r="C2011" s="40" t="s">
        <v>539</v>
      </c>
      <c r="D2011" s="44"/>
      <c r="E2011" s="44"/>
      <c r="F2011" s="40" t="s">
        <v>2222</v>
      </c>
      <c r="G2011" s="40" t="s">
        <v>1259</v>
      </c>
      <c r="H2011" s="40" t="s">
        <v>467</v>
      </c>
      <c r="I2011" s="40" t="s">
        <v>2022</v>
      </c>
      <c r="K2011" s="40" t="s">
        <v>1242</v>
      </c>
      <c r="N2011" s="40">
        <v>1</v>
      </c>
      <c r="Z2011" s="40" t="s">
        <v>7145</v>
      </c>
      <c r="AA2011" s="47">
        <f>IF(H2ProjectDB689571011[[#This Row],[Dummy_1]]="Electrolysis",
AB2011*VLOOKUP(G2011,ElectrolysisConvF,3,FALSE),
"")</f>
        <v>968.70114141749639</v>
      </c>
      <c r="AB2011" s="46">
        <f>AC2011/(H2dens*HoursInYear/10^6)</f>
        <v>215266.92031499921</v>
      </c>
      <c r="AC2011" s="92">
        <f>(500*0.191327)/H2ProjectDB689571011[[#This Row],[LOWE_CF]]</f>
        <v>167.83070175438598</v>
      </c>
      <c r="AE2011" s="46">
        <f t="shared" si="137"/>
        <v>215266.92031499921</v>
      </c>
      <c r="AF2011" s="43" t="s">
        <v>7146</v>
      </c>
      <c r="AG2011" s="43">
        <v>18.346077803649798</v>
      </c>
      <c r="AH2011" s="43">
        <v>81.883045671563096</v>
      </c>
      <c r="AI2011" s="122" t="s">
        <v>7286</v>
      </c>
      <c r="AJ2011" s="41">
        <v>0.56999999999999995</v>
      </c>
    </row>
    <row r="2012" spans="1:36" ht="35.1" hidden="1" customHeight="1" x14ac:dyDescent="0.25">
      <c r="A2012" s="40">
        <v>2722</v>
      </c>
      <c r="B2012" s="40" t="s">
        <v>7144</v>
      </c>
      <c r="C2012" s="40" t="s">
        <v>539</v>
      </c>
      <c r="D2012" s="44"/>
      <c r="E2012" s="44"/>
      <c r="F2012" s="40" t="s">
        <v>2222</v>
      </c>
      <c r="G2012" s="40" t="s">
        <v>1259</v>
      </c>
      <c r="H2012" s="40" t="s">
        <v>467</v>
      </c>
      <c r="I2012" s="40" t="s">
        <v>2022</v>
      </c>
      <c r="K2012" s="40" t="s">
        <v>1242</v>
      </c>
      <c r="N2012" s="40">
        <v>1</v>
      </c>
      <c r="Z2012" s="40" t="s">
        <v>6870</v>
      </c>
      <c r="AA2012" s="47">
        <f>IF(H2ProjectDB689571011[[#This Row],[Dummy_1]]="Electrolysis",
AB2012*VLOOKUP(G2012,ElectrolysisConvF,3,FALSE),
"")</f>
        <v>581.22068485049783</v>
      </c>
      <c r="AB2012" s="46">
        <f>AC2012/(H2dens*HoursInYear/10^6)</f>
        <v>129160.15218899953</v>
      </c>
      <c r="AC2012" s="92">
        <f>(300*0.191327)/H2ProjectDB689571011[[#This Row],[LOWE_CF]]</f>
        <v>100.69842105263159</v>
      </c>
      <c r="AE2012" s="46">
        <f t="shared" si="137"/>
        <v>129160.15218899953</v>
      </c>
      <c r="AF2012" s="43" t="s">
        <v>7146</v>
      </c>
      <c r="AG2012" s="43">
        <v>19.172383636393899</v>
      </c>
      <c r="AH2012" s="43">
        <v>83.414466874130497</v>
      </c>
      <c r="AI2012" s="122" t="s">
        <v>7286</v>
      </c>
      <c r="AJ2012" s="41">
        <v>0.56999999999999995</v>
      </c>
    </row>
    <row r="2013" spans="1:36" ht="35.1" hidden="1" customHeight="1" x14ac:dyDescent="0.25">
      <c r="A2013" s="40">
        <v>2723</v>
      </c>
      <c r="B2013" s="40" t="s">
        <v>7147</v>
      </c>
      <c r="C2013" s="40" t="s">
        <v>545</v>
      </c>
      <c r="D2013" s="44">
        <v>2027</v>
      </c>
      <c r="E2013" s="44"/>
      <c r="F2013" s="40" t="s">
        <v>2222</v>
      </c>
      <c r="G2013" s="40" t="s">
        <v>1259</v>
      </c>
      <c r="H2013" s="40" t="s">
        <v>467</v>
      </c>
      <c r="I2013" s="40" t="s">
        <v>2022</v>
      </c>
      <c r="K2013" s="40" t="s">
        <v>1242</v>
      </c>
      <c r="N2013" s="40">
        <v>1</v>
      </c>
      <c r="W2013" s="40">
        <v>1</v>
      </c>
      <c r="Z2013" s="40" t="s">
        <v>7148</v>
      </c>
      <c r="AA2013" s="91">
        <v>150</v>
      </c>
      <c r="AB2013" s="46">
        <f>IF(H2ProjectDB689571011[[#This Row],[Dummy_1]]="Electrolysis",
AA2013/VLOOKUP(G2013,ElectrolysisConvF,3,FALSE),
AC2013*10^6/(H2dens*HoursInYear))</f>
        <v>33333.333333333336</v>
      </c>
      <c r="AC2013" s="47">
        <f>AB2013*H2dens*HoursInYear/10^6</f>
        <v>25.988</v>
      </c>
      <c r="AE2013" s="46">
        <f t="shared" si="137"/>
        <v>33333.333333333336</v>
      </c>
      <c r="AF2013" s="43" t="s">
        <v>7150</v>
      </c>
      <c r="AG2013" s="43">
        <v>54.901341033814603</v>
      </c>
      <c r="AH2013" s="43">
        <v>9.3521826796137297</v>
      </c>
      <c r="AI2013" s="122" t="s">
        <v>7286</v>
      </c>
      <c r="AJ2013" s="41">
        <v>0.56999999999999995</v>
      </c>
    </row>
    <row r="2014" spans="1:36" ht="35.1" hidden="1" customHeight="1" x14ac:dyDescent="0.25">
      <c r="A2014" s="40">
        <v>2724</v>
      </c>
      <c r="B2014" s="40" t="s">
        <v>7153</v>
      </c>
      <c r="C2014" s="40" t="s">
        <v>562</v>
      </c>
      <c r="D2014" s="44"/>
      <c r="E2014" s="44"/>
      <c r="F2014" s="40" t="s">
        <v>2222</v>
      </c>
      <c r="G2014" s="40" t="s">
        <v>1259</v>
      </c>
      <c r="H2014" s="40" t="s">
        <v>467</v>
      </c>
      <c r="I2014" s="40" t="s">
        <v>1269</v>
      </c>
      <c r="J2014" s="40" t="s">
        <v>1395</v>
      </c>
      <c r="K2014" s="40" t="s">
        <v>578</v>
      </c>
      <c r="O2014" s="40">
        <v>1</v>
      </c>
      <c r="Z2014" s="40" t="s">
        <v>3870</v>
      </c>
      <c r="AA2014" s="91">
        <v>25</v>
      </c>
      <c r="AB2014" s="46">
        <f>IF(H2ProjectDB689571011[[#This Row],[Dummy_1]]="Electrolysis",
AA2014/VLOOKUP(G2014,ElectrolysisConvF,3,FALSE),
AC2014*10^6/(H2dens*HoursInYear))</f>
        <v>5555.5555555555557</v>
      </c>
      <c r="AC2014" s="47">
        <f>AB2014*H2dens*HoursInYear/10^6</f>
        <v>4.3313333333333333</v>
      </c>
      <c r="AE2014" s="46">
        <f t="shared" si="137"/>
        <v>5555.5555555555557</v>
      </c>
      <c r="AF2014" s="43" t="s">
        <v>7152</v>
      </c>
      <c r="AG2014" s="43">
        <v>13.6678267720799</v>
      </c>
      <c r="AH2014" s="43">
        <v>100.62299439414799</v>
      </c>
      <c r="AI2014" s="122" t="s">
        <v>7286</v>
      </c>
      <c r="AJ2014" s="41">
        <v>0.5</v>
      </c>
    </row>
    <row r="2015" spans="1:36" ht="35.1" hidden="1" customHeight="1" x14ac:dyDescent="0.25">
      <c r="A2015" s="40">
        <v>2725</v>
      </c>
      <c r="B2015" s="40" t="s">
        <v>7155</v>
      </c>
      <c r="C2015" s="40" t="s">
        <v>533</v>
      </c>
      <c r="D2015" s="44">
        <v>2025</v>
      </c>
      <c r="E2015" s="44"/>
      <c r="F2015" s="40" t="s">
        <v>1331</v>
      </c>
      <c r="G2015" s="40" t="s">
        <v>1259</v>
      </c>
      <c r="H2015" s="40" t="s">
        <v>467</v>
      </c>
      <c r="I2015" s="40" t="s">
        <v>2022</v>
      </c>
      <c r="K2015" s="40" t="s">
        <v>1267</v>
      </c>
      <c r="Q2015" s="40">
        <v>1</v>
      </c>
      <c r="W2015" s="40">
        <v>1</v>
      </c>
      <c r="Z2015" s="40" t="s">
        <v>7154</v>
      </c>
      <c r="AA2015" s="47">
        <f>IF(H2ProjectDB689571011[[#This Row],[Dummy_1]]="Electrolysis",
AB2015*VLOOKUP(G2015,ElectrolysisConvF,3,FALSE),
"")</f>
        <v>68.195331459619922</v>
      </c>
      <c r="AB2015" s="92">
        <f t="shared" ref="AB2015:AB2025" si="139">AC2015/(H2dens*HoursInYear/10^6)</f>
        <v>15154.518102137763</v>
      </c>
      <c r="AC2015" s="47">
        <f>(23*0.045/0.73/0.12)</f>
        <v>11.815068493150685</v>
      </c>
      <c r="AE2015" s="46">
        <f t="shared" si="137"/>
        <v>15154.518102137763</v>
      </c>
      <c r="AG2015" s="43">
        <v>45.6342663969805</v>
      </c>
      <c r="AH2015" s="43">
        <v>-73.521311284654303</v>
      </c>
      <c r="AI2015" s="122" t="s">
        <v>7286</v>
      </c>
      <c r="AJ2015" s="41">
        <v>0.56999999999999995</v>
      </c>
    </row>
    <row r="2016" spans="1:36" ht="35.1" hidden="1" customHeight="1" x14ac:dyDescent="0.25">
      <c r="A2016" s="40">
        <v>2726</v>
      </c>
      <c r="B2016" s="40" t="s">
        <v>7156</v>
      </c>
      <c r="C2016" s="40" t="s">
        <v>537</v>
      </c>
      <c r="D2016" s="44">
        <v>2025</v>
      </c>
      <c r="E2016" s="44"/>
      <c r="F2016" s="40" t="s">
        <v>1331</v>
      </c>
      <c r="G2016" s="40" t="s">
        <v>1259</v>
      </c>
      <c r="H2016" s="40" t="s">
        <v>467</v>
      </c>
      <c r="I2016" s="40" t="s">
        <v>1269</v>
      </c>
      <c r="J2016" s="40" t="s">
        <v>1392</v>
      </c>
      <c r="K2016" s="40" t="s">
        <v>1267</v>
      </c>
      <c r="W2016" s="40">
        <v>1</v>
      </c>
      <c r="Z2016" s="40" t="s">
        <v>7160</v>
      </c>
      <c r="AA2016" s="47">
        <f>IF(H2ProjectDB689571011[[#This Row],[Dummy_1]]="Electrolysis",
AB2016*VLOOKUP(G2016,ElectrolysisConvF,3,FALSE),
"")</f>
        <v>29.650144112878227</v>
      </c>
      <c r="AB2016" s="92">
        <f t="shared" si="139"/>
        <v>6588.9209139729401</v>
      </c>
      <c r="AC2016" s="47">
        <f>(10*0.045/0.73/0.12)</f>
        <v>5.1369863013698627</v>
      </c>
      <c r="AE2016" s="46">
        <f t="shared" si="137"/>
        <v>6588.9209139729401</v>
      </c>
      <c r="AF2016" s="43" t="s">
        <v>7159</v>
      </c>
      <c r="AG2016" s="43">
        <v>47.355702506321002</v>
      </c>
      <c r="AH2016" s="43">
        <v>124.04827377477299</v>
      </c>
      <c r="AI2016" s="122" t="s">
        <v>7286</v>
      </c>
      <c r="AJ2016" s="41">
        <v>0.4</v>
      </c>
    </row>
    <row r="2017" spans="1:36" ht="35.1" hidden="1" customHeight="1" x14ac:dyDescent="0.25">
      <c r="A2017" s="40">
        <v>2727</v>
      </c>
      <c r="B2017" s="40" t="s">
        <v>7157</v>
      </c>
      <c r="C2017" s="40" t="s">
        <v>537</v>
      </c>
      <c r="D2017" s="44">
        <v>2030</v>
      </c>
      <c r="E2017" s="44"/>
      <c r="F2017" s="40" t="s">
        <v>2222</v>
      </c>
      <c r="G2017" s="40" t="s">
        <v>1259</v>
      </c>
      <c r="H2017" s="40" t="s">
        <v>467</v>
      </c>
      <c r="I2017" s="40" t="s">
        <v>1269</v>
      </c>
      <c r="J2017" s="40" t="s">
        <v>1392</v>
      </c>
      <c r="K2017" s="40" t="s">
        <v>1267</v>
      </c>
      <c r="W2017" s="40">
        <v>1</v>
      </c>
      <c r="Z2017" s="40" t="s">
        <v>7161</v>
      </c>
      <c r="AA2017" s="47">
        <f>IF(H2ProjectDB689571011[[#This Row],[Dummy_1]]="Electrolysis",
AB2017*VLOOKUP(G2017,ElectrolysisConvF,3,FALSE),
"")</f>
        <v>946.59073418500839</v>
      </c>
      <c r="AB2017" s="47">
        <f t="shared" si="139"/>
        <v>210353.49648555744</v>
      </c>
      <c r="AC2017" s="47">
        <v>164</v>
      </c>
      <c r="AE2017" s="46">
        <f t="shared" si="137"/>
        <v>210353.49648555744</v>
      </c>
      <c r="AF2017" s="43" t="s">
        <v>7159</v>
      </c>
      <c r="AG2017" s="43">
        <v>47.355702506321002</v>
      </c>
      <c r="AH2017" s="43">
        <v>124.04827377477299</v>
      </c>
      <c r="AI2017" s="122" t="s">
        <v>7286</v>
      </c>
      <c r="AJ2017" s="41">
        <v>0.4</v>
      </c>
    </row>
    <row r="2018" spans="1:36" ht="35.1" hidden="1" customHeight="1" x14ac:dyDescent="0.25">
      <c r="A2018" s="40">
        <v>2728</v>
      </c>
      <c r="B2018" s="40" t="s">
        <v>7163</v>
      </c>
      <c r="C2018" s="40" t="s">
        <v>1305</v>
      </c>
      <c r="D2018" s="44">
        <v>2028</v>
      </c>
      <c r="E2018" s="44"/>
      <c r="F2018" s="40" t="s">
        <v>1331</v>
      </c>
      <c r="G2018" s="40" t="s">
        <v>1259</v>
      </c>
      <c r="H2018" s="40" t="s">
        <v>467</v>
      </c>
      <c r="I2018" s="40" t="s">
        <v>2022</v>
      </c>
      <c r="K2018" s="40" t="s">
        <v>1267</v>
      </c>
      <c r="Q2018" s="40">
        <v>1</v>
      </c>
      <c r="W2018" s="40">
        <v>1</v>
      </c>
      <c r="Z2018" s="40" t="s">
        <v>7164</v>
      </c>
      <c r="AA2018" s="47">
        <f>IF(H2ProjectDB689571011[[#This Row],[Dummy_1]]="Electrolysis",
AB2018*VLOOKUP(G2018,ElectrolysisConvF,3,FALSE),
"")</f>
        <v>148.25072056439114</v>
      </c>
      <c r="AB2018" s="92">
        <f t="shared" si="139"/>
        <v>32944.604569864699</v>
      </c>
      <c r="AC2018" s="47">
        <f>(50*0.045/0.73/0.12)</f>
        <v>25.684931506849313</v>
      </c>
      <c r="AE2018" s="46">
        <f t="shared" si="137"/>
        <v>32944.604569864699</v>
      </c>
      <c r="AF2018" s="43" t="s">
        <v>7165</v>
      </c>
      <c r="AG2018" s="43">
        <v>48.660191958915298</v>
      </c>
      <c r="AH2018" s="43">
        <v>10.1543361762755</v>
      </c>
      <c r="AI2018" s="122" t="s">
        <v>7286</v>
      </c>
      <c r="AJ2018" s="41">
        <v>0.56999999999999995</v>
      </c>
    </row>
    <row r="2019" spans="1:36" ht="35.1" hidden="1" customHeight="1" x14ac:dyDescent="0.25">
      <c r="A2019" s="40">
        <v>2729</v>
      </c>
      <c r="B2019" s="40" t="s">
        <v>7167</v>
      </c>
      <c r="C2019" s="40" t="s">
        <v>1305</v>
      </c>
      <c r="D2019" s="44">
        <v>2022</v>
      </c>
      <c r="F2019" s="90" t="s">
        <v>1540</v>
      </c>
      <c r="G2019" s="90" t="s">
        <v>1259</v>
      </c>
      <c r="H2019" s="40" t="s">
        <v>467</v>
      </c>
      <c r="I2019" s="40" t="s">
        <v>2022</v>
      </c>
      <c r="K2019" s="40" t="s">
        <v>1267</v>
      </c>
      <c r="Q2019" s="40">
        <v>1</v>
      </c>
      <c r="W2019" s="40">
        <v>1</v>
      </c>
      <c r="Z2019" s="40" t="s">
        <v>7168</v>
      </c>
      <c r="AA2019" s="47">
        <f>IF(H2ProjectDB689571011[[#This Row],[Dummy_1]]="Electrolysis",
AB2019*VLOOKUP(G2019,ElectrolysisConvF,3,FALSE),
"")</f>
        <v>0.59300288225756459</v>
      </c>
      <c r="AB2019" s="92">
        <f t="shared" si="139"/>
        <v>131.7784182794588</v>
      </c>
      <c r="AC2019" s="47">
        <f>(0.2*0.045/0.73/0.12)</f>
        <v>0.10273972602739725</v>
      </c>
      <c r="AE2019" s="46">
        <f t="shared" si="137"/>
        <v>131.7784182794588</v>
      </c>
      <c r="AF2019" s="43" t="s">
        <v>7170</v>
      </c>
      <c r="AG2019" s="43">
        <v>53.514269766157099</v>
      </c>
      <c r="AH2019" s="43">
        <v>9.95004694091784</v>
      </c>
      <c r="AI2019" s="122" t="s">
        <v>7286</v>
      </c>
      <c r="AJ2019" s="41">
        <v>0.56999999999999995</v>
      </c>
    </row>
    <row r="2020" spans="1:36" ht="35.1" hidden="1" customHeight="1" x14ac:dyDescent="0.25">
      <c r="A2020" s="40">
        <v>2730</v>
      </c>
      <c r="B2020" s="40" t="s">
        <v>7171</v>
      </c>
      <c r="C2020" s="40" t="s">
        <v>550</v>
      </c>
      <c r="D2020" s="44">
        <v>2028</v>
      </c>
      <c r="E2020" s="44"/>
      <c r="F2020" s="40" t="s">
        <v>1331</v>
      </c>
      <c r="G2020" s="40" t="s">
        <v>1259</v>
      </c>
      <c r="H2020" s="40" t="s">
        <v>467</v>
      </c>
      <c r="I2020" s="40" t="s">
        <v>1266</v>
      </c>
      <c r="K2020" s="40" t="s">
        <v>1267</v>
      </c>
      <c r="Q2020" s="40">
        <v>1</v>
      </c>
      <c r="W2020" s="40">
        <v>1</v>
      </c>
      <c r="Z2020" s="40" t="s">
        <v>7174</v>
      </c>
      <c r="AA2020" s="47">
        <f>IF(H2ProjectDB689571011[[#This Row],[Dummy_1]]="Electrolysis",
AB2020*VLOOKUP(G2020,ElectrolysisConvF,3,FALSE),
"")</f>
        <v>192.72593673370852</v>
      </c>
      <c r="AB2020" s="92">
        <f t="shared" si="139"/>
        <v>42827.985940824117</v>
      </c>
      <c r="AC2020" s="47">
        <f>(65*0.045/0.73/0.12)</f>
        <v>33.390410958904113</v>
      </c>
      <c r="AE2020" s="46">
        <f t="shared" si="137"/>
        <v>42827.985940824117</v>
      </c>
      <c r="AF2020" s="43" t="s">
        <v>7173</v>
      </c>
      <c r="AG2020" s="43">
        <v>64.031168225067702</v>
      </c>
      <c r="AH2020" s="43">
        <v>-22.5681227263252</v>
      </c>
      <c r="AI2020" s="122" t="s">
        <v>7286</v>
      </c>
      <c r="AJ2020" s="41">
        <v>0.56999999999999995</v>
      </c>
    </row>
    <row r="2021" spans="1:36" ht="35.1" hidden="1" customHeight="1" x14ac:dyDescent="0.25">
      <c r="A2021" s="40">
        <v>2731</v>
      </c>
      <c r="B2021" s="40" t="s">
        <v>7179</v>
      </c>
      <c r="C2021" s="40" t="s">
        <v>559</v>
      </c>
      <c r="D2021" s="44">
        <v>2025</v>
      </c>
      <c r="E2021" s="44"/>
      <c r="F2021" s="40" t="s">
        <v>2222</v>
      </c>
      <c r="G2021" s="40" t="s">
        <v>1259</v>
      </c>
      <c r="H2021" s="40" t="s">
        <v>467</v>
      </c>
      <c r="I2021" s="40" t="s">
        <v>2022</v>
      </c>
      <c r="K2021" s="40" t="s">
        <v>1267</v>
      </c>
      <c r="Q2021" s="40">
        <v>1</v>
      </c>
      <c r="W2021" s="40">
        <v>1</v>
      </c>
      <c r="Z2021" s="40" t="s">
        <v>7180</v>
      </c>
      <c r="AA2021" s="47">
        <f>IF(H2ProjectDB689571011[[#This Row],[Dummy_1]]="Electrolysis",
AB2021*VLOOKUP(G2021,ElectrolysisConvF,3,FALSE),
"")</f>
        <v>59.300288225756454</v>
      </c>
      <c r="AB2021" s="92">
        <f t="shared" si="139"/>
        <v>13177.84182794588</v>
      </c>
      <c r="AC2021" s="47">
        <f>(20*0.045/0.73/0.12)</f>
        <v>10.273972602739725</v>
      </c>
      <c r="AE2021" s="46">
        <f t="shared" si="137"/>
        <v>13177.84182794588</v>
      </c>
      <c r="AF2021" s="43" t="s">
        <v>7177</v>
      </c>
      <c r="AG2021" s="43">
        <v>59.665498894549799</v>
      </c>
      <c r="AH2021" s="43">
        <v>17.898767267766502</v>
      </c>
      <c r="AI2021" s="122" t="s">
        <v>7286</v>
      </c>
      <c r="AJ2021" s="41">
        <v>0.56999999999999995</v>
      </c>
    </row>
    <row r="2022" spans="1:36" ht="27" hidden="1" customHeight="1" x14ac:dyDescent="0.25">
      <c r="A2022" s="40">
        <v>2732</v>
      </c>
      <c r="B2022" s="40" t="s">
        <v>7181</v>
      </c>
      <c r="C2022" s="40" t="s">
        <v>542</v>
      </c>
      <c r="D2022" s="44">
        <v>2026</v>
      </c>
      <c r="E2022" s="44"/>
      <c r="F2022" s="90" t="s">
        <v>1331</v>
      </c>
      <c r="G2022" s="90" t="s">
        <v>1259</v>
      </c>
      <c r="H2022" s="90" t="s">
        <v>467</v>
      </c>
      <c r="I2022" s="40" t="s">
        <v>2022</v>
      </c>
      <c r="K2022" s="40" t="s">
        <v>1267</v>
      </c>
      <c r="Q2022" s="40">
        <v>1</v>
      </c>
      <c r="W2022" s="40">
        <v>1</v>
      </c>
      <c r="Z2022" s="40" t="s">
        <v>7182</v>
      </c>
      <c r="AA2022" s="47">
        <f>IF(H2ProjectDB689571011[[#This Row],[Dummy_1]]="Electrolysis",
AB2022*VLOOKUP(G2022,ElectrolysisConvF,3,FALSE),
"")</f>
        <v>41.510201758029531</v>
      </c>
      <c r="AB2022" s="92">
        <f t="shared" si="139"/>
        <v>9224.4892795621181</v>
      </c>
      <c r="AC2022" s="47">
        <f>(14*0.045/0.73/0.12)</f>
        <v>7.191780821917809</v>
      </c>
      <c r="AE2022" s="46">
        <f t="shared" si="137"/>
        <v>9224.4892795621181</v>
      </c>
      <c r="AF2022" s="43" t="s">
        <v>7184</v>
      </c>
      <c r="AG2022" s="43">
        <v>54.591741020702699</v>
      </c>
      <c r="AH2022" s="43">
        <v>-1.14965592272594</v>
      </c>
      <c r="AI2022" s="122" t="s">
        <v>7286</v>
      </c>
      <c r="AJ2022" s="41">
        <v>0.56999999999999995</v>
      </c>
    </row>
    <row r="2023" spans="1:36" ht="34.5" hidden="1" customHeight="1" x14ac:dyDescent="0.25">
      <c r="A2023" s="40">
        <v>2733</v>
      </c>
      <c r="B2023" s="40" t="s">
        <v>7185</v>
      </c>
      <c r="C2023" s="40" t="s">
        <v>542</v>
      </c>
      <c r="D2023" s="44">
        <v>2028</v>
      </c>
      <c r="E2023" s="44"/>
      <c r="F2023" s="90" t="s">
        <v>1331</v>
      </c>
      <c r="G2023" s="90" t="s">
        <v>1259</v>
      </c>
      <c r="H2023" s="90" t="s">
        <v>467</v>
      </c>
      <c r="I2023" s="40" t="s">
        <v>2022</v>
      </c>
      <c r="K2023" s="40" t="s">
        <v>1267</v>
      </c>
      <c r="Q2023" s="40">
        <v>1</v>
      </c>
      <c r="W2023" s="40">
        <v>1</v>
      </c>
      <c r="Z2023" s="40" t="s">
        <v>7186</v>
      </c>
      <c r="AA2023" s="47">
        <f>IF(H2ProjectDB689571011[[#This Row],[Dummy_1]]="Electrolysis",
AB2023*VLOOKUP(G2023,ElectrolysisConvF,3,FALSE),
"")</f>
        <v>237.20115290302581</v>
      </c>
      <c r="AB2023" s="92">
        <f t="shared" si="139"/>
        <v>52711.367311783521</v>
      </c>
      <c r="AC2023" s="47">
        <f>(80*0.045/0.73/0.12)</f>
        <v>41.095890410958901</v>
      </c>
      <c r="AE2023" s="46">
        <f t="shared" si="137"/>
        <v>52711.367311783521</v>
      </c>
      <c r="AF2023" s="43" t="s">
        <v>7187</v>
      </c>
      <c r="AG2023" s="43">
        <v>54.591741020702699</v>
      </c>
      <c r="AH2023" s="43">
        <v>-1.14965592272594</v>
      </c>
      <c r="AI2023" s="122" t="s">
        <v>7286</v>
      </c>
      <c r="AJ2023" s="41">
        <v>0.56999999999999995</v>
      </c>
    </row>
    <row r="2024" spans="1:36" ht="34.5" hidden="1" customHeight="1" x14ac:dyDescent="0.25">
      <c r="A2024" s="40">
        <v>2734</v>
      </c>
      <c r="B2024" s="40" t="s">
        <v>7189</v>
      </c>
      <c r="C2024" s="40" t="s">
        <v>542</v>
      </c>
      <c r="D2024" s="44">
        <v>2026</v>
      </c>
      <c r="E2024" s="44"/>
      <c r="F2024" s="90" t="s">
        <v>2222</v>
      </c>
      <c r="G2024" s="90" t="s">
        <v>1259</v>
      </c>
      <c r="H2024" s="90" t="s">
        <v>467</v>
      </c>
      <c r="I2024" s="40" t="s">
        <v>2022</v>
      </c>
      <c r="K2024" s="40" t="s">
        <v>1267</v>
      </c>
      <c r="W2024" s="40">
        <v>1</v>
      </c>
      <c r="Z2024" s="40" t="s">
        <v>7190</v>
      </c>
      <c r="AA2024" s="47">
        <f>IF(H2ProjectDB689571011[[#This Row],[Dummy_1]]="Electrolysis",
AB2024*VLOOKUP(G2024,ElectrolysisConvF,3,FALSE),
"")</f>
        <v>21.941106643529892</v>
      </c>
      <c r="AB2024" s="92">
        <f t="shared" si="139"/>
        <v>4875.801476339976</v>
      </c>
      <c r="AC2024" s="47">
        <f>(7.4*0.045/0.73/0.12)</f>
        <v>3.8013698630136989</v>
      </c>
      <c r="AE2024" s="46">
        <f t="shared" si="137"/>
        <v>4875.801476339976</v>
      </c>
      <c r="AF2024" s="43" t="s">
        <v>7192</v>
      </c>
      <c r="AG2024" s="43">
        <v>53.359565980681097</v>
      </c>
      <c r="AH2024" s="43">
        <v>-1.4873012046532099</v>
      </c>
      <c r="AI2024" s="122" t="s">
        <v>7286</v>
      </c>
      <c r="AJ2024" s="41">
        <v>0.56999999999999995</v>
      </c>
    </row>
    <row r="2025" spans="1:36" ht="35.1" hidden="1" customHeight="1" x14ac:dyDescent="0.25">
      <c r="A2025" s="40">
        <v>2735</v>
      </c>
      <c r="B2025" s="40" t="s">
        <v>7195</v>
      </c>
      <c r="C2025" s="40" t="s">
        <v>1065</v>
      </c>
      <c r="D2025" s="44">
        <v>2025</v>
      </c>
      <c r="E2025" s="44"/>
      <c r="F2025" s="90" t="s">
        <v>1540</v>
      </c>
      <c r="G2025" s="90" t="s">
        <v>1259</v>
      </c>
      <c r="H2025" s="90" t="s">
        <v>467</v>
      </c>
      <c r="I2025" s="40" t="s">
        <v>2022</v>
      </c>
      <c r="K2025" s="40" t="s">
        <v>1267</v>
      </c>
      <c r="P2025" s="40">
        <v>1</v>
      </c>
      <c r="W2025" s="40">
        <v>1</v>
      </c>
      <c r="Z2025" s="40" t="s">
        <v>7196</v>
      </c>
      <c r="AA2025" s="47">
        <f>IF(H2ProjectDB689571011[[#This Row],[Dummy_1]]="Electrolysis",
AB2025*VLOOKUP(G2025,ElectrolysisConvF,3,FALSE),
"")</f>
        <v>3.1210678013556032</v>
      </c>
      <c r="AB2025" s="46">
        <f t="shared" si="139"/>
        <v>693.57062252346748</v>
      </c>
      <c r="AC2025" s="47">
        <f>(0.6*0.045/0.73/0.12)/H2ProjectDB689571011[[#This Row],[LOWE_CF]]</f>
        <v>0.54073540014419619</v>
      </c>
      <c r="AE2025" s="46">
        <f t="shared" si="137"/>
        <v>693.57062252346748</v>
      </c>
      <c r="AF2025" s="43" t="s">
        <v>7194</v>
      </c>
      <c r="AG2025" s="43">
        <v>0</v>
      </c>
      <c r="AH2025" s="43">
        <v>0</v>
      </c>
      <c r="AI2025" s="122" t="s">
        <v>7286</v>
      </c>
      <c r="AJ2025" s="41">
        <v>0.56999999999999995</v>
      </c>
    </row>
    <row r="2026" spans="1:36" ht="35.1" hidden="1" customHeight="1" x14ac:dyDescent="0.25">
      <c r="A2026" s="40">
        <v>2736</v>
      </c>
      <c r="B2026" s="40" t="s">
        <v>7201</v>
      </c>
      <c r="C2026" s="40" t="s">
        <v>533</v>
      </c>
      <c r="D2026" s="44">
        <v>2030</v>
      </c>
      <c r="E2026" s="44"/>
      <c r="F2026" s="90" t="s">
        <v>2222</v>
      </c>
      <c r="G2026" s="90" t="s">
        <v>1259</v>
      </c>
      <c r="H2026" s="40" t="s">
        <v>467</v>
      </c>
      <c r="I2026" s="90" t="s">
        <v>1269</v>
      </c>
      <c r="J2026" s="40" t="s">
        <v>1392</v>
      </c>
      <c r="K2026" s="90" t="s">
        <v>578</v>
      </c>
      <c r="L2026" s="90"/>
      <c r="M2026" s="40">
        <v>1</v>
      </c>
      <c r="R2026" s="40">
        <v>1</v>
      </c>
      <c r="S2026" s="40">
        <v>1</v>
      </c>
      <c r="Z2026" s="40" t="s">
        <v>8831</v>
      </c>
      <c r="AA2026" s="91">
        <v>650</v>
      </c>
      <c r="AB2026" s="46">
        <f>IF(H2ProjectDB689571011[[#This Row],[Dummy_1]]="Electrolysis",
AA2026/VLOOKUP(G2026,ElectrolysisConvF,3,FALSE),
AC2026*10^6/(H2dens*HoursInYear))</f>
        <v>144444.44444444447</v>
      </c>
      <c r="AC2026" s="47">
        <f>AB2026*H2dens*HoursInYear/10^6</f>
        <v>112.61466666666666</v>
      </c>
      <c r="AE2026" s="46">
        <f>IF(AND(G2026&lt;&gt;"NG w CCUS",G2026&lt;&gt;"Oil w CCUS",G2026&lt;&gt;"Coal w CCUS"),AB693,AD2026*10^3/(HoursInYear*IF(G2026="NG w CCUS",0.9105,1.9075)))</f>
        <v>384792.98137601971</v>
      </c>
      <c r="AG2026" s="43">
        <v>48.522395884275099</v>
      </c>
      <c r="AH2026" s="43">
        <v>-58.434725275561902</v>
      </c>
      <c r="AI2026" s="122" t="s">
        <v>7286</v>
      </c>
      <c r="AJ2026" s="41">
        <v>0.4</v>
      </c>
    </row>
    <row r="2027" spans="1:36" ht="35.1" hidden="1" customHeight="1" x14ac:dyDescent="0.25">
      <c r="A2027" s="40">
        <v>2737</v>
      </c>
      <c r="B2027" s="40" t="s">
        <v>7211</v>
      </c>
      <c r="C2027" s="40" t="s">
        <v>534</v>
      </c>
      <c r="D2027" s="44">
        <v>2026</v>
      </c>
      <c r="E2027" s="44"/>
      <c r="F2027" s="90" t="s">
        <v>5701</v>
      </c>
      <c r="G2027" s="90" t="s">
        <v>1259</v>
      </c>
      <c r="H2027" s="40" t="s">
        <v>467</v>
      </c>
      <c r="I2027" s="90" t="s">
        <v>1269</v>
      </c>
      <c r="J2027" s="40" t="s">
        <v>1391</v>
      </c>
      <c r="K2027" s="40" t="s">
        <v>578</v>
      </c>
      <c r="Z2027" s="40" t="s">
        <v>1577</v>
      </c>
      <c r="AA2027" s="91">
        <v>60</v>
      </c>
      <c r="AB2027" s="46">
        <f>IF(H2ProjectDB689571011[[#This Row],[Dummy_1]]="Electrolysis",
AA2027/VLOOKUP(G2027,ElectrolysisConvF,3,FALSE),
AC2027*10^6/(H2dens*HoursInYear))</f>
        <v>13333.333333333334</v>
      </c>
      <c r="AC2027" s="47">
        <f>AB2027*H2dens*HoursInYear/10^6</f>
        <v>10.395200000000001</v>
      </c>
      <c r="AE2027" s="46">
        <f t="shared" ref="AE2027:AE2061" si="140">IF(AND(G2027&lt;&gt;"NG w CCUS",G2027&lt;&gt;"Oil w CCUS",G2027&lt;&gt;"Coal w CCUS"),AB2027,AD2027*10^3/(HoursInYear*IF(G2027="NG w CCUS",0.9105,1.9075)))</f>
        <v>13333.333333333334</v>
      </c>
      <c r="AF2027" s="43" t="s">
        <v>7213</v>
      </c>
      <c r="AG2027" s="43">
        <v>4.3900974167352196</v>
      </c>
      <c r="AH2027" s="43">
        <v>100.691448510058</v>
      </c>
      <c r="AI2027" s="122" t="s">
        <v>7286</v>
      </c>
      <c r="AJ2027" s="41">
        <v>0.3</v>
      </c>
    </row>
    <row r="2028" spans="1:36" ht="35.1" hidden="1" customHeight="1" x14ac:dyDescent="0.25">
      <c r="A2028" s="40">
        <v>2738</v>
      </c>
      <c r="B2028" s="40" t="s">
        <v>7216</v>
      </c>
      <c r="C2028" s="40" t="s">
        <v>866</v>
      </c>
      <c r="D2028" s="44">
        <v>2028</v>
      </c>
      <c r="E2028" s="44"/>
      <c r="F2028" s="90" t="s">
        <v>2222</v>
      </c>
      <c r="G2028" s="90" t="s">
        <v>1259</v>
      </c>
      <c r="H2028" s="40" t="s">
        <v>467</v>
      </c>
      <c r="I2028" s="90" t="s">
        <v>1269</v>
      </c>
      <c r="J2028" s="40" t="s">
        <v>1391</v>
      </c>
      <c r="K2028" s="40" t="s">
        <v>578</v>
      </c>
      <c r="R2028" s="40">
        <v>1</v>
      </c>
      <c r="Z2028" s="40" t="s">
        <v>6916</v>
      </c>
      <c r="AA2028" s="47">
        <f>IF(H2ProjectDB689571011[[#This Row],[Dummy_1]]="Electrolysis",
AB2028*VLOOKUP(G2028,ElectrolysisConvF,3,FALSE),
"")</f>
        <v>346.31368323841775</v>
      </c>
      <c r="AB2028" s="46">
        <f>AC2028/(H2dens*HoursInYear/10^6)</f>
        <v>76958.596275203949</v>
      </c>
      <c r="AC2028" s="92">
        <f>18/H2ProjectDB689571011[[#This Row],[LOWE_CF]]</f>
        <v>60</v>
      </c>
      <c r="AE2028" s="46">
        <f t="shared" si="140"/>
        <v>76958.596275203949</v>
      </c>
      <c r="AF2028" s="43" t="s">
        <v>7217</v>
      </c>
      <c r="AG2028" s="43">
        <v>-26.537071877543401</v>
      </c>
      <c r="AH2028" s="43">
        <v>29.6171828672496</v>
      </c>
      <c r="AI2028" s="122" t="s">
        <v>7286</v>
      </c>
      <c r="AJ2028" s="41">
        <v>0.3</v>
      </c>
    </row>
    <row r="2029" spans="1:36" ht="35.1" hidden="1" customHeight="1" x14ac:dyDescent="0.25">
      <c r="A2029" s="40">
        <v>2740</v>
      </c>
      <c r="B2029" s="40" t="s">
        <v>7219</v>
      </c>
      <c r="C2029" s="40" t="s">
        <v>544</v>
      </c>
      <c r="D2029" s="44"/>
      <c r="E2029" s="44"/>
      <c r="F2029" s="90" t="s">
        <v>2222</v>
      </c>
      <c r="G2029" s="90" t="s">
        <v>1259</v>
      </c>
      <c r="H2029" s="40" t="s">
        <v>467</v>
      </c>
      <c r="I2029" s="90" t="s">
        <v>1269</v>
      </c>
      <c r="J2029" s="40" t="s">
        <v>1391</v>
      </c>
      <c r="K2029" s="40" t="s">
        <v>578</v>
      </c>
      <c r="R2029" s="40">
        <v>1</v>
      </c>
      <c r="Z2029" s="40" t="s">
        <v>7220</v>
      </c>
      <c r="AA2029" s="47">
        <f>IF(H2ProjectDB689571011[[#This Row],[Dummy_1]]="Electrolysis",
AB2029*VLOOKUP(G2029,ElectrolysisConvF,3,FALSE),
"")</f>
        <v>30.783438510081581</v>
      </c>
      <c r="AB2029" s="46">
        <f>AC2029/(H2dens*HoursInYear/10^6)</f>
        <v>6840.7641133514626</v>
      </c>
      <c r="AC2029" s="92">
        <f>1.6/H2ProjectDB689571011[[#This Row],[LOWE_CF]]</f>
        <v>5.3333333333333339</v>
      </c>
      <c r="AE2029" s="46">
        <f t="shared" si="140"/>
        <v>6840.7641133514626</v>
      </c>
      <c r="AF2029" s="43" t="s">
        <v>7217</v>
      </c>
      <c r="AG2029" s="43">
        <v>7.3134076269842199</v>
      </c>
      <c r="AH2029" s="43">
        <v>122.819841016067</v>
      </c>
      <c r="AI2029" s="122" t="s">
        <v>7286</v>
      </c>
      <c r="AJ2029" s="41">
        <v>0.3</v>
      </c>
    </row>
    <row r="2030" spans="1:36" ht="35.1" hidden="1" customHeight="1" x14ac:dyDescent="0.25">
      <c r="A2030" s="40">
        <v>2741</v>
      </c>
      <c r="B2030" s="40" t="s">
        <v>7221</v>
      </c>
      <c r="C2030" s="40" t="s">
        <v>1825</v>
      </c>
      <c r="D2030" s="44"/>
      <c r="E2030" s="44"/>
      <c r="F2030" s="90" t="s">
        <v>2222</v>
      </c>
      <c r="G2030" s="90" t="s">
        <v>1259</v>
      </c>
      <c r="H2030" s="40" t="s">
        <v>467</v>
      </c>
      <c r="I2030" s="90" t="s">
        <v>1269</v>
      </c>
      <c r="J2030" s="40" t="s">
        <v>1391</v>
      </c>
      <c r="K2030" s="40" t="s">
        <v>578</v>
      </c>
      <c r="R2030" s="40">
        <v>1</v>
      </c>
      <c r="Z2030" s="40" t="s">
        <v>7222</v>
      </c>
      <c r="AA2030" s="47">
        <f>IF(H2ProjectDB689571011[[#This Row],[Dummy_1]]="Electrolysis",
AB2030*VLOOKUP(G2030,ElectrolysisConvF,3,FALSE),
"")</f>
        <v>7.6958596275203952</v>
      </c>
      <c r="AB2030" s="46">
        <f>AC2030/(H2dens*HoursInYear/10^6)</f>
        <v>1710.1910283378656</v>
      </c>
      <c r="AC2030" s="92">
        <f>0.4/H2ProjectDB689571011[[#This Row],[LOWE_CF]]</f>
        <v>1.3333333333333335</v>
      </c>
      <c r="AE2030" s="46">
        <f t="shared" si="140"/>
        <v>1710.1910283378656</v>
      </c>
      <c r="AF2030" s="43" t="s">
        <v>7217</v>
      </c>
      <c r="AG2030" s="43">
        <v>-18.115453084924599</v>
      </c>
      <c r="AH2030" s="43">
        <v>178.44708444508601</v>
      </c>
      <c r="AI2030" s="122" t="s">
        <v>7286</v>
      </c>
      <c r="AJ2030" s="41">
        <v>0.3</v>
      </c>
    </row>
    <row r="2031" spans="1:36" ht="35.1" hidden="1" customHeight="1" x14ac:dyDescent="0.25">
      <c r="A2031" s="40">
        <v>2742</v>
      </c>
      <c r="B2031" s="40" t="s">
        <v>7226</v>
      </c>
      <c r="C2031" s="40" t="s">
        <v>542</v>
      </c>
      <c r="D2031" s="44">
        <v>2030</v>
      </c>
      <c r="E2031" s="44"/>
      <c r="F2031" s="90" t="s">
        <v>2222</v>
      </c>
      <c r="G2031" s="90" t="s">
        <v>1259</v>
      </c>
      <c r="H2031" s="40" t="s">
        <v>467</v>
      </c>
      <c r="I2031" s="40" t="s">
        <v>1266</v>
      </c>
      <c r="K2031" s="40" t="s">
        <v>578</v>
      </c>
      <c r="Z2031" s="40" t="s">
        <v>7223</v>
      </c>
      <c r="AA2031" s="47">
        <v>360</v>
      </c>
      <c r="AB2031" s="46">
        <f>IF(H2ProjectDB689571011[[#This Row],[Dummy_1]]="Electrolysis",
AA2031/VLOOKUP(G2031,ElectrolysisConvF,3,FALSE),
AC2031*10^6/(H2dens*HoursInYear))</f>
        <v>80000</v>
      </c>
      <c r="AC2031" s="47">
        <f>AB2031*H2dens*HoursInYear/10^6</f>
        <v>62.371200000000002</v>
      </c>
      <c r="AE2031" s="46">
        <f t="shared" si="140"/>
        <v>80000</v>
      </c>
      <c r="AF2031" s="43" t="s">
        <v>7225</v>
      </c>
      <c r="AG2031" s="43">
        <v>56.539016333594802</v>
      </c>
      <c r="AH2031" s="43">
        <v>-2.6436362896537702</v>
      </c>
      <c r="AI2031" s="122" t="s">
        <v>7286</v>
      </c>
      <c r="AJ2031" s="41">
        <v>0.56999999999999995</v>
      </c>
    </row>
    <row r="2032" spans="1:36" ht="35.1" hidden="1" customHeight="1" x14ac:dyDescent="0.25">
      <c r="A2032" s="40">
        <v>2743</v>
      </c>
      <c r="B2032" s="40" t="s">
        <v>7227</v>
      </c>
      <c r="C2032" s="40" t="s">
        <v>1086</v>
      </c>
      <c r="D2032" s="44">
        <v>2029</v>
      </c>
      <c r="E2032" s="44"/>
      <c r="F2032" s="90" t="s">
        <v>1331</v>
      </c>
      <c r="G2032" s="90" t="s">
        <v>1259</v>
      </c>
      <c r="H2032" s="40" t="s">
        <v>467</v>
      </c>
      <c r="I2032" s="40" t="s">
        <v>1266</v>
      </c>
      <c r="K2032" s="40" t="s">
        <v>578</v>
      </c>
      <c r="M2032" s="40">
        <v>1</v>
      </c>
      <c r="Z2032" s="40" t="s">
        <v>7228</v>
      </c>
      <c r="AA2032" s="47">
        <f>IF(H2ProjectDB689571011[[#This Row],[Dummy_1]]="Electrolysis",
AB2032*VLOOKUP(G2032,ElectrolysisConvF,3,FALSE),
"")</f>
        <v>115.43789441280593</v>
      </c>
      <c r="AB2032" s="46">
        <f>AC2032/(H2dens*HoursInYear/10^6)</f>
        <v>25652.865425067987</v>
      </c>
      <c r="AC2032" s="92">
        <f>11.4/H2ProjectDB689571011[[#This Row],[LOWE_CF]]</f>
        <v>20.000000000000004</v>
      </c>
      <c r="AE2032" s="46">
        <f t="shared" si="140"/>
        <v>25652.865425067987</v>
      </c>
      <c r="AF2032" s="43" t="s">
        <v>7229</v>
      </c>
      <c r="AG2032" s="43">
        <v>2.2414555089563302</v>
      </c>
      <c r="AH2032" s="43">
        <v>32.270496594245003</v>
      </c>
      <c r="AI2032" s="122" t="s">
        <v>7286</v>
      </c>
      <c r="AJ2032" s="41">
        <v>0.56999999999999995</v>
      </c>
    </row>
    <row r="2033" spans="1:36" ht="35.1" hidden="1" customHeight="1" x14ac:dyDescent="0.25">
      <c r="A2033" s="40">
        <v>2744</v>
      </c>
      <c r="B2033" s="40" t="s">
        <v>7233</v>
      </c>
      <c r="C2033" s="40" t="s">
        <v>536</v>
      </c>
      <c r="D2033" s="44">
        <v>2028</v>
      </c>
      <c r="E2033" s="44"/>
      <c r="F2033" s="90" t="s">
        <v>1331</v>
      </c>
      <c r="G2033" s="90" t="s">
        <v>1259</v>
      </c>
      <c r="H2033" s="40" t="s">
        <v>467</v>
      </c>
      <c r="I2033" s="40" t="s">
        <v>1269</v>
      </c>
      <c r="J2033" s="40" t="s">
        <v>1395</v>
      </c>
      <c r="K2033" s="40" t="s">
        <v>1242</v>
      </c>
      <c r="N2033" s="40">
        <v>1</v>
      </c>
      <c r="P2033" s="40">
        <v>1</v>
      </c>
      <c r="Q2033" s="40">
        <v>1</v>
      </c>
      <c r="Z2033" s="40" t="s">
        <v>5000</v>
      </c>
      <c r="AA2033" s="47">
        <f>IF(H2ProjectDB689571011[[#This Row],[Dummy_1]]="Electrolysis",
AB2033*VLOOKUP(G2033,ElectrolysisConvF,3,FALSE),
"")</f>
        <v>220.86386024318918</v>
      </c>
      <c r="AB2033" s="46">
        <f>AC2033/(H2dens*HoursInYear/10^6)</f>
        <v>49080.85783181982</v>
      </c>
      <c r="AC2033" s="92">
        <f>(100*0.191327)/H2ProjectDB689571011[[#This Row],[LOWE_CF]]</f>
        <v>38.2654</v>
      </c>
      <c r="AE2033" s="46">
        <f t="shared" si="140"/>
        <v>49080.85783181982</v>
      </c>
      <c r="AF2033" s="43" t="s">
        <v>7232</v>
      </c>
      <c r="AG2033" s="43">
        <v>28.696844765067301</v>
      </c>
      <c r="AH2033" s="43">
        <v>-96.962520014460097</v>
      </c>
      <c r="AI2033" s="122" t="s">
        <v>7286</v>
      </c>
      <c r="AJ2033" s="41">
        <v>0.5</v>
      </c>
    </row>
    <row r="2034" spans="1:36" ht="35.1" hidden="1" customHeight="1" x14ac:dyDescent="0.25">
      <c r="A2034" s="40">
        <v>2745</v>
      </c>
      <c r="B2034" s="40" t="s">
        <v>7235</v>
      </c>
      <c r="C2034" s="40" t="s">
        <v>532</v>
      </c>
      <c r="D2034" s="44">
        <v>2028</v>
      </c>
      <c r="E2034" s="44"/>
      <c r="F2034" s="90" t="s">
        <v>1331</v>
      </c>
      <c r="G2034" s="90" t="s">
        <v>1259</v>
      </c>
      <c r="H2034" s="40" t="s">
        <v>467</v>
      </c>
      <c r="I2034" s="40" t="s">
        <v>1257</v>
      </c>
      <c r="K2034" s="40" t="s">
        <v>1267</v>
      </c>
      <c r="N2034" s="40">
        <v>1</v>
      </c>
      <c r="Q2034" s="40">
        <v>1</v>
      </c>
      <c r="Y2034" s="40">
        <v>1</v>
      </c>
      <c r="Z2034" s="40" t="s">
        <v>7234</v>
      </c>
      <c r="AA2034" s="45">
        <v>100</v>
      </c>
      <c r="AB2034" s="46">
        <f>IF(H2ProjectDB689571011[[#This Row],[Dummy_1]]="Electrolysis",
AA2034/VLOOKUP(G2034,ElectrolysisConvF,3,FALSE),
AC2034*10^6/(H2dens*HoursInYear))</f>
        <v>22222.222222222223</v>
      </c>
      <c r="AC2034" s="47">
        <f t="shared" ref="AC2034:AC2039" si="141">AB2034*H2dens*HoursInYear/10^6</f>
        <v>17.325333333333333</v>
      </c>
      <c r="AE2034" s="46">
        <f t="shared" si="140"/>
        <v>22222.222222222223</v>
      </c>
      <c r="AF2034" s="43" t="s">
        <v>7237</v>
      </c>
      <c r="AG2034" s="43">
        <v>65.024158795362496</v>
      </c>
      <c r="AH2034" s="43">
        <v>25.5070357803036</v>
      </c>
      <c r="AI2034" s="122" t="s">
        <v>7286</v>
      </c>
      <c r="AJ2034" s="41">
        <v>0.56999999999999995</v>
      </c>
    </row>
    <row r="2035" spans="1:36" ht="35.1" hidden="1" customHeight="1" x14ac:dyDescent="0.25">
      <c r="A2035" s="40">
        <v>2746</v>
      </c>
      <c r="B2035" s="40" t="s">
        <v>7242</v>
      </c>
      <c r="C2035" s="40" t="s">
        <v>542</v>
      </c>
      <c r="D2035" s="44">
        <v>2027</v>
      </c>
      <c r="E2035" s="44"/>
      <c r="F2035" s="90" t="s">
        <v>1331</v>
      </c>
      <c r="G2035" s="90" t="s">
        <v>1259</v>
      </c>
      <c r="H2035" s="90" t="s">
        <v>467</v>
      </c>
      <c r="I2035" s="40" t="s">
        <v>1266</v>
      </c>
      <c r="K2035" s="40" t="s">
        <v>578</v>
      </c>
      <c r="P2035" s="40">
        <v>1</v>
      </c>
      <c r="Q2035" s="40">
        <v>1</v>
      </c>
      <c r="Z2035" s="40" t="s">
        <v>7243</v>
      </c>
      <c r="AA2035" s="45">
        <v>10</v>
      </c>
      <c r="AB2035" s="46">
        <f>IF(H2ProjectDB689571011[[#This Row],[Dummy_1]]="Electrolysis",
AA2035/VLOOKUP(G2035,ElectrolysisConvF,3,FALSE),
AC2035*10^6/(H2dens*HoursInYear))</f>
        <v>2222.2222222222222</v>
      </c>
      <c r="AC2035" s="47">
        <f t="shared" si="141"/>
        <v>1.7325333333333333</v>
      </c>
      <c r="AE2035" s="46">
        <f t="shared" si="140"/>
        <v>2222.2222222222222</v>
      </c>
      <c r="AF2035" s="43" t="s">
        <v>7245</v>
      </c>
      <c r="AG2035" s="43">
        <v>56.115883499682397</v>
      </c>
      <c r="AH2035" s="43">
        <v>-3.9255683027687098</v>
      </c>
      <c r="AI2035" s="122" t="s">
        <v>7286</v>
      </c>
      <c r="AJ2035" s="41">
        <v>0.56999999999999995</v>
      </c>
    </row>
    <row r="2036" spans="1:36" ht="35.1" hidden="1" customHeight="1" x14ac:dyDescent="0.25">
      <c r="A2036" s="40">
        <v>2747</v>
      </c>
      <c r="B2036" s="40" t="s">
        <v>7246</v>
      </c>
      <c r="C2036" s="40" t="s">
        <v>542</v>
      </c>
      <c r="D2036" s="44">
        <v>2026</v>
      </c>
      <c r="E2036" s="44"/>
      <c r="F2036" s="90" t="s">
        <v>1331</v>
      </c>
      <c r="G2036" s="90" t="s">
        <v>1259</v>
      </c>
      <c r="H2036" s="90" t="s">
        <v>467</v>
      </c>
      <c r="I2036" s="40" t="s">
        <v>1266</v>
      </c>
      <c r="K2036" s="40" t="s">
        <v>578</v>
      </c>
      <c r="P2036" s="40">
        <v>1</v>
      </c>
      <c r="Z2036" s="40" t="s">
        <v>1344</v>
      </c>
      <c r="AA2036" s="45">
        <v>20</v>
      </c>
      <c r="AB2036" s="46">
        <f>IF(H2ProjectDB689571011[[#This Row],[Dummy_1]]="Electrolysis",
AA2036/VLOOKUP(G2036,ElectrolysisConvF,3,FALSE),
AC2036*10^6/(H2dens*HoursInYear))</f>
        <v>4444.4444444444443</v>
      </c>
      <c r="AC2036" s="47">
        <f t="shared" si="141"/>
        <v>3.4650666666666665</v>
      </c>
      <c r="AE2036" s="46">
        <f t="shared" si="140"/>
        <v>4444.4444444444443</v>
      </c>
      <c r="AF2036" s="43" t="s">
        <v>7247</v>
      </c>
      <c r="AG2036" s="43">
        <v>53.5187366523907</v>
      </c>
      <c r="AH2036" s="43">
        <v>-2.6599101043215398</v>
      </c>
      <c r="AI2036" s="122" t="s">
        <v>7286</v>
      </c>
      <c r="AJ2036" s="41">
        <v>0.56999999999999995</v>
      </c>
    </row>
    <row r="2037" spans="1:36" ht="35.1" hidden="1" customHeight="1" x14ac:dyDescent="0.25">
      <c r="A2037" s="40">
        <v>2748</v>
      </c>
      <c r="B2037" s="40" t="s">
        <v>7249</v>
      </c>
      <c r="C2037" s="40" t="s">
        <v>1305</v>
      </c>
      <c r="D2037" s="44"/>
      <c r="E2037" s="44"/>
      <c r="F2037" s="90" t="s">
        <v>1331</v>
      </c>
      <c r="G2037" s="90" t="s">
        <v>1259</v>
      </c>
      <c r="H2037" s="90" t="s">
        <v>467</v>
      </c>
      <c r="I2037" s="40" t="s">
        <v>1269</v>
      </c>
      <c r="J2037" s="40" t="s">
        <v>1395</v>
      </c>
      <c r="K2037" s="40" t="s">
        <v>578</v>
      </c>
      <c r="P2037" s="40">
        <v>1</v>
      </c>
      <c r="Q2037" s="40">
        <v>1</v>
      </c>
      <c r="Z2037" s="40" t="s">
        <v>3853</v>
      </c>
      <c r="AA2037" s="45">
        <v>50</v>
      </c>
      <c r="AB2037" s="46">
        <f>IF(H2ProjectDB689571011[[#This Row],[Dummy_1]]="Electrolysis",
AA2037/VLOOKUP(G2037,ElectrolysisConvF,3,FALSE),
AC2037*10^6/(H2dens*HoursInYear))</f>
        <v>11111.111111111111</v>
      </c>
      <c r="AC2037" s="47">
        <f t="shared" si="141"/>
        <v>8.6626666666666665</v>
      </c>
      <c r="AE2037" s="46">
        <f t="shared" si="140"/>
        <v>11111.111111111111</v>
      </c>
      <c r="AF2037" s="43" t="s">
        <v>7251</v>
      </c>
      <c r="AG2037" s="43">
        <v>53.3761067777126</v>
      </c>
      <c r="AH2037" s="43">
        <v>7.1876956642279204</v>
      </c>
      <c r="AI2037" s="122" t="s">
        <v>7286</v>
      </c>
      <c r="AJ2037" s="41">
        <v>0.5</v>
      </c>
    </row>
    <row r="2038" spans="1:36" ht="35.1" hidden="1" customHeight="1" x14ac:dyDescent="0.25">
      <c r="A2038" s="40">
        <v>2749</v>
      </c>
      <c r="B2038" s="40" t="s">
        <v>7258</v>
      </c>
      <c r="C2038" s="40" t="s">
        <v>1305</v>
      </c>
      <c r="D2038" s="44">
        <v>2025</v>
      </c>
      <c r="E2038" s="44"/>
      <c r="F2038" s="90" t="s">
        <v>5701</v>
      </c>
      <c r="G2038" s="90" t="s">
        <v>1259</v>
      </c>
      <c r="H2038" s="90" t="s">
        <v>467</v>
      </c>
      <c r="I2038" s="40" t="s">
        <v>2022</v>
      </c>
      <c r="K2038" s="40" t="s">
        <v>578</v>
      </c>
      <c r="Q2038" s="40">
        <v>1</v>
      </c>
      <c r="Z2038" s="40" t="s">
        <v>6971</v>
      </c>
      <c r="AA2038" s="45">
        <v>2</v>
      </c>
      <c r="AB2038" s="46">
        <f>IF(H2ProjectDB689571011[[#This Row],[Dummy_1]]="Electrolysis",
AA2038/VLOOKUP(G2038,ElectrolysisConvF,3,FALSE),
AC2038*10^6/(H2dens*HoursInYear))</f>
        <v>444.44444444444446</v>
      </c>
      <c r="AC2038" s="47">
        <f t="shared" si="141"/>
        <v>0.34650666666666669</v>
      </c>
      <c r="AE2038" s="46">
        <f t="shared" si="140"/>
        <v>444.44444444444446</v>
      </c>
      <c r="AF2038" s="43" t="s">
        <v>7253</v>
      </c>
      <c r="AG2038" s="43">
        <v>48.841003744128898</v>
      </c>
      <c r="AH2038" s="43">
        <v>9.3092910773408999</v>
      </c>
      <c r="AI2038" s="122" t="s">
        <v>7286</v>
      </c>
      <c r="AJ2038" s="41">
        <v>0.56999999999999995</v>
      </c>
    </row>
    <row r="2039" spans="1:36" ht="35.1" hidden="1" customHeight="1" x14ac:dyDescent="0.25">
      <c r="A2039" s="40">
        <v>2750</v>
      </c>
      <c r="B2039" s="40" t="s">
        <v>7254</v>
      </c>
      <c r="C2039" s="40" t="s">
        <v>1305</v>
      </c>
      <c r="D2039" s="44">
        <v>2024</v>
      </c>
      <c r="E2039" s="44"/>
      <c r="F2039" s="40" t="s">
        <v>5701</v>
      </c>
      <c r="G2039" s="40" t="s">
        <v>455</v>
      </c>
      <c r="I2039" s="40" t="s">
        <v>1269</v>
      </c>
      <c r="J2039" s="40" t="s">
        <v>1392</v>
      </c>
      <c r="K2039" s="40" t="s">
        <v>578</v>
      </c>
      <c r="Q2039" s="40">
        <v>1</v>
      </c>
      <c r="Z2039" s="40" t="s">
        <v>6971</v>
      </c>
      <c r="AA2039" s="45">
        <v>2</v>
      </c>
      <c r="AB2039" s="46">
        <f>IF(H2ProjectDB689571011[[#This Row],[Dummy_1]]="Electrolysis",
AA2039/VLOOKUP(G2039,ElectrolysisConvF,3,FALSE),
AC2039*10^6/(H2dens*HoursInYear))</f>
        <v>384.61538461538464</v>
      </c>
      <c r="AC2039" s="47">
        <f t="shared" si="141"/>
        <v>0.29986153846153851</v>
      </c>
      <c r="AE2039" s="46">
        <f t="shared" si="140"/>
        <v>384.61538461538464</v>
      </c>
      <c r="AF2039" s="43" t="s">
        <v>7256</v>
      </c>
      <c r="AG2039" s="43">
        <v>53.571939004981701</v>
      </c>
      <c r="AH2039" s="43">
        <v>8.5739148318514093</v>
      </c>
      <c r="AI2039" s="122" t="s">
        <v>7286</v>
      </c>
      <c r="AJ2039" s="41">
        <v>0.4</v>
      </c>
    </row>
    <row r="2040" spans="1:36" ht="35.1" hidden="1" customHeight="1" x14ac:dyDescent="0.25">
      <c r="A2040" s="40">
        <v>2751</v>
      </c>
      <c r="B2040" s="40" t="s">
        <v>7257</v>
      </c>
      <c r="C2040" s="40" t="s">
        <v>1305</v>
      </c>
      <c r="D2040" s="44">
        <v>2024</v>
      </c>
      <c r="E2040" s="44"/>
      <c r="F2040" s="90" t="s">
        <v>5701</v>
      </c>
      <c r="G2040" s="90" t="s">
        <v>455</v>
      </c>
      <c r="H2040" s="90"/>
      <c r="I2040" s="40" t="s">
        <v>2022</v>
      </c>
      <c r="K2040" s="40" t="s">
        <v>578</v>
      </c>
      <c r="Q2040" s="40">
        <v>1</v>
      </c>
      <c r="Z2040" s="40" t="s">
        <v>7259</v>
      </c>
      <c r="AA2040" s="47">
        <f>IF(H2ProjectDB689571011[[#This Row],[Dummy_1]]="Electrolysis",
AB2040*VLOOKUP(G2040,ElectrolysisConvF,3,FALSE),
"")</f>
        <v>8.1909149251971449</v>
      </c>
      <c r="AB2040" s="46">
        <f>AC2040/(H2dens*HoursInYear/10^6)</f>
        <v>1575.1759471532971</v>
      </c>
      <c r="AC2040" s="92">
        <f>0.7/H2ProjectDB689571011[[#This Row],[LOWE_CF]]</f>
        <v>1.2280701754385965</v>
      </c>
      <c r="AE2040" s="46">
        <f t="shared" si="140"/>
        <v>1575.1759471532971</v>
      </c>
      <c r="AF2040" s="43" t="s">
        <v>7261</v>
      </c>
      <c r="AG2040" s="43">
        <v>49.507814378249499</v>
      </c>
      <c r="AH2040" s="43">
        <v>8.4776966513146395</v>
      </c>
      <c r="AI2040" s="122" t="s">
        <v>7286</v>
      </c>
      <c r="AJ2040" s="41">
        <v>0.56999999999999995</v>
      </c>
    </row>
    <row r="2041" spans="1:36" ht="35.1" hidden="1" customHeight="1" x14ac:dyDescent="0.25">
      <c r="A2041" s="40">
        <v>2752</v>
      </c>
      <c r="B2041" s="40" t="s">
        <v>7264</v>
      </c>
      <c r="C2041" s="40" t="s">
        <v>535</v>
      </c>
      <c r="D2041" s="44">
        <v>2030</v>
      </c>
      <c r="E2041" s="44"/>
      <c r="F2041" s="40" t="s">
        <v>2222</v>
      </c>
      <c r="G2041" s="40" t="s">
        <v>1259</v>
      </c>
      <c r="H2041" s="40" t="s">
        <v>467</v>
      </c>
      <c r="I2041" s="90" t="s">
        <v>1257</v>
      </c>
      <c r="J2041" s="40" t="s">
        <v>581</v>
      </c>
      <c r="K2041" s="40" t="s">
        <v>612</v>
      </c>
      <c r="Z2041" s="40" t="s">
        <v>4764</v>
      </c>
      <c r="AA2041" s="47">
        <f>IF(H2ProjectDB689571011[[#This Row],[Dummy_1]]="Electrolysis",
AB2041*VLOOKUP(G2041,ElectrolysisConvF,3,FALSE),
"")</f>
        <v>751.36817440042307</v>
      </c>
      <c r="AB2041" s="46">
        <f>AC2041/(H2dens*HoursInYear/10^6)</f>
        <v>166970.70542231624</v>
      </c>
      <c r="AC2041" s="46">
        <f>(130*50/120/0.73)/H2ProjectDB689571011[[#This Row],[LOWE_CF]]</f>
        <v>130.17704077545463</v>
      </c>
      <c r="AE2041" s="46">
        <f t="shared" si="140"/>
        <v>166970.70542231624</v>
      </c>
      <c r="AF2041" s="43" t="s">
        <v>8774</v>
      </c>
      <c r="AG2041" s="43">
        <v>-26.615207347080499</v>
      </c>
      <c r="AH2041" s="43">
        <v>143.12760630579999</v>
      </c>
      <c r="AI2041" s="122" t="s">
        <v>7286</v>
      </c>
      <c r="AJ2041" s="41">
        <v>0.56999999999999995</v>
      </c>
    </row>
    <row r="2042" spans="1:36" ht="35.1" hidden="1" customHeight="1" x14ac:dyDescent="0.25">
      <c r="A2042" s="40">
        <v>2753</v>
      </c>
      <c r="B2042" s="40" t="s">
        <v>7269</v>
      </c>
      <c r="C2042" s="40" t="s">
        <v>536</v>
      </c>
      <c r="D2042" s="44">
        <v>2026</v>
      </c>
      <c r="E2042" s="44"/>
      <c r="F2042" s="40" t="s">
        <v>1331</v>
      </c>
      <c r="G2042" s="40" t="s">
        <v>1263</v>
      </c>
      <c r="H2042" s="40" t="s">
        <v>990</v>
      </c>
      <c r="I2042" s="40" t="s">
        <v>2022</v>
      </c>
      <c r="K2042" s="40" t="s">
        <v>1267</v>
      </c>
      <c r="W2042" s="40">
        <v>1</v>
      </c>
      <c r="Z2042" s="40" t="s">
        <v>7270</v>
      </c>
      <c r="AA2042" s="91"/>
      <c r="AB2042" s="92">
        <f>AC2042/(H2dens*HoursInYear/10^6)</f>
        <v>58641.39613435918</v>
      </c>
      <c r="AC2042" s="47">
        <f>(89*0.045/0.73/0.12)</f>
        <v>45.719178082191789</v>
      </c>
      <c r="AE2042" s="46">
        <f t="shared" si="140"/>
        <v>58641.39613435918</v>
      </c>
      <c r="AF2042" s="43" t="s">
        <v>7272</v>
      </c>
      <c r="AG2042" s="43">
        <v>41.615462457169201</v>
      </c>
      <c r="AH2042" s="43">
        <v>-87.229337533463607</v>
      </c>
      <c r="AI2042" s="122" t="s">
        <v>1255</v>
      </c>
      <c r="AJ2042" s="41">
        <v>0.9</v>
      </c>
    </row>
    <row r="2043" spans="1:36" ht="35.1" hidden="1" customHeight="1" x14ac:dyDescent="0.25">
      <c r="A2043" s="40">
        <v>2754</v>
      </c>
      <c r="B2043" s="40" t="s">
        <v>7273</v>
      </c>
      <c r="C2043" s="40" t="s">
        <v>536</v>
      </c>
      <c r="D2043" s="44">
        <v>2026</v>
      </c>
      <c r="E2043" s="44"/>
      <c r="F2043" s="40" t="s">
        <v>1331</v>
      </c>
      <c r="G2043" s="40" t="s">
        <v>1264</v>
      </c>
      <c r="H2043" s="40" t="s">
        <v>990</v>
      </c>
      <c r="I2043" s="40" t="s">
        <v>2022</v>
      </c>
      <c r="K2043" s="40" t="s">
        <v>1267</v>
      </c>
      <c r="Q2043" s="40">
        <v>1</v>
      </c>
      <c r="W2043" s="40">
        <v>1</v>
      </c>
      <c r="Z2043" s="40" t="s">
        <v>7276</v>
      </c>
      <c r="AA2043" s="95"/>
      <c r="AB2043" s="46">
        <f>AC2043/(H2dens*HoursInYear/10^6)</f>
        <v>50065.174311220566</v>
      </c>
      <c r="AC2043" s="92">
        <f>25000000*3.785*0.803*45/0.73/120/1000000</f>
        <v>39.032812499999999</v>
      </c>
      <c r="AE2043" s="46">
        <f t="shared" si="140"/>
        <v>50065.174311220566</v>
      </c>
      <c r="AF2043" s="43" t="s">
        <v>7275</v>
      </c>
      <c r="AG2043" s="43">
        <v>31.5402592175429</v>
      </c>
      <c r="AH2043" s="43">
        <v>-91.434644900353604</v>
      </c>
      <c r="AI2043" s="122" t="s">
        <v>1255</v>
      </c>
      <c r="AJ2043" s="41">
        <v>0.9</v>
      </c>
    </row>
    <row r="2044" spans="1:36" ht="35.1" hidden="1" customHeight="1" x14ac:dyDescent="0.25">
      <c r="A2044" s="40">
        <v>2755</v>
      </c>
      <c r="B2044" s="40" t="s">
        <v>7277</v>
      </c>
      <c r="C2044" s="40" t="s">
        <v>536</v>
      </c>
      <c r="D2044" s="44">
        <v>2026</v>
      </c>
      <c r="E2044" s="44"/>
      <c r="F2044" s="40" t="s">
        <v>1331</v>
      </c>
      <c r="G2044" s="40" t="s">
        <v>1259</v>
      </c>
      <c r="H2044" s="40" t="s">
        <v>467</v>
      </c>
      <c r="I2044" s="40" t="s">
        <v>1269</v>
      </c>
      <c r="J2044" s="40" t="s">
        <v>1395</v>
      </c>
      <c r="K2044" s="40" t="s">
        <v>1267</v>
      </c>
      <c r="Q2044" s="40">
        <v>1</v>
      </c>
      <c r="W2044" s="40">
        <v>1</v>
      </c>
      <c r="Z2044" s="40" t="s">
        <v>7280</v>
      </c>
      <c r="AA2044" s="47">
        <f>IF(H2ProjectDB689571011[[#This Row],[Dummy_1]]="Electrolysis",
AB2044*VLOOKUP(G2044,ElectrolysisConvF,3,FALSE),
"")</f>
        <v>585.76253944128064</v>
      </c>
      <c r="AB2044" s="46">
        <f>AC2044/(H2dens*HoursInYear/10^6)</f>
        <v>130169.45320917349</v>
      </c>
      <c r="AC2044" s="92">
        <f>65000000*3.785*0.803*45/0.73/120/1000000</f>
        <v>101.48531250000001</v>
      </c>
      <c r="AE2044" s="46">
        <f t="shared" si="140"/>
        <v>130169.45320917349</v>
      </c>
      <c r="AF2044" s="43" t="s">
        <v>7279</v>
      </c>
      <c r="AG2044" s="43">
        <v>44.359220037863999</v>
      </c>
      <c r="AH2044" s="43">
        <v>-97.382252359010295</v>
      </c>
      <c r="AI2044" s="122" t="s">
        <v>7286</v>
      </c>
      <c r="AJ2044" s="41">
        <v>0.5</v>
      </c>
    </row>
    <row r="2045" spans="1:36" ht="35.1" hidden="1" customHeight="1" x14ac:dyDescent="0.25">
      <c r="A2045" s="40">
        <v>2756</v>
      </c>
      <c r="B2045" s="40" t="s">
        <v>7281</v>
      </c>
      <c r="C2045" s="40" t="s">
        <v>536</v>
      </c>
      <c r="D2045" s="44">
        <v>2025</v>
      </c>
      <c r="E2045" s="44"/>
      <c r="F2045" s="40" t="s">
        <v>5701</v>
      </c>
      <c r="G2045" s="40" t="s">
        <v>1255</v>
      </c>
      <c r="I2045" s="40" t="str">
        <f>IF(AND(G2045&lt;&gt;"ALK",G2045&lt;&gt;"PEM",G2045&lt;&gt;"SOEC",G2045&lt;&gt;"Other electrolysis"),"N/A","")</f>
        <v>N/A</v>
      </c>
      <c r="K2045" s="40" t="s">
        <v>1267</v>
      </c>
      <c r="W2045" s="40">
        <v>1</v>
      </c>
      <c r="Z2045" s="40" t="s">
        <v>7283</v>
      </c>
      <c r="AA2045" s="95"/>
      <c r="AC2045" s="128"/>
      <c r="AD2045" s="128"/>
      <c r="AE2045" s="46">
        <f t="shared" si="140"/>
        <v>0</v>
      </c>
      <c r="AF2045" s="43" t="s">
        <v>7285</v>
      </c>
      <c r="AG2045" s="43">
        <v>37.718882804798</v>
      </c>
      <c r="AH2045" s="43">
        <v>-120.91773197968701</v>
      </c>
      <c r="AI2045" s="122" t="s">
        <v>1255</v>
      </c>
      <c r="AJ2045" s="41">
        <v>0.9</v>
      </c>
    </row>
    <row r="2046" spans="1:36" ht="35.1" hidden="1" customHeight="1" x14ac:dyDescent="0.25">
      <c r="A2046" s="40">
        <v>2757</v>
      </c>
      <c r="B2046" s="40" t="s">
        <v>7293</v>
      </c>
      <c r="C2046" s="40" t="s">
        <v>536</v>
      </c>
      <c r="D2046" s="44">
        <v>2025</v>
      </c>
      <c r="E2046" s="44"/>
      <c r="F2046" s="40" t="s">
        <v>1331</v>
      </c>
      <c r="G2046" s="40" t="s">
        <v>1264</v>
      </c>
      <c r="H2046" s="40" t="s">
        <v>990</v>
      </c>
      <c r="I2046" s="40" t="str">
        <f>IF(AND(G2046&lt;&gt;"ALK",G2046&lt;&gt;"PEM",G2046&lt;&gt;"SOEC",G2046&lt;&gt;"Other electrolysis"),"N/A","")</f>
        <v>N/A</v>
      </c>
      <c r="K2046" s="40" t="s">
        <v>1267</v>
      </c>
      <c r="Q2046" s="40">
        <v>1</v>
      </c>
      <c r="W2046" s="40">
        <v>1</v>
      </c>
      <c r="Z2046" s="40" t="s">
        <v>7290</v>
      </c>
      <c r="AA2046" s="95"/>
      <c r="AB2046" s="46">
        <f>AC2046/(H2dens*HoursInYear/10^6)</f>
        <v>68088.637063259972</v>
      </c>
      <c r="AC2046" s="92">
        <f>34000000*3.785*0.803*45/0.73/120/1000000</f>
        <v>53.084625000000003</v>
      </c>
      <c r="AE2046" s="46">
        <f t="shared" si="140"/>
        <v>68088.637063259972</v>
      </c>
      <c r="AF2046" s="43" t="s">
        <v>7292</v>
      </c>
      <c r="AG2046" s="43">
        <v>30.738973025439499</v>
      </c>
      <c r="AH2046" s="43">
        <v>-93.640364715180695</v>
      </c>
      <c r="AI2046" s="122" t="s">
        <v>1255</v>
      </c>
      <c r="AJ2046" s="41">
        <v>0.9</v>
      </c>
    </row>
    <row r="2047" spans="1:36" ht="35.1" hidden="1" customHeight="1" x14ac:dyDescent="0.25">
      <c r="A2047" s="40">
        <v>2758</v>
      </c>
      <c r="B2047" s="40" t="s">
        <v>7299</v>
      </c>
      <c r="C2047" s="40" t="s">
        <v>1995</v>
      </c>
      <c r="D2047" s="44">
        <v>2029</v>
      </c>
      <c r="E2047" s="44"/>
      <c r="F2047" s="40" t="s">
        <v>1331</v>
      </c>
      <c r="G2047" s="40" t="s">
        <v>1259</v>
      </c>
      <c r="H2047" s="40" t="s">
        <v>467</v>
      </c>
      <c r="I2047" s="40" t="s">
        <v>1269</v>
      </c>
      <c r="J2047" s="40" t="s">
        <v>581</v>
      </c>
      <c r="K2047" s="40" t="s">
        <v>1243</v>
      </c>
      <c r="M2047" s="40">
        <v>1</v>
      </c>
      <c r="Z2047" s="40" t="s">
        <v>7298</v>
      </c>
      <c r="AA2047" s="45">
        <v>160</v>
      </c>
      <c r="AB2047" s="46">
        <f>IF(H2ProjectDB689571011[[#This Row],[Dummy_1]]="Electrolysis",
AA2047/VLOOKUP(G2047,ElectrolysisConvF,3,FALSE),
AC2047*10^6/(H2dens*HoursInYear))</f>
        <v>35555.555555555555</v>
      </c>
      <c r="AC2047" s="47">
        <f>AB2047*H2dens*HoursInYear/10^6</f>
        <v>27.720533333333332</v>
      </c>
      <c r="AE2047" s="46">
        <f t="shared" si="140"/>
        <v>35555.555555555555</v>
      </c>
      <c r="AF2047" s="43" t="s">
        <v>7301</v>
      </c>
      <c r="AG2047" s="43">
        <v>17.899458764482802</v>
      </c>
      <c r="AH2047" s="43">
        <v>-15.986133352399801</v>
      </c>
      <c r="AI2047" s="122" t="s">
        <v>7286</v>
      </c>
      <c r="AJ2047" s="41">
        <v>0.5</v>
      </c>
    </row>
    <row r="2048" spans="1:36" ht="35.1" customHeight="1" x14ac:dyDescent="0.25">
      <c r="A2048" s="40">
        <v>2759</v>
      </c>
      <c r="B2048" s="40" t="s">
        <v>8006</v>
      </c>
      <c r="C2048" s="40" t="s">
        <v>1052</v>
      </c>
      <c r="D2048" s="44"/>
      <c r="E2048" s="44"/>
      <c r="F2048" s="40" t="s">
        <v>2222</v>
      </c>
      <c r="G2048" s="40" t="s">
        <v>1259</v>
      </c>
      <c r="H2048" s="40" t="s">
        <v>467</v>
      </c>
      <c r="I2048" s="40" t="s">
        <v>1257</v>
      </c>
      <c r="K2048" s="40" t="s">
        <v>578</v>
      </c>
      <c r="O2048" s="40">
        <v>1</v>
      </c>
      <c r="Z2048" s="40" t="s">
        <v>1348</v>
      </c>
      <c r="AA2048" s="45">
        <v>10</v>
      </c>
      <c r="AB2048" s="46">
        <f>IF(H2ProjectDB689571011[[#This Row],[Dummy_1]]="Electrolysis",
AA2048/VLOOKUP(G2048,ElectrolysisConvF,3,FALSE),
AC2048*10^6/(H2dens*HoursInYear))</f>
        <v>2222.2222222222222</v>
      </c>
      <c r="AC2048" s="47">
        <f>AB2048*H2dens*HoursInYear/10^6</f>
        <v>1.7325333333333333</v>
      </c>
      <c r="AE2048" s="46">
        <f t="shared" si="140"/>
        <v>2222.2222222222222</v>
      </c>
      <c r="AF2048" s="43" t="s">
        <v>7303</v>
      </c>
      <c r="AG2048" s="43">
        <v>-23.0019294506947</v>
      </c>
      <c r="AH2048" s="43">
        <v>-43.415092445600997</v>
      </c>
      <c r="AI2048" s="122" t="s">
        <v>7286</v>
      </c>
      <c r="AJ2048" s="41">
        <v>0.56999999999999995</v>
      </c>
    </row>
    <row r="2049" spans="1:36" ht="35.1" hidden="1" customHeight="1" x14ac:dyDescent="0.25">
      <c r="A2049" s="40">
        <v>2760</v>
      </c>
      <c r="B2049" s="40" t="s">
        <v>7309</v>
      </c>
      <c r="C2049" s="40" t="s">
        <v>1305</v>
      </c>
      <c r="D2049" s="44">
        <v>2025</v>
      </c>
      <c r="E2049" s="44"/>
      <c r="F2049" s="40" t="s">
        <v>1331</v>
      </c>
      <c r="G2049" s="40" t="s">
        <v>455</v>
      </c>
      <c r="I2049" s="40" t="s">
        <v>1269</v>
      </c>
      <c r="J2049" s="40" t="s">
        <v>1395</v>
      </c>
      <c r="K2049" s="40" t="s">
        <v>578</v>
      </c>
      <c r="Q2049" s="40">
        <v>1</v>
      </c>
      <c r="Z2049" s="40" t="s">
        <v>7310</v>
      </c>
      <c r="AA2049" s="45">
        <v>4</v>
      </c>
      <c r="AB2049" s="46">
        <f>IF(H2ProjectDB689571011[[#This Row],[Dummy_1]]="Electrolysis",
AA2049/VLOOKUP(G2049,ElectrolysisConvF,3,FALSE),
AC2049*10^6/(H2dens*HoursInYear))</f>
        <v>769.23076923076928</v>
      </c>
      <c r="AC2049" s="47">
        <f>AB2049*H2dens*HoursInYear/10^6</f>
        <v>0.59972307692307703</v>
      </c>
      <c r="AE2049" s="46">
        <f t="shared" si="140"/>
        <v>769.23076923076928</v>
      </c>
      <c r="AF2049" s="43" t="s">
        <v>7311</v>
      </c>
      <c r="AG2049" s="43">
        <v>54.857682165999996</v>
      </c>
      <c r="AH2049" s="43">
        <v>8.9892896771930797</v>
      </c>
      <c r="AI2049" s="122" t="s">
        <v>7286</v>
      </c>
      <c r="AJ2049" s="41">
        <v>0.5</v>
      </c>
    </row>
    <row r="2050" spans="1:36" ht="35.1" hidden="1" customHeight="1" x14ac:dyDescent="0.25">
      <c r="A2050" s="40">
        <v>2761</v>
      </c>
      <c r="B2050" s="40" t="s">
        <v>7318</v>
      </c>
      <c r="C2050" s="40" t="s">
        <v>536</v>
      </c>
      <c r="D2050" s="44">
        <v>2024</v>
      </c>
      <c r="F2050" s="40" t="s">
        <v>1339</v>
      </c>
      <c r="G2050" s="40" t="s">
        <v>1259</v>
      </c>
      <c r="H2050" s="40" t="s">
        <v>467</v>
      </c>
      <c r="I2050" s="40" t="s">
        <v>1269</v>
      </c>
      <c r="J2050" s="40" t="s">
        <v>1395</v>
      </c>
      <c r="K2050" s="90" t="s">
        <v>1267</v>
      </c>
      <c r="W2050" s="40">
        <v>1</v>
      </c>
      <c r="AA2050" s="91">
        <f>IF(OR(G2050="ALK",G2050="PEM",G2050="SOEC",G2050="Other Electrolysis"),
AB2050*VLOOKUP(G2050,ElectrolysisConvF,3,FALSE),
"")</f>
        <v>0</v>
      </c>
      <c r="AE2050" s="46">
        <f t="shared" si="140"/>
        <v>0</v>
      </c>
      <c r="AF2050" s="43" t="s">
        <v>7320</v>
      </c>
      <c r="AG2050" s="43">
        <v>27.806285239003898</v>
      </c>
      <c r="AH2050" s="43">
        <v>-97.460736792311295</v>
      </c>
      <c r="AI2050" s="122" t="s">
        <v>7286</v>
      </c>
      <c r="AJ2050" s="41">
        <v>0.5</v>
      </c>
    </row>
    <row r="2051" spans="1:36" ht="35.1" hidden="1" customHeight="1" x14ac:dyDescent="0.25">
      <c r="A2051" s="40">
        <v>2762</v>
      </c>
      <c r="B2051" s="40" t="s">
        <v>7321</v>
      </c>
      <c r="C2051" s="40" t="s">
        <v>1305</v>
      </c>
      <c r="D2051" s="44">
        <v>2026</v>
      </c>
      <c r="E2051" s="44"/>
      <c r="F2051" s="40" t="s">
        <v>5701</v>
      </c>
      <c r="G2051" s="40" t="s">
        <v>1259</v>
      </c>
      <c r="H2051" s="40" t="s">
        <v>467</v>
      </c>
      <c r="I2051" s="40" t="s">
        <v>1266</v>
      </c>
      <c r="K2051" s="40" t="s">
        <v>578</v>
      </c>
      <c r="P2051" s="40">
        <v>1</v>
      </c>
      <c r="Q2051" s="40">
        <v>1</v>
      </c>
      <c r="Z2051" s="40" t="s">
        <v>7322</v>
      </c>
      <c r="AA2051" s="45">
        <v>50</v>
      </c>
      <c r="AB2051" s="46">
        <f>IF(H2ProjectDB689571011[[#This Row],[Dummy_1]]="Electrolysis",
AA2051/VLOOKUP(G2051,ElectrolysisConvF,3,FALSE),
AC2051*10^6/(H2dens*HoursInYear))</f>
        <v>11111.111111111111</v>
      </c>
      <c r="AC2051" s="47">
        <f t="shared" ref="AC2051:AC2062" si="142">AB2051*H2dens*HoursInYear/10^6</f>
        <v>8.6626666666666665</v>
      </c>
      <c r="AE2051" s="46">
        <f t="shared" si="140"/>
        <v>11111.111111111111</v>
      </c>
      <c r="AF2051" s="43" t="s">
        <v>8846</v>
      </c>
      <c r="AG2051" s="43">
        <v>54.102587374605598</v>
      </c>
      <c r="AH2051" s="43">
        <v>9.9805154441504307</v>
      </c>
      <c r="AI2051" s="122" t="s">
        <v>7286</v>
      </c>
      <c r="AJ2051" s="41">
        <v>0.56999999999999995</v>
      </c>
    </row>
    <row r="2052" spans="1:36" ht="35.1" hidden="1" customHeight="1" x14ac:dyDescent="0.25">
      <c r="A2052" s="40">
        <v>2763</v>
      </c>
      <c r="B2052" s="40" t="s">
        <v>7324</v>
      </c>
      <c r="C2052" s="40" t="s">
        <v>530</v>
      </c>
      <c r="D2052" s="44">
        <v>2029</v>
      </c>
      <c r="E2052" s="44"/>
      <c r="F2052" s="40" t="s">
        <v>1331</v>
      </c>
      <c r="G2052" s="40" t="s">
        <v>1259</v>
      </c>
      <c r="H2052" s="40" t="s">
        <v>467</v>
      </c>
      <c r="I2052" s="40" t="s">
        <v>1257</v>
      </c>
      <c r="K2052" s="40" t="s">
        <v>578</v>
      </c>
      <c r="Q2052" s="40">
        <v>1</v>
      </c>
      <c r="W2052" s="40">
        <v>1</v>
      </c>
      <c r="Z2052" s="40" t="s">
        <v>7325</v>
      </c>
      <c r="AA2052" s="91">
        <v>350</v>
      </c>
      <c r="AB2052" s="46">
        <f>IF(H2ProjectDB689571011[[#This Row],[Dummy_1]]="Electrolysis",
AA2052/VLOOKUP(G2052,ElectrolysisConvF,3,FALSE),
AC2052*10^6/(H2dens*HoursInYear))</f>
        <v>77777.777777777781</v>
      </c>
      <c r="AC2052" s="47">
        <f t="shared" si="142"/>
        <v>60.638666666666673</v>
      </c>
      <c r="AE2052" s="46">
        <f t="shared" si="140"/>
        <v>77777.777777777781</v>
      </c>
      <c r="AF2052" s="43" t="s">
        <v>7327</v>
      </c>
      <c r="AG2052" s="43">
        <v>49.403283061511203</v>
      </c>
      <c r="AH2052" s="43">
        <v>1.01863378526841</v>
      </c>
      <c r="AI2052" s="122" t="s">
        <v>7286</v>
      </c>
      <c r="AJ2052" s="41">
        <v>0.56999999999999995</v>
      </c>
    </row>
    <row r="2053" spans="1:36" ht="35.1" hidden="1" customHeight="1" x14ac:dyDescent="0.25">
      <c r="A2053" s="40">
        <v>2764</v>
      </c>
      <c r="B2053" s="40" t="s">
        <v>7328</v>
      </c>
      <c r="C2053" s="40" t="s">
        <v>530</v>
      </c>
      <c r="D2053" s="44">
        <v>2028</v>
      </c>
      <c r="E2053" s="44"/>
      <c r="F2053" s="40" t="s">
        <v>1331</v>
      </c>
      <c r="G2053" s="40" t="s">
        <v>1259</v>
      </c>
      <c r="H2053" s="40" t="s">
        <v>467</v>
      </c>
      <c r="I2053" s="40" t="s">
        <v>1257</v>
      </c>
      <c r="K2053" s="40" t="s">
        <v>578</v>
      </c>
      <c r="P2053" s="40">
        <v>1</v>
      </c>
      <c r="Q2053" s="40">
        <v>1</v>
      </c>
      <c r="Z2053" s="40" t="s">
        <v>8436</v>
      </c>
      <c r="AA2053" s="47">
        <v>200</v>
      </c>
      <c r="AB2053" s="46">
        <f>IF(H2ProjectDB689571011[[#This Row],[Dummy_1]]="Electrolysis",
AA2053/VLOOKUP(G2053,ElectrolysisConvF,3,FALSE),
AC2053*10^6/(H2dens*HoursInYear))</f>
        <v>44444.444444444445</v>
      </c>
      <c r="AC2053" s="47">
        <f t="shared" si="142"/>
        <v>34.650666666666666</v>
      </c>
      <c r="AE2053" s="46">
        <f t="shared" si="140"/>
        <v>44444.444444444445</v>
      </c>
      <c r="AF2053" s="43" t="s">
        <v>7330</v>
      </c>
      <c r="AG2053" s="43">
        <v>47.282713265934802</v>
      </c>
      <c r="AH2053" s="43">
        <v>-2.1924391573359698</v>
      </c>
      <c r="AI2053" s="122" t="s">
        <v>7286</v>
      </c>
      <c r="AJ2053" s="41">
        <v>0.56999999999999995</v>
      </c>
    </row>
    <row r="2054" spans="1:36" ht="35.1" hidden="1" customHeight="1" x14ac:dyDescent="0.25">
      <c r="A2054" s="40">
        <v>2765</v>
      </c>
      <c r="B2054" s="40" t="s">
        <v>7336</v>
      </c>
      <c r="C2054" s="40" t="s">
        <v>1761</v>
      </c>
      <c r="D2054" s="44">
        <v>2025</v>
      </c>
      <c r="E2054" s="44"/>
      <c r="F2054" s="40" t="s">
        <v>1331</v>
      </c>
      <c r="G2054" s="40" t="s">
        <v>455</v>
      </c>
      <c r="I2054" s="40" t="s">
        <v>1257</v>
      </c>
      <c r="K2054" s="40" t="s">
        <v>578</v>
      </c>
      <c r="P2054" s="40">
        <v>1</v>
      </c>
      <c r="Z2054" s="40" t="s">
        <v>7337</v>
      </c>
      <c r="AA2054" s="45">
        <v>25</v>
      </c>
      <c r="AB2054" s="46">
        <f>IF(H2ProjectDB689571011[[#This Row],[Dummy_1]]="Electrolysis",
AA2054/VLOOKUP(G2054,ElectrolysisConvF,3,FALSE),
AC2054*10^6/(H2dens*HoursInYear))</f>
        <v>4807.6923076923076</v>
      </c>
      <c r="AC2054" s="47">
        <f t="shared" si="142"/>
        <v>3.7482692307692305</v>
      </c>
      <c r="AE2054" s="46">
        <f t="shared" si="140"/>
        <v>4807.6923076923076</v>
      </c>
      <c r="AF2054" s="43" t="s">
        <v>7339</v>
      </c>
      <c r="AG2054" s="43">
        <v>40.650495669148299</v>
      </c>
      <c r="AH2054" s="43">
        <v>-8.63052140631941</v>
      </c>
      <c r="AI2054" s="122" t="s">
        <v>7286</v>
      </c>
      <c r="AJ2054" s="41">
        <v>0.56999999999999995</v>
      </c>
    </row>
    <row r="2055" spans="1:36" ht="35.1" hidden="1" customHeight="1" x14ac:dyDescent="0.25">
      <c r="A2055" s="40">
        <v>2766</v>
      </c>
      <c r="B2055" s="40" t="s">
        <v>8143</v>
      </c>
      <c r="C2055" s="40" t="s">
        <v>542</v>
      </c>
      <c r="D2055" s="44">
        <v>2028</v>
      </c>
      <c r="E2055" s="44"/>
      <c r="F2055" s="40" t="s">
        <v>1331</v>
      </c>
      <c r="G2055" s="40" t="s">
        <v>1259</v>
      </c>
      <c r="H2055" s="40" t="s">
        <v>467</v>
      </c>
      <c r="I2055" s="40" t="s">
        <v>5700</v>
      </c>
      <c r="K2055" s="40" t="s">
        <v>578</v>
      </c>
      <c r="Z2055" s="40" t="s">
        <v>7343</v>
      </c>
      <c r="AA2055" s="45">
        <v>260</v>
      </c>
      <c r="AB2055" s="46">
        <f>IF(H2ProjectDB689571011[[#This Row],[Dummy_1]]="Electrolysis",
AA2055/VLOOKUP(G2055,ElectrolysisConvF,3,FALSE),
AC2055*10^6/(H2dens*HoursInYear))</f>
        <v>57777.777777777781</v>
      </c>
      <c r="AC2055" s="47">
        <f t="shared" si="142"/>
        <v>45.045866666666669</v>
      </c>
      <c r="AE2055" s="46">
        <f t="shared" si="140"/>
        <v>57777.777777777781</v>
      </c>
      <c r="AF2055" s="43" t="s">
        <v>7345</v>
      </c>
      <c r="AG2055" s="43">
        <v>54.589632483394901</v>
      </c>
      <c r="AH2055" s="43">
        <v>-1.0974553209275999</v>
      </c>
      <c r="AI2055" s="122" t="s">
        <v>7286</v>
      </c>
      <c r="AJ2055" s="41">
        <v>0.7</v>
      </c>
    </row>
    <row r="2056" spans="1:36" ht="35.1" hidden="1" customHeight="1" x14ac:dyDescent="0.25">
      <c r="A2056" s="40">
        <v>2767</v>
      </c>
      <c r="B2056" s="40" t="s">
        <v>7370</v>
      </c>
      <c r="C2056" s="40" t="s">
        <v>540</v>
      </c>
      <c r="D2056" s="44">
        <v>2023</v>
      </c>
      <c r="F2056" s="40" t="s">
        <v>1339</v>
      </c>
      <c r="G2056" s="40" t="s">
        <v>455</v>
      </c>
      <c r="I2056" s="40" t="s">
        <v>1266</v>
      </c>
      <c r="K2056" s="40" t="s">
        <v>578</v>
      </c>
      <c r="R2056" s="40">
        <v>1</v>
      </c>
      <c r="Z2056" s="40" t="s">
        <v>1493</v>
      </c>
      <c r="AA2056" s="91">
        <v>2</v>
      </c>
      <c r="AB2056" s="46">
        <f>IF(H2ProjectDB689571011[[#This Row],[Dummy_1]]="Electrolysis",
AA2056/VLOOKUP(G2056,ElectrolysisConvF,3,FALSE),
AC2056*10^6/(H2dens*HoursInYear))</f>
        <v>384.61538461538464</v>
      </c>
      <c r="AC2056" s="47">
        <f t="shared" si="142"/>
        <v>0.29986153846153851</v>
      </c>
      <c r="AE2056" s="46">
        <f t="shared" si="140"/>
        <v>384.61538461538464</v>
      </c>
      <c r="AF2056" s="43" t="s">
        <v>7372</v>
      </c>
      <c r="AG2056" s="43">
        <v>47.990274079520901</v>
      </c>
      <c r="AH2056" s="43">
        <v>13.553817826757401</v>
      </c>
      <c r="AI2056" s="122" t="s">
        <v>7286</v>
      </c>
      <c r="AJ2056" s="41">
        <v>0.56999999999999995</v>
      </c>
    </row>
    <row r="2057" spans="1:36" s="51" customFormat="1" ht="35.1" hidden="1" customHeight="1" x14ac:dyDescent="0.25">
      <c r="A2057" s="40">
        <v>2768</v>
      </c>
      <c r="B2057" s="40" t="s">
        <v>7375</v>
      </c>
      <c r="C2057" s="40" t="s">
        <v>537</v>
      </c>
      <c r="D2057" s="44">
        <v>2026</v>
      </c>
      <c r="E2057" s="44"/>
      <c r="F2057" s="40" t="s">
        <v>5701</v>
      </c>
      <c r="G2057" s="40" t="s">
        <v>457</v>
      </c>
      <c r="H2057" s="40"/>
      <c r="I2057" s="40" t="s">
        <v>1269</v>
      </c>
      <c r="J2057" s="40" t="s">
        <v>1395</v>
      </c>
      <c r="K2057" s="40" t="s">
        <v>1243</v>
      </c>
      <c r="L2057" s="40"/>
      <c r="M2057" s="40">
        <v>1</v>
      </c>
      <c r="N2057" s="40"/>
      <c r="O2057" s="40"/>
      <c r="P2057" s="40"/>
      <c r="Q2057" s="40"/>
      <c r="R2057" s="40"/>
      <c r="S2057" s="40"/>
      <c r="T2057" s="40"/>
      <c r="U2057" s="40"/>
      <c r="V2057" s="40"/>
      <c r="W2057" s="40"/>
      <c r="X2057" s="40"/>
      <c r="Y2057" s="40"/>
      <c r="Z2057" s="40" t="s">
        <v>7376</v>
      </c>
      <c r="AA2057" s="91">
        <v>150</v>
      </c>
      <c r="AB2057" s="46">
        <f>IF(H2ProjectDB689571011[[#This Row],[Dummy_1]]="Electrolysis",
AA2057/VLOOKUP(G2057,ElectrolysisConvF,3,FALSE),
AC2057*10^6/(H2dens*HoursInYear))</f>
        <v>32608.695652173912</v>
      </c>
      <c r="AC2057" s="47">
        <f t="shared" si="142"/>
        <v>25.423043478260869</v>
      </c>
      <c r="AD2057" s="46"/>
      <c r="AE2057" s="46">
        <f t="shared" si="140"/>
        <v>32608.695652173912</v>
      </c>
      <c r="AF2057" s="43" t="s">
        <v>7378</v>
      </c>
      <c r="AG2057" s="43">
        <v>38.3157749991014</v>
      </c>
      <c r="AH2057" s="43">
        <v>116.835802710577</v>
      </c>
      <c r="AI2057" s="122" t="s">
        <v>7286</v>
      </c>
      <c r="AJ2057" s="41">
        <v>0.5</v>
      </c>
    </row>
    <row r="2058" spans="1:36" ht="35.1" hidden="1" customHeight="1" x14ac:dyDescent="0.25">
      <c r="A2058" s="40">
        <v>2770</v>
      </c>
      <c r="B2058" s="40" t="s">
        <v>7386</v>
      </c>
      <c r="C2058" s="40" t="s">
        <v>1939</v>
      </c>
      <c r="D2058" s="44"/>
      <c r="E2058" s="44"/>
      <c r="F2058" s="40" t="s">
        <v>1331</v>
      </c>
      <c r="G2058" s="40" t="s">
        <v>1259</v>
      </c>
      <c r="H2058" s="40" t="s">
        <v>467</v>
      </c>
      <c r="I2058" s="90" t="s">
        <v>1269</v>
      </c>
      <c r="J2058" s="40" t="s">
        <v>1391</v>
      </c>
      <c r="K2058" s="40" t="s">
        <v>578</v>
      </c>
      <c r="R2058" s="40">
        <v>1</v>
      </c>
      <c r="Z2058" s="40" t="s">
        <v>7387</v>
      </c>
      <c r="AA2058" s="91">
        <v>64</v>
      </c>
      <c r="AB2058" s="46">
        <f>IF(H2ProjectDB689571011[[#This Row],[Dummy_1]]="Electrolysis",
AA2058/VLOOKUP(G2058,ElectrolysisConvF,3,FALSE),
AC2058*10^6/(H2dens*HoursInYear))</f>
        <v>14222.222222222223</v>
      </c>
      <c r="AC2058" s="47">
        <f t="shared" si="142"/>
        <v>11.088213333333334</v>
      </c>
      <c r="AE2058" s="46">
        <f t="shared" si="140"/>
        <v>14222.222222222223</v>
      </c>
      <c r="AF2058" s="43" t="s">
        <v>7389</v>
      </c>
      <c r="AG2058" s="43">
        <v>39.1092693405338</v>
      </c>
      <c r="AH2058" s="43">
        <v>22.282945456578702</v>
      </c>
      <c r="AI2058" s="122" t="s">
        <v>7286</v>
      </c>
      <c r="AJ2058" s="41">
        <v>0.3</v>
      </c>
    </row>
    <row r="2059" spans="1:36" ht="35.1" hidden="1" customHeight="1" x14ac:dyDescent="0.25">
      <c r="A2059" s="40">
        <v>2771</v>
      </c>
      <c r="B2059" s="40" t="s">
        <v>7384</v>
      </c>
      <c r="C2059" s="40" t="s">
        <v>1767</v>
      </c>
      <c r="D2059" s="44">
        <v>2029</v>
      </c>
      <c r="E2059" s="44"/>
      <c r="F2059" s="40" t="s">
        <v>1331</v>
      </c>
      <c r="G2059" s="40" t="s">
        <v>1259</v>
      </c>
      <c r="H2059" s="40" t="s">
        <v>467</v>
      </c>
      <c r="I2059" s="90" t="s">
        <v>1269</v>
      </c>
      <c r="J2059" s="40" t="s">
        <v>1391</v>
      </c>
      <c r="K2059" s="40" t="s">
        <v>578</v>
      </c>
      <c r="R2059" s="40">
        <v>1</v>
      </c>
      <c r="Z2059" s="40" t="s">
        <v>1510</v>
      </c>
      <c r="AA2059" s="91">
        <v>30</v>
      </c>
      <c r="AB2059" s="46">
        <f>IF(H2ProjectDB689571011[[#This Row],[Dummy_1]]="Electrolysis",
AA2059/VLOOKUP(G2059,ElectrolysisConvF,3,FALSE),
AC2059*10^6/(H2dens*HoursInYear))</f>
        <v>6666.666666666667</v>
      </c>
      <c r="AC2059" s="47">
        <f t="shared" si="142"/>
        <v>5.1976000000000004</v>
      </c>
      <c r="AE2059" s="46">
        <f t="shared" si="140"/>
        <v>6666.666666666667</v>
      </c>
      <c r="AF2059" s="43" t="s">
        <v>7389</v>
      </c>
      <c r="AG2059" s="43">
        <v>35.0645569027904</v>
      </c>
      <c r="AH2059" s="43">
        <v>33.003906896937302</v>
      </c>
      <c r="AI2059" s="122" t="s">
        <v>7286</v>
      </c>
      <c r="AJ2059" s="41">
        <v>0.3</v>
      </c>
    </row>
    <row r="2060" spans="1:36" ht="35.1" hidden="1" customHeight="1" x14ac:dyDescent="0.25">
      <c r="A2060" s="40">
        <v>2772</v>
      </c>
      <c r="B2060" s="40" t="s">
        <v>7385</v>
      </c>
      <c r="C2060" s="40" t="s">
        <v>1939</v>
      </c>
      <c r="D2060" s="44">
        <v>2030</v>
      </c>
      <c r="E2060" s="44"/>
      <c r="F2060" s="40" t="s">
        <v>1331</v>
      </c>
      <c r="G2060" s="40" t="s">
        <v>1259</v>
      </c>
      <c r="H2060" s="40" t="s">
        <v>467</v>
      </c>
      <c r="I2060" s="90" t="s">
        <v>1269</v>
      </c>
      <c r="J2060" s="40" t="s">
        <v>1391</v>
      </c>
      <c r="K2060" s="40" t="s">
        <v>578</v>
      </c>
      <c r="R2060" s="40">
        <v>1</v>
      </c>
      <c r="Z2060" s="40" t="s">
        <v>1483</v>
      </c>
      <c r="AA2060" s="91">
        <v>50</v>
      </c>
      <c r="AB2060" s="46">
        <f>IF(H2ProjectDB689571011[[#This Row],[Dummy_1]]="Electrolysis",
AA2060/VLOOKUP(G2060,ElectrolysisConvF,3,FALSE),
AC2060*10^6/(H2dens*HoursInYear))</f>
        <v>11111.111111111111</v>
      </c>
      <c r="AC2060" s="47">
        <f t="shared" si="142"/>
        <v>8.6626666666666665</v>
      </c>
      <c r="AE2060" s="46">
        <f t="shared" si="140"/>
        <v>11111.111111111111</v>
      </c>
      <c r="AF2060" s="43" t="s">
        <v>7389</v>
      </c>
      <c r="AG2060" s="43">
        <v>-0.75696265964539999</v>
      </c>
      <c r="AH2060" s="43">
        <v>37.811622133187697</v>
      </c>
      <c r="AI2060" s="122" t="s">
        <v>7286</v>
      </c>
      <c r="AJ2060" s="41">
        <v>0.3</v>
      </c>
    </row>
    <row r="2061" spans="1:36" ht="35.1" hidden="1" customHeight="1" x14ac:dyDescent="0.25">
      <c r="A2061" s="40">
        <v>2773</v>
      </c>
      <c r="B2061" s="40" t="s">
        <v>7390</v>
      </c>
      <c r="C2061" s="40" t="s">
        <v>541</v>
      </c>
      <c r="D2061" s="44"/>
      <c r="E2061" s="44"/>
      <c r="F2061" s="40" t="s">
        <v>2222</v>
      </c>
      <c r="G2061" s="40" t="s">
        <v>1259</v>
      </c>
      <c r="H2061" s="40" t="s">
        <v>467</v>
      </c>
      <c r="I2061" s="40" t="s">
        <v>1257</v>
      </c>
      <c r="K2061" s="40" t="s">
        <v>578</v>
      </c>
      <c r="P2061" s="40">
        <v>1</v>
      </c>
      <c r="Z2061" s="40" t="s">
        <v>1487</v>
      </c>
      <c r="AA2061" s="91">
        <v>100</v>
      </c>
      <c r="AB2061" s="46">
        <f>IF(H2ProjectDB689571011[[#This Row],[Dummy_1]]="Electrolysis",
AA2061/VLOOKUP(G2061,ElectrolysisConvF,3,FALSE),
AC2061*10^6/(H2dens*HoursInYear))</f>
        <v>22222.222222222223</v>
      </c>
      <c r="AC2061" s="47">
        <f t="shared" si="142"/>
        <v>17.325333333333333</v>
      </c>
      <c r="AE2061" s="46">
        <f t="shared" si="140"/>
        <v>22222.222222222223</v>
      </c>
      <c r="AF2061" s="43" t="s">
        <v>7392</v>
      </c>
      <c r="AG2061" s="43">
        <v>37.201052532368699</v>
      </c>
      <c r="AH2061" s="43">
        <v>15.183464653712599</v>
      </c>
      <c r="AI2061" s="122" t="s">
        <v>7286</v>
      </c>
      <c r="AJ2061" s="41">
        <v>0.56999999999999995</v>
      </c>
    </row>
    <row r="2062" spans="1:36" ht="35.1" hidden="1" customHeight="1" x14ac:dyDescent="0.25">
      <c r="A2062" s="40">
        <v>2774</v>
      </c>
      <c r="B2062" s="40" t="s">
        <v>7393</v>
      </c>
      <c r="C2062" s="40" t="s">
        <v>536</v>
      </c>
      <c r="D2062" s="44"/>
      <c r="E2062" s="44"/>
      <c r="F2062" s="40" t="s">
        <v>2222</v>
      </c>
      <c r="G2062" s="40" t="s">
        <v>455</v>
      </c>
      <c r="I2062" s="40" t="s">
        <v>1269</v>
      </c>
      <c r="J2062" s="40" t="s">
        <v>1391</v>
      </c>
      <c r="K2062" s="40" t="s">
        <v>578</v>
      </c>
      <c r="Q2062" s="40">
        <v>1</v>
      </c>
      <c r="Z2062" s="40" t="s">
        <v>1436</v>
      </c>
      <c r="AA2062" s="91">
        <v>5</v>
      </c>
      <c r="AB2062" s="46">
        <f>IF(H2ProjectDB689571011[[#This Row],[Dummy_1]]="Electrolysis",
AA2062/VLOOKUP(G2062,ElectrolysisConvF,3,FALSE),
AC2062*10^6/(H2dens*HoursInYear))</f>
        <v>961.53846153846155</v>
      </c>
      <c r="AC2062" s="47">
        <f t="shared" si="142"/>
        <v>0.74965384615384612</v>
      </c>
      <c r="AF2062" s="43" t="s">
        <v>7394</v>
      </c>
      <c r="AG2062" s="43">
        <v>35.621500149435299</v>
      </c>
      <c r="AH2062" s="43">
        <v>-119.688908493561</v>
      </c>
      <c r="AI2062" s="122" t="s">
        <v>7286</v>
      </c>
      <c r="AJ2062" s="41">
        <v>0.3</v>
      </c>
    </row>
    <row r="2063" spans="1:36" ht="35.1" hidden="1" customHeight="1" x14ac:dyDescent="0.25">
      <c r="A2063" s="40">
        <v>2775</v>
      </c>
      <c r="B2063" s="40" t="s">
        <v>7396</v>
      </c>
      <c r="C2063" s="40" t="s">
        <v>1764</v>
      </c>
      <c r="D2063" s="44">
        <v>2028</v>
      </c>
      <c r="E2063" s="44"/>
      <c r="F2063" s="40" t="s">
        <v>1331</v>
      </c>
      <c r="G2063" s="40" t="s">
        <v>1259</v>
      </c>
      <c r="H2063" s="40" t="s">
        <v>467</v>
      </c>
      <c r="I2063" s="40" t="s">
        <v>1269</v>
      </c>
      <c r="J2063" s="40" t="s">
        <v>1395</v>
      </c>
      <c r="K2063" s="40" t="s">
        <v>578</v>
      </c>
      <c r="W2063" s="40">
        <v>1</v>
      </c>
      <c r="Z2063" s="40" t="s">
        <v>7399</v>
      </c>
      <c r="AA2063" s="47">
        <f>IF(H2ProjectDB689571011[[#This Row],[Dummy_1]]="Electrolysis",
AB2063*VLOOKUP(G2063,ElectrolysisConvF,3,FALSE),
"")</f>
        <v>207.78820994305062</v>
      </c>
      <c r="AB2063" s="46">
        <f>AC2063/(H2dens*HoursInYear/10^6)</f>
        <v>46175.157765122363</v>
      </c>
      <c r="AC2063" s="92">
        <f>18/H2ProjectDB689571011[[#This Row],[LOWE_CF]]</f>
        <v>36</v>
      </c>
      <c r="AE2063" s="46">
        <f>IF(AND(G2063&lt;&gt;"NG w CCUS",G2063&lt;&gt;"Oil w CCUS",G2063&lt;&gt;"Coal w CCUS"),AB2063,AD2063*10^3/(HoursInYear*IF(G2063="NG w CCUS",0.9105,1.9075)))</f>
        <v>46175.157765122363</v>
      </c>
      <c r="AF2063" s="43" t="s">
        <v>7398</v>
      </c>
      <c r="AG2063" s="43">
        <v>41.817438704712004</v>
      </c>
      <c r="AH2063" s="43">
        <v>-2.4446085222590099</v>
      </c>
      <c r="AI2063" s="122" t="s">
        <v>7286</v>
      </c>
      <c r="AJ2063" s="41">
        <v>0.5</v>
      </c>
    </row>
    <row r="2064" spans="1:36" ht="35.1" hidden="1" customHeight="1" x14ac:dyDescent="0.25">
      <c r="A2064" s="40">
        <v>2776</v>
      </c>
      <c r="B2064" s="40" t="s">
        <v>7410</v>
      </c>
      <c r="C2064" s="40" t="s">
        <v>548</v>
      </c>
      <c r="D2064" s="44">
        <v>2025</v>
      </c>
      <c r="E2064" s="44"/>
      <c r="F2064" s="40" t="s">
        <v>1540</v>
      </c>
      <c r="G2064" s="40" t="s">
        <v>3239</v>
      </c>
      <c r="I2064" s="40" t="s">
        <v>1257</v>
      </c>
      <c r="K2064" s="40" t="s">
        <v>578</v>
      </c>
      <c r="Z2064" s="129"/>
      <c r="AA2064" s="130"/>
      <c r="AB2064" s="131"/>
      <c r="AC2064" s="131"/>
      <c r="AE2064" s="131"/>
      <c r="AF2064" s="43" t="s">
        <v>7412</v>
      </c>
      <c r="AG2064" s="43">
        <v>51.241064304279398</v>
      </c>
      <c r="AH2064" s="43">
        <v>4.40442803559651</v>
      </c>
      <c r="AI2064" s="122" t="s">
        <v>7286</v>
      </c>
      <c r="AJ2064" s="41">
        <v>0.56999999999999995</v>
      </c>
    </row>
    <row r="2065" spans="1:36" ht="35.1" hidden="1" customHeight="1" x14ac:dyDescent="0.25">
      <c r="A2065" s="40">
        <v>2777</v>
      </c>
      <c r="B2065" s="40" t="s">
        <v>7413</v>
      </c>
      <c r="C2065" s="40" t="s">
        <v>1761</v>
      </c>
      <c r="D2065" s="44">
        <v>2029</v>
      </c>
      <c r="E2065" s="44"/>
      <c r="F2065" s="40" t="s">
        <v>1540</v>
      </c>
      <c r="G2065" s="40" t="s">
        <v>1259</v>
      </c>
      <c r="H2065" s="40" t="s">
        <v>467</v>
      </c>
      <c r="I2065" s="40" t="s">
        <v>1257</v>
      </c>
      <c r="K2065" s="40" t="s">
        <v>578</v>
      </c>
      <c r="Z2065" s="40" t="s">
        <v>7414</v>
      </c>
      <c r="AA2065" s="91">
        <v>11</v>
      </c>
      <c r="AB2065" s="46">
        <f>IF(H2ProjectDB689571011[[#This Row],[Dummy_1]]="Electrolysis",
AA2065/VLOOKUP(G2064,ElectrolysisConvF,3,FALSE),
AC2065*10^6/(H2dens*HoursInYear))</f>
        <v>2444.4444444444448</v>
      </c>
      <c r="AC2065" s="47">
        <f t="shared" ref="AC2065:AC2070" si="143">AB2065*H2dens*HoursInYear/10^6</f>
        <v>1.9057866666666667</v>
      </c>
      <c r="AE2065" s="46">
        <f>IF(AND(G2064&lt;&gt;"NG w CCUS",G2064&lt;&gt;"Oil w CCUS",G2064&lt;&gt;"Coal w CCUS"),AB2065,AD2064*10^3/(HoursInYear*IF(G2064="NG w CCUS",0.9105,1.9075)))</f>
        <v>2444.4444444444448</v>
      </c>
      <c r="AF2065" s="43" t="s">
        <v>7415</v>
      </c>
      <c r="AG2065" s="43">
        <v>38.570596598295303</v>
      </c>
      <c r="AH2065" s="43">
        <v>-7.9144466017575503</v>
      </c>
      <c r="AI2065" s="122" t="s">
        <v>7286</v>
      </c>
      <c r="AJ2065" s="41">
        <v>0.56999999999999995</v>
      </c>
    </row>
    <row r="2066" spans="1:36" ht="35.1" customHeight="1" x14ac:dyDescent="0.25">
      <c r="A2066" s="40">
        <v>2778</v>
      </c>
      <c r="B2066" s="40" t="s">
        <v>7419</v>
      </c>
      <c r="C2066" s="40" t="s">
        <v>1052</v>
      </c>
      <c r="D2066" s="44">
        <v>2025</v>
      </c>
      <c r="E2066" s="44"/>
      <c r="F2066" s="40" t="s">
        <v>5701</v>
      </c>
      <c r="G2066" s="40" t="s">
        <v>457</v>
      </c>
      <c r="I2066" s="40" t="s">
        <v>1266</v>
      </c>
      <c r="K2066" s="40" t="s">
        <v>578</v>
      </c>
      <c r="P2066" s="40">
        <v>1</v>
      </c>
      <c r="Z2066" s="40" t="s">
        <v>1484</v>
      </c>
      <c r="AA2066" s="91">
        <v>5</v>
      </c>
      <c r="AB2066" s="46">
        <f>IF(H2ProjectDB689571011[[#This Row],[Dummy_1]]="Electrolysis",
AA2066/VLOOKUP(G2065,ElectrolysisConvF,3,FALSE),
AC2066*10^6/(H2dens*HoursInYear))</f>
        <v>1111.1111111111111</v>
      </c>
      <c r="AC2066" s="47">
        <f t="shared" si="143"/>
        <v>0.86626666666666663</v>
      </c>
      <c r="AE2066" s="46">
        <f t="shared" ref="AE2066:AE2129" si="144">IF(AND(G2066&lt;&gt;"NG w CCUS",G2066&lt;&gt;"Oil w CCUS",G2066&lt;&gt;"Coal w CCUS"),AB2066,AD2066*10^3/(HoursInYear*IF(G2066="NG w CCUS",0.9105,1.9075)))</f>
        <v>1111.1111111111111</v>
      </c>
      <c r="AF2066" s="43" t="s">
        <v>8345</v>
      </c>
      <c r="AG2066" s="43">
        <v>-23.304788352318599</v>
      </c>
      <c r="AH2066" s="43">
        <v>-45.9892649909943</v>
      </c>
      <c r="AI2066" s="122" t="s">
        <v>7286</v>
      </c>
      <c r="AJ2066" s="41">
        <v>0.56999999999999995</v>
      </c>
    </row>
    <row r="2067" spans="1:36" ht="35.1" hidden="1" customHeight="1" x14ac:dyDescent="0.25">
      <c r="A2067" s="40">
        <v>2779</v>
      </c>
      <c r="B2067" s="40" t="s">
        <v>8563</v>
      </c>
      <c r="C2067" s="90" t="s">
        <v>530</v>
      </c>
      <c r="D2067" s="44">
        <v>2024</v>
      </c>
      <c r="E2067" s="44"/>
      <c r="F2067" s="90" t="s">
        <v>5701</v>
      </c>
      <c r="G2067" s="90" t="s">
        <v>1259</v>
      </c>
      <c r="H2067" s="40" t="s">
        <v>467</v>
      </c>
      <c r="I2067" s="90" t="s">
        <v>1266</v>
      </c>
      <c r="J2067" s="90"/>
      <c r="K2067" s="90" t="s">
        <v>578</v>
      </c>
      <c r="L2067" s="90"/>
      <c r="M2067" s="90"/>
      <c r="N2067" s="90"/>
      <c r="O2067" s="90"/>
      <c r="P2067" s="90">
        <v>1</v>
      </c>
      <c r="Q2067" s="90">
        <v>1</v>
      </c>
      <c r="R2067" s="90"/>
      <c r="S2067" s="90"/>
      <c r="T2067" s="90"/>
      <c r="U2067" s="90"/>
      <c r="V2067" s="90"/>
      <c r="W2067" s="90"/>
      <c r="X2067" s="90"/>
      <c r="Y2067" s="90"/>
      <c r="Z2067" s="90" t="s">
        <v>7421</v>
      </c>
      <c r="AA2067" s="91">
        <v>1.5</v>
      </c>
      <c r="AB2067" s="46">
        <f>IF(H2ProjectDB689571011[[#This Row],[Dummy_1]]="Electrolysis",
AA2067/VLOOKUP(G2067,ElectrolysisConvF,3,FALSE),
AC2067*10^6/(H2dens*HoursInYear))</f>
        <v>333.33333333333337</v>
      </c>
      <c r="AC2067" s="47">
        <f t="shared" si="143"/>
        <v>0.25988</v>
      </c>
      <c r="AD2067" s="92"/>
      <c r="AE2067" s="92">
        <f t="shared" si="144"/>
        <v>333.33333333333337</v>
      </c>
      <c r="AF2067" s="43" t="s">
        <v>7423</v>
      </c>
      <c r="AG2067" s="43">
        <v>49.154152000000003</v>
      </c>
      <c r="AH2067" s="43">
        <v>6.7053710000000004</v>
      </c>
      <c r="AI2067" s="122" t="s">
        <v>7286</v>
      </c>
      <c r="AJ2067" s="41">
        <v>0.56999999999999995</v>
      </c>
    </row>
    <row r="2068" spans="1:36" ht="35.1" hidden="1" customHeight="1" x14ac:dyDescent="0.25">
      <c r="A2068" s="40">
        <v>2780</v>
      </c>
      <c r="B2068" s="40" t="s">
        <v>7424</v>
      </c>
      <c r="C2068" s="40" t="s">
        <v>530</v>
      </c>
      <c r="D2068" s="44">
        <v>2024</v>
      </c>
      <c r="E2068" s="44"/>
      <c r="F2068" s="90" t="s">
        <v>1339</v>
      </c>
      <c r="G2068" s="90" t="s">
        <v>1259</v>
      </c>
      <c r="H2068" s="40" t="s">
        <v>467</v>
      </c>
      <c r="I2068" s="40" t="s">
        <v>1269</v>
      </c>
      <c r="J2068" s="40" t="s">
        <v>1391</v>
      </c>
      <c r="K2068" s="40" t="s">
        <v>578</v>
      </c>
      <c r="P2068" s="40">
        <v>1</v>
      </c>
      <c r="X2068" s="40">
        <v>1</v>
      </c>
      <c r="Y2068" s="40">
        <v>1</v>
      </c>
      <c r="Z2068" s="40" t="s">
        <v>1377</v>
      </c>
      <c r="AA2068" s="91">
        <v>4</v>
      </c>
      <c r="AB2068" s="46">
        <f>IF(H2ProjectDB689571011[[#This Row],[Dummy_1]]="Electrolysis",
AA2068/VLOOKUP(G2068,ElectrolysisConvF,3,FALSE),
AC2068*10^6/(H2dens*HoursInYear))</f>
        <v>888.88888888888891</v>
      </c>
      <c r="AC2068" s="47">
        <f t="shared" si="143"/>
        <v>0.69301333333333337</v>
      </c>
      <c r="AE2068" s="46">
        <f t="shared" si="144"/>
        <v>888.88888888888891</v>
      </c>
      <c r="AG2068" s="43">
        <v>45.1726447212503</v>
      </c>
      <c r="AH2068" s="43">
        <v>-0.225200416111762</v>
      </c>
      <c r="AI2068" s="122" t="s">
        <v>7286</v>
      </c>
      <c r="AJ2068" s="41">
        <v>0.3</v>
      </c>
    </row>
    <row r="2069" spans="1:36" ht="35.1" hidden="1" customHeight="1" x14ac:dyDescent="0.25">
      <c r="A2069" s="40">
        <v>2781</v>
      </c>
      <c r="B2069" s="40" t="s">
        <v>7425</v>
      </c>
      <c r="C2069" s="40" t="s">
        <v>530</v>
      </c>
      <c r="D2069" s="44">
        <v>2024</v>
      </c>
      <c r="E2069" s="44"/>
      <c r="F2069" s="90" t="s">
        <v>5701</v>
      </c>
      <c r="G2069" s="90" t="s">
        <v>1259</v>
      </c>
      <c r="H2069" s="40" t="s">
        <v>467</v>
      </c>
      <c r="I2069" s="40" t="s">
        <v>1257</v>
      </c>
      <c r="K2069" s="40" t="s">
        <v>578</v>
      </c>
      <c r="Q2069" s="40">
        <v>1</v>
      </c>
      <c r="Z2069" s="40" t="s">
        <v>1345</v>
      </c>
      <c r="AA2069" s="91">
        <v>2.5</v>
      </c>
      <c r="AB2069" s="46">
        <f>IF(H2ProjectDB689571011[[#This Row],[Dummy_1]]="Electrolysis",
AA2069/VLOOKUP(G2069,ElectrolysisConvF,3,FALSE),
AC2069*10^6/(H2dens*HoursInYear))</f>
        <v>555.55555555555554</v>
      </c>
      <c r="AC2069" s="47">
        <f t="shared" si="143"/>
        <v>0.43313333333333331</v>
      </c>
      <c r="AE2069" s="46">
        <f t="shared" si="144"/>
        <v>555.55555555555554</v>
      </c>
      <c r="AG2069" s="43">
        <v>47.499175771438097</v>
      </c>
      <c r="AH2069" s="43">
        <v>3.9031952332001199</v>
      </c>
      <c r="AI2069" s="122" t="s">
        <v>7286</v>
      </c>
      <c r="AJ2069" s="41">
        <v>0.56999999999999995</v>
      </c>
    </row>
    <row r="2070" spans="1:36" ht="35.1" hidden="1" customHeight="1" x14ac:dyDescent="0.25">
      <c r="A2070" s="40">
        <v>2782</v>
      </c>
      <c r="B2070" s="40" t="s">
        <v>7428</v>
      </c>
      <c r="C2070" s="40" t="s">
        <v>530</v>
      </c>
      <c r="D2070" s="44">
        <v>2024</v>
      </c>
      <c r="E2070" s="44"/>
      <c r="F2070" s="90" t="s">
        <v>5701</v>
      </c>
      <c r="G2070" s="90" t="s">
        <v>1259</v>
      </c>
      <c r="H2070" s="40" t="s">
        <v>467</v>
      </c>
      <c r="I2070" s="40" t="s">
        <v>1257</v>
      </c>
      <c r="K2070" s="40" t="s">
        <v>578</v>
      </c>
      <c r="Q2070" s="40">
        <v>1</v>
      </c>
      <c r="Z2070" s="40" t="s">
        <v>7429</v>
      </c>
      <c r="AA2070" s="91">
        <v>5</v>
      </c>
      <c r="AB2070" s="46">
        <f>IF(H2ProjectDB689571011[[#This Row],[Dummy_1]]="Electrolysis",
AA2070/VLOOKUP(G2070,ElectrolysisConvF,3,FALSE),
AC2070*10^6/(H2dens*HoursInYear))</f>
        <v>1111.1111111111111</v>
      </c>
      <c r="AC2070" s="47">
        <f t="shared" si="143"/>
        <v>0.86626666666666663</v>
      </c>
      <c r="AE2070" s="46">
        <f t="shared" si="144"/>
        <v>1111.1111111111111</v>
      </c>
      <c r="AF2070" s="43" t="s">
        <v>7427</v>
      </c>
      <c r="AG2070" s="43">
        <v>47.390870757237103</v>
      </c>
      <c r="AH2070" s="43">
        <v>0.65422057100536501</v>
      </c>
      <c r="AI2070" s="122" t="s">
        <v>7286</v>
      </c>
      <c r="AJ2070" s="41">
        <v>0.56999999999999995</v>
      </c>
    </row>
    <row r="2071" spans="1:36" ht="35.1" hidden="1" customHeight="1" x14ac:dyDescent="0.25">
      <c r="A2071" s="40">
        <v>2783</v>
      </c>
      <c r="B2071" s="40" t="s">
        <v>7438</v>
      </c>
      <c r="C2071" s="40" t="s">
        <v>537</v>
      </c>
      <c r="D2071" s="44"/>
      <c r="E2071" s="44"/>
      <c r="F2071" s="90" t="s">
        <v>5701</v>
      </c>
      <c r="G2071" s="90" t="s">
        <v>1259</v>
      </c>
      <c r="H2071" s="40" t="s">
        <v>467</v>
      </c>
      <c r="I2071" s="40" t="s">
        <v>1269</v>
      </c>
      <c r="J2071" s="40" t="s">
        <v>1395</v>
      </c>
      <c r="K2071" s="40" t="s">
        <v>1242</v>
      </c>
      <c r="N2071" s="40">
        <v>1</v>
      </c>
      <c r="Z2071" s="40" t="s">
        <v>6870</v>
      </c>
      <c r="AA2071" s="47">
        <f>IF(H2ProjectDB689571011[[#This Row],[Dummy_1]]="Electrolysis",
AB2071*VLOOKUP(G2071,ElectrolysisConvF,3,FALSE),
"")</f>
        <v>662.59158072956745</v>
      </c>
      <c r="AB2071" s="46">
        <f>AC2071/(H2dens*HoursInYear/10^6)</f>
        <v>147242.57349545945</v>
      </c>
      <c r="AC2071" s="92">
        <f>300*0.191327/H2ProjectDB689571011[[#This Row],[LOWE_CF]]</f>
        <v>114.7962</v>
      </c>
      <c r="AE2071" s="46">
        <f t="shared" si="144"/>
        <v>147242.57349545945</v>
      </c>
      <c r="AF2071" s="43" t="s">
        <v>8209</v>
      </c>
      <c r="AG2071" s="43">
        <v>42.878016528371703</v>
      </c>
      <c r="AH2071" s="43">
        <v>125.10165879369301</v>
      </c>
      <c r="AI2071" s="122" t="s">
        <v>7286</v>
      </c>
      <c r="AJ2071" s="41">
        <v>0.5</v>
      </c>
    </row>
    <row r="2072" spans="1:36" ht="35.1" hidden="1" customHeight="1" x14ac:dyDescent="0.25">
      <c r="A2072" s="40">
        <v>2784</v>
      </c>
      <c r="B2072" s="90" t="s">
        <v>7441</v>
      </c>
      <c r="C2072" s="40" t="s">
        <v>539</v>
      </c>
      <c r="D2072" s="44">
        <v>2024</v>
      </c>
      <c r="E2072" s="90"/>
      <c r="F2072" s="90" t="s">
        <v>1339</v>
      </c>
      <c r="G2072" s="90" t="s">
        <v>455</v>
      </c>
      <c r="I2072" s="90" t="s">
        <v>1269</v>
      </c>
      <c r="J2072" s="90" t="s">
        <v>581</v>
      </c>
      <c r="K2072" s="90" t="s">
        <v>578</v>
      </c>
      <c r="P2072" s="90">
        <v>1</v>
      </c>
      <c r="Z2072" s="40" t="s">
        <v>1372</v>
      </c>
      <c r="AA2072" s="91">
        <v>1</v>
      </c>
      <c r="AB2072" s="46">
        <f>IF(H2ProjectDB689571011[[#This Row],[Dummy_1]]="Electrolysis",
AA2072/VLOOKUP(G2072,ElectrolysisConvF,3,FALSE),
AC2072*10^6/(H2dens*HoursInYear))</f>
        <v>192.30769230769232</v>
      </c>
      <c r="AC2072" s="47">
        <f>AB2072*H2dens*HoursInYear/10^6</f>
        <v>0.14993076923076926</v>
      </c>
      <c r="AE2072" s="46">
        <f t="shared" si="144"/>
        <v>192.30769230769232</v>
      </c>
      <c r="AF2072" s="43" t="s">
        <v>7443</v>
      </c>
      <c r="AG2072" s="43">
        <v>21.178604200525999</v>
      </c>
      <c r="AH2072" s="43">
        <v>72.661198624312604</v>
      </c>
      <c r="AI2072" s="122" t="s">
        <v>7286</v>
      </c>
      <c r="AJ2072" s="41">
        <v>0.5</v>
      </c>
    </row>
    <row r="2073" spans="1:36" ht="35.1" hidden="1" customHeight="1" x14ac:dyDescent="0.25">
      <c r="A2073" s="40">
        <v>2785</v>
      </c>
      <c r="B2073" s="40" t="s">
        <v>7447</v>
      </c>
      <c r="C2073" s="40" t="s">
        <v>1177</v>
      </c>
      <c r="D2073" s="44">
        <v>2028</v>
      </c>
      <c r="E2073" s="44"/>
      <c r="F2073" s="40" t="s">
        <v>1331</v>
      </c>
      <c r="G2073" s="40" t="s">
        <v>457</v>
      </c>
      <c r="I2073" s="40" t="s">
        <v>1266</v>
      </c>
      <c r="K2073" s="40" t="s">
        <v>1243</v>
      </c>
      <c r="M2073" s="40">
        <v>1</v>
      </c>
      <c r="Z2073" s="40" t="s">
        <v>1527</v>
      </c>
      <c r="AA2073" s="91">
        <v>120</v>
      </c>
      <c r="AB2073" s="46">
        <f>IF(H2ProjectDB689571011[[#This Row],[Dummy_1]]="Electrolysis",
AA2073/VLOOKUP(G2073,ElectrolysisConvF,3,FALSE),
AC2073*10^6/(H2dens*HoursInYear))</f>
        <v>26086.956521739132</v>
      </c>
      <c r="AC2073" s="47">
        <f>AB2073*H2dens*HoursInYear/10^6</f>
        <v>20.338434782608694</v>
      </c>
      <c r="AE2073" s="46">
        <f t="shared" si="144"/>
        <v>26086.956521739132</v>
      </c>
      <c r="AF2073" s="43" t="s">
        <v>7448</v>
      </c>
      <c r="AG2073" s="43">
        <v>9.8775675833247991</v>
      </c>
      <c r="AH2073" s="43">
        <v>-83.472494161015305</v>
      </c>
      <c r="AI2073" s="122" t="s">
        <v>7286</v>
      </c>
      <c r="AJ2073" s="41">
        <v>0.56999999999999995</v>
      </c>
    </row>
    <row r="2074" spans="1:36" ht="35.1" hidden="1" customHeight="1" x14ac:dyDescent="0.25">
      <c r="A2074" s="40">
        <v>2786</v>
      </c>
      <c r="B2074" s="40" t="s">
        <v>7451</v>
      </c>
      <c r="C2074" s="40" t="s">
        <v>1305</v>
      </c>
      <c r="D2074" s="44">
        <v>2025</v>
      </c>
      <c r="E2074" s="44"/>
      <c r="F2074" s="90" t="s">
        <v>5701</v>
      </c>
      <c r="G2074" s="90" t="s">
        <v>455</v>
      </c>
      <c r="I2074" s="40" t="s">
        <v>1266</v>
      </c>
      <c r="K2074" s="40" t="s">
        <v>578</v>
      </c>
      <c r="P2074" s="40">
        <v>1</v>
      </c>
      <c r="Q2074" s="40">
        <v>1</v>
      </c>
      <c r="R2074" s="40">
        <v>1</v>
      </c>
      <c r="Z2074" s="40" t="s">
        <v>1333</v>
      </c>
      <c r="AA2074" s="91">
        <v>10</v>
      </c>
      <c r="AB2074" s="46">
        <f>IF(H2ProjectDB689571011[[#This Row],[Dummy_1]]="Electrolysis",
AA2074/VLOOKUP(G2074,ElectrolysisConvF,3,FALSE),
AC2074*10^6/(H2dens*HoursInYear))</f>
        <v>1923.0769230769231</v>
      </c>
      <c r="AC2074" s="47">
        <f>AB2074*H2dens*HoursInYear/10^6</f>
        <v>1.4993076923076922</v>
      </c>
      <c r="AE2074" s="46">
        <f t="shared" si="144"/>
        <v>1923.0769230769231</v>
      </c>
      <c r="AF2074" s="43" t="s">
        <v>7453</v>
      </c>
      <c r="AG2074" s="43">
        <v>52.106455652704902</v>
      </c>
      <c r="AH2074" s="43">
        <v>11.649373999620201</v>
      </c>
      <c r="AI2074" s="122" t="s">
        <v>7286</v>
      </c>
      <c r="AJ2074" s="41">
        <v>0.56999999999999995</v>
      </c>
    </row>
    <row r="2075" spans="1:36" ht="35.1" hidden="1" customHeight="1" x14ac:dyDescent="0.25">
      <c r="A2075" s="40">
        <v>2787</v>
      </c>
      <c r="B2075" s="40" t="s">
        <v>7460</v>
      </c>
      <c r="C2075" s="40" t="s">
        <v>1765</v>
      </c>
      <c r="D2075" s="44"/>
      <c r="E2075" s="44"/>
      <c r="F2075" s="40" t="s">
        <v>1331</v>
      </c>
      <c r="G2075" s="40" t="s">
        <v>455</v>
      </c>
      <c r="I2075" s="40" t="s">
        <v>1257</v>
      </c>
      <c r="K2075" s="40" t="s">
        <v>578</v>
      </c>
      <c r="L2075" s="40">
        <v>1</v>
      </c>
      <c r="Z2075" s="40" t="s">
        <v>1333</v>
      </c>
      <c r="AA2075" s="91">
        <v>10</v>
      </c>
      <c r="AB2075" s="46">
        <f>IF(H2ProjectDB689571011[[#This Row],[Dummy_1]]="Electrolysis",
AA2075/VLOOKUP(G2075,ElectrolysisConvF,3,FALSE),
AC2075*10^6/(H2dens*HoursInYear))</f>
        <v>1923.0769230769231</v>
      </c>
      <c r="AC2075" s="47">
        <f>AB2075*H2dens*HoursInYear/10^6</f>
        <v>1.4993076923076922</v>
      </c>
      <c r="AE2075" s="46">
        <f t="shared" si="144"/>
        <v>1923.0769230769231</v>
      </c>
      <c r="AF2075" s="43" t="s">
        <v>7462</v>
      </c>
      <c r="AG2075" s="43">
        <v>45.2885240577018</v>
      </c>
      <c r="AH2075" s="43">
        <v>14.533456574648699</v>
      </c>
      <c r="AI2075" s="122" t="s">
        <v>7286</v>
      </c>
      <c r="AJ2075" s="41">
        <v>0.56999999999999995</v>
      </c>
    </row>
    <row r="2076" spans="1:36" ht="35.1" hidden="1" customHeight="1" x14ac:dyDescent="0.25">
      <c r="A2076" s="40">
        <v>2788</v>
      </c>
      <c r="B2076" s="40" t="s">
        <v>7480</v>
      </c>
      <c r="C2076" s="40" t="s">
        <v>1074</v>
      </c>
      <c r="D2076" s="44"/>
      <c r="E2076" s="44"/>
      <c r="F2076" s="40" t="s">
        <v>2222</v>
      </c>
      <c r="G2076" s="40" t="s">
        <v>1259</v>
      </c>
      <c r="H2076" s="40" t="s">
        <v>467</v>
      </c>
      <c r="I2076" s="40" t="s">
        <v>1269</v>
      </c>
      <c r="J2076" s="40" t="s">
        <v>581</v>
      </c>
      <c r="K2076" s="40" t="s">
        <v>578</v>
      </c>
      <c r="L2076" s="40">
        <v>1</v>
      </c>
      <c r="Z2076" s="40" t="s">
        <v>7478</v>
      </c>
      <c r="AA2076" s="47">
        <f>IF(H2ProjectDB689571011[[#This Row],[Dummy_1]]="Electrolysis",
AB2076*VLOOKUP(G2076,ElectrolysisConvF,3,FALSE),
"")</f>
        <v>63.490841927043249</v>
      </c>
      <c r="AB2076" s="46">
        <f>AC2076/(H2dens*HoursInYear/10^6)</f>
        <v>14109.07598378739</v>
      </c>
      <c r="AC2076" s="92">
        <v>11</v>
      </c>
      <c r="AE2076" s="46">
        <f t="shared" si="144"/>
        <v>14109.07598378739</v>
      </c>
      <c r="AF2076" s="43" t="s">
        <v>7481</v>
      </c>
      <c r="AG2076" s="43">
        <v>44.345872243470701</v>
      </c>
      <c r="AH2076" s="43">
        <v>28.6430176142668</v>
      </c>
      <c r="AI2076" s="122" t="s">
        <v>7286</v>
      </c>
      <c r="AJ2076" s="41">
        <v>0.5</v>
      </c>
    </row>
    <row r="2077" spans="1:36" ht="35.1" hidden="1" customHeight="1" x14ac:dyDescent="0.25">
      <c r="A2077" s="40">
        <v>2789</v>
      </c>
      <c r="B2077" s="43" t="s">
        <v>7485</v>
      </c>
      <c r="C2077" s="40" t="s">
        <v>537</v>
      </c>
      <c r="D2077" s="44">
        <v>2026</v>
      </c>
      <c r="E2077" s="44"/>
      <c r="F2077" s="40" t="s">
        <v>1331</v>
      </c>
      <c r="G2077" s="40" t="s">
        <v>457</v>
      </c>
      <c r="I2077" s="40" t="s">
        <v>1269</v>
      </c>
      <c r="J2077" s="40" t="s">
        <v>1395</v>
      </c>
      <c r="K2077" s="40" t="s">
        <v>1243</v>
      </c>
      <c r="M2077" s="40">
        <v>1</v>
      </c>
      <c r="Z2077" s="40" t="s">
        <v>8306</v>
      </c>
      <c r="AA2077" s="47">
        <f>IF(H2ProjectDB689571011[[#This Row],[Dummy_1]]="Electrolysis",
AB2077*VLOOKUP(G2077,ElectrolysisConvF,3,FALSE),
"")</f>
        <v>637.47216602509866</v>
      </c>
      <c r="AB2077" s="46">
        <f>AC2077/(H2dens*HoursInYear/10^6)</f>
        <v>138580.90565763015</v>
      </c>
      <c r="AC2077" s="46">
        <f>(300*3/17/0.98)/H2ProjectDB689571011[[#This Row],[LOWE_CF]]</f>
        <v>108.04321728691477</v>
      </c>
      <c r="AE2077" s="46">
        <f t="shared" si="144"/>
        <v>138580.90565763015</v>
      </c>
      <c r="AF2077" s="43" t="s">
        <v>8309</v>
      </c>
      <c r="AG2077" s="43">
        <v>42.272090526296303</v>
      </c>
      <c r="AH2077" s="43">
        <v>118.890974193958</v>
      </c>
      <c r="AI2077" s="122" t="s">
        <v>7286</v>
      </c>
      <c r="AJ2077" s="41">
        <v>0.5</v>
      </c>
    </row>
    <row r="2078" spans="1:36" ht="35.1" hidden="1" customHeight="1" x14ac:dyDescent="0.25">
      <c r="A2078" s="40">
        <v>2790</v>
      </c>
      <c r="B2078" s="40" t="s">
        <v>7495</v>
      </c>
      <c r="C2078" s="40" t="s">
        <v>535</v>
      </c>
      <c r="D2078" s="44">
        <v>2024</v>
      </c>
      <c r="E2078" s="44"/>
      <c r="F2078" s="40" t="s">
        <v>5701</v>
      </c>
      <c r="G2078" s="40" t="s">
        <v>457</v>
      </c>
      <c r="I2078" s="40" t="s">
        <v>1269</v>
      </c>
      <c r="J2078" s="40" t="s">
        <v>1391</v>
      </c>
      <c r="K2078" s="40" t="s">
        <v>578</v>
      </c>
      <c r="P2078" s="40">
        <v>1</v>
      </c>
      <c r="T2078" s="40">
        <v>1</v>
      </c>
      <c r="Z2078" s="40" t="s">
        <v>7497</v>
      </c>
      <c r="AA2078" s="91">
        <v>2</v>
      </c>
      <c r="AB2078" s="46">
        <f>IF(H2ProjectDB689571011[[#This Row],[Dummy_1]]="Electrolysis",
AA2078/VLOOKUP(G2078,ElectrolysisConvF,3,FALSE),
AC2078*10^6/(H2dens*HoursInYear))</f>
        <v>434.78260869565219</v>
      </c>
      <c r="AC2078" s="47">
        <f>AB2078*H2dens*HoursInYear/10^6</f>
        <v>0.33897391304347824</v>
      </c>
      <c r="AE2078" s="46">
        <f t="shared" si="144"/>
        <v>434.78260869565219</v>
      </c>
      <c r="AF2078" s="43" t="s">
        <v>7500</v>
      </c>
      <c r="AG2078" s="43">
        <v>-28.537447622540999</v>
      </c>
      <c r="AH2078" s="43">
        <v>150.28462103250001</v>
      </c>
      <c r="AI2078" s="122" t="s">
        <v>7286</v>
      </c>
      <c r="AJ2078" s="41">
        <v>0.3</v>
      </c>
    </row>
    <row r="2079" spans="1:36" ht="35.1" hidden="1" customHeight="1" x14ac:dyDescent="0.25">
      <c r="A2079" s="40">
        <v>2791</v>
      </c>
      <c r="B2079" s="40" t="s">
        <v>7496</v>
      </c>
      <c r="C2079" s="40" t="s">
        <v>535</v>
      </c>
      <c r="D2079" s="44"/>
      <c r="E2079" s="44"/>
      <c r="F2079" s="40" t="s">
        <v>2222</v>
      </c>
      <c r="G2079" s="40" t="s">
        <v>457</v>
      </c>
      <c r="I2079" s="40" t="s">
        <v>1257</v>
      </c>
      <c r="K2079" s="40" t="s">
        <v>578</v>
      </c>
      <c r="P2079" s="40">
        <v>1</v>
      </c>
      <c r="Q2079" s="40">
        <v>1</v>
      </c>
      <c r="Z2079" s="40" t="s">
        <v>7498</v>
      </c>
      <c r="AA2079" s="91">
        <v>50</v>
      </c>
      <c r="AB2079" s="46">
        <f>IF(H2ProjectDB689571011[[#This Row],[Dummy_1]]="Electrolysis",
AA2079/VLOOKUP(G2079,ElectrolysisConvF,3,FALSE),
AC2079*10^6/(H2dens*HoursInYear))</f>
        <v>10869.565217391304</v>
      </c>
      <c r="AC2079" s="47">
        <f>AB2079*H2dens*HoursInYear/10^6</f>
        <v>8.4743478260869551</v>
      </c>
      <c r="AE2079" s="46">
        <f t="shared" si="144"/>
        <v>10869.565217391304</v>
      </c>
      <c r="AF2079" s="43" t="s">
        <v>7500</v>
      </c>
      <c r="AG2079" s="43">
        <v>-28.537447622540999</v>
      </c>
      <c r="AH2079" s="43">
        <v>150.28462103250001</v>
      </c>
      <c r="AI2079" s="122" t="s">
        <v>7286</v>
      </c>
      <c r="AJ2079" s="41">
        <v>0.56999999999999995</v>
      </c>
    </row>
    <row r="2080" spans="1:36" ht="35.1" hidden="1" customHeight="1" x14ac:dyDescent="0.25">
      <c r="A2080" s="40">
        <v>2793</v>
      </c>
      <c r="B2080" s="40" t="s">
        <v>7507</v>
      </c>
      <c r="C2080" s="40" t="s">
        <v>546</v>
      </c>
      <c r="D2080" s="44">
        <v>2028</v>
      </c>
      <c r="E2080" s="44"/>
      <c r="F2080" s="40" t="s">
        <v>1331</v>
      </c>
      <c r="G2080" s="40" t="s">
        <v>1259</v>
      </c>
      <c r="H2080" s="40" t="s">
        <v>467</v>
      </c>
      <c r="I2080" s="40" t="s">
        <v>1257</v>
      </c>
      <c r="K2080" s="40" t="s">
        <v>578</v>
      </c>
      <c r="Z2080" s="40" t="s">
        <v>7508</v>
      </c>
      <c r="AA2080" s="45">
        <v>300</v>
      </c>
      <c r="AB2080" s="46">
        <f>IF(H2ProjectDB689571011[[#This Row],[Dummy_1]]="Electrolysis",
AA2080/VLOOKUP(G2080,ElectrolysisConvF,3,FALSE),
AC2080*10^6/(H2dens*HoursInYear))</f>
        <v>66666.666666666672</v>
      </c>
      <c r="AC2080" s="46">
        <f>AB2080*H2dens*HoursInYear/10^6</f>
        <v>51.975999999999999</v>
      </c>
      <c r="AE2080" s="46">
        <f t="shared" si="144"/>
        <v>66666.666666666672</v>
      </c>
      <c r="AF2080" s="43" t="s">
        <v>7510</v>
      </c>
      <c r="AG2080" s="43">
        <v>51.4189536432728</v>
      </c>
      <c r="AH2080" s="43">
        <v>3.7273982754760202</v>
      </c>
      <c r="AI2080" s="122" t="s">
        <v>7286</v>
      </c>
      <c r="AJ2080" s="41">
        <v>0.56999999999999995</v>
      </c>
    </row>
    <row r="2081" spans="1:36" ht="35.1" hidden="1" customHeight="1" x14ac:dyDescent="0.25">
      <c r="A2081" s="40">
        <v>2794</v>
      </c>
      <c r="B2081" s="40" t="s">
        <v>7511</v>
      </c>
      <c r="C2081" s="40" t="s">
        <v>546</v>
      </c>
      <c r="D2081" s="44">
        <v>2028</v>
      </c>
      <c r="E2081" s="44"/>
      <c r="F2081" s="40" t="s">
        <v>2222</v>
      </c>
      <c r="G2081" s="40" t="s">
        <v>1259</v>
      </c>
      <c r="H2081" s="40" t="s">
        <v>467</v>
      </c>
      <c r="I2081" s="40" t="s">
        <v>1269</v>
      </c>
      <c r="J2081" s="40" t="s">
        <v>1395</v>
      </c>
      <c r="K2081" s="40" t="s">
        <v>578</v>
      </c>
      <c r="P2081" s="40">
        <v>1</v>
      </c>
      <c r="Z2081" s="40" t="s">
        <v>7512</v>
      </c>
      <c r="AA2081" s="45">
        <v>60</v>
      </c>
      <c r="AB2081" s="46">
        <f>IF(H2ProjectDB689571011[[#This Row],[Dummy_1]]="Electrolysis",
AA2081/VLOOKUP(G2081,ElectrolysisConvF,3,FALSE),
AC2081*10^6/(H2dens*HoursInYear))</f>
        <v>13333.333333333334</v>
      </c>
      <c r="AC2081" s="46">
        <f>AB2081*H2dens*HoursInYear/10^6</f>
        <v>10.395200000000001</v>
      </c>
      <c r="AE2081" s="46">
        <f t="shared" si="144"/>
        <v>13333.333333333334</v>
      </c>
      <c r="AF2081" s="43" t="s">
        <v>7510</v>
      </c>
      <c r="AG2081" s="43">
        <v>51.415922607498402</v>
      </c>
      <c r="AH2081" s="43">
        <v>4.1873824750504802</v>
      </c>
      <c r="AI2081" s="122" t="s">
        <v>7286</v>
      </c>
      <c r="AJ2081" s="41">
        <v>0.5</v>
      </c>
    </row>
    <row r="2082" spans="1:36" ht="35.1" hidden="1" customHeight="1" x14ac:dyDescent="0.25">
      <c r="A2082" s="40">
        <v>2795</v>
      </c>
      <c r="B2082" s="40" t="s">
        <v>7513</v>
      </c>
      <c r="C2082" s="40" t="s">
        <v>546</v>
      </c>
      <c r="D2082" s="44">
        <v>2030</v>
      </c>
      <c r="E2082" s="44"/>
      <c r="F2082" s="90" t="s">
        <v>2222</v>
      </c>
      <c r="G2082" s="90" t="s">
        <v>1259</v>
      </c>
      <c r="H2082" s="90" t="s">
        <v>467</v>
      </c>
      <c r="I2082" s="40" t="s">
        <v>1269</v>
      </c>
      <c r="J2082" s="40" t="s">
        <v>1392</v>
      </c>
      <c r="K2082" s="40" t="s">
        <v>578</v>
      </c>
      <c r="U2082" s="40">
        <v>1</v>
      </c>
      <c r="AA2082" s="91">
        <f>IF(OR(G2082="ALK",G2082="PEM",G2082="SOEC",G2082="Other Electrolysis"),
AB2082*VLOOKUP(G2082,ElectrolysisConvF,3,FALSE),
"")</f>
        <v>0</v>
      </c>
      <c r="AE2082" s="46">
        <f t="shared" si="144"/>
        <v>0</v>
      </c>
      <c r="AF2082" s="43" t="s">
        <v>7510</v>
      </c>
      <c r="AG2082" s="43">
        <v>51.752918105637498</v>
      </c>
      <c r="AH2082" s="43">
        <v>4.1686106994397401</v>
      </c>
      <c r="AI2082" s="122" t="s">
        <v>7286</v>
      </c>
      <c r="AJ2082" s="41">
        <v>0.4</v>
      </c>
    </row>
    <row r="2083" spans="1:36" ht="35.1" hidden="1" customHeight="1" x14ac:dyDescent="0.25">
      <c r="A2083" s="40">
        <v>2796</v>
      </c>
      <c r="B2083" s="40" t="s">
        <v>7514</v>
      </c>
      <c r="C2083" s="40" t="s">
        <v>546</v>
      </c>
      <c r="D2083" s="44">
        <v>2024</v>
      </c>
      <c r="E2083" s="44"/>
      <c r="F2083" s="40" t="s">
        <v>1339</v>
      </c>
      <c r="G2083" s="40" t="s">
        <v>3239</v>
      </c>
      <c r="I2083" s="40" t="s">
        <v>1269</v>
      </c>
      <c r="J2083" s="40" t="s">
        <v>1391</v>
      </c>
      <c r="K2083" s="40" t="s">
        <v>578</v>
      </c>
      <c r="R2083" s="40">
        <v>1</v>
      </c>
      <c r="U2083" s="40">
        <v>1</v>
      </c>
      <c r="Z2083" s="43" t="s">
        <v>7515</v>
      </c>
      <c r="AA2083" s="78">
        <f>IF(H2ProjectDB689571011[[#This Row],[Dummy_1]]="Electrolysis",
AB2083*VLOOKUP(G2083,ElectrolysisConvF,3,FALSE),
"")</f>
        <v>6.7499999999999991E-2</v>
      </c>
      <c r="AB2083" s="46">
        <v>15</v>
      </c>
      <c r="AC2083" s="96">
        <f>AB2083*H2dens*HoursInYear/10^6</f>
        <v>1.1694600000000001E-2</v>
      </c>
      <c r="AE2083" s="46">
        <f t="shared" si="144"/>
        <v>15</v>
      </c>
      <c r="AF2083" s="43" t="s">
        <v>7510</v>
      </c>
      <c r="AG2083" s="43">
        <v>51.7383512019451</v>
      </c>
      <c r="AH2083" s="43">
        <v>4.2406282733439999</v>
      </c>
      <c r="AI2083" s="122" t="s">
        <v>7286</v>
      </c>
      <c r="AJ2083" s="41">
        <v>0.3</v>
      </c>
    </row>
    <row r="2084" spans="1:36" ht="35.1" hidden="1" customHeight="1" x14ac:dyDescent="0.25">
      <c r="A2084" s="40">
        <v>2797</v>
      </c>
      <c r="B2084" s="40" t="s">
        <v>7518</v>
      </c>
      <c r="C2084" s="40" t="s">
        <v>546</v>
      </c>
      <c r="D2084" s="44">
        <v>2024</v>
      </c>
      <c r="E2084" s="44"/>
      <c r="F2084" s="40" t="s">
        <v>5701</v>
      </c>
      <c r="G2084" s="40" t="s">
        <v>1259</v>
      </c>
      <c r="H2084" s="90" t="s">
        <v>467</v>
      </c>
      <c r="I2084" s="40" t="s">
        <v>1269</v>
      </c>
      <c r="J2084" s="40" t="s">
        <v>1391</v>
      </c>
      <c r="K2084" s="40" t="s">
        <v>578</v>
      </c>
      <c r="P2084" s="40">
        <v>1</v>
      </c>
      <c r="Z2084" s="40" t="s">
        <v>7519</v>
      </c>
      <c r="AA2084" s="47">
        <f>IF(H2ProjectDB689571011[[#This Row],[Dummy_1]]="Electrolysis",
AB2084*VLOOKUP(G2084,ElectrolysisConvF,3,FALSE),
"")</f>
        <v>24.049561336001229</v>
      </c>
      <c r="AB2084" s="46">
        <f>AC2084/(H2dens*HoursInYear/10^6)</f>
        <v>5344.3469635558295</v>
      </c>
      <c r="AC2084" s="92">
        <f>1.25/H2ProjectDB689571011[[#This Row],[LOWE_CF]]</f>
        <v>4.166666666666667</v>
      </c>
      <c r="AE2084" s="46">
        <f t="shared" si="144"/>
        <v>5344.3469635558295</v>
      </c>
      <c r="AF2084" s="43" t="s">
        <v>7521</v>
      </c>
      <c r="AG2084" s="43">
        <v>52.538890290326201</v>
      </c>
      <c r="AH2084" s="43">
        <v>5.5489465247505798</v>
      </c>
      <c r="AI2084" s="122" t="s">
        <v>7286</v>
      </c>
      <c r="AJ2084" s="41">
        <v>0.3</v>
      </c>
    </row>
    <row r="2085" spans="1:36" ht="35.1" hidden="1" customHeight="1" x14ac:dyDescent="0.25">
      <c r="A2085" s="40">
        <v>2798</v>
      </c>
      <c r="B2085" s="40" t="s">
        <v>7522</v>
      </c>
      <c r="C2085" s="40" t="s">
        <v>546</v>
      </c>
      <c r="D2085" s="44">
        <v>2028</v>
      </c>
      <c r="E2085" s="44"/>
      <c r="F2085" s="40" t="s">
        <v>2222</v>
      </c>
      <c r="G2085" s="40" t="s">
        <v>1259</v>
      </c>
      <c r="H2085" s="90" t="s">
        <v>467</v>
      </c>
      <c r="I2085" s="40" t="s">
        <v>1269</v>
      </c>
      <c r="J2085" s="40" t="s">
        <v>1392</v>
      </c>
      <c r="K2085" s="40" t="s">
        <v>578</v>
      </c>
      <c r="Z2085" s="40" t="s">
        <v>3158</v>
      </c>
      <c r="AA2085" s="45">
        <v>15</v>
      </c>
      <c r="AB2085" s="46">
        <f>IF(H2ProjectDB689571011[[#This Row],[Dummy_1]]="Electrolysis",
AA2085/VLOOKUP(G2085,ElectrolysisConvF,3,FALSE),
AC2085*10^6/(H2dens*HoursInYear))</f>
        <v>3333.3333333333335</v>
      </c>
      <c r="AC2085" s="46">
        <f t="shared" ref="AC2085:AC2090" si="145">AB2085*H2dens*HoursInYear/10^6</f>
        <v>2.5988000000000002</v>
      </c>
      <c r="AE2085" s="46">
        <f t="shared" si="144"/>
        <v>3333.3333333333335</v>
      </c>
      <c r="AF2085" s="43" t="s">
        <v>7510</v>
      </c>
      <c r="AG2085" s="43">
        <v>52.384690860303003</v>
      </c>
      <c r="AH2085" s="43">
        <v>5.4175697780610301</v>
      </c>
      <c r="AI2085" s="122" t="s">
        <v>7286</v>
      </c>
      <c r="AJ2085" s="41">
        <v>0.4</v>
      </c>
    </row>
    <row r="2086" spans="1:36" ht="35.1" hidden="1" customHeight="1" thickBot="1" x14ac:dyDescent="0.3">
      <c r="A2086" s="40">
        <v>2799</v>
      </c>
      <c r="B2086" s="135" t="s">
        <v>7525</v>
      </c>
      <c r="C2086" s="40" t="s">
        <v>546</v>
      </c>
      <c r="D2086" s="44"/>
      <c r="E2086" s="44"/>
      <c r="F2086" s="40" t="s">
        <v>1339</v>
      </c>
      <c r="G2086" s="40" t="s">
        <v>1259</v>
      </c>
      <c r="H2086" s="90" t="s">
        <v>467</v>
      </c>
      <c r="I2086" s="40" t="s">
        <v>1269</v>
      </c>
      <c r="J2086" s="40" t="s">
        <v>1395</v>
      </c>
      <c r="K2086" s="40" t="s">
        <v>578</v>
      </c>
      <c r="Q2086" s="40">
        <v>1</v>
      </c>
      <c r="Z2086" s="40" t="s">
        <v>7526</v>
      </c>
      <c r="AA2086" s="45">
        <v>0.25</v>
      </c>
      <c r="AB2086" s="46">
        <f>IF(H2ProjectDB689571011[[#This Row],[Dummy_1]]="Electrolysis",
AA2086/VLOOKUP(G2086,ElectrolysisConvF,3,FALSE),
AC2086*10^6/(H2dens*HoursInYear))</f>
        <v>55.555555555555557</v>
      </c>
      <c r="AC2086" s="46">
        <f t="shared" si="145"/>
        <v>4.3313333333333336E-2</v>
      </c>
      <c r="AE2086" s="46">
        <f t="shared" si="144"/>
        <v>55.555555555555557</v>
      </c>
      <c r="AF2086" s="43" t="s">
        <v>7510</v>
      </c>
      <c r="AG2086" s="43">
        <v>52.4064112505596</v>
      </c>
      <c r="AH2086" s="43">
        <v>4.7501352791601903</v>
      </c>
      <c r="AI2086" s="122" t="s">
        <v>7286</v>
      </c>
      <c r="AJ2086" s="41">
        <v>0.5</v>
      </c>
    </row>
    <row r="2087" spans="1:36" ht="35.1" hidden="1" customHeight="1" x14ac:dyDescent="0.25">
      <c r="A2087" s="40">
        <v>2800</v>
      </c>
      <c r="B2087" s="40" t="s">
        <v>7527</v>
      </c>
      <c r="C2087" s="40" t="s">
        <v>546</v>
      </c>
      <c r="D2087" s="44">
        <v>2027</v>
      </c>
      <c r="E2087" s="44"/>
      <c r="F2087" s="40" t="s">
        <v>2222</v>
      </c>
      <c r="G2087" s="40" t="s">
        <v>1259</v>
      </c>
      <c r="H2087" s="90" t="s">
        <v>467</v>
      </c>
      <c r="I2087" s="40" t="s">
        <v>1257</v>
      </c>
      <c r="K2087" s="40" t="s">
        <v>578</v>
      </c>
      <c r="Z2087" s="40" t="s">
        <v>3158</v>
      </c>
      <c r="AA2087" s="45">
        <v>15</v>
      </c>
      <c r="AB2087" s="46">
        <f>IF(H2ProjectDB689571011[[#This Row],[Dummy_1]]="Electrolysis",
AA2087/VLOOKUP(G2087,ElectrolysisConvF,3,FALSE),
AC2087*10^6/(H2dens*HoursInYear))</f>
        <v>3333.3333333333335</v>
      </c>
      <c r="AC2087" s="46">
        <f t="shared" si="145"/>
        <v>2.5988000000000002</v>
      </c>
      <c r="AE2087" s="46">
        <f t="shared" si="144"/>
        <v>3333.3333333333335</v>
      </c>
      <c r="AF2087" s="43" t="s">
        <v>7510</v>
      </c>
      <c r="AG2087" s="43">
        <v>52.393611086002601</v>
      </c>
      <c r="AH2087" s="43">
        <v>4.6576379709823801</v>
      </c>
      <c r="AI2087" s="122" t="s">
        <v>7286</v>
      </c>
      <c r="AJ2087" s="41">
        <v>0.56999999999999995</v>
      </c>
    </row>
    <row r="2088" spans="1:36" ht="35.1" hidden="1" customHeight="1" x14ac:dyDescent="0.25">
      <c r="A2088" s="40">
        <v>2801</v>
      </c>
      <c r="B2088" s="40" t="s">
        <v>7528</v>
      </c>
      <c r="C2088" s="40" t="s">
        <v>546</v>
      </c>
      <c r="D2088" s="44">
        <v>2030</v>
      </c>
      <c r="E2088" s="44"/>
      <c r="F2088" s="40" t="s">
        <v>1331</v>
      </c>
      <c r="G2088" s="40" t="s">
        <v>1259</v>
      </c>
      <c r="H2088" s="90" t="s">
        <v>467</v>
      </c>
      <c r="I2088" s="40" t="s">
        <v>1257</v>
      </c>
      <c r="K2088" s="40" t="s">
        <v>578</v>
      </c>
      <c r="Q2088" s="40">
        <v>1</v>
      </c>
      <c r="Z2088" s="40" t="s">
        <v>1344</v>
      </c>
      <c r="AA2088" s="45">
        <v>20</v>
      </c>
      <c r="AB2088" s="46">
        <f>IF(H2ProjectDB689571011[[#This Row],[Dummy_1]]="Electrolysis",
AA2088/VLOOKUP(G2088,ElectrolysisConvF,3,FALSE),
AC2088*10^6/(H2dens*HoursInYear))</f>
        <v>4444.4444444444443</v>
      </c>
      <c r="AC2088" s="46">
        <f t="shared" si="145"/>
        <v>3.4650666666666665</v>
      </c>
      <c r="AE2088" s="46">
        <f t="shared" si="144"/>
        <v>4444.4444444444443</v>
      </c>
      <c r="AF2088" s="43" t="s">
        <v>7530</v>
      </c>
      <c r="AG2088" s="43">
        <v>52.702912488723499</v>
      </c>
      <c r="AH2088" s="43">
        <v>5.8793140998114497</v>
      </c>
      <c r="AI2088" s="122" t="s">
        <v>7286</v>
      </c>
      <c r="AJ2088" s="41">
        <v>0.56999999999999995</v>
      </c>
    </row>
    <row r="2089" spans="1:36" ht="35.1" hidden="1" customHeight="1" x14ac:dyDescent="0.25">
      <c r="A2089" s="40">
        <v>2802</v>
      </c>
      <c r="B2089" s="40" t="s">
        <v>7531</v>
      </c>
      <c r="C2089" s="40" t="s">
        <v>546</v>
      </c>
      <c r="D2089" s="44">
        <v>2025</v>
      </c>
      <c r="E2089" s="44"/>
      <c r="F2089" s="40" t="s">
        <v>1331</v>
      </c>
      <c r="G2089" s="40" t="s">
        <v>1259</v>
      </c>
      <c r="H2089" s="90" t="s">
        <v>467</v>
      </c>
      <c r="I2089" s="40" t="s">
        <v>1269</v>
      </c>
      <c r="J2089" s="40" t="s">
        <v>1391</v>
      </c>
      <c r="K2089" s="40" t="s">
        <v>578</v>
      </c>
      <c r="Z2089" s="40" t="s">
        <v>7532</v>
      </c>
      <c r="AA2089" s="45">
        <v>5</v>
      </c>
      <c r="AB2089" s="46">
        <f>IF(H2ProjectDB689571011[[#This Row],[Dummy_1]]="Electrolysis",
AA2089/VLOOKUP(G2089,ElectrolysisConvF,3,FALSE),
AC2089*10^6/(H2dens*HoursInYear))</f>
        <v>1111.1111111111111</v>
      </c>
      <c r="AC2089" s="46">
        <f t="shared" si="145"/>
        <v>0.86626666666666663</v>
      </c>
      <c r="AE2089" s="46">
        <f t="shared" si="144"/>
        <v>1111.1111111111111</v>
      </c>
      <c r="AF2089" s="43" t="s">
        <v>7510</v>
      </c>
      <c r="AG2089" s="43">
        <v>52.941884441947401</v>
      </c>
      <c r="AH2089" s="43">
        <v>6.9080286967947098</v>
      </c>
      <c r="AI2089" s="122" t="s">
        <v>7286</v>
      </c>
      <c r="AJ2089" s="41">
        <v>0.3</v>
      </c>
    </row>
    <row r="2090" spans="1:36" ht="35.1" hidden="1" customHeight="1" x14ac:dyDescent="0.25">
      <c r="A2090" s="40">
        <v>2803</v>
      </c>
      <c r="B2090" s="40" t="s">
        <v>7534</v>
      </c>
      <c r="C2090" s="40" t="s">
        <v>542</v>
      </c>
      <c r="D2090" s="44"/>
      <c r="E2090" s="44"/>
      <c r="F2090" s="40" t="s">
        <v>1540</v>
      </c>
      <c r="G2090" s="40" t="s">
        <v>456</v>
      </c>
      <c r="I2090" s="40" t="s">
        <v>1680</v>
      </c>
      <c r="K2090" s="40" t="s">
        <v>578</v>
      </c>
      <c r="P2090" s="40">
        <v>1</v>
      </c>
      <c r="Z2090" s="40" t="s">
        <v>1372</v>
      </c>
      <c r="AA2090" s="45">
        <v>1</v>
      </c>
      <c r="AB2090" s="46">
        <f>IF(H2ProjectDB689571011[[#This Row],[Dummy_1]]="Electrolysis",
AA2090/VLOOKUP(G2090,ElectrolysisConvF,3,FALSE),
AC2090*10^6/(H2dens*HoursInYear))</f>
        <v>263.15789473684208</v>
      </c>
      <c r="AC2090" s="46">
        <f t="shared" si="145"/>
        <v>0.20516842105263158</v>
      </c>
      <c r="AE2090" s="46">
        <f t="shared" si="144"/>
        <v>263.15789473684208</v>
      </c>
      <c r="AF2090" s="43" t="s">
        <v>7536</v>
      </c>
      <c r="AG2090" s="43">
        <v>54.0731128254385</v>
      </c>
      <c r="AH2090" s="43">
        <v>-2.89958121602321</v>
      </c>
      <c r="AI2090" s="122" t="s">
        <v>7286</v>
      </c>
      <c r="AJ2090" s="41">
        <v>0.8</v>
      </c>
    </row>
    <row r="2091" spans="1:36" ht="35.1" hidden="1" customHeight="1" x14ac:dyDescent="0.25">
      <c r="A2091" s="40">
        <v>2804</v>
      </c>
      <c r="B2091" s="40" t="s">
        <v>7539</v>
      </c>
      <c r="C2091" s="40" t="s">
        <v>559</v>
      </c>
      <c r="D2091" s="44"/>
      <c r="E2091" s="44"/>
      <c r="F2091" s="40" t="s">
        <v>2222</v>
      </c>
      <c r="G2091" s="40" t="s">
        <v>1259</v>
      </c>
      <c r="H2091" s="90" t="s">
        <v>467</v>
      </c>
      <c r="I2091" s="40" t="s">
        <v>1269</v>
      </c>
      <c r="J2091" s="40" t="s">
        <v>1393</v>
      </c>
      <c r="K2091" s="40" t="s">
        <v>578</v>
      </c>
      <c r="Q2091" s="40">
        <v>1</v>
      </c>
      <c r="W2091" s="40">
        <v>1</v>
      </c>
      <c r="AA2091" s="91">
        <f t="shared" ref="AA2091:AA2101" si="146">IF(OR(G2091="ALK",G2091="PEM",G2091="SOEC",G2091="Other Electrolysis"),
AB2091*VLOOKUP(G2091,ElectrolysisConvF,3,FALSE),
"")</f>
        <v>0</v>
      </c>
      <c r="AE2091" s="46">
        <f t="shared" si="144"/>
        <v>0</v>
      </c>
      <c r="AF2091" s="43" t="s">
        <v>7541</v>
      </c>
      <c r="AG2091" s="43">
        <v>56.844001310832901</v>
      </c>
      <c r="AH2091" s="43">
        <v>18.024405537598199</v>
      </c>
      <c r="AI2091" s="122" t="s">
        <v>7286</v>
      </c>
      <c r="AJ2091" s="41">
        <v>0.55000000000000004</v>
      </c>
    </row>
    <row r="2092" spans="1:36" ht="35.1" hidden="1" customHeight="1" x14ac:dyDescent="0.25">
      <c r="A2092" s="40">
        <v>2805</v>
      </c>
      <c r="B2092" s="40" t="s">
        <v>7543</v>
      </c>
      <c r="C2092" s="40" t="s">
        <v>536</v>
      </c>
      <c r="D2092" s="44"/>
      <c r="E2092" s="44"/>
      <c r="F2092" s="40" t="s">
        <v>1331</v>
      </c>
      <c r="G2092" s="40" t="s">
        <v>1260</v>
      </c>
      <c r="K2092" s="40" t="s">
        <v>578</v>
      </c>
      <c r="Z2092" s="40" t="s">
        <v>7580</v>
      </c>
      <c r="AA2092" s="91" t="str">
        <f t="shared" si="146"/>
        <v/>
      </c>
      <c r="AD2092" s="46">
        <v>1500000</v>
      </c>
      <c r="AE2092" s="46">
        <f t="shared" si="144"/>
        <v>89768.218459936441</v>
      </c>
      <c r="AF2092" s="43" t="s">
        <v>7546</v>
      </c>
      <c r="AG2092" s="43">
        <v>47.333763273232996</v>
      </c>
      <c r="AH2092" s="43">
        <v>-101.772015083176</v>
      </c>
      <c r="AI2092" s="122" t="s">
        <v>7287</v>
      </c>
      <c r="AJ2092" s="41">
        <v>0.9</v>
      </c>
    </row>
    <row r="2093" spans="1:36" ht="35.1" hidden="1" customHeight="1" x14ac:dyDescent="0.25">
      <c r="A2093" s="40">
        <v>2806</v>
      </c>
      <c r="B2093" s="40" t="s">
        <v>7547</v>
      </c>
      <c r="C2093" s="40" t="s">
        <v>537</v>
      </c>
      <c r="D2093" s="44"/>
      <c r="E2093" s="44"/>
      <c r="F2093" s="40" t="s">
        <v>1331</v>
      </c>
      <c r="G2093" s="40" t="s">
        <v>1260</v>
      </c>
      <c r="K2093" s="40" t="s">
        <v>578</v>
      </c>
      <c r="Z2093" s="40" t="s">
        <v>7549</v>
      </c>
      <c r="AA2093" s="91" t="str">
        <f t="shared" si="146"/>
        <v/>
      </c>
      <c r="AD2093" s="46">
        <v>2400000</v>
      </c>
      <c r="AE2093" s="46">
        <f t="shared" si="144"/>
        <v>143629.14953589829</v>
      </c>
      <c r="AF2093" s="43" t="s">
        <v>7553</v>
      </c>
      <c r="AG2093" s="43">
        <v>36.563222836468299</v>
      </c>
      <c r="AH2093" s="43">
        <v>110.10082506846599</v>
      </c>
      <c r="AI2093" s="122" t="s">
        <v>7287</v>
      </c>
      <c r="AJ2093" s="41">
        <v>0.9</v>
      </c>
    </row>
    <row r="2094" spans="1:36" ht="35.1" hidden="1" customHeight="1" x14ac:dyDescent="0.25">
      <c r="A2094" s="40">
        <v>2807</v>
      </c>
      <c r="B2094" s="40" t="s">
        <v>7548</v>
      </c>
      <c r="C2094" s="40" t="s">
        <v>537</v>
      </c>
      <c r="D2094" s="44"/>
      <c r="E2094" s="44"/>
      <c r="F2094" s="40" t="s">
        <v>1331</v>
      </c>
      <c r="G2094" s="40" t="s">
        <v>1260</v>
      </c>
      <c r="K2094" s="40" t="s">
        <v>578</v>
      </c>
      <c r="Z2094" s="40" t="s">
        <v>7550</v>
      </c>
      <c r="AA2094" s="91" t="str">
        <f t="shared" si="146"/>
        <v/>
      </c>
      <c r="AD2094" s="46">
        <v>2300000</v>
      </c>
      <c r="AE2094" s="46">
        <f t="shared" si="144"/>
        <v>137644.60163856921</v>
      </c>
      <c r="AF2094" s="43" t="s">
        <v>7553</v>
      </c>
      <c r="AG2094" s="43">
        <v>36.563222836468299</v>
      </c>
      <c r="AH2094" s="43">
        <v>110.10082506846599</v>
      </c>
      <c r="AI2094" s="122" t="s">
        <v>7287</v>
      </c>
      <c r="AJ2094" s="41">
        <v>0.9</v>
      </c>
    </row>
    <row r="2095" spans="1:36" ht="35.1" hidden="1" customHeight="1" x14ac:dyDescent="0.25">
      <c r="A2095" s="40">
        <v>2808</v>
      </c>
      <c r="B2095" s="40" t="s">
        <v>7554</v>
      </c>
      <c r="C2095" s="40" t="s">
        <v>533</v>
      </c>
      <c r="D2095" s="44"/>
      <c r="E2095" s="44"/>
      <c r="F2095" s="40" t="s">
        <v>1331</v>
      </c>
      <c r="G2095" s="40" t="s">
        <v>1261</v>
      </c>
      <c r="H2095" s="40" t="s">
        <v>1665</v>
      </c>
      <c r="K2095" s="40" t="s">
        <v>1243</v>
      </c>
      <c r="M2095" s="40">
        <v>1</v>
      </c>
      <c r="AA2095" s="91" t="str">
        <f t="shared" si="146"/>
        <v/>
      </c>
      <c r="AE2095" s="46">
        <f t="shared" si="144"/>
        <v>0</v>
      </c>
      <c r="AF2095" s="43" t="s">
        <v>7558</v>
      </c>
      <c r="AG2095" s="43">
        <v>50.647313393155102</v>
      </c>
      <c r="AH2095" s="43">
        <v>-105.376353435732</v>
      </c>
      <c r="AI2095" s="122" t="s">
        <v>7287</v>
      </c>
      <c r="AJ2095" s="41">
        <v>0.9</v>
      </c>
    </row>
    <row r="2096" spans="1:36" ht="35.1" hidden="1" customHeight="1" x14ac:dyDescent="0.25">
      <c r="A2096" s="40">
        <v>2809</v>
      </c>
      <c r="B2096" s="40" t="s">
        <v>7559</v>
      </c>
      <c r="C2096" s="40" t="s">
        <v>1765</v>
      </c>
      <c r="D2096" s="44">
        <v>2028</v>
      </c>
      <c r="E2096" s="44"/>
      <c r="F2096" s="40" t="s">
        <v>1331</v>
      </c>
      <c r="G2096" s="40" t="s">
        <v>1261</v>
      </c>
      <c r="H2096" s="40" t="s">
        <v>1665</v>
      </c>
      <c r="K2096" s="40" t="s">
        <v>1243</v>
      </c>
      <c r="M2096" s="40">
        <v>1</v>
      </c>
      <c r="Z2096" s="40" t="s">
        <v>7560</v>
      </c>
      <c r="AA2096" s="91" t="str">
        <f t="shared" si="146"/>
        <v/>
      </c>
      <c r="AD2096" s="46">
        <v>190000</v>
      </c>
      <c r="AE2096" s="46">
        <f t="shared" si="144"/>
        <v>23821.524126188884</v>
      </c>
      <c r="AF2096" s="43" t="s">
        <v>7563</v>
      </c>
      <c r="AG2096" s="43">
        <v>45.455693583781397</v>
      </c>
      <c r="AH2096" s="43">
        <v>16.755715541912899</v>
      </c>
      <c r="AI2096" s="122" t="s">
        <v>7287</v>
      </c>
      <c r="AJ2096" s="41">
        <v>0.9</v>
      </c>
    </row>
    <row r="2097" spans="1:36" ht="35.1" hidden="1" customHeight="1" x14ac:dyDescent="0.25">
      <c r="A2097" s="40">
        <v>2810</v>
      </c>
      <c r="B2097" s="40" t="s">
        <v>7565</v>
      </c>
      <c r="C2097" s="40" t="s">
        <v>536</v>
      </c>
      <c r="D2097" s="44"/>
      <c r="E2097" s="44"/>
      <c r="F2097" s="40" t="s">
        <v>1331</v>
      </c>
      <c r="G2097" s="40" t="s">
        <v>1261</v>
      </c>
      <c r="H2097" s="40" t="s">
        <v>1665</v>
      </c>
      <c r="K2097" s="40" t="s">
        <v>1267</v>
      </c>
      <c r="W2097" s="40">
        <v>1</v>
      </c>
      <c r="Z2097" s="40" t="s">
        <v>7566</v>
      </c>
      <c r="AA2097" s="91" t="str">
        <f t="shared" si="146"/>
        <v/>
      </c>
      <c r="AD2097" s="46">
        <v>2000000</v>
      </c>
      <c r="AE2097" s="46">
        <f t="shared" si="144"/>
        <v>250752.88553883036</v>
      </c>
      <c r="AF2097" s="43" t="s">
        <v>7569</v>
      </c>
      <c r="AG2097" s="43">
        <v>48.326459008649202</v>
      </c>
      <c r="AH2097" s="43">
        <v>-103.420803079571</v>
      </c>
      <c r="AI2097" s="122" t="s">
        <v>7287</v>
      </c>
      <c r="AJ2097" s="41">
        <v>0.9</v>
      </c>
    </row>
    <row r="2098" spans="1:36" ht="35.1" hidden="1" customHeight="1" x14ac:dyDescent="0.25">
      <c r="A2098" s="40">
        <v>2811</v>
      </c>
      <c r="B2098" s="40" t="s">
        <v>7573</v>
      </c>
      <c r="C2098" s="40" t="s">
        <v>536</v>
      </c>
      <c r="D2098" s="44"/>
      <c r="E2098" s="44"/>
      <c r="F2098" s="40" t="s">
        <v>1331</v>
      </c>
      <c r="G2098" s="40" t="s">
        <v>1261</v>
      </c>
      <c r="H2098" s="40" t="s">
        <v>1665</v>
      </c>
      <c r="K2098" s="40" t="s">
        <v>1243</v>
      </c>
      <c r="M2098" s="40">
        <v>1</v>
      </c>
      <c r="AA2098" s="91" t="str">
        <f t="shared" si="146"/>
        <v/>
      </c>
      <c r="AE2098" s="46">
        <f t="shared" si="144"/>
        <v>0</v>
      </c>
      <c r="AF2098" s="43" t="s">
        <v>7575</v>
      </c>
      <c r="AG2098" s="43">
        <v>30.24</v>
      </c>
      <c r="AH2098" s="43">
        <v>-93.18</v>
      </c>
      <c r="AI2098" s="122" t="s">
        <v>7287</v>
      </c>
      <c r="AJ2098" s="41">
        <v>0.9</v>
      </c>
    </row>
    <row r="2099" spans="1:36" ht="35.1" hidden="1" customHeight="1" x14ac:dyDescent="0.25">
      <c r="A2099" s="40">
        <v>2812</v>
      </c>
      <c r="B2099" s="40" t="s">
        <v>7578</v>
      </c>
      <c r="C2099" s="40" t="s">
        <v>535</v>
      </c>
      <c r="D2099" s="44"/>
      <c r="E2099" s="44"/>
      <c r="F2099" s="40" t="s">
        <v>1331</v>
      </c>
      <c r="G2099" s="40" t="s">
        <v>1261</v>
      </c>
      <c r="H2099" s="40" t="s">
        <v>1665</v>
      </c>
      <c r="K2099" s="40" t="s">
        <v>1243</v>
      </c>
      <c r="M2099" s="40">
        <v>1</v>
      </c>
      <c r="Z2099" s="40" t="s">
        <v>3558</v>
      </c>
      <c r="AA2099" s="91" t="str">
        <f t="shared" si="146"/>
        <v/>
      </c>
      <c r="AB2099" s="46">
        <f>AC2099/(H2dens*HoursInYear/10^6)</f>
        <v>184774.54087684021</v>
      </c>
      <c r="AC2099" s="46">
        <f>800*3/17/0.98</f>
        <v>144.0576230492197</v>
      </c>
      <c r="AE2099" s="46">
        <f t="shared" si="144"/>
        <v>0</v>
      </c>
      <c r="AF2099" s="43" t="s">
        <v>8761</v>
      </c>
      <c r="AG2099" s="43">
        <v>-20.624412297857099</v>
      </c>
      <c r="AH2099" s="43">
        <v>116.783710389836</v>
      </c>
      <c r="AI2099" s="122" t="s">
        <v>7287</v>
      </c>
      <c r="AJ2099" s="41">
        <v>0.9</v>
      </c>
    </row>
    <row r="2100" spans="1:36" s="136" customFormat="1" ht="35.1" hidden="1" customHeight="1" x14ac:dyDescent="0.25">
      <c r="A2100" s="40">
        <v>2813</v>
      </c>
      <c r="B2100" s="137" t="s">
        <v>7582</v>
      </c>
      <c r="C2100" s="137" t="s">
        <v>536</v>
      </c>
      <c r="D2100" s="44"/>
      <c r="E2100" s="44"/>
      <c r="F2100" s="40" t="s">
        <v>2222</v>
      </c>
      <c r="G2100" s="40" t="s">
        <v>1261</v>
      </c>
      <c r="H2100" s="40" t="s">
        <v>1665</v>
      </c>
      <c r="I2100" s="137"/>
      <c r="J2100" s="137"/>
      <c r="K2100" s="137" t="s">
        <v>578</v>
      </c>
      <c r="L2100" s="137"/>
      <c r="M2100" s="137"/>
      <c r="N2100" s="137"/>
      <c r="O2100" s="137"/>
      <c r="P2100" s="137"/>
      <c r="Q2100" s="137"/>
      <c r="R2100" s="137"/>
      <c r="S2100" s="137"/>
      <c r="T2100" s="137"/>
      <c r="U2100" s="137"/>
      <c r="V2100" s="137"/>
      <c r="W2100" s="137"/>
      <c r="X2100" s="137"/>
      <c r="Y2100" s="137"/>
      <c r="Z2100" s="137"/>
      <c r="AA2100" s="138" t="str">
        <f t="shared" si="146"/>
        <v/>
      </c>
      <c r="AB2100" s="139"/>
      <c r="AC2100" s="139"/>
      <c r="AD2100" s="139"/>
      <c r="AE2100" s="139">
        <f t="shared" si="144"/>
        <v>0</v>
      </c>
      <c r="AF2100" s="140" t="s">
        <v>7585</v>
      </c>
      <c r="AG2100" s="43">
        <v>28.913235112747</v>
      </c>
      <c r="AH2100" s="43">
        <v>-95.762199531093302</v>
      </c>
      <c r="AI2100" s="122" t="s">
        <v>7287</v>
      </c>
      <c r="AJ2100" s="41">
        <v>0.9</v>
      </c>
    </row>
    <row r="2101" spans="1:36" s="136" customFormat="1" ht="35.1" hidden="1" customHeight="1" x14ac:dyDescent="0.25">
      <c r="A2101" s="40">
        <v>2814</v>
      </c>
      <c r="B2101" s="137" t="s">
        <v>7586</v>
      </c>
      <c r="C2101" s="137" t="s">
        <v>975</v>
      </c>
      <c r="D2101" s="44">
        <v>2030</v>
      </c>
      <c r="E2101" s="44"/>
      <c r="F2101" s="40" t="s">
        <v>2222</v>
      </c>
      <c r="G2101" s="40" t="s">
        <v>1261</v>
      </c>
      <c r="H2101" s="40" t="s">
        <v>1665</v>
      </c>
      <c r="I2101" s="137"/>
      <c r="J2101" s="137"/>
      <c r="K2101" s="137" t="s">
        <v>578</v>
      </c>
      <c r="L2101" s="137"/>
      <c r="M2101" s="137"/>
      <c r="N2101" s="137"/>
      <c r="O2101" s="137"/>
      <c r="P2101" s="137"/>
      <c r="Q2101" s="137"/>
      <c r="R2101" s="137"/>
      <c r="S2101" s="137"/>
      <c r="T2101" s="137"/>
      <c r="U2101" s="137"/>
      <c r="V2101" s="137"/>
      <c r="W2101" s="137"/>
      <c r="X2101" s="137"/>
      <c r="Y2101" s="137"/>
      <c r="Z2101" s="137"/>
      <c r="AA2101" s="138" t="str">
        <f t="shared" si="146"/>
        <v/>
      </c>
      <c r="AB2101" s="139"/>
      <c r="AC2101" s="139"/>
      <c r="AD2101" s="139"/>
      <c r="AE2101" s="139">
        <f t="shared" si="144"/>
        <v>0</v>
      </c>
      <c r="AF2101" s="140" t="s">
        <v>7588</v>
      </c>
      <c r="AG2101" s="43">
        <v>34.9144197494875</v>
      </c>
      <c r="AH2101" s="43">
        <v>127.66570214959</v>
      </c>
      <c r="AI2101" s="122" t="s">
        <v>7287</v>
      </c>
      <c r="AJ2101" s="41">
        <v>0.9</v>
      </c>
    </row>
    <row r="2102" spans="1:36" s="136" customFormat="1" ht="35.1" hidden="1" customHeight="1" x14ac:dyDescent="0.25">
      <c r="A2102" s="40">
        <v>2815</v>
      </c>
      <c r="B2102" s="137" t="s">
        <v>7592</v>
      </c>
      <c r="C2102" s="137" t="s">
        <v>1915</v>
      </c>
      <c r="D2102" s="44">
        <v>2030</v>
      </c>
      <c r="E2102" s="44"/>
      <c r="F2102" s="40" t="s">
        <v>1331</v>
      </c>
      <c r="G2102" s="40" t="s">
        <v>1259</v>
      </c>
      <c r="H2102" s="40" t="s">
        <v>467</v>
      </c>
      <c r="I2102" s="137" t="s">
        <v>1269</v>
      </c>
      <c r="J2102" s="137" t="s">
        <v>1395</v>
      </c>
      <c r="K2102" s="137" t="s">
        <v>578</v>
      </c>
      <c r="L2102" s="137"/>
      <c r="M2102" s="137"/>
      <c r="N2102" s="137"/>
      <c r="O2102" s="137"/>
      <c r="P2102" s="137"/>
      <c r="Q2102" s="137"/>
      <c r="R2102" s="137"/>
      <c r="S2102" s="137"/>
      <c r="T2102" s="137"/>
      <c r="U2102" s="137"/>
      <c r="V2102" s="137"/>
      <c r="W2102" s="137"/>
      <c r="X2102" s="137"/>
      <c r="Y2102" s="137"/>
      <c r="Z2102" s="137" t="s">
        <v>7594</v>
      </c>
      <c r="AA2102" s="138">
        <v>2000</v>
      </c>
      <c r="AB2102" s="139">
        <f>IF(H2ProjectDB689571011[[#This Row],[Dummy_1]]="Electrolysis",
AA2102/VLOOKUP(G2102,ElectrolysisConvF,3,FALSE),
AC2102*10^6/(H2dens*HoursInYear))</f>
        <v>444444.4444444445</v>
      </c>
      <c r="AC2102" s="139">
        <f>AB2102*H2dens*HoursInYear/10^6</f>
        <v>346.50666666666666</v>
      </c>
      <c r="AD2102" s="139"/>
      <c r="AE2102" s="139">
        <f t="shared" si="144"/>
        <v>444444.4444444445</v>
      </c>
      <c r="AF2102" s="140" t="s">
        <v>7598</v>
      </c>
      <c r="AG2102" s="43">
        <v>32.808647649687401</v>
      </c>
      <c r="AH2102" s="43">
        <v>9.7181754570175691</v>
      </c>
      <c r="AI2102" s="122" t="s">
        <v>7286</v>
      </c>
      <c r="AJ2102" s="41">
        <v>0.5</v>
      </c>
    </row>
    <row r="2103" spans="1:36" s="136" customFormat="1" ht="35.1" hidden="1" customHeight="1" x14ac:dyDescent="0.25">
      <c r="A2103" s="40">
        <v>2816</v>
      </c>
      <c r="B2103" s="137" t="s">
        <v>7593</v>
      </c>
      <c r="C2103" s="137" t="s">
        <v>1915</v>
      </c>
      <c r="D2103" s="44">
        <v>2035</v>
      </c>
      <c r="E2103" s="44"/>
      <c r="F2103" s="40" t="s">
        <v>2222</v>
      </c>
      <c r="G2103" s="40" t="s">
        <v>1259</v>
      </c>
      <c r="H2103" s="40" t="s">
        <v>467</v>
      </c>
      <c r="I2103" s="137" t="s">
        <v>1269</v>
      </c>
      <c r="J2103" s="137" t="s">
        <v>1395</v>
      </c>
      <c r="K2103" s="137" t="s">
        <v>578</v>
      </c>
      <c r="L2103" s="137"/>
      <c r="M2103" s="137"/>
      <c r="N2103" s="137"/>
      <c r="O2103" s="137"/>
      <c r="P2103" s="137"/>
      <c r="Q2103" s="137"/>
      <c r="R2103" s="137"/>
      <c r="S2103" s="137"/>
      <c r="T2103" s="137"/>
      <c r="U2103" s="137"/>
      <c r="V2103" s="137"/>
      <c r="W2103" s="137"/>
      <c r="X2103" s="137"/>
      <c r="Y2103" s="137"/>
      <c r="Z2103" s="137" t="s">
        <v>7595</v>
      </c>
      <c r="AA2103" s="138">
        <f>10000-AA2102</f>
        <v>8000</v>
      </c>
      <c r="AB2103" s="139">
        <f>IF(H2ProjectDB689571011[[#This Row],[Dummy_1]]="Electrolysis",
AA2103/VLOOKUP(G2103,ElectrolysisConvF,3,FALSE),
AC2103*10^6/(H2dens*HoursInYear))</f>
        <v>1777777.777777778</v>
      </c>
      <c r="AC2103" s="139">
        <f>AB2103*H2dens*HoursInYear/10^6</f>
        <v>1386.0266666666666</v>
      </c>
      <c r="AD2103" s="139"/>
      <c r="AE2103" s="139">
        <f t="shared" si="144"/>
        <v>1777777.777777778</v>
      </c>
      <c r="AF2103" s="140" t="s">
        <v>7598</v>
      </c>
      <c r="AG2103" s="43">
        <v>32.808647649687401</v>
      </c>
      <c r="AH2103" s="43">
        <v>9.7181754570175691</v>
      </c>
      <c r="AI2103" s="122" t="s">
        <v>7286</v>
      </c>
      <c r="AJ2103" s="41">
        <v>0.5</v>
      </c>
    </row>
    <row r="2104" spans="1:36" s="136" customFormat="1" ht="35.1" hidden="1" customHeight="1" x14ac:dyDescent="0.25">
      <c r="A2104" s="40">
        <v>2817</v>
      </c>
      <c r="B2104" s="137" t="s">
        <v>7599</v>
      </c>
      <c r="C2104" s="137" t="s">
        <v>1765</v>
      </c>
      <c r="D2104" s="44"/>
      <c r="E2104" s="44"/>
      <c r="F2104" s="40" t="s">
        <v>2222</v>
      </c>
      <c r="G2104" s="40" t="s">
        <v>455</v>
      </c>
      <c r="H2104" s="40"/>
      <c r="I2104" s="137" t="s">
        <v>1257</v>
      </c>
      <c r="J2104" s="137"/>
      <c r="K2104" s="137" t="s">
        <v>578</v>
      </c>
      <c r="L2104" s="137">
        <v>1</v>
      </c>
      <c r="M2104" s="137"/>
      <c r="N2104" s="137"/>
      <c r="O2104" s="137"/>
      <c r="P2104" s="137">
        <v>1</v>
      </c>
      <c r="Q2104" s="137"/>
      <c r="R2104" s="137"/>
      <c r="S2104" s="137"/>
      <c r="T2104" s="137"/>
      <c r="U2104" s="137"/>
      <c r="V2104" s="137"/>
      <c r="W2104" s="137"/>
      <c r="X2104" s="137"/>
      <c r="Y2104" s="137"/>
      <c r="Z2104" s="137" t="s">
        <v>1348</v>
      </c>
      <c r="AA2104" s="138">
        <v>10</v>
      </c>
      <c r="AB2104" s="139">
        <f>IF(H2ProjectDB689571011[[#This Row],[Dummy_1]]="Electrolysis",
AA2104/VLOOKUP(G2104,ElectrolysisConvF,3,FALSE),
AC2104*10^6/(H2dens*HoursInYear))</f>
        <v>1923.0769230769231</v>
      </c>
      <c r="AC2104" s="139">
        <f>AB2104*H2dens*HoursInYear/10^6</f>
        <v>1.4993076923076922</v>
      </c>
      <c r="AD2104" s="139"/>
      <c r="AE2104" s="139">
        <f t="shared" si="144"/>
        <v>1923.0769230769231</v>
      </c>
      <c r="AF2104" s="140" t="s">
        <v>7601</v>
      </c>
      <c r="AG2104" s="43">
        <v>45.289145799217003</v>
      </c>
      <c r="AH2104" s="43">
        <v>14.532670750989</v>
      </c>
      <c r="AI2104" s="122" t="s">
        <v>7286</v>
      </c>
      <c r="AJ2104" s="41">
        <v>0.56999999999999995</v>
      </c>
    </row>
    <row r="2105" spans="1:36" s="136" customFormat="1" ht="35.1" hidden="1" customHeight="1" x14ac:dyDescent="0.25">
      <c r="A2105" s="40">
        <v>2818</v>
      </c>
      <c r="B2105" s="137" t="s">
        <v>7602</v>
      </c>
      <c r="C2105" s="137" t="s">
        <v>535</v>
      </c>
      <c r="D2105" s="44"/>
      <c r="E2105" s="44"/>
      <c r="F2105" s="40" t="s">
        <v>1331</v>
      </c>
      <c r="G2105" s="40" t="s">
        <v>1260</v>
      </c>
      <c r="H2105" s="40"/>
      <c r="I2105" s="137"/>
      <c r="J2105" s="137"/>
      <c r="K2105" s="137" t="s">
        <v>578</v>
      </c>
      <c r="L2105" s="137"/>
      <c r="M2105" s="137"/>
      <c r="N2105" s="137"/>
      <c r="O2105" s="137"/>
      <c r="P2105" s="137"/>
      <c r="Q2105" s="137"/>
      <c r="R2105" s="137"/>
      <c r="S2105" s="137"/>
      <c r="T2105" s="137"/>
      <c r="U2105" s="137"/>
      <c r="V2105" s="137"/>
      <c r="W2105" s="137"/>
      <c r="X2105" s="137"/>
      <c r="Y2105" s="137"/>
      <c r="Z2105" s="137"/>
      <c r="AA2105" s="138"/>
      <c r="AB2105" s="139"/>
      <c r="AC2105" s="139"/>
      <c r="AD2105" s="139"/>
      <c r="AE2105" s="139">
        <f t="shared" si="144"/>
        <v>0</v>
      </c>
      <c r="AF2105" s="140" t="s">
        <v>7604</v>
      </c>
      <c r="AG2105" s="43">
        <v>-38.4370189772945</v>
      </c>
      <c r="AH2105" s="43">
        <v>146.63552983393399</v>
      </c>
      <c r="AI2105" s="122" t="s">
        <v>7287</v>
      </c>
      <c r="AJ2105" s="41">
        <v>0.9</v>
      </c>
    </row>
    <row r="2106" spans="1:36" s="136" customFormat="1" ht="35.1" hidden="1" customHeight="1" x14ac:dyDescent="0.25">
      <c r="A2106" s="40">
        <v>2819</v>
      </c>
      <c r="B2106" s="137" t="s">
        <v>7605</v>
      </c>
      <c r="C2106" s="137" t="s">
        <v>536</v>
      </c>
      <c r="D2106" s="44">
        <v>2030</v>
      </c>
      <c r="E2106" s="44"/>
      <c r="F2106" s="40" t="s">
        <v>1331</v>
      </c>
      <c r="G2106" s="40" t="s">
        <v>1261</v>
      </c>
      <c r="H2106" s="40" t="s">
        <v>1665</v>
      </c>
      <c r="I2106" s="137"/>
      <c r="J2106" s="137"/>
      <c r="K2106" s="137" t="s">
        <v>578</v>
      </c>
      <c r="L2106" s="137"/>
      <c r="M2106" s="137"/>
      <c r="N2106" s="137"/>
      <c r="O2106" s="137">
        <v>1</v>
      </c>
      <c r="P2106" s="137">
        <v>1</v>
      </c>
      <c r="Q2106" s="137">
        <v>1</v>
      </c>
      <c r="R2106" s="137">
        <v>1</v>
      </c>
      <c r="S2106" s="137"/>
      <c r="T2106" s="137"/>
      <c r="U2106" s="137"/>
      <c r="V2106" s="137"/>
      <c r="W2106" s="137"/>
      <c r="X2106" s="137"/>
      <c r="Y2106" s="137"/>
      <c r="Z2106" s="137" t="s">
        <v>7611</v>
      </c>
      <c r="AA2106" s="138" t="str">
        <f t="shared" ref="AA2106:AA2111" si="147">IF(OR(G2106="ALK",G2106="PEM",G2106="SOEC",G2106="Other Electrolysis"),
AB2106*VLOOKUP(G2106,ElectrolysisConvF,3,FALSE),
"")</f>
        <v/>
      </c>
      <c r="AB2106" s="139"/>
      <c r="AC2106" s="139">
        <f>500*365/1000</f>
        <v>182.5</v>
      </c>
      <c r="AD2106" s="139">
        <v>1700000</v>
      </c>
      <c r="AE2106" s="139">
        <f t="shared" si="144"/>
        <v>213139.95270800579</v>
      </c>
      <c r="AF2106" s="140" t="s">
        <v>7612</v>
      </c>
      <c r="AG2106" s="43">
        <v>38.723745100965999</v>
      </c>
      <c r="AH2106" s="43">
        <v>-82.101964763115006</v>
      </c>
      <c r="AI2106" s="122" t="s">
        <v>7287</v>
      </c>
      <c r="AJ2106" s="41">
        <v>0.9</v>
      </c>
    </row>
    <row r="2107" spans="1:36" s="136" customFormat="1" ht="35.1" hidden="1" customHeight="1" x14ac:dyDescent="0.25">
      <c r="A2107" s="40">
        <v>2820</v>
      </c>
      <c r="B2107" s="137" t="s">
        <v>7606</v>
      </c>
      <c r="C2107" s="137" t="s">
        <v>536</v>
      </c>
      <c r="D2107" s="44"/>
      <c r="E2107" s="44"/>
      <c r="F2107" s="40" t="s">
        <v>2222</v>
      </c>
      <c r="G2107" s="40" t="s">
        <v>1261</v>
      </c>
      <c r="H2107" s="40" t="s">
        <v>1665</v>
      </c>
      <c r="I2107" s="137"/>
      <c r="J2107" s="137"/>
      <c r="K2107" s="137" t="s">
        <v>578</v>
      </c>
      <c r="L2107" s="137"/>
      <c r="M2107" s="137"/>
      <c r="N2107" s="137"/>
      <c r="O2107" s="137">
        <v>1</v>
      </c>
      <c r="P2107" s="137">
        <v>1</v>
      </c>
      <c r="Q2107" s="137">
        <v>1</v>
      </c>
      <c r="R2107" s="137">
        <v>1</v>
      </c>
      <c r="S2107" s="137"/>
      <c r="T2107" s="137"/>
      <c r="U2107" s="137"/>
      <c r="V2107" s="137"/>
      <c r="W2107" s="137"/>
      <c r="X2107" s="137"/>
      <c r="Y2107" s="137"/>
      <c r="Z2107" s="137" t="s">
        <v>7611</v>
      </c>
      <c r="AA2107" s="138" t="str">
        <f t="shared" si="147"/>
        <v/>
      </c>
      <c r="AB2107" s="139"/>
      <c r="AC2107" s="139">
        <f>500*365/1000</f>
        <v>182.5</v>
      </c>
      <c r="AD2107" s="139">
        <v>1700000</v>
      </c>
      <c r="AE2107" s="139">
        <f t="shared" si="144"/>
        <v>213139.95270800579</v>
      </c>
      <c r="AF2107" s="140" t="s">
        <v>7612</v>
      </c>
      <c r="AG2107" s="43">
        <v>38.723745100965999</v>
      </c>
      <c r="AH2107" s="43">
        <v>-82.101964763115006</v>
      </c>
      <c r="AI2107" s="122" t="s">
        <v>7287</v>
      </c>
      <c r="AJ2107" s="41">
        <v>0.9</v>
      </c>
    </row>
    <row r="2108" spans="1:36" s="136" customFormat="1" ht="35.1" hidden="1" customHeight="1" x14ac:dyDescent="0.25">
      <c r="A2108" s="40">
        <v>2821</v>
      </c>
      <c r="B2108" s="137" t="s">
        <v>7607</v>
      </c>
      <c r="C2108" s="137" t="s">
        <v>536</v>
      </c>
      <c r="D2108" s="44"/>
      <c r="E2108" s="44"/>
      <c r="F2108" s="40" t="s">
        <v>2222</v>
      </c>
      <c r="G2108" s="40" t="s">
        <v>1261</v>
      </c>
      <c r="H2108" s="40" t="s">
        <v>1665</v>
      </c>
      <c r="I2108" s="137"/>
      <c r="J2108" s="137"/>
      <c r="K2108" s="137" t="s">
        <v>578</v>
      </c>
      <c r="L2108" s="137"/>
      <c r="M2108" s="137"/>
      <c r="N2108" s="137"/>
      <c r="O2108" s="137">
        <v>1</v>
      </c>
      <c r="P2108" s="137">
        <v>1</v>
      </c>
      <c r="Q2108" s="137">
        <v>1</v>
      </c>
      <c r="R2108" s="137">
        <v>1</v>
      </c>
      <c r="S2108" s="137"/>
      <c r="T2108" s="137"/>
      <c r="U2108" s="137"/>
      <c r="V2108" s="137"/>
      <c r="W2108" s="137"/>
      <c r="X2108" s="137"/>
      <c r="Y2108" s="137"/>
      <c r="Z2108" s="137" t="s">
        <v>7611</v>
      </c>
      <c r="AA2108" s="138" t="str">
        <f t="shared" si="147"/>
        <v/>
      </c>
      <c r="AB2108" s="139"/>
      <c r="AC2108" s="139">
        <f>500*365/1000</f>
        <v>182.5</v>
      </c>
      <c r="AD2108" s="139">
        <v>1700000</v>
      </c>
      <c r="AE2108" s="139">
        <f t="shared" si="144"/>
        <v>213139.95270800579</v>
      </c>
      <c r="AF2108" s="140" t="s">
        <v>7612</v>
      </c>
      <c r="AG2108" s="43">
        <v>38.723745100965999</v>
      </c>
      <c r="AH2108" s="43">
        <v>-82.101964763115006</v>
      </c>
      <c r="AI2108" s="122" t="s">
        <v>7287</v>
      </c>
      <c r="AJ2108" s="41">
        <v>0.9</v>
      </c>
    </row>
    <row r="2109" spans="1:36" s="136" customFormat="1" ht="35.1" hidden="1" customHeight="1" x14ac:dyDescent="0.25">
      <c r="A2109" s="40">
        <v>2822</v>
      </c>
      <c r="B2109" s="137" t="s">
        <v>7608</v>
      </c>
      <c r="C2109" s="137" t="s">
        <v>536</v>
      </c>
      <c r="D2109" s="44"/>
      <c r="E2109" s="44"/>
      <c r="F2109" s="40" t="s">
        <v>2222</v>
      </c>
      <c r="G2109" s="40" t="s">
        <v>1261</v>
      </c>
      <c r="H2109" s="40" t="s">
        <v>1665</v>
      </c>
      <c r="I2109" s="137"/>
      <c r="J2109" s="137"/>
      <c r="K2109" s="137" t="s">
        <v>578</v>
      </c>
      <c r="L2109" s="137"/>
      <c r="M2109" s="137"/>
      <c r="N2109" s="137"/>
      <c r="O2109" s="137">
        <v>1</v>
      </c>
      <c r="P2109" s="137">
        <v>1</v>
      </c>
      <c r="Q2109" s="137">
        <v>1</v>
      </c>
      <c r="R2109" s="137">
        <v>1</v>
      </c>
      <c r="S2109" s="137"/>
      <c r="T2109" s="137"/>
      <c r="U2109" s="137"/>
      <c r="V2109" s="137"/>
      <c r="W2109" s="137"/>
      <c r="X2109" s="137"/>
      <c r="Y2109" s="137"/>
      <c r="Z2109" s="137" t="s">
        <v>7611</v>
      </c>
      <c r="AA2109" s="138" t="str">
        <f t="shared" si="147"/>
        <v/>
      </c>
      <c r="AB2109" s="139"/>
      <c r="AC2109" s="139">
        <f>500*365/1000</f>
        <v>182.5</v>
      </c>
      <c r="AD2109" s="139">
        <v>1700000</v>
      </c>
      <c r="AE2109" s="139">
        <f t="shared" si="144"/>
        <v>213139.95270800579</v>
      </c>
      <c r="AF2109" s="140" t="s">
        <v>7612</v>
      </c>
      <c r="AG2109" s="43">
        <v>38.723745100965999</v>
      </c>
      <c r="AH2109" s="43">
        <v>-82.101964763115006</v>
      </c>
      <c r="AI2109" s="122" t="s">
        <v>7287</v>
      </c>
      <c r="AJ2109" s="41">
        <v>0.9</v>
      </c>
    </row>
    <row r="2110" spans="1:36" s="136" customFormat="1" ht="35.1" hidden="1" customHeight="1" x14ac:dyDescent="0.25">
      <c r="A2110" s="40">
        <v>2823</v>
      </c>
      <c r="B2110" s="137" t="s">
        <v>8466</v>
      </c>
      <c r="C2110" s="137" t="s">
        <v>536</v>
      </c>
      <c r="D2110" s="44">
        <v>2026</v>
      </c>
      <c r="E2110" s="44"/>
      <c r="F2110" s="40" t="s">
        <v>5701</v>
      </c>
      <c r="G2110" s="40" t="s">
        <v>1261</v>
      </c>
      <c r="H2110" s="40" t="s">
        <v>1665</v>
      </c>
      <c r="I2110" s="137"/>
      <c r="J2110" s="137"/>
      <c r="K2110" s="137" t="s">
        <v>578</v>
      </c>
      <c r="L2110" s="137">
        <v>1</v>
      </c>
      <c r="M2110" s="137"/>
      <c r="N2110" s="137"/>
      <c r="O2110" s="137"/>
      <c r="P2110" s="137"/>
      <c r="Q2110" s="137"/>
      <c r="R2110" s="137"/>
      <c r="S2110" s="137"/>
      <c r="T2110" s="137"/>
      <c r="U2110" s="137"/>
      <c r="V2110" s="137"/>
      <c r="W2110" s="137"/>
      <c r="X2110" s="137"/>
      <c r="Y2110" s="137"/>
      <c r="Z2110" s="137" t="s">
        <v>8463</v>
      </c>
      <c r="AA2110" s="138" t="str">
        <f t="shared" si="147"/>
        <v/>
      </c>
      <c r="AB2110" s="139"/>
      <c r="AC2110" s="139"/>
      <c r="AD2110" s="139">
        <v>650000</v>
      </c>
      <c r="AE2110" s="139">
        <f t="shared" si="144"/>
        <v>81494.687800119864</v>
      </c>
      <c r="AF2110" s="140" t="s">
        <v>8465</v>
      </c>
      <c r="AG2110" s="43">
        <v>53.796743099578997</v>
      </c>
      <c r="AH2110" s="43">
        <v>-113.09115146981701</v>
      </c>
      <c r="AI2110" s="122" t="s">
        <v>7287</v>
      </c>
      <c r="AJ2110" s="41">
        <v>0.9</v>
      </c>
    </row>
    <row r="2111" spans="1:36" s="136" customFormat="1" ht="35.1" hidden="1" customHeight="1" x14ac:dyDescent="0.25">
      <c r="A2111" s="40">
        <v>2824</v>
      </c>
      <c r="B2111" s="137" t="s">
        <v>7617</v>
      </c>
      <c r="C2111" s="137" t="s">
        <v>531</v>
      </c>
      <c r="D2111" s="44"/>
      <c r="E2111" s="44"/>
      <c r="F2111" s="40" t="s">
        <v>1331</v>
      </c>
      <c r="G2111" s="40" t="s">
        <v>1261</v>
      </c>
      <c r="H2111" s="40" t="s">
        <v>1665</v>
      </c>
      <c r="I2111" s="137"/>
      <c r="J2111" s="137"/>
      <c r="K2111" s="137" t="s">
        <v>578</v>
      </c>
      <c r="L2111" s="137">
        <v>1</v>
      </c>
      <c r="M2111" s="137"/>
      <c r="N2111" s="137"/>
      <c r="O2111" s="137"/>
      <c r="P2111" s="137"/>
      <c r="Q2111" s="137"/>
      <c r="R2111" s="137"/>
      <c r="S2111" s="137"/>
      <c r="T2111" s="137"/>
      <c r="U2111" s="137"/>
      <c r="V2111" s="137"/>
      <c r="W2111" s="137"/>
      <c r="X2111" s="137"/>
      <c r="Y2111" s="137"/>
      <c r="Z2111" s="137"/>
      <c r="AA2111" s="138" t="str">
        <f t="shared" si="147"/>
        <v/>
      </c>
      <c r="AB2111" s="139"/>
      <c r="AC2111" s="139"/>
      <c r="AD2111" s="139"/>
      <c r="AE2111" s="139">
        <f t="shared" si="144"/>
        <v>0</v>
      </c>
      <c r="AF2111" s="140" t="s">
        <v>7622</v>
      </c>
      <c r="AG2111" s="43">
        <v>60.802791297704701</v>
      </c>
      <c r="AH2111" s="43">
        <v>5.0183512119689997</v>
      </c>
      <c r="AI2111" s="122" t="s">
        <v>7287</v>
      </c>
      <c r="AJ2111" s="41">
        <v>0.9</v>
      </c>
    </row>
    <row r="2112" spans="1:36" s="136" customFormat="1" ht="35.1" hidden="1" customHeight="1" x14ac:dyDescent="0.25">
      <c r="A2112" s="40">
        <v>2825</v>
      </c>
      <c r="B2112" s="137" t="s">
        <v>7626</v>
      </c>
      <c r="C2112" s="137" t="s">
        <v>536</v>
      </c>
      <c r="D2112" s="44"/>
      <c r="E2112" s="44"/>
      <c r="F2112" s="40" t="s">
        <v>2222</v>
      </c>
      <c r="G2112" s="40" t="s">
        <v>1259</v>
      </c>
      <c r="H2112" s="40" t="s">
        <v>467</v>
      </c>
      <c r="I2112" s="137" t="s">
        <v>1257</v>
      </c>
      <c r="J2112" s="137"/>
      <c r="K2112" s="137" t="s">
        <v>578</v>
      </c>
      <c r="L2112" s="137"/>
      <c r="M2112" s="137"/>
      <c r="N2112" s="137"/>
      <c r="O2112" s="137"/>
      <c r="P2112" s="137"/>
      <c r="Q2112" s="137">
        <v>1</v>
      </c>
      <c r="R2112" s="137"/>
      <c r="S2112" s="137"/>
      <c r="T2112" s="137"/>
      <c r="U2112" s="137"/>
      <c r="V2112" s="137"/>
      <c r="W2112" s="137"/>
      <c r="X2112" s="137"/>
      <c r="Y2112" s="137"/>
      <c r="Z2112" s="137" t="s">
        <v>7627</v>
      </c>
      <c r="AA2112" s="138">
        <f>IF(H2ProjectDB689571011[[#This Row],[Dummy_1]]="Electrolysis",
AB2112*VLOOKUP(G2112,ElectrolysisConvF,3,FALSE),
"")</f>
        <v>443.52454169130687</v>
      </c>
      <c r="AB2112" s="139">
        <f>AC2112/(H2dens*HoursInYear/10^6)</f>
        <v>98561.009264734865</v>
      </c>
      <c r="AC2112" s="139">
        <f>0.12*365/H2ProjectDB689571011[[#This Row],[LOWE_CF]]</f>
        <v>76.84210526315789</v>
      </c>
      <c r="AD2112" s="139"/>
      <c r="AE2112" s="139">
        <f t="shared" si="144"/>
        <v>98561.009264734865</v>
      </c>
      <c r="AF2112" s="140" t="s">
        <v>7629</v>
      </c>
      <c r="AG2112" s="43">
        <v>33.4963936286278</v>
      </c>
      <c r="AH2112" s="43">
        <v>-112.93286643472</v>
      </c>
      <c r="AI2112" s="122" t="s">
        <v>7286</v>
      </c>
      <c r="AJ2112" s="41">
        <v>0.56999999999999995</v>
      </c>
    </row>
    <row r="2113" spans="1:36" s="136" customFormat="1" ht="35.1" hidden="1" customHeight="1" x14ac:dyDescent="0.25">
      <c r="A2113" s="40">
        <v>2826</v>
      </c>
      <c r="B2113" s="137" t="s">
        <v>7631</v>
      </c>
      <c r="C2113" s="137" t="s">
        <v>1305</v>
      </c>
      <c r="D2113" s="44">
        <v>2026</v>
      </c>
      <c r="E2113" s="44"/>
      <c r="F2113" s="40" t="s">
        <v>1331</v>
      </c>
      <c r="G2113" s="40" t="s">
        <v>457</v>
      </c>
      <c r="H2113" s="40"/>
      <c r="I2113" s="137" t="s">
        <v>1257</v>
      </c>
      <c r="J2113" s="137"/>
      <c r="K2113" s="137" t="s">
        <v>578</v>
      </c>
      <c r="L2113" s="137"/>
      <c r="M2113" s="137"/>
      <c r="N2113" s="137"/>
      <c r="O2113" s="137">
        <v>1</v>
      </c>
      <c r="P2113" s="137"/>
      <c r="Q2113" s="137"/>
      <c r="R2113" s="137"/>
      <c r="S2113" s="137"/>
      <c r="T2113" s="137"/>
      <c r="U2113" s="137"/>
      <c r="V2113" s="137"/>
      <c r="W2113" s="137"/>
      <c r="X2113" s="137"/>
      <c r="Y2113" s="137"/>
      <c r="Z2113" s="137" t="s">
        <v>7630</v>
      </c>
      <c r="AA2113" s="138">
        <v>100</v>
      </c>
      <c r="AB2113" s="139">
        <f>IF(H2ProjectDB689571011[[#This Row],[Dummy_1]]="Electrolysis",
AA2113/VLOOKUP(G2113,ElectrolysisConvF,3,FALSE),
AC2113*10^6/(H2dens*HoursInYear))</f>
        <v>21739.130434782608</v>
      </c>
      <c r="AC2113" s="139">
        <f t="shared" ref="AC2113:AC2131" si="148">AB2113*H2dens*HoursInYear/10^6</f>
        <v>16.94869565217391</v>
      </c>
      <c r="AD2113" s="139"/>
      <c r="AE2113" s="139">
        <f t="shared" si="144"/>
        <v>21739.130434782608</v>
      </c>
      <c r="AF2113" s="140" t="s">
        <v>7633</v>
      </c>
      <c r="AG2113" s="43">
        <v>52.152343461396299</v>
      </c>
      <c r="AH2113" s="43">
        <v>10.4066598815022</v>
      </c>
      <c r="AI2113" s="122" t="s">
        <v>7286</v>
      </c>
      <c r="AJ2113" s="41">
        <v>0.56999999999999995</v>
      </c>
    </row>
    <row r="2114" spans="1:36" s="136" customFormat="1" ht="35.1" hidden="1" customHeight="1" x14ac:dyDescent="0.25">
      <c r="A2114" s="40">
        <v>2827</v>
      </c>
      <c r="B2114" s="137" t="s">
        <v>7635</v>
      </c>
      <c r="C2114" s="137" t="s">
        <v>975</v>
      </c>
      <c r="D2114" s="44">
        <v>2025</v>
      </c>
      <c r="E2114" s="44"/>
      <c r="F2114" s="40" t="s">
        <v>1331</v>
      </c>
      <c r="G2114" s="40" t="s">
        <v>455</v>
      </c>
      <c r="H2114" s="40"/>
      <c r="I2114" s="137" t="s">
        <v>1257</v>
      </c>
      <c r="J2114" s="137"/>
      <c r="K2114" s="137" t="s">
        <v>578</v>
      </c>
      <c r="L2114" s="137"/>
      <c r="M2114" s="137"/>
      <c r="N2114" s="137"/>
      <c r="O2114" s="137"/>
      <c r="P2114" s="137"/>
      <c r="Q2114" s="137">
        <v>1</v>
      </c>
      <c r="R2114" s="137"/>
      <c r="S2114" s="137"/>
      <c r="T2114" s="137"/>
      <c r="U2114" s="137"/>
      <c r="V2114" s="137"/>
      <c r="W2114" s="137"/>
      <c r="X2114" s="137"/>
      <c r="Y2114" s="137"/>
      <c r="Z2114" s="137" t="s">
        <v>7636</v>
      </c>
      <c r="AA2114" s="138">
        <v>2.5</v>
      </c>
      <c r="AB2114" s="139">
        <f>IF(H2ProjectDB689571011[[#This Row],[Dummy_1]]="Electrolysis",
AA2114/VLOOKUP(G2114,ElectrolysisConvF,3,FALSE),
AC2114*10^6/(H2dens*HoursInYear))</f>
        <v>480.76923076923077</v>
      </c>
      <c r="AC2114" s="139">
        <f t="shared" si="148"/>
        <v>0.37482692307692306</v>
      </c>
      <c r="AD2114" s="139"/>
      <c r="AE2114" s="139">
        <f t="shared" si="144"/>
        <v>480.76923076923077</v>
      </c>
      <c r="AF2114" s="140" t="s">
        <v>7638</v>
      </c>
      <c r="AG2114" s="43">
        <v>35.717658315057001</v>
      </c>
      <c r="AH2114" s="43">
        <v>127.15288878689201</v>
      </c>
      <c r="AI2114" s="122" t="s">
        <v>7286</v>
      </c>
      <c r="AJ2114" s="41">
        <v>0.56999999999999995</v>
      </c>
    </row>
    <row r="2115" spans="1:36" s="136" customFormat="1" ht="35.1" hidden="1" customHeight="1" x14ac:dyDescent="0.25">
      <c r="A2115" s="40">
        <v>2828</v>
      </c>
      <c r="B2115" s="137" t="s">
        <v>7640</v>
      </c>
      <c r="C2115" s="137" t="s">
        <v>541</v>
      </c>
      <c r="D2115" s="44">
        <v>2026</v>
      </c>
      <c r="E2115" s="44"/>
      <c r="F2115" s="40" t="s">
        <v>1331</v>
      </c>
      <c r="G2115" s="40" t="s">
        <v>1259</v>
      </c>
      <c r="H2115" s="40" t="s">
        <v>467</v>
      </c>
      <c r="I2115" s="137" t="s">
        <v>5700</v>
      </c>
      <c r="J2115" s="137"/>
      <c r="K2115" s="137" t="s">
        <v>578</v>
      </c>
      <c r="L2115" s="137"/>
      <c r="M2115" s="137"/>
      <c r="N2115" s="137"/>
      <c r="O2115" s="137"/>
      <c r="P2115" s="137"/>
      <c r="Q2115" s="137"/>
      <c r="R2115" s="137"/>
      <c r="S2115" s="137"/>
      <c r="T2115" s="137"/>
      <c r="U2115" s="137"/>
      <c r="V2115" s="137"/>
      <c r="W2115" s="137"/>
      <c r="X2115" s="137"/>
      <c r="Y2115" s="137"/>
      <c r="Z2115" s="137" t="s">
        <v>1368</v>
      </c>
      <c r="AA2115" s="138">
        <v>2</v>
      </c>
      <c r="AB2115" s="139">
        <f>IF(H2ProjectDB689571011[[#This Row],[Dummy_1]]="Electrolysis",
AA2115/VLOOKUP(G2115,ElectrolysisConvF,3,FALSE),
AC2115*10^6/(H2dens*HoursInYear))</f>
        <v>444.44444444444446</v>
      </c>
      <c r="AC2115" s="139">
        <f t="shared" si="148"/>
        <v>0.34650666666666669</v>
      </c>
      <c r="AD2115" s="139"/>
      <c r="AE2115" s="139">
        <f t="shared" si="144"/>
        <v>444.44444444444446</v>
      </c>
      <c r="AF2115" s="140"/>
      <c r="AG2115" s="43">
        <v>40.565842173461597</v>
      </c>
      <c r="AH2115" s="43">
        <v>18.040821567018799</v>
      </c>
      <c r="AI2115" s="122" t="s">
        <v>7286</v>
      </c>
      <c r="AJ2115" s="41">
        <v>0.7</v>
      </c>
    </row>
    <row r="2116" spans="1:36" s="136" customFormat="1" ht="35.1" hidden="1" customHeight="1" x14ac:dyDescent="0.25">
      <c r="A2116" s="40">
        <v>2829</v>
      </c>
      <c r="B2116" s="137" t="s">
        <v>7643</v>
      </c>
      <c r="C2116" s="137" t="s">
        <v>1764</v>
      </c>
      <c r="D2116" s="44"/>
      <c r="E2116" s="44"/>
      <c r="F2116" s="40" t="s">
        <v>2222</v>
      </c>
      <c r="G2116" s="40" t="s">
        <v>1259</v>
      </c>
      <c r="H2116" s="40" t="s">
        <v>467</v>
      </c>
      <c r="I2116" s="137" t="s">
        <v>1257</v>
      </c>
      <c r="J2116" s="137"/>
      <c r="K2116" s="137" t="s">
        <v>578</v>
      </c>
      <c r="L2116" s="137"/>
      <c r="M2116" s="137"/>
      <c r="N2116" s="137"/>
      <c r="O2116" s="137"/>
      <c r="P2116" s="137">
        <v>1</v>
      </c>
      <c r="Q2116" s="137"/>
      <c r="R2116" s="137"/>
      <c r="S2116" s="137"/>
      <c r="T2116" s="137"/>
      <c r="U2116" s="137"/>
      <c r="V2116" s="137"/>
      <c r="W2116" s="137"/>
      <c r="X2116" s="137"/>
      <c r="Y2116" s="137"/>
      <c r="Z2116" s="137" t="s">
        <v>1344</v>
      </c>
      <c r="AA2116" s="138">
        <v>20</v>
      </c>
      <c r="AB2116" s="139">
        <f>IF(H2ProjectDB689571011[[#This Row],[Dummy_1]]="Electrolysis",
AA2116/VLOOKUP(G2116,ElectrolysisConvF,3,FALSE),
AC2116*10^6/(H2dens*HoursInYear))</f>
        <v>4444.4444444444443</v>
      </c>
      <c r="AC2116" s="139">
        <f t="shared" si="148"/>
        <v>3.4650666666666665</v>
      </c>
      <c r="AD2116" s="139"/>
      <c r="AE2116" s="139">
        <f t="shared" si="144"/>
        <v>4444.4444444444443</v>
      </c>
      <c r="AF2116" s="140" t="s">
        <v>7645</v>
      </c>
      <c r="AG2116" s="43">
        <v>41.3250902599708</v>
      </c>
      <c r="AH2116" s="43">
        <v>-0.42787047715887899</v>
      </c>
      <c r="AI2116" s="122" t="s">
        <v>7286</v>
      </c>
      <c r="AJ2116" s="41">
        <v>0.56999999999999995</v>
      </c>
    </row>
    <row r="2117" spans="1:36" s="136" customFormat="1" ht="35.1" hidden="1" customHeight="1" x14ac:dyDescent="0.25">
      <c r="A2117" s="40">
        <v>2830</v>
      </c>
      <c r="B2117" s="137" t="s">
        <v>7646</v>
      </c>
      <c r="C2117" s="137" t="s">
        <v>1764</v>
      </c>
      <c r="D2117" s="44">
        <v>2028</v>
      </c>
      <c r="E2117" s="44"/>
      <c r="F2117" s="40" t="s">
        <v>1331</v>
      </c>
      <c r="G2117" s="40" t="s">
        <v>1259</v>
      </c>
      <c r="H2117" s="40" t="s">
        <v>467</v>
      </c>
      <c r="I2117" s="137" t="s">
        <v>1257</v>
      </c>
      <c r="J2117" s="137"/>
      <c r="K2117" s="137" t="s">
        <v>578</v>
      </c>
      <c r="L2117" s="137"/>
      <c r="M2117" s="137"/>
      <c r="N2117" s="137">
        <v>1</v>
      </c>
      <c r="O2117" s="137"/>
      <c r="P2117" s="137"/>
      <c r="Q2117" s="137"/>
      <c r="R2117" s="137"/>
      <c r="S2117" s="137"/>
      <c r="T2117" s="137"/>
      <c r="U2117" s="137"/>
      <c r="V2117" s="137"/>
      <c r="W2117" s="137"/>
      <c r="X2117" s="137"/>
      <c r="Y2117" s="137"/>
      <c r="Z2117" s="137" t="s">
        <v>3853</v>
      </c>
      <c r="AA2117" s="138">
        <v>50</v>
      </c>
      <c r="AB2117" s="139">
        <f>IF(H2ProjectDB689571011[[#This Row],[Dummy_1]]="Electrolysis",
AA2117/VLOOKUP(G2117,ElectrolysisConvF,3,FALSE),
AC2117*10^6/(H2dens*HoursInYear))</f>
        <v>11111.111111111111</v>
      </c>
      <c r="AC2117" s="139">
        <f t="shared" si="148"/>
        <v>8.6626666666666665</v>
      </c>
      <c r="AD2117" s="139"/>
      <c r="AE2117" s="139">
        <f t="shared" si="144"/>
        <v>11111.111111111111</v>
      </c>
      <c r="AF2117" s="140" t="s">
        <v>7645</v>
      </c>
      <c r="AG2117" s="43">
        <v>43.533382639766401</v>
      </c>
      <c r="AH2117" s="43">
        <v>-5.6904521446079404</v>
      </c>
      <c r="AI2117" s="122" t="s">
        <v>7286</v>
      </c>
      <c r="AJ2117" s="41">
        <v>0.56999999999999995</v>
      </c>
    </row>
    <row r="2118" spans="1:36" s="136" customFormat="1" ht="35.1" hidden="1" customHeight="1" x14ac:dyDescent="0.25">
      <c r="A2118" s="40">
        <v>2831</v>
      </c>
      <c r="B2118" s="137" t="s">
        <v>7647</v>
      </c>
      <c r="C2118" s="137" t="s">
        <v>1764</v>
      </c>
      <c r="D2118" s="44"/>
      <c r="E2118" s="44"/>
      <c r="F2118" s="40" t="s">
        <v>2222</v>
      </c>
      <c r="G2118" s="40" t="s">
        <v>1259</v>
      </c>
      <c r="H2118" s="40" t="s">
        <v>467</v>
      </c>
      <c r="I2118" s="137" t="s">
        <v>1257</v>
      </c>
      <c r="J2118" s="137"/>
      <c r="K2118" s="137" t="s">
        <v>578</v>
      </c>
      <c r="L2118" s="137"/>
      <c r="M2118" s="137">
        <v>1</v>
      </c>
      <c r="N2118" s="137"/>
      <c r="O2118" s="137"/>
      <c r="P2118" s="137"/>
      <c r="Q2118" s="137"/>
      <c r="R2118" s="137"/>
      <c r="S2118" s="137"/>
      <c r="T2118" s="137"/>
      <c r="U2118" s="137"/>
      <c r="V2118" s="137"/>
      <c r="W2118" s="137"/>
      <c r="X2118" s="137"/>
      <c r="Y2118" s="137"/>
      <c r="Z2118" s="137" t="s">
        <v>3853</v>
      </c>
      <c r="AA2118" s="138">
        <v>50</v>
      </c>
      <c r="AB2118" s="139">
        <f>IF(H2ProjectDB689571011[[#This Row],[Dummy_1]]="Electrolysis",
AA2118/VLOOKUP(G2118,ElectrolysisConvF,3,FALSE),
AC2118*10^6/(H2dens*HoursInYear))</f>
        <v>11111.111111111111</v>
      </c>
      <c r="AC2118" s="139">
        <f t="shared" si="148"/>
        <v>8.6626666666666665</v>
      </c>
      <c r="AD2118" s="139"/>
      <c r="AE2118" s="139">
        <f t="shared" si="144"/>
        <v>11111.111111111111</v>
      </c>
      <c r="AF2118" s="140" t="s">
        <v>7645</v>
      </c>
      <c r="AG2118" s="43">
        <v>41.2350754732715</v>
      </c>
      <c r="AH2118" s="43">
        <v>-4.8939620760699402E-2</v>
      </c>
      <c r="AI2118" s="122" t="s">
        <v>7286</v>
      </c>
      <c r="AJ2118" s="41">
        <v>0.56999999999999995</v>
      </c>
    </row>
    <row r="2119" spans="1:36" s="136" customFormat="1" ht="35.1" hidden="1" customHeight="1" x14ac:dyDescent="0.25">
      <c r="A2119" s="40">
        <v>2832</v>
      </c>
      <c r="B2119" s="137" t="s">
        <v>7648</v>
      </c>
      <c r="C2119" s="137" t="s">
        <v>1764</v>
      </c>
      <c r="D2119" s="44"/>
      <c r="E2119" s="44"/>
      <c r="F2119" s="40" t="s">
        <v>2222</v>
      </c>
      <c r="G2119" s="40" t="s">
        <v>1259</v>
      </c>
      <c r="H2119" s="40" t="s">
        <v>467</v>
      </c>
      <c r="I2119" s="137" t="s">
        <v>1257</v>
      </c>
      <c r="J2119" s="137"/>
      <c r="K2119" s="137" t="s">
        <v>578</v>
      </c>
      <c r="L2119" s="137"/>
      <c r="M2119" s="137">
        <v>1</v>
      </c>
      <c r="N2119" s="137"/>
      <c r="O2119" s="137"/>
      <c r="P2119" s="137">
        <v>1</v>
      </c>
      <c r="Q2119" s="137"/>
      <c r="R2119" s="137"/>
      <c r="S2119" s="137"/>
      <c r="T2119" s="137"/>
      <c r="U2119" s="137"/>
      <c r="V2119" s="137"/>
      <c r="W2119" s="137"/>
      <c r="X2119" s="137"/>
      <c r="Y2119" s="137"/>
      <c r="Z2119" s="137" t="s">
        <v>3922</v>
      </c>
      <c r="AA2119" s="138">
        <v>40</v>
      </c>
      <c r="AB2119" s="139">
        <f>IF(H2ProjectDB689571011[[#This Row],[Dummy_1]]="Electrolysis",
AA2119/VLOOKUP(G2119,ElectrolysisConvF,3,FALSE),
AC2119*10^6/(H2dens*HoursInYear))</f>
        <v>8888.8888888888887</v>
      </c>
      <c r="AC2119" s="139">
        <f t="shared" si="148"/>
        <v>6.930133333333333</v>
      </c>
      <c r="AD2119" s="139"/>
      <c r="AE2119" s="139">
        <f t="shared" si="144"/>
        <v>8888.8888888888887</v>
      </c>
      <c r="AF2119" s="140" t="s">
        <v>7650</v>
      </c>
      <c r="AG2119" s="43">
        <v>43.455220616637597</v>
      </c>
      <c r="AH2119" s="43">
        <v>-7.8422699751174099</v>
      </c>
      <c r="AI2119" s="122" t="s">
        <v>7286</v>
      </c>
      <c r="AJ2119" s="41">
        <v>0.56999999999999995</v>
      </c>
    </row>
    <row r="2120" spans="1:36" s="136" customFormat="1" ht="35.1" hidden="1" customHeight="1" x14ac:dyDescent="0.25">
      <c r="A2120" s="40">
        <v>2833</v>
      </c>
      <c r="B2120" s="137" t="s">
        <v>7651</v>
      </c>
      <c r="C2120" s="137" t="s">
        <v>1764</v>
      </c>
      <c r="D2120" s="44">
        <v>2026</v>
      </c>
      <c r="E2120" s="44"/>
      <c r="F2120" s="40" t="s">
        <v>2222</v>
      </c>
      <c r="G2120" s="40" t="s">
        <v>455</v>
      </c>
      <c r="H2120" s="40"/>
      <c r="I2120" s="137" t="s">
        <v>1257</v>
      </c>
      <c r="J2120" s="137"/>
      <c r="K2120" s="137" t="s">
        <v>578</v>
      </c>
      <c r="L2120" s="137"/>
      <c r="M2120" s="137"/>
      <c r="N2120" s="137"/>
      <c r="O2120" s="137"/>
      <c r="P2120" s="137">
        <v>1</v>
      </c>
      <c r="Q2120" s="137">
        <v>1</v>
      </c>
      <c r="R2120" s="137"/>
      <c r="S2120" s="137"/>
      <c r="T2120" s="137"/>
      <c r="U2120" s="137"/>
      <c r="V2120" s="137"/>
      <c r="W2120" s="137"/>
      <c r="X2120" s="137"/>
      <c r="Y2120" s="137"/>
      <c r="Z2120" s="137" t="s">
        <v>7652</v>
      </c>
      <c r="AA2120" s="138">
        <v>15</v>
      </c>
      <c r="AB2120" s="139">
        <f>IF(H2ProjectDB689571011[[#This Row],[Dummy_1]]="Electrolysis",
AA2120/VLOOKUP(G2120,ElectrolysisConvF,3,FALSE),
AC2120*10^6/(H2dens*HoursInYear))</f>
        <v>2884.6153846153848</v>
      </c>
      <c r="AC2120" s="139">
        <f t="shared" si="148"/>
        <v>2.2489615384615385</v>
      </c>
      <c r="AD2120" s="139"/>
      <c r="AE2120" s="139">
        <f t="shared" si="144"/>
        <v>2884.6153846153848</v>
      </c>
      <c r="AF2120" s="140" t="s">
        <v>7654</v>
      </c>
      <c r="AG2120" s="43">
        <v>41.246448315063802</v>
      </c>
      <c r="AH2120" s="43">
        <v>1.2465010789250399</v>
      </c>
      <c r="AI2120" s="122" t="s">
        <v>7286</v>
      </c>
      <c r="AJ2120" s="41">
        <v>0.56999999999999995</v>
      </c>
    </row>
    <row r="2121" spans="1:36" s="136" customFormat="1" ht="35.1" hidden="1" customHeight="1" x14ac:dyDescent="0.25">
      <c r="A2121" s="40">
        <v>2834</v>
      </c>
      <c r="B2121" s="137" t="s">
        <v>7655</v>
      </c>
      <c r="C2121" s="137" t="s">
        <v>1764</v>
      </c>
      <c r="D2121" s="44">
        <v>2025</v>
      </c>
      <c r="E2121" s="44"/>
      <c r="F2121" s="40" t="s">
        <v>1331</v>
      </c>
      <c r="G2121" s="40" t="s">
        <v>1259</v>
      </c>
      <c r="H2121" s="40" t="s">
        <v>467</v>
      </c>
      <c r="I2121" s="137" t="s">
        <v>1257</v>
      </c>
      <c r="J2121" s="137"/>
      <c r="K2121" s="137" t="s">
        <v>578</v>
      </c>
      <c r="L2121" s="137"/>
      <c r="M2121" s="137"/>
      <c r="N2121" s="137"/>
      <c r="O2121" s="137"/>
      <c r="P2121" s="137"/>
      <c r="Q2121" s="137">
        <v>1</v>
      </c>
      <c r="R2121" s="137"/>
      <c r="S2121" s="137"/>
      <c r="T2121" s="137"/>
      <c r="U2121" s="137"/>
      <c r="V2121" s="137"/>
      <c r="W2121" s="137"/>
      <c r="X2121" s="137"/>
      <c r="Y2121" s="137"/>
      <c r="Z2121" s="137" t="s">
        <v>1348</v>
      </c>
      <c r="AA2121" s="138">
        <v>10</v>
      </c>
      <c r="AB2121" s="139">
        <f>IF(H2ProjectDB689571011[[#This Row],[Dummy_1]]="Electrolysis",
AA2121/VLOOKUP(G2121,ElectrolysisConvF,3,FALSE),
AC2121*10^6/(H2dens*HoursInYear))</f>
        <v>2222.2222222222222</v>
      </c>
      <c r="AC2121" s="139">
        <f t="shared" si="148"/>
        <v>1.7325333333333333</v>
      </c>
      <c r="AD2121" s="139"/>
      <c r="AE2121" s="139">
        <f t="shared" si="144"/>
        <v>2222.2222222222222</v>
      </c>
      <c r="AF2121" s="140" t="s">
        <v>7645</v>
      </c>
      <c r="AG2121" s="43">
        <v>43.351577053080497</v>
      </c>
      <c r="AH2121" s="43">
        <v>-3.0796417174684398</v>
      </c>
      <c r="AI2121" s="122" t="s">
        <v>7286</v>
      </c>
      <c r="AJ2121" s="41">
        <v>0.56999999999999995</v>
      </c>
    </row>
    <row r="2122" spans="1:36" s="136" customFormat="1" ht="35.1" hidden="1" customHeight="1" x14ac:dyDescent="0.25">
      <c r="A2122" s="40">
        <v>2835</v>
      </c>
      <c r="B2122" s="137" t="s">
        <v>7656</v>
      </c>
      <c r="C2122" s="137" t="s">
        <v>1764</v>
      </c>
      <c r="D2122" s="44"/>
      <c r="E2122" s="44"/>
      <c r="F2122" s="40" t="s">
        <v>2222</v>
      </c>
      <c r="G2122" s="40" t="s">
        <v>1259</v>
      </c>
      <c r="H2122" s="40" t="s">
        <v>467</v>
      </c>
      <c r="I2122" s="137" t="s">
        <v>1257</v>
      </c>
      <c r="J2122" s="137"/>
      <c r="K2122" s="137" t="s">
        <v>578</v>
      </c>
      <c r="L2122" s="137"/>
      <c r="M2122" s="137"/>
      <c r="N2122" s="137"/>
      <c r="O2122" s="137"/>
      <c r="P2122" s="137">
        <v>1</v>
      </c>
      <c r="Q2122" s="137">
        <v>1</v>
      </c>
      <c r="R2122" s="137"/>
      <c r="S2122" s="137"/>
      <c r="T2122" s="137"/>
      <c r="U2122" s="137"/>
      <c r="V2122" s="137"/>
      <c r="W2122" s="137"/>
      <c r="X2122" s="137"/>
      <c r="Y2122" s="137"/>
      <c r="Z2122" s="137" t="s">
        <v>1348</v>
      </c>
      <c r="AA2122" s="138">
        <v>10</v>
      </c>
      <c r="AB2122" s="139">
        <f>IF(H2ProjectDB689571011[[#This Row],[Dummy_1]]="Electrolysis",
AA2122/VLOOKUP(G2122,ElectrolysisConvF,3,FALSE),
AC2122*10^6/(H2dens*HoursInYear))</f>
        <v>2222.2222222222222</v>
      </c>
      <c r="AC2122" s="139">
        <f t="shared" si="148"/>
        <v>1.7325333333333333</v>
      </c>
      <c r="AD2122" s="139"/>
      <c r="AE2122" s="139">
        <f t="shared" si="144"/>
        <v>2222.2222222222222</v>
      </c>
      <c r="AF2122" s="140" t="s">
        <v>7645</v>
      </c>
      <c r="AG2122" s="43">
        <v>37.351970604781201</v>
      </c>
      <c r="AH2122" s="43">
        <v>-2.1944856404555302</v>
      </c>
      <c r="AI2122" s="122" t="s">
        <v>7286</v>
      </c>
      <c r="AJ2122" s="41">
        <v>0.56999999999999995</v>
      </c>
    </row>
    <row r="2123" spans="1:36" s="136" customFormat="1" ht="35.1" hidden="1" customHeight="1" x14ac:dyDescent="0.25">
      <c r="A2123" s="40">
        <v>2836</v>
      </c>
      <c r="B2123" s="137" t="s">
        <v>7657</v>
      </c>
      <c r="C2123" s="137" t="s">
        <v>1764</v>
      </c>
      <c r="D2123" s="44">
        <v>2028</v>
      </c>
      <c r="E2123" s="44"/>
      <c r="F2123" s="40" t="s">
        <v>2222</v>
      </c>
      <c r="G2123" s="40" t="s">
        <v>1259</v>
      </c>
      <c r="H2123" s="40" t="s">
        <v>467</v>
      </c>
      <c r="I2123" s="137" t="s">
        <v>1257</v>
      </c>
      <c r="J2123" s="137"/>
      <c r="K2123" s="137" t="s">
        <v>1242</v>
      </c>
      <c r="L2123" s="137"/>
      <c r="M2123" s="137"/>
      <c r="N2123" s="137">
        <v>1</v>
      </c>
      <c r="O2123" s="137"/>
      <c r="P2123" s="137"/>
      <c r="Q2123" s="137"/>
      <c r="R2123" s="137"/>
      <c r="S2123" s="137"/>
      <c r="T2123" s="137"/>
      <c r="U2123" s="137"/>
      <c r="V2123" s="137"/>
      <c r="W2123" s="137"/>
      <c r="X2123" s="137"/>
      <c r="Y2123" s="137"/>
      <c r="Z2123" s="137" t="s">
        <v>3853</v>
      </c>
      <c r="AA2123" s="138">
        <v>50</v>
      </c>
      <c r="AB2123" s="139">
        <f>IF(H2ProjectDB689571011[[#This Row],[Dummy_1]]="Electrolysis",
AA2123/VLOOKUP(G2123,ElectrolysisConvF,3,FALSE),
AC2123*10^6/(H2dens*HoursInYear))</f>
        <v>11111.111111111111</v>
      </c>
      <c r="AC2123" s="139">
        <f t="shared" si="148"/>
        <v>8.6626666666666665</v>
      </c>
      <c r="AD2123" s="139"/>
      <c r="AE2123" s="139">
        <f t="shared" si="144"/>
        <v>11111.111111111111</v>
      </c>
      <c r="AF2123" s="140" t="s">
        <v>7965</v>
      </c>
      <c r="AG2123" s="43">
        <v>38.961207840834</v>
      </c>
      <c r="AH2123" s="43">
        <v>-2.7453104536508199</v>
      </c>
      <c r="AI2123" s="122" t="s">
        <v>7286</v>
      </c>
      <c r="AJ2123" s="41">
        <v>0.56999999999999995</v>
      </c>
    </row>
    <row r="2124" spans="1:36" s="136" customFormat="1" ht="35.1" hidden="1" customHeight="1" x14ac:dyDescent="0.25">
      <c r="A2124" s="40">
        <v>2837</v>
      </c>
      <c r="B2124" s="137" t="s">
        <v>7660</v>
      </c>
      <c r="C2124" s="137" t="s">
        <v>1764</v>
      </c>
      <c r="D2124" s="44">
        <v>2026</v>
      </c>
      <c r="E2124" s="44"/>
      <c r="F2124" s="40" t="s">
        <v>2222</v>
      </c>
      <c r="G2124" s="40" t="s">
        <v>1259</v>
      </c>
      <c r="H2124" s="40" t="s">
        <v>467</v>
      </c>
      <c r="I2124" s="137" t="s">
        <v>1257</v>
      </c>
      <c r="J2124" s="137"/>
      <c r="K2124" s="137" t="s">
        <v>578</v>
      </c>
      <c r="L2124" s="137"/>
      <c r="M2124" s="137"/>
      <c r="N2124" s="137"/>
      <c r="O2124" s="137"/>
      <c r="P2124" s="137">
        <v>1</v>
      </c>
      <c r="Q2124" s="137"/>
      <c r="R2124" s="137"/>
      <c r="S2124" s="137"/>
      <c r="T2124" s="137"/>
      <c r="U2124" s="137"/>
      <c r="V2124" s="137"/>
      <c r="W2124" s="137">
        <v>1</v>
      </c>
      <c r="X2124" s="137"/>
      <c r="Y2124" s="137"/>
      <c r="Z2124" s="137" t="s">
        <v>1436</v>
      </c>
      <c r="AA2124" s="138">
        <v>5</v>
      </c>
      <c r="AB2124" s="139">
        <f>IF(H2ProjectDB689571011[[#This Row],[Dummy_1]]="Electrolysis",
AA2124/VLOOKUP(G2124,ElectrolysisConvF,3,FALSE),
AC2124*10^6/(H2dens*HoursInYear))</f>
        <v>1111.1111111111111</v>
      </c>
      <c r="AC2124" s="139">
        <f t="shared" si="148"/>
        <v>0.86626666666666663</v>
      </c>
      <c r="AD2124" s="139"/>
      <c r="AE2124" s="139">
        <f t="shared" si="144"/>
        <v>1111.1111111111111</v>
      </c>
      <c r="AF2124" s="140" t="s">
        <v>7659</v>
      </c>
      <c r="AG2124" s="43">
        <v>40.744110591337602</v>
      </c>
      <c r="AH2124" s="43">
        <v>-3.0293673890285699</v>
      </c>
      <c r="AI2124" s="122" t="s">
        <v>7286</v>
      </c>
      <c r="AJ2124" s="41">
        <v>0.56999999999999995</v>
      </c>
    </row>
    <row r="2125" spans="1:36" s="136" customFormat="1" ht="35.1" hidden="1" customHeight="1" x14ac:dyDescent="0.25">
      <c r="A2125" s="40">
        <v>2838</v>
      </c>
      <c r="B2125" s="137" t="s">
        <v>7666</v>
      </c>
      <c r="C2125" s="137" t="s">
        <v>536</v>
      </c>
      <c r="D2125" s="44">
        <v>2025</v>
      </c>
      <c r="E2125" s="44"/>
      <c r="F2125" s="40" t="s">
        <v>1331</v>
      </c>
      <c r="G2125" s="40" t="s">
        <v>1259</v>
      </c>
      <c r="H2125" s="40" t="s">
        <v>7668</v>
      </c>
      <c r="I2125" s="137" t="s">
        <v>1269</v>
      </c>
      <c r="J2125" s="137" t="s">
        <v>1395</v>
      </c>
      <c r="K2125" s="137" t="s">
        <v>578</v>
      </c>
      <c r="L2125" s="137"/>
      <c r="M2125" s="137"/>
      <c r="N2125" s="137"/>
      <c r="O2125" s="137"/>
      <c r="P2125" s="137"/>
      <c r="Q2125" s="137"/>
      <c r="R2125" s="137"/>
      <c r="S2125" s="137"/>
      <c r="T2125" s="137"/>
      <c r="U2125" s="137"/>
      <c r="V2125" s="137"/>
      <c r="W2125" s="137"/>
      <c r="X2125" s="137"/>
      <c r="Y2125" s="137"/>
      <c r="Z2125" s="137" t="s">
        <v>7669</v>
      </c>
      <c r="AA2125" s="138">
        <v>2200</v>
      </c>
      <c r="AB2125" s="139">
        <f>IF(H2ProjectDB689571011[[#This Row],[Dummy_1]]="Electrolysis",
AA2125/VLOOKUP(G2125,ElectrolysisConvF,3,FALSE),
AC2125*10^6/(H2dens*HoursInYear))</f>
        <v>488888.88888888893</v>
      </c>
      <c r="AC2125" s="139">
        <f t="shared" si="148"/>
        <v>381.15733333333333</v>
      </c>
      <c r="AD2125" s="139"/>
      <c r="AE2125" s="139">
        <f t="shared" si="144"/>
        <v>488888.88888888893</v>
      </c>
      <c r="AF2125" s="140" t="s">
        <v>7671</v>
      </c>
      <c r="AG2125" s="43">
        <v>31.562562526181701</v>
      </c>
      <c r="AH2125" s="43">
        <v>-88.845240460178303</v>
      </c>
      <c r="AI2125" s="122" t="s">
        <v>7286</v>
      </c>
      <c r="AJ2125" s="41">
        <v>0.5</v>
      </c>
    </row>
    <row r="2126" spans="1:36" s="136" customFormat="1" ht="35.1" hidden="1" customHeight="1" x14ac:dyDescent="0.25">
      <c r="A2126" s="40">
        <v>2839</v>
      </c>
      <c r="B2126" s="137" t="s">
        <v>7667</v>
      </c>
      <c r="C2126" s="137" t="s">
        <v>536</v>
      </c>
      <c r="D2126" s="44"/>
      <c r="E2126" s="44"/>
      <c r="F2126" s="40" t="s">
        <v>5701</v>
      </c>
      <c r="G2126" s="40" t="s">
        <v>457</v>
      </c>
      <c r="H2126" s="40"/>
      <c r="I2126" s="137" t="s">
        <v>1257</v>
      </c>
      <c r="J2126" s="137"/>
      <c r="K2126" s="137" t="s">
        <v>1243</v>
      </c>
      <c r="L2126" s="137"/>
      <c r="M2126" s="137"/>
      <c r="N2126" s="137"/>
      <c r="O2126" s="137"/>
      <c r="P2126" s="137"/>
      <c r="Q2126" s="137">
        <v>1</v>
      </c>
      <c r="R2126" s="137"/>
      <c r="S2126" s="137"/>
      <c r="T2126" s="137"/>
      <c r="U2126" s="137"/>
      <c r="V2126" s="137"/>
      <c r="W2126" s="137"/>
      <c r="X2126" s="137"/>
      <c r="Y2126" s="137"/>
      <c r="Z2126" s="137" t="s">
        <v>2323</v>
      </c>
      <c r="AA2126" s="138">
        <v>200</v>
      </c>
      <c r="AB2126" s="139">
        <f>IF(H2ProjectDB689571011[[#This Row],[Dummy_1]]="Electrolysis",
AA2126/VLOOKUP(G2126,ElectrolysisConvF,3,FALSE),
AC2126*10^6/(H2dens*HoursInYear))</f>
        <v>43478.260869565216</v>
      </c>
      <c r="AC2126" s="139">
        <f t="shared" si="148"/>
        <v>33.897391304347821</v>
      </c>
      <c r="AD2126" s="139"/>
      <c r="AE2126" s="139">
        <f t="shared" si="144"/>
        <v>43478.260869565216</v>
      </c>
      <c r="AF2126" s="140"/>
      <c r="AG2126" s="43">
        <v>40.919116234073499</v>
      </c>
      <c r="AH2126" s="43">
        <v>-100.158185265754</v>
      </c>
      <c r="AI2126" s="122" t="s">
        <v>7286</v>
      </c>
      <c r="AJ2126" s="41">
        <v>0.56999999999999995</v>
      </c>
    </row>
    <row r="2127" spans="1:36" s="136" customFormat="1" ht="35.1" hidden="1" customHeight="1" x14ac:dyDescent="0.25">
      <c r="A2127" s="40">
        <v>2840</v>
      </c>
      <c r="B2127" s="137" t="s">
        <v>7672</v>
      </c>
      <c r="C2127" s="137" t="s">
        <v>539</v>
      </c>
      <c r="D2127" s="44"/>
      <c r="E2127" s="44"/>
      <c r="F2127" s="40" t="s">
        <v>2222</v>
      </c>
      <c r="G2127" s="40" t="s">
        <v>1259</v>
      </c>
      <c r="H2127" s="40" t="s">
        <v>467</v>
      </c>
      <c r="I2127" s="137" t="s">
        <v>1257</v>
      </c>
      <c r="J2127" s="137"/>
      <c r="K2127" s="137" t="s">
        <v>578</v>
      </c>
      <c r="L2127" s="137"/>
      <c r="M2127" s="137"/>
      <c r="N2127" s="137"/>
      <c r="O2127" s="137"/>
      <c r="P2127" s="137"/>
      <c r="Q2127" s="137"/>
      <c r="R2127" s="137"/>
      <c r="S2127" s="137"/>
      <c r="T2127" s="137"/>
      <c r="U2127" s="137"/>
      <c r="V2127" s="137"/>
      <c r="W2127" s="137"/>
      <c r="X2127" s="137"/>
      <c r="Y2127" s="137"/>
      <c r="Z2127" s="137" t="s">
        <v>1334</v>
      </c>
      <c r="AA2127" s="138">
        <v>1000</v>
      </c>
      <c r="AB2127" s="139">
        <f>IF(H2ProjectDB689571011[[#This Row],[Dummy_1]]="Electrolysis",
AA2127/VLOOKUP(G2127,ElectrolysisConvF,3,FALSE),
AC2127*10^6/(H2dens*HoursInYear))</f>
        <v>222222.22222222225</v>
      </c>
      <c r="AC2127" s="139">
        <f t="shared" si="148"/>
        <v>173.25333333333333</v>
      </c>
      <c r="AD2127" s="139"/>
      <c r="AE2127" s="139">
        <f t="shared" si="144"/>
        <v>222222.22222222225</v>
      </c>
      <c r="AF2127" s="140" t="s">
        <v>7674</v>
      </c>
      <c r="AG2127" s="43">
        <v>21.9263617017798</v>
      </c>
      <c r="AH2127" s="43">
        <v>71.540087091086605</v>
      </c>
      <c r="AI2127" s="122" t="s">
        <v>7286</v>
      </c>
      <c r="AJ2127" s="41">
        <v>0.56999999999999995</v>
      </c>
    </row>
    <row r="2128" spans="1:36" s="136" customFormat="1" ht="35.1" hidden="1" customHeight="1" x14ac:dyDescent="0.25">
      <c r="A2128" s="40">
        <v>2841</v>
      </c>
      <c r="B2128" s="137" t="s">
        <v>7675</v>
      </c>
      <c r="C2128" s="137" t="s">
        <v>560</v>
      </c>
      <c r="D2128" s="44"/>
      <c r="E2128" s="44"/>
      <c r="F2128" s="40" t="s">
        <v>1331</v>
      </c>
      <c r="G2128" s="40" t="s">
        <v>455</v>
      </c>
      <c r="H2128" s="40"/>
      <c r="I2128" s="137" t="s">
        <v>1269</v>
      </c>
      <c r="J2128" s="137" t="s">
        <v>1392</v>
      </c>
      <c r="K2128" s="137" t="s">
        <v>578</v>
      </c>
      <c r="L2128" s="137"/>
      <c r="M2128" s="137"/>
      <c r="N2128" s="137"/>
      <c r="O2128" s="137"/>
      <c r="P2128" s="137">
        <v>1</v>
      </c>
      <c r="Q2128" s="137"/>
      <c r="R2128" s="137"/>
      <c r="S2128" s="137"/>
      <c r="T2128" s="137"/>
      <c r="U2128" s="137"/>
      <c r="V2128" s="137"/>
      <c r="W2128" s="137"/>
      <c r="X2128" s="137"/>
      <c r="Y2128" s="137"/>
      <c r="Z2128" s="137" t="s">
        <v>1495</v>
      </c>
      <c r="AA2128" s="138">
        <v>20</v>
      </c>
      <c r="AB2128" s="139">
        <f>IF(H2ProjectDB689571011[[#This Row],[Dummy_1]]="Electrolysis",
AA2128/VLOOKUP(G2128,ElectrolysisConvF,3,FALSE),
AC2128*10^6/(H2dens*HoursInYear))</f>
        <v>3846.1538461538462</v>
      </c>
      <c r="AC2128" s="139">
        <f t="shared" si="148"/>
        <v>2.9986153846153845</v>
      </c>
      <c r="AD2128" s="139"/>
      <c r="AE2128" s="139">
        <f t="shared" si="144"/>
        <v>3846.1538461538462</v>
      </c>
      <c r="AF2128" s="140" t="s">
        <v>8014</v>
      </c>
      <c r="AG2128" s="43">
        <v>-22.433168960130001</v>
      </c>
      <c r="AH2128" s="43">
        <v>-68.995067602294498</v>
      </c>
      <c r="AI2128" s="122" t="s">
        <v>7286</v>
      </c>
      <c r="AJ2128" s="41">
        <v>0.4</v>
      </c>
    </row>
    <row r="2129" spans="1:36" s="136" customFormat="1" ht="35.1" hidden="1" customHeight="1" x14ac:dyDescent="0.25">
      <c r="A2129" s="40">
        <v>2842</v>
      </c>
      <c r="B2129" s="137" t="s">
        <v>7676</v>
      </c>
      <c r="C2129" s="137" t="s">
        <v>560</v>
      </c>
      <c r="D2129" s="44"/>
      <c r="E2129" s="44"/>
      <c r="F2129" s="40" t="s">
        <v>2222</v>
      </c>
      <c r="G2129" s="40" t="s">
        <v>1259</v>
      </c>
      <c r="H2129" s="40" t="s">
        <v>467</v>
      </c>
      <c r="I2129" s="137" t="s">
        <v>1269</v>
      </c>
      <c r="J2129" s="137" t="s">
        <v>1392</v>
      </c>
      <c r="K2129" s="137" t="s">
        <v>578</v>
      </c>
      <c r="L2129" s="137"/>
      <c r="M2129" s="137"/>
      <c r="N2129" s="137"/>
      <c r="O2129" s="137"/>
      <c r="P2129" s="137">
        <v>1</v>
      </c>
      <c r="Q2129" s="137"/>
      <c r="R2129" s="137"/>
      <c r="S2129" s="137"/>
      <c r="T2129" s="137"/>
      <c r="U2129" s="137"/>
      <c r="V2129" s="137"/>
      <c r="W2129" s="137"/>
      <c r="X2129" s="137"/>
      <c r="Y2129" s="137"/>
      <c r="Z2129" s="137" t="s">
        <v>1485</v>
      </c>
      <c r="AA2129" s="138">
        <v>80</v>
      </c>
      <c r="AB2129" s="139">
        <f>IF(H2ProjectDB689571011[[#This Row],[Dummy_1]]="Electrolysis",
AA2129/VLOOKUP(G2129,ElectrolysisConvF,3,FALSE),
AC2129*10^6/(H2dens*HoursInYear))</f>
        <v>17777.777777777777</v>
      </c>
      <c r="AC2129" s="139">
        <f t="shared" si="148"/>
        <v>13.860266666666666</v>
      </c>
      <c r="AD2129" s="139"/>
      <c r="AE2129" s="139">
        <f t="shared" si="144"/>
        <v>17777.777777777777</v>
      </c>
      <c r="AF2129" s="140" t="s">
        <v>8015</v>
      </c>
      <c r="AG2129" s="43">
        <v>-22.433168960130001</v>
      </c>
      <c r="AH2129" s="43">
        <v>-68.995067602294498</v>
      </c>
      <c r="AI2129" s="122" t="s">
        <v>7286</v>
      </c>
      <c r="AJ2129" s="41">
        <v>0.4</v>
      </c>
    </row>
    <row r="2130" spans="1:36" s="136" customFormat="1" ht="35.1" hidden="1" customHeight="1" x14ac:dyDescent="0.25">
      <c r="A2130" s="40">
        <v>2843</v>
      </c>
      <c r="B2130" s="137" t="s">
        <v>7677</v>
      </c>
      <c r="C2130" s="137" t="s">
        <v>560</v>
      </c>
      <c r="D2130" s="44"/>
      <c r="E2130" s="44"/>
      <c r="F2130" s="40" t="s">
        <v>2222</v>
      </c>
      <c r="G2130" s="40" t="s">
        <v>1259</v>
      </c>
      <c r="H2130" s="40" t="s">
        <v>467</v>
      </c>
      <c r="I2130" s="137" t="s">
        <v>1269</v>
      </c>
      <c r="J2130" s="137" t="s">
        <v>1392</v>
      </c>
      <c r="K2130" s="137" t="s">
        <v>578</v>
      </c>
      <c r="L2130" s="137"/>
      <c r="M2130" s="137"/>
      <c r="N2130" s="137"/>
      <c r="O2130" s="137"/>
      <c r="P2130" s="137">
        <v>1</v>
      </c>
      <c r="Q2130" s="137"/>
      <c r="R2130" s="137"/>
      <c r="S2130" s="137"/>
      <c r="T2130" s="137"/>
      <c r="U2130" s="137"/>
      <c r="V2130" s="137"/>
      <c r="W2130" s="137"/>
      <c r="X2130" s="137"/>
      <c r="Y2130" s="137"/>
      <c r="Z2130" s="137" t="s">
        <v>1574</v>
      </c>
      <c r="AA2130" s="138">
        <v>100</v>
      </c>
      <c r="AB2130" s="139">
        <f>IF(H2ProjectDB689571011[[#This Row],[Dummy_1]]="Electrolysis",
AA2130/VLOOKUP(G2130,ElectrolysisConvF,3,FALSE),
AC2130*10^6/(H2dens*HoursInYear))</f>
        <v>22222.222222222223</v>
      </c>
      <c r="AC2130" s="139">
        <f t="shared" si="148"/>
        <v>17.325333333333333</v>
      </c>
      <c r="AD2130" s="139"/>
      <c r="AE2130" s="139">
        <f t="shared" ref="AE2130:AE2131" si="149">IF(AND(G2130&lt;&gt;"NG w CCUS",G2130&lt;&gt;"Oil w CCUS",G2130&lt;&gt;"Coal w CCUS"),AB2130,AD2130*10^3/(HoursInYear*IF(G2130="NG w CCUS",0.9105,1.9075)))</f>
        <v>22222.222222222223</v>
      </c>
      <c r="AF2130" s="140" t="s">
        <v>8015</v>
      </c>
      <c r="AG2130" s="43">
        <v>-22.433168960130001</v>
      </c>
      <c r="AH2130" s="43">
        <v>-68.995067602294498</v>
      </c>
      <c r="AI2130" s="122" t="s">
        <v>7286</v>
      </c>
      <c r="AJ2130" s="41">
        <v>0.4</v>
      </c>
    </row>
    <row r="2131" spans="1:36" s="136" customFormat="1" ht="35.1" hidden="1" customHeight="1" x14ac:dyDescent="0.25">
      <c r="A2131" s="40">
        <v>2844</v>
      </c>
      <c r="B2131" s="137" t="s">
        <v>7679</v>
      </c>
      <c r="C2131" s="137" t="s">
        <v>531</v>
      </c>
      <c r="D2131" s="44">
        <v>2030</v>
      </c>
      <c r="E2131" s="44"/>
      <c r="F2131" s="40" t="s">
        <v>2222</v>
      </c>
      <c r="G2131" s="40" t="s">
        <v>1259</v>
      </c>
      <c r="H2131" s="40" t="s">
        <v>467</v>
      </c>
      <c r="I2131" s="137" t="s">
        <v>1257</v>
      </c>
      <c r="J2131" s="137"/>
      <c r="K2131" s="137" t="s">
        <v>1267</v>
      </c>
      <c r="L2131" s="137"/>
      <c r="M2131" s="137"/>
      <c r="N2131" s="137"/>
      <c r="O2131" s="137"/>
      <c r="P2131" s="137"/>
      <c r="Q2131" s="137"/>
      <c r="R2131" s="137"/>
      <c r="S2131" s="137"/>
      <c r="T2131" s="137"/>
      <c r="U2131" s="137"/>
      <c r="V2131" s="137"/>
      <c r="W2131" s="137">
        <v>1</v>
      </c>
      <c r="X2131" s="137"/>
      <c r="Y2131" s="137"/>
      <c r="Z2131" s="137" t="s">
        <v>8720</v>
      </c>
      <c r="AA2131" s="138">
        <v>34</v>
      </c>
      <c r="AB2131" s="139">
        <f>IF(H2ProjectDB689571011[[#This Row],[Dummy_1]]="Electrolysis",
AA2131/VLOOKUP(G2131,ElectrolysisConvF,3,FALSE),
AC2131*10^6/(H2dens*HoursInYear))</f>
        <v>7555.5555555555566</v>
      </c>
      <c r="AC2131" s="139">
        <f t="shared" si="148"/>
        <v>5.8906133333333326</v>
      </c>
      <c r="AD2131" s="139"/>
      <c r="AE2131" s="139">
        <f t="shared" si="149"/>
        <v>7555.5555555555566</v>
      </c>
      <c r="AF2131" s="140" t="s">
        <v>7681</v>
      </c>
      <c r="AG2131" s="43">
        <v>66.310621210796498</v>
      </c>
      <c r="AH2131" s="43">
        <v>14.167640641419601</v>
      </c>
      <c r="AI2131" s="122" t="s">
        <v>7286</v>
      </c>
      <c r="AJ2131" s="41">
        <v>0.56999999999999995</v>
      </c>
    </row>
    <row r="2132" spans="1:36" s="136" customFormat="1" ht="35.1" hidden="1" customHeight="1" x14ac:dyDescent="0.25">
      <c r="A2132" s="40">
        <v>2845</v>
      </c>
      <c r="B2132" s="137" t="s">
        <v>7682</v>
      </c>
      <c r="C2132" s="137" t="s">
        <v>1086</v>
      </c>
      <c r="D2132" s="44"/>
      <c r="E2132" s="44"/>
      <c r="F2132" s="40" t="s">
        <v>2222</v>
      </c>
      <c r="G2132" s="40" t="s">
        <v>1259</v>
      </c>
      <c r="H2132" s="40" t="s">
        <v>467</v>
      </c>
      <c r="I2132" s="137" t="s">
        <v>1266</v>
      </c>
      <c r="J2132" s="137"/>
      <c r="K2132" s="137" t="s">
        <v>1243</v>
      </c>
      <c r="L2132" s="137"/>
      <c r="M2132" s="137">
        <v>1</v>
      </c>
      <c r="N2132" s="137"/>
      <c r="O2132" s="137"/>
      <c r="P2132" s="137"/>
      <c r="Q2132" s="137"/>
      <c r="R2132" s="137"/>
      <c r="S2132" s="137"/>
      <c r="T2132" s="137"/>
      <c r="U2132" s="137"/>
      <c r="V2132" s="137"/>
      <c r="W2132" s="137"/>
      <c r="X2132" s="137"/>
      <c r="Y2132" s="137"/>
      <c r="Z2132" s="137"/>
      <c r="AA2132" s="138"/>
      <c r="AB2132" s="139"/>
      <c r="AC2132" s="139"/>
      <c r="AD2132" s="139"/>
      <c r="AE2132" s="139"/>
      <c r="AF2132" s="140" t="s">
        <v>7685</v>
      </c>
      <c r="AG2132" s="43">
        <v>2.2559056805465301</v>
      </c>
      <c r="AH2132" s="43">
        <v>32.241589998520801</v>
      </c>
      <c r="AI2132" s="122" t="s">
        <v>7286</v>
      </c>
      <c r="AJ2132" s="41">
        <v>0.56999999999999995</v>
      </c>
    </row>
    <row r="2133" spans="1:36" s="136" customFormat="1" ht="35.1" hidden="1" customHeight="1" x14ac:dyDescent="0.25">
      <c r="A2133" s="40">
        <v>2846</v>
      </c>
      <c r="B2133" s="137" t="s">
        <v>7686</v>
      </c>
      <c r="C2133" s="137" t="s">
        <v>542</v>
      </c>
      <c r="D2133" s="44">
        <v>2028</v>
      </c>
      <c r="E2133" s="44"/>
      <c r="F2133" s="40" t="s">
        <v>2222</v>
      </c>
      <c r="G2133" s="40" t="s">
        <v>1259</v>
      </c>
      <c r="H2133" s="40" t="s">
        <v>467</v>
      </c>
      <c r="I2133" s="137" t="s">
        <v>1257</v>
      </c>
      <c r="J2133" s="137"/>
      <c r="K2133" s="137" t="s">
        <v>578</v>
      </c>
      <c r="L2133" s="137"/>
      <c r="M2133" s="137"/>
      <c r="N2133" s="137"/>
      <c r="O2133" s="137"/>
      <c r="P2133" s="137">
        <v>1</v>
      </c>
      <c r="Q2133" s="137">
        <v>1</v>
      </c>
      <c r="R2133" s="137"/>
      <c r="S2133" s="137"/>
      <c r="T2133" s="137"/>
      <c r="U2133" s="137"/>
      <c r="V2133" s="137"/>
      <c r="W2133" s="137"/>
      <c r="X2133" s="137"/>
      <c r="Y2133" s="137"/>
      <c r="Z2133" s="137" t="s">
        <v>1495</v>
      </c>
      <c r="AA2133" s="138">
        <v>20</v>
      </c>
      <c r="AB2133" s="139">
        <f>IF(H2ProjectDB689571011[[#This Row],[Dummy_1]]="Electrolysis",
AA2133/VLOOKUP(G2133,ElectrolysisConvF,3,FALSE),
AC2133*10^6/(H2dens*HoursInYear))</f>
        <v>4444.4444444444443</v>
      </c>
      <c r="AC2133" s="139">
        <f>AB2133*H2dens*HoursInYear/10^6</f>
        <v>3.4650666666666665</v>
      </c>
      <c r="AD2133" s="139"/>
      <c r="AE2133" s="139">
        <f t="shared" ref="AE2133:AE2196" si="150">IF(AND(G2133&lt;&gt;"NG w CCUS",G2133&lt;&gt;"Oil w CCUS",G2133&lt;&gt;"Coal w CCUS"),AB2133,AD2133*10^3/(HoursInYear*IF(G2133="NG w CCUS",0.9105,1.9075)))</f>
        <v>4444.4444444444443</v>
      </c>
      <c r="AF2133" s="140" t="s">
        <v>7687</v>
      </c>
      <c r="AG2133" s="43">
        <v>54.996836698060399</v>
      </c>
      <c r="AH2133" s="43">
        <v>-1.6473155960055901</v>
      </c>
      <c r="AI2133" s="122" t="s">
        <v>7286</v>
      </c>
      <c r="AJ2133" s="41">
        <v>0.56999999999999995</v>
      </c>
    </row>
    <row r="2134" spans="1:36" ht="33" hidden="1" customHeight="1" x14ac:dyDescent="0.25">
      <c r="A2134" s="40">
        <v>2847</v>
      </c>
      <c r="B2134" s="40" t="s">
        <v>7689</v>
      </c>
      <c r="C2134" s="40" t="s">
        <v>1764</v>
      </c>
      <c r="F2134" s="40" t="s">
        <v>2222</v>
      </c>
      <c r="G2134" s="40" t="s">
        <v>1259</v>
      </c>
      <c r="H2134" s="40" t="s">
        <v>467</v>
      </c>
      <c r="I2134" s="40" t="s">
        <v>1269</v>
      </c>
      <c r="J2134" s="40" t="s">
        <v>1395</v>
      </c>
      <c r="K2134" s="40" t="s">
        <v>578</v>
      </c>
      <c r="Z2134" s="40" t="s">
        <v>1334</v>
      </c>
      <c r="AA2134" s="45">
        <v>1000</v>
      </c>
      <c r="AB2134" s="46">
        <f>IF(H2ProjectDB689571011[[#This Row],[Dummy_1]]="Electrolysis",
AA2134/VLOOKUP(G2134,ElectrolysisConvF,3,FALSE),
AC2134*10^6/(H2dens*HoursInYear))</f>
        <v>222222.22222222225</v>
      </c>
      <c r="AC2134" s="47">
        <f>AB2134*H2dens*HoursInYear/10^6</f>
        <v>173.25333333333333</v>
      </c>
      <c r="AE2134" s="46">
        <f t="shared" si="150"/>
        <v>222222.22222222225</v>
      </c>
      <c r="AF2134" s="43" t="s">
        <v>7691</v>
      </c>
      <c r="AG2134" s="43">
        <v>38.946058220786597</v>
      </c>
      <c r="AH2134" s="43">
        <v>-2.0005009584815601</v>
      </c>
      <c r="AI2134" s="122" t="s">
        <v>7286</v>
      </c>
      <c r="AJ2134" s="41">
        <v>0.5</v>
      </c>
    </row>
    <row r="2135" spans="1:36" ht="33" hidden="1" customHeight="1" x14ac:dyDescent="0.25">
      <c r="A2135" s="40">
        <v>2848</v>
      </c>
      <c r="B2135" s="40" t="s">
        <v>7699</v>
      </c>
      <c r="C2135" s="40" t="s">
        <v>1305</v>
      </c>
      <c r="F2135" s="40" t="s">
        <v>2222</v>
      </c>
      <c r="G2135" s="40" t="s">
        <v>1259</v>
      </c>
      <c r="H2135" s="40" t="s">
        <v>467</v>
      </c>
      <c r="I2135" s="40" t="s">
        <v>1257</v>
      </c>
      <c r="K2135" s="40" t="s">
        <v>578</v>
      </c>
      <c r="O2135" s="40">
        <v>1</v>
      </c>
      <c r="Z2135" s="40" t="s">
        <v>7700</v>
      </c>
      <c r="AA2135" s="45">
        <f>520-157</f>
        <v>363</v>
      </c>
      <c r="AB2135" s="46">
        <f>IF(H2ProjectDB689571011[[#This Row],[Dummy_1]]="Electrolysis",
AA2135/VLOOKUP(G2135,ElectrolysisConvF,3,FALSE),
AC2135*10^6/(H2dens*HoursInYear))</f>
        <v>80666.666666666672</v>
      </c>
      <c r="AC2135" s="47">
        <f>AB2135*H2dens*HoursInYear/10^6</f>
        <v>62.89096</v>
      </c>
      <c r="AE2135" s="46">
        <f t="shared" si="150"/>
        <v>80666.666666666672</v>
      </c>
      <c r="AF2135" s="43" t="s">
        <v>7703</v>
      </c>
      <c r="AG2135" s="43">
        <v>51.444854155168301</v>
      </c>
      <c r="AH2135" s="43">
        <v>6.7221927045360399</v>
      </c>
      <c r="AI2135" s="122" t="s">
        <v>7286</v>
      </c>
      <c r="AJ2135" s="41">
        <v>0.56999999999999995</v>
      </c>
    </row>
    <row r="2136" spans="1:36" ht="29.25" hidden="1" customHeight="1" x14ac:dyDescent="0.25">
      <c r="A2136" s="40">
        <v>2849</v>
      </c>
      <c r="B2136" s="40" t="s">
        <v>7712</v>
      </c>
      <c r="C2136" s="40" t="s">
        <v>1764</v>
      </c>
      <c r="F2136" s="40" t="s">
        <v>2222</v>
      </c>
      <c r="G2136" s="40" t="s">
        <v>1259</v>
      </c>
      <c r="H2136" s="40" t="s">
        <v>467</v>
      </c>
      <c r="I2136" s="40" t="s">
        <v>1269</v>
      </c>
      <c r="J2136" s="40" t="s">
        <v>1395</v>
      </c>
      <c r="K2136" s="40" t="s">
        <v>1242</v>
      </c>
      <c r="P2136" s="40">
        <v>1</v>
      </c>
      <c r="Q2136" s="40">
        <v>1</v>
      </c>
      <c r="Z2136" s="40" t="s">
        <v>7711</v>
      </c>
      <c r="AA2136" s="45">
        <v>300</v>
      </c>
      <c r="AB2136" s="46">
        <f>IF(H2ProjectDB689571011[[#This Row],[Dummy_1]]="Electrolysis",
AA2136/VLOOKUP(G2136,ElectrolysisConvF,3,FALSE),
AC2136*10^6/(H2dens*HoursInYear))</f>
        <v>66666.666666666672</v>
      </c>
      <c r="AC2136" s="47">
        <f>AB2136*H2dens*HoursInYear/10^6</f>
        <v>51.975999999999999</v>
      </c>
      <c r="AE2136" s="46">
        <f t="shared" si="150"/>
        <v>66666.666666666672</v>
      </c>
      <c r="AF2136" s="43" t="s">
        <v>7710</v>
      </c>
      <c r="AG2136" s="43">
        <v>41.481604823242002</v>
      </c>
      <c r="AH2136" s="43">
        <v>-2.5289754706679002</v>
      </c>
      <c r="AI2136" s="122" t="s">
        <v>7286</v>
      </c>
      <c r="AJ2136" s="41">
        <v>0.5</v>
      </c>
    </row>
    <row r="2137" spans="1:36" ht="29.25" hidden="1" customHeight="1" x14ac:dyDescent="0.25">
      <c r="A2137" s="40">
        <v>2850</v>
      </c>
      <c r="B2137" s="40" t="s">
        <v>7713</v>
      </c>
      <c r="C2137" s="40" t="s">
        <v>542</v>
      </c>
      <c r="D2137" s="44">
        <v>2025</v>
      </c>
      <c r="E2137" s="44"/>
      <c r="F2137" s="40" t="s">
        <v>1331</v>
      </c>
      <c r="G2137" s="40" t="s">
        <v>1259</v>
      </c>
      <c r="H2137" s="40" t="s">
        <v>467</v>
      </c>
      <c r="I2137" s="40" t="s">
        <v>1257</v>
      </c>
      <c r="K2137" s="40" t="s">
        <v>578</v>
      </c>
      <c r="R2137" s="40">
        <v>1</v>
      </c>
      <c r="Z2137" s="40" t="s">
        <v>7716</v>
      </c>
      <c r="AA2137" s="47">
        <f>IF(H2ProjectDB689571011[[#This Row],[Dummy_1]]="Electrolysis",
AB2137*VLOOKUP(G2137,ElectrolysisConvF,3,FALSE),
"")</f>
        <v>3.1601123595505616</v>
      </c>
      <c r="AB2137" s="46">
        <f>AC2137/(H2dens*HoursInYear/10^6)</f>
        <v>702.24719101123594</v>
      </c>
      <c r="AC2137" s="98">
        <f>((1.5/1000)*365)</f>
        <v>0.54749999999999999</v>
      </c>
      <c r="AE2137" s="46">
        <f t="shared" si="150"/>
        <v>702.24719101123594</v>
      </c>
      <c r="AF2137" s="43" t="s">
        <v>7715</v>
      </c>
      <c r="AG2137" s="43">
        <v>54.577001989821497</v>
      </c>
      <c r="AH2137" s="43">
        <v>-1.26373441603763</v>
      </c>
      <c r="AI2137" s="122" t="s">
        <v>7286</v>
      </c>
      <c r="AJ2137" s="41">
        <v>0.56999999999999995</v>
      </c>
    </row>
    <row r="2138" spans="1:36" ht="29.25" hidden="1" customHeight="1" x14ac:dyDescent="0.25">
      <c r="A2138" s="40">
        <v>2851</v>
      </c>
      <c r="B2138" s="40" t="s">
        <v>7717</v>
      </c>
      <c r="C2138" s="40" t="s">
        <v>1915</v>
      </c>
      <c r="D2138" s="44">
        <v>2030</v>
      </c>
      <c r="E2138" s="44"/>
      <c r="F2138" s="40" t="s">
        <v>2222</v>
      </c>
      <c r="G2138" s="40" t="s">
        <v>1259</v>
      </c>
      <c r="H2138" s="40" t="s">
        <v>467</v>
      </c>
      <c r="I2138" s="40" t="s">
        <v>1269</v>
      </c>
      <c r="J2138" s="40" t="s">
        <v>581</v>
      </c>
      <c r="K2138" s="40" t="s">
        <v>578</v>
      </c>
      <c r="Z2138" s="40" t="s">
        <v>7594</v>
      </c>
      <c r="AA2138" s="45">
        <v>2000</v>
      </c>
      <c r="AB2138" s="46">
        <f>IF(H2ProjectDB689571011[[#This Row],[Dummy_1]]="Electrolysis",
AA2138/VLOOKUP(G2138,ElectrolysisConvF,3,FALSE),
AC2138*10^6/(H2dens*HoursInYear))</f>
        <v>444444.4444444445</v>
      </c>
      <c r="AC2138" s="46">
        <f>AB2138*H2dens*HoursInYear/10^6</f>
        <v>346.50666666666666</v>
      </c>
      <c r="AE2138" s="46">
        <f t="shared" si="150"/>
        <v>444444.4444444445</v>
      </c>
      <c r="AF2138" s="43" t="s">
        <v>7722</v>
      </c>
      <c r="AG2138" s="43">
        <v>35.883120062141899</v>
      </c>
      <c r="AH2138" s="43">
        <v>10.130486896131799</v>
      </c>
      <c r="AI2138" s="122" t="s">
        <v>7286</v>
      </c>
      <c r="AJ2138" s="41">
        <v>0.5</v>
      </c>
    </row>
    <row r="2139" spans="1:36" ht="29.25" hidden="1" customHeight="1" x14ac:dyDescent="0.25">
      <c r="A2139" s="40">
        <v>2852</v>
      </c>
      <c r="B2139" s="40" t="s">
        <v>7718</v>
      </c>
      <c r="C2139" s="40" t="s">
        <v>1915</v>
      </c>
      <c r="F2139" s="40" t="s">
        <v>2222</v>
      </c>
      <c r="G2139" s="40" t="s">
        <v>1259</v>
      </c>
      <c r="H2139" s="40" t="s">
        <v>467</v>
      </c>
      <c r="I2139" s="40" t="s">
        <v>1269</v>
      </c>
      <c r="J2139" s="40" t="s">
        <v>581</v>
      </c>
      <c r="K2139" s="40" t="s">
        <v>578</v>
      </c>
      <c r="Z2139" s="40" t="s">
        <v>7719</v>
      </c>
      <c r="AA2139" s="45">
        <v>4000</v>
      </c>
      <c r="AB2139" s="46">
        <f>IF(H2ProjectDB689571011[[#This Row],[Dummy_1]]="Electrolysis",
AA2139/VLOOKUP(G2139,ElectrolysisConvF,3,FALSE),
AC2139*10^6/(H2dens*HoursInYear))</f>
        <v>888888.88888888899</v>
      </c>
      <c r="AC2139" s="46">
        <f>AB2139*H2dens*HoursInYear/10^6</f>
        <v>693.01333333333332</v>
      </c>
      <c r="AE2139" s="46">
        <f t="shared" si="150"/>
        <v>888888.88888888899</v>
      </c>
      <c r="AF2139" s="43" t="s">
        <v>7722</v>
      </c>
      <c r="AG2139" s="43">
        <v>35.883120062141899</v>
      </c>
      <c r="AH2139" s="43">
        <v>10.130486896131799</v>
      </c>
      <c r="AI2139" s="122" t="s">
        <v>7286</v>
      </c>
      <c r="AJ2139" s="41">
        <v>0.5</v>
      </c>
    </row>
    <row r="2140" spans="1:36" ht="29.25" hidden="1" customHeight="1" x14ac:dyDescent="0.25">
      <c r="A2140" s="40">
        <v>2853</v>
      </c>
      <c r="B2140" s="40" t="s">
        <v>7732</v>
      </c>
      <c r="C2140" s="40" t="s">
        <v>536</v>
      </c>
      <c r="D2140" s="40">
        <v>2024</v>
      </c>
      <c r="F2140" s="40" t="s">
        <v>1540</v>
      </c>
      <c r="G2140" s="40" t="s">
        <v>1255</v>
      </c>
      <c r="H2140" s="40" t="s">
        <v>2727</v>
      </c>
      <c r="K2140" s="40" t="s">
        <v>578</v>
      </c>
      <c r="S2140" s="40">
        <v>1</v>
      </c>
      <c r="AA2140" s="45" t="str">
        <f>IF(OR(G2140="ALK",G2140="PEM",G2140="SOEC",G2140="Other Electrolysis"),
AB2140*VLOOKUP(G2140,ElectrolysisConvF,3,FALSE),
"")</f>
        <v/>
      </c>
      <c r="AE2140" s="46">
        <f t="shared" si="150"/>
        <v>0</v>
      </c>
      <c r="AF2140" s="43" t="s">
        <v>7737</v>
      </c>
      <c r="AG2140" s="43">
        <v>45.441656338152598</v>
      </c>
      <c r="AH2140" s="43">
        <v>-122.468519682833</v>
      </c>
      <c r="AI2140" s="122" t="s">
        <v>1255</v>
      </c>
      <c r="AJ2140" s="41">
        <v>0.9</v>
      </c>
    </row>
    <row r="2141" spans="1:36" ht="29.25" hidden="1" customHeight="1" x14ac:dyDescent="0.25">
      <c r="A2141" s="40">
        <v>2854</v>
      </c>
      <c r="B2141" s="40" t="s">
        <v>7734</v>
      </c>
      <c r="C2141" s="40" t="s">
        <v>537</v>
      </c>
      <c r="F2141" s="40" t="s">
        <v>1331</v>
      </c>
      <c r="G2141" s="40" t="s">
        <v>1259</v>
      </c>
      <c r="H2141" s="40" t="s">
        <v>467</v>
      </c>
      <c r="I2141" s="40" t="s">
        <v>1269</v>
      </c>
      <c r="J2141" s="40" t="s">
        <v>1395</v>
      </c>
      <c r="K2141" s="40" t="s">
        <v>578</v>
      </c>
      <c r="Z2141" s="40" t="s">
        <v>1334</v>
      </c>
      <c r="AA2141" s="45">
        <v>1000</v>
      </c>
      <c r="AB2141" s="46">
        <f>IF(H2ProjectDB689571011[[#This Row],[Dummy_1]]="Electrolysis",
AA2141/VLOOKUP(G2141,ElectrolysisConvF,3,FALSE),
AC2141*10^6/(H2dens*HoursInYear))</f>
        <v>222222.22222222225</v>
      </c>
      <c r="AC2141" s="47">
        <f>AB2141*H2dens*HoursInYear/10^6</f>
        <v>173.25333333333333</v>
      </c>
      <c r="AE2141" s="46">
        <f t="shared" si="150"/>
        <v>222222.22222222225</v>
      </c>
      <c r="AF2141" s="43" t="s">
        <v>7733</v>
      </c>
      <c r="AG2141" s="43">
        <v>37.3854273227386</v>
      </c>
      <c r="AH2141" s="43">
        <v>97.3148143704082</v>
      </c>
      <c r="AI2141" s="122" t="s">
        <v>7286</v>
      </c>
      <c r="AJ2141" s="41">
        <v>0.5</v>
      </c>
    </row>
    <row r="2142" spans="1:36" ht="29.25" hidden="1" customHeight="1" x14ac:dyDescent="0.25">
      <c r="A2142" s="40">
        <v>2855</v>
      </c>
      <c r="B2142" s="40" t="s">
        <v>7738</v>
      </c>
      <c r="C2142" s="40" t="s">
        <v>674</v>
      </c>
      <c r="D2142" s="44">
        <v>2030</v>
      </c>
      <c r="E2142" s="44"/>
      <c r="F2142" s="40" t="s">
        <v>1331</v>
      </c>
      <c r="G2142" s="40" t="s">
        <v>1259</v>
      </c>
      <c r="H2142" s="40" t="s">
        <v>467</v>
      </c>
      <c r="I2142" s="40" t="s">
        <v>1269</v>
      </c>
      <c r="J2142" s="40" t="s">
        <v>1395</v>
      </c>
      <c r="K2142" s="40" t="s">
        <v>1243</v>
      </c>
      <c r="M2142" s="40">
        <v>1</v>
      </c>
      <c r="Z2142" s="40" t="s">
        <v>6804</v>
      </c>
      <c r="AA2142" s="45">
        <v>2500</v>
      </c>
      <c r="AB2142" s="46">
        <f>IF(H2ProjectDB689571011[[#This Row],[Dummy_1]]="Electrolysis",
AA2142/VLOOKUP(G2142,ElectrolysisConvF,3,FALSE),
AC2142*10^6/(H2dens*HoursInYear))</f>
        <v>555555.55555555562</v>
      </c>
      <c r="AC2142" s="47">
        <f>AB2142*H2dens*HoursInYear/10^6</f>
        <v>433.13333333333333</v>
      </c>
      <c r="AE2142" s="46">
        <f t="shared" si="150"/>
        <v>555555.55555555562</v>
      </c>
      <c r="AF2142" s="43" t="s">
        <v>7736</v>
      </c>
      <c r="AG2142" s="43">
        <v>17.821958173614899</v>
      </c>
      <c r="AH2142" s="43">
        <v>54.967859867682698</v>
      </c>
      <c r="AI2142" s="122" t="s">
        <v>7286</v>
      </c>
      <c r="AJ2142" s="41">
        <v>0.5</v>
      </c>
    </row>
    <row r="2143" spans="1:36" ht="29.25" hidden="1" customHeight="1" x14ac:dyDescent="0.25">
      <c r="A2143" s="40">
        <v>2856</v>
      </c>
      <c r="B2143" s="40" t="s">
        <v>7740</v>
      </c>
      <c r="C2143" s="40" t="s">
        <v>674</v>
      </c>
      <c r="D2143" s="44">
        <v>2030</v>
      </c>
      <c r="E2143" s="44"/>
      <c r="F2143" s="40" t="s">
        <v>1331</v>
      </c>
      <c r="G2143" s="40" t="s">
        <v>1259</v>
      </c>
      <c r="H2143" s="40" t="s">
        <v>467</v>
      </c>
      <c r="I2143" s="40" t="s">
        <v>1269</v>
      </c>
      <c r="J2143" s="40" t="s">
        <v>1395</v>
      </c>
      <c r="K2143" s="40" t="s">
        <v>578</v>
      </c>
      <c r="M2143" s="40">
        <v>1</v>
      </c>
      <c r="P2143" s="40">
        <v>1</v>
      </c>
      <c r="Z2143" s="40" t="s">
        <v>5010</v>
      </c>
      <c r="AA2143" s="47">
        <f>IF(H2ProjectDB689571011[[#This Row],[Dummy_1]]="Electrolysis",
AB2143*VLOOKUP(G2143,ElectrolysisConvF,3,FALSE),
"")</f>
        <v>2308.7578882561183</v>
      </c>
      <c r="AB2143" s="46">
        <f>AC2143/(H2dens*HoursInYear/10^6)</f>
        <v>513057.30850135966</v>
      </c>
      <c r="AC2143" s="92">
        <f>200/H2ProjectDB689571011[[#This Row],[LOWE_CF]]</f>
        <v>400</v>
      </c>
      <c r="AE2143" s="46">
        <f t="shared" si="150"/>
        <v>513057.30850135966</v>
      </c>
      <c r="AF2143" s="43" t="s">
        <v>7736</v>
      </c>
      <c r="AG2143" s="43">
        <v>17.821958173614899</v>
      </c>
      <c r="AH2143" s="43">
        <v>54.967859867682698</v>
      </c>
      <c r="AI2143" s="122" t="s">
        <v>7286</v>
      </c>
      <c r="AJ2143" s="41">
        <v>0.5</v>
      </c>
    </row>
    <row r="2144" spans="1:36" ht="29.25" hidden="1" customHeight="1" x14ac:dyDescent="0.25">
      <c r="A2144" s="40">
        <v>2857</v>
      </c>
      <c r="B2144" s="40" t="s">
        <v>7742</v>
      </c>
      <c r="C2144" s="40" t="s">
        <v>530</v>
      </c>
      <c r="D2144" s="44">
        <v>2030</v>
      </c>
      <c r="E2144" s="44"/>
      <c r="F2144" s="40" t="s">
        <v>1331</v>
      </c>
      <c r="G2144" s="40" t="s">
        <v>457</v>
      </c>
      <c r="I2144" s="40" t="s">
        <v>1257</v>
      </c>
      <c r="K2144" s="40" t="s">
        <v>1243</v>
      </c>
      <c r="M2144" s="40">
        <v>1</v>
      </c>
      <c r="Z2144" s="40" t="s">
        <v>8421</v>
      </c>
      <c r="AA2144" s="45">
        <v>200</v>
      </c>
      <c r="AB2144" s="46">
        <f>IF(H2ProjectDB689571011[[#This Row],[Dummy_1]]="Electrolysis",
AA2144/VLOOKUP(G2144,ElectrolysisConvF,3,FALSE),
AC2144*10^6/(H2dens*HoursInYear))</f>
        <v>43478.260869565216</v>
      </c>
      <c r="AC2144" s="47">
        <f>AB2144*H2dens*HoursInYear/10^6</f>
        <v>33.897391304347821</v>
      </c>
      <c r="AE2144" s="46">
        <f t="shared" si="150"/>
        <v>43478.260869565216</v>
      </c>
      <c r="AF2144" s="43" t="s">
        <v>7746</v>
      </c>
      <c r="AG2144" s="43">
        <v>49.746023284429697</v>
      </c>
      <c r="AH2144" s="43">
        <v>2.9302275328073399</v>
      </c>
      <c r="AI2144" s="122" t="s">
        <v>7286</v>
      </c>
      <c r="AJ2144" s="41">
        <v>0.56999999999999995</v>
      </c>
    </row>
    <row r="2145" spans="1:36" ht="29.25" hidden="1" customHeight="1" x14ac:dyDescent="0.25">
      <c r="A2145" s="40">
        <v>2858</v>
      </c>
      <c r="B2145" s="40" t="s">
        <v>7747</v>
      </c>
      <c r="C2145" s="40" t="s">
        <v>537</v>
      </c>
      <c r="F2145" s="40" t="s">
        <v>1331</v>
      </c>
      <c r="G2145" s="40" t="s">
        <v>1259</v>
      </c>
      <c r="H2145" s="40" t="s">
        <v>467</v>
      </c>
      <c r="I2145" s="40" t="s">
        <v>1269</v>
      </c>
      <c r="J2145" s="40" t="s">
        <v>1392</v>
      </c>
      <c r="K2145" s="40" t="s">
        <v>1267</v>
      </c>
      <c r="W2145" s="40">
        <v>1</v>
      </c>
      <c r="Z2145" s="40" t="s">
        <v>7748</v>
      </c>
      <c r="AA2145" s="47">
        <f>IF(H2ProjectDB689571011[[#This Row],[Dummy_1]]="Electrolysis",
AB2145*VLOOKUP(G2145,ElectrolysisConvF,3,FALSE),
"")</f>
        <v>741.25360282195561</v>
      </c>
      <c r="AB2145" s="92">
        <f>AC2145/(H2dens*HoursInYear/10^6)</f>
        <v>164723.02284932349</v>
      </c>
      <c r="AC2145" s="47">
        <f>(100*0.045/0.73/0.12)/H2ProjectDB689571011[[#This Row],[LOWE_CF]]</f>
        <v>128.42465753424656</v>
      </c>
      <c r="AE2145" s="46">
        <f t="shared" si="150"/>
        <v>164723.02284932349</v>
      </c>
      <c r="AF2145" s="43" t="s">
        <v>7751</v>
      </c>
      <c r="AG2145" s="43">
        <v>44.803495204004797</v>
      </c>
      <c r="AH2145" s="43">
        <v>120.81581913787799</v>
      </c>
      <c r="AI2145" s="122" t="s">
        <v>7286</v>
      </c>
      <c r="AJ2145" s="41">
        <v>0.4</v>
      </c>
    </row>
    <row r="2146" spans="1:36" ht="29.25" hidden="1" customHeight="1" x14ac:dyDescent="0.25">
      <c r="A2146" s="40">
        <v>2859</v>
      </c>
      <c r="B2146" s="40" t="s">
        <v>7747</v>
      </c>
      <c r="C2146" s="40" t="s">
        <v>537</v>
      </c>
      <c r="F2146" s="40" t="s">
        <v>1331</v>
      </c>
      <c r="G2146" s="40" t="s">
        <v>1259</v>
      </c>
      <c r="H2146" s="40" t="s">
        <v>467</v>
      </c>
      <c r="I2146" s="40" t="s">
        <v>1269</v>
      </c>
      <c r="J2146" s="40" t="s">
        <v>1392</v>
      </c>
      <c r="K2146" s="40" t="s">
        <v>1267</v>
      </c>
      <c r="W2146" s="40">
        <v>1</v>
      </c>
      <c r="Z2146" s="40" t="s">
        <v>7749</v>
      </c>
      <c r="AA2146" s="47">
        <f>IF(H2ProjectDB689571011[[#This Row],[Dummy_1]]="Electrolysis",
AB2146*VLOOKUP(G2146,ElectrolysisConvF,3,FALSE),
"")</f>
        <v>1482.5072056439112</v>
      </c>
      <c r="AB2146" s="92">
        <f>AC2146/(H2dens*HoursInYear/10^6)</f>
        <v>329446.04569864698</v>
      </c>
      <c r="AC2146" s="47">
        <f>(200*0.045/0.73/0.12)/H2ProjectDB689571011[[#This Row],[LOWE_CF]]</f>
        <v>256.84931506849313</v>
      </c>
      <c r="AE2146" s="46">
        <f t="shared" si="150"/>
        <v>329446.04569864698</v>
      </c>
      <c r="AF2146" s="43" t="s">
        <v>7751</v>
      </c>
      <c r="AG2146" s="43">
        <v>44.803495204004797</v>
      </c>
      <c r="AH2146" s="43">
        <v>120.81581913787799</v>
      </c>
      <c r="AI2146" s="122" t="s">
        <v>7286</v>
      </c>
      <c r="AJ2146" s="41">
        <v>0.4</v>
      </c>
    </row>
    <row r="2147" spans="1:36" ht="29.25" hidden="1" customHeight="1" x14ac:dyDescent="0.25">
      <c r="A2147" s="40">
        <v>2860</v>
      </c>
      <c r="B2147" s="40" t="s">
        <v>7752</v>
      </c>
      <c r="C2147" s="40" t="s">
        <v>1094</v>
      </c>
      <c r="F2147" s="40" t="s">
        <v>1331</v>
      </c>
      <c r="G2147" s="40" t="s">
        <v>1259</v>
      </c>
      <c r="H2147" s="40" t="s">
        <v>467</v>
      </c>
      <c r="I2147" s="40" t="s">
        <v>1269</v>
      </c>
      <c r="J2147" s="40" t="s">
        <v>1391</v>
      </c>
      <c r="K2147" s="40" t="s">
        <v>1243</v>
      </c>
      <c r="M2147" s="40">
        <v>1</v>
      </c>
      <c r="Z2147" s="40" t="s">
        <v>7753</v>
      </c>
      <c r="AA2147" s="47">
        <f>IF(H2ProjectDB689571011[[#This Row],[Dummy_1]]="Electrolysis",
AB2147*VLOOKUP(G2147,ElectrolysisConvF,3,FALSE),
"")</f>
        <v>1539.1719255040787</v>
      </c>
      <c r="AB2147" s="92">
        <f>AC2147/(H2dens*HoursInYear/10^6)</f>
        <v>342038.20566757309</v>
      </c>
      <c r="AC2147" s="92">
        <f>80/H2ProjectDB689571011[[#This Row],[LOWE_CF]]</f>
        <v>266.66666666666669</v>
      </c>
      <c r="AE2147" s="46">
        <f t="shared" si="150"/>
        <v>342038.20566757309</v>
      </c>
      <c r="AF2147" s="43" t="s">
        <v>7755</v>
      </c>
      <c r="AG2147" s="43">
        <v>-16.748561665931</v>
      </c>
      <c r="AH2147" s="43">
        <v>-71.874252857428701</v>
      </c>
      <c r="AI2147" s="122" t="s">
        <v>7286</v>
      </c>
      <c r="AJ2147" s="41">
        <v>0.3</v>
      </c>
    </row>
    <row r="2148" spans="1:36" ht="29.25" hidden="1" customHeight="1" x14ac:dyDescent="0.25">
      <c r="A2148" s="40">
        <v>2861</v>
      </c>
      <c r="B2148" s="40" t="s">
        <v>7756</v>
      </c>
      <c r="C2148" s="40" t="s">
        <v>1945</v>
      </c>
      <c r="D2148" s="44">
        <v>2027</v>
      </c>
      <c r="E2148" s="44"/>
      <c r="F2148" s="40" t="s">
        <v>1331</v>
      </c>
      <c r="G2148" s="40" t="s">
        <v>1259</v>
      </c>
      <c r="H2148" s="40" t="s">
        <v>467</v>
      </c>
      <c r="I2148" s="40" t="s">
        <v>1269</v>
      </c>
      <c r="J2148" s="40" t="s">
        <v>581</v>
      </c>
      <c r="K2148" s="40" t="s">
        <v>1243</v>
      </c>
      <c r="M2148" s="40">
        <v>1</v>
      </c>
      <c r="Z2148" s="40" t="s">
        <v>7757</v>
      </c>
      <c r="AA2148" s="47">
        <f>IF(H2ProjectDB689571011[[#This Row],[Dummy_1]]="Electrolysis",
AB2148*VLOOKUP(G2148,ElectrolysisConvF,3,FALSE),
"")</f>
        <v>1039.356792432226</v>
      </c>
      <c r="AB2148" s="46">
        <f>AC2148/(H2dens*HoursInYear/10^6)</f>
        <v>230968.17609605024</v>
      </c>
      <c r="AC2148" s="46">
        <f>500*3/17/0.98/H2ProjectDB689571011[[#This Row],[LOWE_CF]]</f>
        <v>180.0720288115246</v>
      </c>
      <c r="AE2148" s="46">
        <f t="shared" si="150"/>
        <v>230968.17609605024</v>
      </c>
      <c r="AF2148" s="43" t="s">
        <v>7759</v>
      </c>
      <c r="AG2148" s="43">
        <v>-22.9533894366065</v>
      </c>
      <c r="AH2148" s="43">
        <v>14.492138918770401</v>
      </c>
      <c r="AI2148" s="122" t="s">
        <v>7286</v>
      </c>
      <c r="AJ2148" s="41">
        <v>0.5</v>
      </c>
    </row>
    <row r="2149" spans="1:36" ht="29.25" hidden="1" customHeight="1" x14ac:dyDescent="0.25">
      <c r="A2149" s="40">
        <v>2862</v>
      </c>
      <c r="B2149" s="40" t="s">
        <v>7760</v>
      </c>
      <c r="C2149" s="40" t="s">
        <v>531</v>
      </c>
      <c r="D2149" s="40">
        <v>2029</v>
      </c>
      <c r="F2149" s="40" t="s">
        <v>1331</v>
      </c>
      <c r="G2149" s="40" t="s">
        <v>1259</v>
      </c>
      <c r="H2149" s="40" t="s">
        <v>467</v>
      </c>
      <c r="I2149" s="40" t="s">
        <v>1269</v>
      </c>
      <c r="J2149" s="40" t="s">
        <v>1393</v>
      </c>
      <c r="K2149" s="40" t="s">
        <v>1243</v>
      </c>
      <c r="M2149" s="40">
        <v>1</v>
      </c>
      <c r="Z2149" s="40" t="s">
        <v>7757</v>
      </c>
      <c r="AA2149" s="47">
        <f>IF(H2ProjectDB689571011[[#This Row],[Dummy_1]]="Electrolysis",
AB2149*VLOOKUP(G2149,ElectrolysisConvF,3,FALSE),
"")</f>
        <v>1152.7411697884688</v>
      </c>
      <c r="AB2149" s="92">
        <f>AC2149/(H2dens*HoursInYear/10^6)</f>
        <v>256164.70439743754</v>
      </c>
      <c r="AC2149" s="92">
        <f>610*3/17/0.98/H2ProjectDB689571011[[#This Row],[LOWE_CF]]</f>
        <v>199.71625013641818</v>
      </c>
      <c r="AE2149" s="46">
        <f t="shared" si="150"/>
        <v>256164.70439743754</v>
      </c>
      <c r="AF2149" s="43" t="s">
        <v>7764</v>
      </c>
      <c r="AG2149" s="43">
        <v>71.105444460218195</v>
      </c>
      <c r="AH2149" s="43">
        <v>28.069777187303099</v>
      </c>
      <c r="AI2149" s="122" t="s">
        <v>7286</v>
      </c>
      <c r="AJ2149" s="41">
        <v>0.55000000000000004</v>
      </c>
    </row>
    <row r="2150" spans="1:36" ht="29.25" hidden="1" customHeight="1" x14ac:dyDescent="0.25">
      <c r="A2150" s="40">
        <v>2863</v>
      </c>
      <c r="B2150" s="40" t="s">
        <v>7765</v>
      </c>
      <c r="C2150" s="40" t="s">
        <v>1764</v>
      </c>
      <c r="D2150" s="40">
        <v>2029</v>
      </c>
      <c r="F2150" s="40" t="s">
        <v>1331</v>
      </c>
      <c r="G2150" s="40" t="s">
        <v>1259</v>
      </c>
      <c r="H2150" s="40" t="s">
        <v>467</v>
      </c>
      <c r="I2150" s="40" t="s">
        <v>1269</v>
      </c>
      <c r="J2150" s="40" t="s">
        <v>581</v>
      </c>
      <c r="K2150" s="40" t="s">
        <v>1242</v>
      </c>
      <c r="Z2150" s="40" t="s">
        <v>3968</v>
      </c>
      <c r="AA2150" s="47">
        <v>800</v>
      </c>
      <c r="AB2150" s="92">
        <f>IF(H2ProjectDB689571011[[#This Row],[Dummy_1]]="Electrolysis",
AA2150/VLOOKUP(G2150,ElectrolysisConvF,3,FALSE),
AC2150*10^6/(H2dens*HoursInYear))</f>
        <v>177777.77777777778</v>
      </c>
      <c r="AC2150" s="92">
        <f>AB2150*H2dens*HoursInYear/10^6</f>
        <v>138.60266666666666</v>
      </c>
      <c r="AE2150" s="46">
        <f t="shared" si="150"/>
        <v>177777.77777777778</v>
      </c>
      <c r="AF2150" s="43" t="s">
        <v>7767</v>
      </c>
      <c r="AG2150" s="43">
        <v>37.255429274219999</v>
      </c>
      <c r="AH2150" s="43">
        <v>-6.9661627686812002</v>
      </c>
      <c r="AI2150" s="122" t="s">
        <v>7286</v>
      </c>
      <c r="AJ2150" s="41">
        <v>0.5</v>
      </c>
    </row>
    <row r="2151" spans="1:36" ht="29.25" hidden="1" customHeight="1" x14ac:dyDescent="0.25">
      <c r="A2151" s="40">
        <v>2864</v>
      </c>
      <c r="B2151" s="40" t="s">
        <v>7768</v>
      </c>
      <c r="C2151" s="40" t="s">
        <v>1764</v>
      </c>
      <c r="F2151" s="40" t="s">
        <v>1331</v>
      </c>
      <c r="G2151" s="40" t="s">
        <v>1259</v>
      </c>
      <c r="H2151" s="40" t="s">
        <v>467</v>
      </c>
      <c r="I2151" s="40" t="s">
        <v>1269</v>
      </c>
      <c r="J2151" s="40" t="s">
        <v>1391</v>
      </c>
      <c r="K2151" s="40" t="s">
        <v>1243</v>
      </c>
      <c r="M2151" s="40">
        <v>1</v>
      </c>
      <c r="Z2151" s="40" t="s">
        <v>1485</v>
      </c>
      <c r="AA2151" s="47">
        <v>100</v>
      </c>
      <c r="AB2151" s="92">
        <f>IF(H2ProjectDB689571011[[#This Row],[Dummy_1]]="Electrolysis",
AA2151/VLOOKUP(G2151,ElectrolysisConvF,3,FALSE),
AC2151*10^6/(H2dens*HoursInYear))</f>
        <v>22222.222222222223</v>
      </c>
      <c r="AC2151" s="92">
        <f>AB2151*H2dens*HoursInYear/10^6</f>
        <v>17.325333333333333</v>
      </c>
      <c r="AE2151" s="46">
        <f t="shared" si="150"/>
        <v>22222.222222222223</v>
      </c>
      <c r="AF2151" s="43" t="s">
        <v>7770</v>
      </c>
      <c r="AG2151" s="43">
        <v>37.365615318174399</v>
      </c>
      <c r="AH2151" s="43">
        <v>-6.9740391889452997</v>
      </c>
      <c r="AI2151" s="122" t="s">
        <v>7286</v>
      </c>
      <c r="AJ2151" s="41">
        <v>0.3</v>
      </c>
    </row>
    <row r="2152" spans="1:36" ht="29.25" hidden="1" customHeight="1" x14ac:dyDescent="0.25">
      <c r="A2152" s="40">
        <v>2865</v>
      </c>
      <c r="B2152" s="40" t="s">
        <v>7771</v>
      </c>
      <c r="C2152" s="40" t="s">
        <v>1764</v>
      </c>
      <c r="F2152" s="40" t="s">
        <v>1331</v>
      </c>
      <c r="G2152" s="40" t="s">
        <v>1259</v>
      </c>
      <c r="H2152" s="40" t="s">
        <v>467</v>
      </c>
      <c r="I2152" s="40" t="s">
        <v>1269</v>
      </c>
      <c r="J2152" s="40" t="s">
        <v>1391</v>
      </c>
      <c r="K2152" s="40" t="s">
        <v>1243</v>
      </c>
      <c r="M2152" s="40">
        <v>1</v>
      </c>
      <c r="Z2152" s="40" t="s">
        <v>3309</v>
      </c>
      <c r="AA2152" s="47">
        <v>70</v>
      </c>
      <c r="AB2152" s="92">
        <f>IF(H2ProjectDB689571011[[#This Row],[Dummy_1]]="Electrolysis",
AA2152/VLOOKUP(G2152,ElectrolysisConvF,3,FALSE),
AC2152*10^6/(H2dens*HoursInYear))</f>
        <v>15555.555555555557</v>
      </c>
      <c r="AC2152" s="92">
        <f>AB2152*H2dens*HoursInYear/10^6</f>
        <v>12.127733333333333</v>
      </c>
      <c r="AE2152" s="46">
        <f t="shared" si="150"/>
        <v>15555.555555555557</v>
      </c>
      <c r="AF2152" s="43" t="s">
        <v>7770</v>
      </c>
      <c r="AG2152" s="43">
        <v>37.311339461701301</v>
      </c>
      <c r="AH2152" s="43">
        <v>-6.8371157450185303</v>
      </c>
      <c r="AI2152" s="122" t="s">
        <v>7286</v>
      </c>
      <c r="AJ2152" s="41">
        <v>0.3</v>
      </c>
    </row>
    <row r="2153" spans="1:36" ht="29.25" hidden="1" customHeight="1" x14ac:dyDescent="0.25">
      <c r="A2153" s="40">
        <v>2866</v>
      </c>
      <c r="B2153" s="40" t="s">
        <v>7772</v>
      </c>
      <c r="C2153" s="40" t="s">
        <v>1357</v>
      </c>
      <c r="F2153" s="40" t="s">
        <v>2222</v>
      </c>
      <c r="G2153" s="40" t="s">
        <v>1259</v>
      </c>
      <c r="H2153" s="40" t="s">
        <v>467</v>
      </c>
      <c r="I2153" s="40" t="s">
        <v>1269</v>
      </c>
      <c r="J2153" s="40" t="s">
        <v>581</v>
      </c>
      <c r="K2153" s="40" t="s">
        <v>1243</v>
      </c>
      <c r="M2153" s="40">
        <v>1</v>
      </c>
      <c r="AA2153" s="47">
        <f>IF(OR(G2153="ALK",G2153="PEM",G2153="SOEC",G2153="Other Electrolysis"),
AB2153*VLOOKUP(G2153,ElectrolysisConvF,3,FALSE),
"")</f>
        <v>0</v>
      </c>
      <c r="AB2153" s="92"/>
      <c r="AC2153" s="92"/>
      <c r="AE2153" s="46">
        <f t="shared" si="150"/>
        <v>0</v>
      </c>
      <c r="AF2153" s="43" t="s">
        <v>7774</v>
      </c>
      <c r="AG2153" s="43">
        <v>-33.909490510247203</v>
      </c>
      <c r="AH2153" s="43">
        <v>-53.962409426766001</v>
      </c>
      <c r="AI2153" s="122" t="s">
        <v>7286</v>
      </c>
      <c r="AJ2153" s="41">
        <v>0.5</v>
      </c>
    </row>
    <row r="2154" spans="1:36" ht="29.25" hidden="1" customHeight="1" x14ac:dyDescent="0.25">
      <c r="A2154" s="40">
        <v>2867</v>
      </c>
      <c r="B2154" s="40" t="s">
        <v>7775</v>
      </c>
      <c r="C2154" s="40" t="s">
        <v>1047</v>
      </c>
      <c r="F2154" s="40" t="s">
        <v>2222</v>
      </c>
      <c r="G2154" s="40" t="s">
        <v>1259</v>
      </c>
      <c r="H2154" s="40" t="s">
        <v>467</v>
      </c>
      <c r="I2154" s="40" t="s">
        <v>1257</v>
      </c>
      <c r="K2154" s="40" t="s">
        <v>578</v>
      </c>
      <c r="Z2154" s="40" t="s">
        <v>1483</v>
      </c>
      <c r="AA2154" s="47">
        <v>50</v>
      </c>
      <c r="AB2154" s="92">
        <f>IF(H2ProjectDB689571011[[#This Row],[Dummy_1]]="Electrolysis",
AA2154/VLOOKUP(G2154,ElectrolysisConvF,3,FALSE),
AC2154*10^6/(H2dens*HoursInYear))</f>
        <v>11111.111111111111</v>
      </c>
      <c r="AC2154" s="92">
        <f>AB2154*H2dens*HoursInYear/10^6</f>
        <v>8.6626666666666665</v>
      </c>
      <c r="AE2154" s="46">
        <f t="shared" si="150"/>
        <v>11111.111111111111</v>
      </c>
      <c r="AF2154" s="43" t="s">
        <v>7777</v>
      </c>
      <c r="AG2154" s="43">
        <v>35.705812614904602</v>
      </c>
      <c r="AH2154" s="43">
        <v>-0.66462854301762198</v>
      </c>
      <c r="AI2154" s="122" t="s">
        <v>7286</v>
      </c>
      <c r="AJ2154" s="41">
        <v>0.56999999999999995</v>
      </c>
    </row>
    <row r="2155" spans="1:36" ht="29.25" hidden="1" customHeight="1" x14ac:dyDescent="0.25">
      <c r="A2155" s="40">
        <v>2868</v>
      </c>
      <c r="B2155" s="40" t="s">
        <v>7778</v>
      </c>
      <c r="C2155" s="40" t="s">
        <v>539</v>
      </c>
      <c r="F2155" s="40" t="s">
        <v>1540</v>
      </c>
      <c r="G2155" s="40" t="s">
        <v>1259</v>
      </c>
      <c r="H2155" s="40" t="s">
        <v>467</v>
      </c>
      <c r="I2155" s="40" t="s">
        <v>1257</v>
      </c>
      <c r="K2155" s="40" t="s">
        <v>578</v>
      </c>
      <c r="Q2155" s="40">
        <v>1</v>
      </c>
      <c r="Z2155" s="40" t="s">
        <v>7779</v>
      </c>
      <c r="AA2155" s="47">
        <v>1</v>
      </c>
      <c r="AB2155" s="92">
        <f>IF(H2ProjectDB689571011[[#This Row],[Dummy_1]]="Electrolysis",
AA2155/VLOOKUP(G2155,ElectrolysisConvF,3,FALSE),
AC2155*10^6/(H2dens*HoursInYear))</f>
        <v>222.22222222222223</v>
      </c>
      <c r="AC2155" s="92">
        <f>AB2155*H2dens*HoursInYear/10^6</f>
        <v>0.17325333333333334</v>
      </c>
      <c r="AE2155" s="46">
        <f t="shared" si="150"/>
        <v>222.22222222222223</v>
      </c>
      <c r="AF2155" s="43" t="s">
        <v>7781</v>
      </c>
      <c r="AG2155" s="43">
        <v>10.154560865916499</v>
      </c>
      <c r="AH2155" s="43">
        <v>76.378860835473901</v>
      </c>
      <c r="AI2155" s="122" t="s">
        <v>7286</v>
      </c>
      <c r="AJ2155" s="41">
        <v>0.56999999999999995</v>
      </c>
    </row>
    <row r="2156" spans="1:36" ht="29.25" hidden="1" customHeight="1" x14ac:dyDescent="0.25">
      <c r="A2156" s="40">
        <v>2869</v>
      </c>
      <c r="B2156" s="40" t="s">
        <v>7783</v>
      </c>
      <c r="C2156" s="40" t="s">
        <v>539</v>
      </c>
      <c r="F2156" s="40" t="s">
        <v>2222</v>
      </c>
      <c r="G2156" s="40" t="s">
        <v>1259</v>
      </c>
      <c r="H2156" s="40" t="s">
        <v>467</v>
      </c>
      <c r="I2156" s="40" t="s">
        <v>1257</v>
      </c>
      <c r="K2156" s="40" t="s">
        <v>578</v>
      </c>
      <c r="Z2156" s="40" t="s">
        <v>7782</v>
      </c>
      <c r="AA2156" s="47">
        <f>IF(H2ProjectDB689571011[[#This Row],[Dummy_1]]="Electrolysis",
AB2156*VLOOKUP(G2156,ElectrolysisConvF,3,FALSE),
"")</f>
        <v>4435.2454169130688</v>
      </c>
      <c r="AB2156" s="92">
        <f t="shared" ref="AB2156:AB2162" si="151">AC2156/(H2dens*HoursInYear/10^6)</f>
        <v>985610.09264734876</v>
      </c>
      <c r="AC2156" s="92">
        <f>(1.2*365)/H2ProjectDB689571011[[#This Row],[LOWE_CF]]</f>
        <v>768.42105263157896</v>
      </c>
      <c r="AE2156" s="46">
        <f t="shared" si="150"/>
        <v>985610.09264734876</v>
      </c>
      <c r="AF2156" s="43" t="s">
        <v>7785</v>
      </c>
      <c r="AG2156" s="43">
        <v>17.494144836528399</v>
      </c>
      <c r="AH2156" s="43">
        <v>83.002504836895497</v>
      </c>
      <c r="AI2156" s="122" t="s">
        <v>7286</v>
      </c>
      <c r="AJ2156" s="41">
        <v>0.56999999999999995</v>
      </c>
    </row>
    <row r="2157" spans="1:36" ht="29.25" hidden="1" customHeight="1" x14ac:dyDescent="0.25">
      <c r="A2157" s="40">
        <v>2870</v>
      </c>
      <c r="B2157" s="40" t="s">
        <v>7790</v>
      </c>
      <c r="C2157" s="40" t="s">
        <v>537</v>
      </c>
      <c r="D2157" s="40">
        <v>2025</v>
      </c>
      <c r="F2157" s="40" t="s">
        <v>1331</v>
      </c>
      <c r="G2157" s="40" t="s">
        <v>1263</v>
      </c>
      <c r="K2157" s="40" t="s">
        <v>1242</v>
      </c>
      <c r="N2157" s="40">
        <v>1</v>
      </c>
      <c r="Z2157" s="40" t="s">
        <v>7795</v>
      </c>
      <c r="AA2157" s="47" t="str">
        <f>IF(H2ProjectDB689571011[[#This Row],[Dummy_1]]="Electrolysis",
AB2157*VLOOKUP(G2157,ElectrolysisConvF,3,FALSE),
"")</f>
        <v/>
      </c>
      <c r="AB2157" s="92">
        <f t="shared" si="151"/>
        <v>24540.42891590991</v>
      </c>
      <c r="AC2157" s="92">
        <f>(100*0.191327)</f>
        <v>19.1327</v>
      </c>
      <c r="AE2157" s="46">
        <f t="shared" si="150"/>
        <v>24540.42891590991</v>
      </c>
      <c r="AF2157" s="43" t="s">
        <v>8234</v>
      </c>
      <c r="AG2157" s="43">
        <v>36.168998586145896</v>
      </c>
      <c r="AH2157" s="43">
        <v>118.977609452134</v>
      </c>
      <c r="AI2157" s="122" t="s">
        <v>1255</v>
      </c>
      <c r="AJ2157" s="41">
        <v>0.9</v>
      </c>
    </row>
    <row r="2158" spans="1:36" ht="29.25" hidden="1" customHeight="1" x14ac:dyDescent="0.25">
      <c r="A2158" s="40">
        <v>2871</v>
      </c>
      <c r="B2158" s="40" t="s">
        <v>7793</v>
      </c>
      <c r="C2158" s="40" t="s">
        <v>537</v>
      </c>
      <c r="D2158" s="40">
        <v>2026</v>
      </c>
      <c r="F2158" s="40" t="s">
        <v>1331</v>
      </c>
      <c r="G2158" s="40" t="s">
        <v>1259</v>
      </c>
      <c r="H2158" s="40" t="s">
        <v>467</v>
      </c>
      <c r="I2158" s="40" t="s">
        <v>1257</v>
      </c>
      <c r="K2158" s="40" t="s">
        <v>1242</v>
      </c>
      <c r="N2158" s="40">
        <v>1</v>
      </c>
      <c r="Z2158" s="40" t="s">
        <v>7796</v>
      </c>
      <c r="AA2158" s="47">
        <f>IF(H2ProjectDB689571011[[#This Row],[Dummy_1]]="Electrolysis",
AB2158*VLOOKUP(G2158,ElectrolysisConvF,3,FALSE),
"")</f>
        <v>441.72772048637836</v>
      </c>
      <c r="AB2158" s="92">
        <f t="shared" si="151"/>
        <v>98161.715663639639</v>
      </c>
      <c r="AC2158" s="92">
        <f>(400*0.191327)</f>
        <v>76.530799999999999</v>
      </c>
      <c r="AE2158" s="46">
        <f t="shared" si="150"/>
        <v>98161.715663639639</v>
      </c>
      <c r="AF2158" s="43" t="s">
        <v>7792</v>
      </c>
      <c r="AG2158" s="43">
        <v>46.095711770221101</v>
      </c>
      <c r="AH2158" s="43">
        <v>122.050380816697</v>
      </c>
      <c r="AI2158" s="122" t="s">
        <v>7286</v>
      </c>
      <c r="AJ2158" s="41">
        <v>0.56999999999999995</v>
      </c>
    </row>
    <row r="2159" spans="1:36" ht="29.25" hidden="1" customHeight="1" x14ac:dyDescent="0.25">
      <c r="A2159" s="40">
        <v>2872</v>
      </c>
      <c r="B2159" s="40" t="s">
        <v>7794</v>
      </c>
      <c r="C2159" s="40" t="s">
        <v>537</v>
      </c>
      <c r="D2159" s="40">
        <v>2026</v>
      </c>
      <c r="F2159" s="40" t="s">
        <v>1331</v>
      </c>
      <c r="G2159" s="40" t="s">
        <v>1259</v>
      </c>
      <c r="H2159" s="40" t="s">
        <v>467</v>
      </c>
      <c r="I2159" s="40" t="s">
        <v>1269</v>
      </c>
      <c r="J2159" s="40" t="s">
        <v>1391</v>
      </c>
      <c r="K2159" s="40" t="s">
        <v>1242</v>
      </c>
      <c r="N2159" s="40">
        <v>1</v>
      </c>
      <c r="Z2159" s="40" t="s">
        <v>7797</v>
      </c>
      <c r="AA2159" s="47">
        <f>IF(H2ProjectDB689571011[[#This Row],[Dummy_1]]="Electrolysis",
AB2159*VLOOKUP(G2159,ElectrolysisConvF,3,FALSE),
"")</f>
        <v>220.86386024318918</v>
      </c>
      <c r="AB2159" s="92">
        <f t="shared" si="151"/>
        <v>49080.85783181982</v>
      </c>
      <c r="AC2159" s="92">
        <f>(200*0.191327)</f>
        <v>38.2654</v>
      </c>
      <c r="AE2159" s="46">
        <f t="shared" si="150"/>
        <v>49080.85783181982</v>
      </c>
      <c r="AF2159" s="43" t="s">
        <v>8234</v>
      </c>
      <c r="AG2159" s="43">
        <v>42.287629791596601</v>
      </c>
      <c r="AH2159" s="43">
        <v>118.905017699862</v>
      </c>
      <c r="AI2159" s="122" t="s">
        <v>7286</v>
      </c>
      <c r="AJ2159" s="41">
        <v>0.3</v>
      </c>
    </row>
    <row r="2160" spans="1:36" ht="29.25" hidden="1" customHeight="1" x14ac:dyDescent="0.25">
      <c r="A2160" s="40">
        <v>2873</v>
      </c>
      <c r="B2160" s="40" t="s">
        <v>7798</v>
      </c>
      <c r="C2160" s="40" t="s">
        <v>537</v>
      </c>
      <c r="D2160" s="40">
        <v>2026</v>
      </c>
      <c r="F2160" s="40" t="s">
        <v>5701</v>
      </c>
      <c r="G2160" s="40" t="s">
        <v>1259</v>
      </c>
      <c r="H2160" s="40" t="s">
        <v>467</v>
      </c>
      <c r="I2160" s="40" t="s">
        <v>1257</v>
      </c>
      <c r="K2160" s="40" t="s">
        <v>1242</v>
      </c>
      <c r="N2160" s="40">
        <v>1</v>
      </c>
      <c r="Z2160" s="40" t="s">
        <v>7925</v>
      </c>
      <c r="AA2160" s="47">
        <f>IF(H2ProjectDB689571011[[#This Row],[Dummy_1]]="Electrolysis",
AB2160*VLOOKUP(G2160,ElectrolysisConvF,3,FALSE),
"")</f>
        <v>33.129579036478376</v>
      </c>
      <c r="AB2160" s="92">
        <f t="shared" si="151"/>
        <v>7362.1286747729728</v>
      </c>
      <c r="AC2160" s="92">
        <f>30*0.191327</f>
        <v>5.7398100000000003</v>
      </c>
      <c r="AE2160" s="46">
        <f t="shared" si="150"/>
        <v>7362.1286747729728</v>
      </c>
      <c r="AF2160" s="43" t="s">
        <v>7923</v>
      </c>
      <c r="AG2160" s="43">
        <v>35.726961105169401</v>
      </c>
      <c r="AH2160" s="43">
        <v>107.185336246003</v>
      </c>
      <c r="AI2160" s="122" t="s">
        <v>7286</v>
      </c>
      <c r="AJ2160" s="41">
        <v>0.56999999999999995</v>
      </c>
    </row>
    <row r="2161" spans="1:36" ht="29.25" hidden="1" customHeight="1" x14ac:dyDescent="0.25">
      <c r="A2161" s="40">
        <v>2874</v>
      </c>
      <c r="B2161" s="40" t="s">
        <v>7799</v>
      </c>
      <c r="C2161" s="40" t="s">
        <v>537</v>
      </c>
      <c r="D2161" s="40">
        <v>2025</v>
      </c>
      <c r="F2161" s="40" t="s">
        <v>1331</v>
      </c>
      <c r="G2161" s="40" t="s">
        <v>1259</v>
      </c>
      <c r="H2161" s="40" t="s">
        <v>467</v>
      </c>
      <c r="I2161" s="40" t="s">
        <v>1257</v>
      </c>
      <c r="K2161" s="40" t="s">
        <v>1242</v>
      </c>
      <c r="N2161" s="40">
        <v>1</v>
      </c>
      <c r="Z2161" s="40" t="s">
        <v>7800</v>
      </c>
      <c r="AA2161" s="47">
        <f>IF(H2ProjectDB689571011[[#This Row],[Dummy_1]]="Electrolysis",
AB2161*VLOOKUP(G2161,ElectrolysisConvF,3,FALSE),
"")</f>
        <v>22.086386024318919</v>
      </c>
      <c r="AB2161" s="92">
        <f t="shared" si="151"/>
        <v>4908.0857831819822</v>
      </c>
      <c r="AC2161" s="92">
        <f>(20*0.191327)</f>
        <v>3.8265400000000001</v>
      </c>
      <c r="AE2161" s="46">
        <f t="shared" si="150"/>
        <v>4908.0857831819822</v>
      </c>
      <c r="AF2161" s="43" t="s">
        <v>7792</v>
      </c>
      <c r="AG2161" s="43">
        <v>40.838801844605698</v>
      </c>
      <c r="AH2161" s="43">
        <v>107.40683023616999</v>
      </c>
      <c r="AI2161" s="122" t="s">
        <v>7286</v>
      </c>
      <c r="AJ2161" s="41">
        <v>0.56999999999999995</v>
      </c>
    </row>
    <row r="2162" spans="1:36" ht="29.25" hidden="1" customHeight="1" x14ac:dyDescent="0.25">
      <c r="A2162" s="40">
        <v>2875</v>
      </c>
      <c r="B2162" s="40" t="s">
        <v>7807</v>
      </c>
      <c r="C2162" s="40" t="s">
        <v>546</v>
      </c>
      <c r="D2162" s="40">
        <v>2029</v>
      </c>
      <c r="F2162" s="40" t="s">
        <v>2222</v>
      </c>
      <c r="G2162" s="40" t="s">
        <v>1259</v>
      </c>
      <c r="H2162" s="40" t="s">
        <v>467</v>
      </c>
      <c r="I2162" s="40" t="s">
        <v>1269</v>
      </c>
      <c r="J2162" s="40" t="s">
        <v>1393</v>
      </c>
      <c r="K2162" s="40" t="s">
        <v>578</v>
      </c>
      <c r="P2162" s="40">
        <v>1</v>
      </c>
      <c r="R2162" s="40">
        <v>1</v>
      </c>
      <c r="Z2162" s="40" t="s">
        <v>7808</v>
      </c>
      <c r="AA2162" s="47">
        <f>IF(H2ProjectDB689571011[[#This Row],[Dummy_1]]="Electrolysis",
AB2162*VLOOKUP(G2162,ElectrolysisConvF,3,FALSE),
"")</f>
        <v>839.54832300222461</v>
      </c>
      <c r="AB2162" s="92">
        <f t="shared" si="151"/>
        <v>186566.29400049438</v>
      </c>
      <c r="AC2162" s="92">
        <f>80/H2ProjectDB689571011[[#This Row],[LOWE_CF]]</f>
        <v>145.45454545454544</v>
      </c>
      <c r="AE2162" s="46">
        <f t="shared" si="150"/>
        <v>186566.29400049438</v>
      </c>
      <c r="AF2162" s="43" t="s">
        <v>7810</v>
      </c>
      <c r="AG2162" s="43">
        <v>53.4850309254238</v>
      </c>
      <c r="AH2162" s="43">
        <v>6.4361886136381097</v>
      </c>
      <c r="AI2162" s="122" t="s">
        <v>7286</v>
      </c>
      <c r="AJ2162" s="41">
        <v>0.55000000000000004</v>
      </c>
    </row>
    <row r="2163" spans="1:36" ht="29.25" hidden="1" customHeight="1" x14ac:dyDescent="0.25">
      <c r="A2163" s="40">
        <v>2876</v>
      </c>
      <c r="B2163" s="40" t="s">
        <v>7811</v>
      </c>
      <c r="C2163" s="40" t="s">
        <v>536</v>
      </c>
      <c r="F2163" s="40" t="s">
        <v>1331</v>
      </c>
      <c r="G2163" s="40" t="s">
        <v>1259</v>
      </c>
      <c r="H2163" s="40" t="s">
        <v>467</v>
      </c>
      <c r="I2163" s="40" t="s">
        <v>1269</v>
      </c>
      <c r="J2163" s="40" t="s">
        <v>1391</v>
      </c>
      <c r="K2163" s="40" t="s">
        <v>578</v>
      </c>
      <c r="Z2163" s="40" t="s">
        <v>1484</v>
      </c>
      <c r="AA2163" s="47">
        <v>5</v>
      </c>
      <c r="AB2163" s="92">
        <f>IF(H2ProjectDB689571011[[#This Row],[Dummy_1]]="Electrolysis",
AA2163/VLOOKUP(G2163,ElectrolysisConvF,3,FALSE),
AC2163*10^6/(H2dens*HoursInYear))</f>
        <v>1111.1111111111111</v>
      </c>
      <c r="AC2163" s="92">
        <f>AB2163*H2dens*HoursInYear/10^6</f>
        <v>0.86626666666666663</v>
      </c>
      <c r="AE2163" s="46">
        <f t="shared" si="150"/>
        <v>1111.1111111111111</v>
      </c>
      <c r="AF2163" s="43" t="s">
        <v>7812</v>
      </c>
      <c r="AG2163" s="43">
        <v>40.189255585462902</v>
      </c>
      <c r="AH2163" s="43">
        <v>-122.14634756600699</v>
      </c>
      <c r="AI2163" s="122" t="s">
        <v>7286</v>
      </c>
      <c r="AJ2163" s="41">
        <v>0.3</v>
      </c>
    </row>
    <row r="2164" spans="1:36" ht="29.25" hidden="1" customHeight="1" x14ac:dyDescent="0.25">
      <c r="A2164" s="40">
        <v>2877</v>
      </c>
      <c r="B2164" s="40" t="s">
        <v>7815</v>
      </c>
      <c r="C2164" s="40" t="s">
        <v>539</v>
      </c>
      <c r="F2164" s="40" t="s">
        <v>1331</v>
      </c>
      <c r="G2164" s="40" t="s">
        <v>1259</v>
      </c>
      <c r="H2164" s="40" t="s">
        <v>467</v>
      </c>
      <c r="I2164" s="40" t="s">
        <v>1269</v>
      </c>
      <c r="J2164" s="40" t="s">
        <v>581</v>
      </c>
      <c r="K2164" s="40" t="s">
        <v>1243</v>
      </c>
      <c r="M2164" s="40">
        <v>1</v>
      </c>
      <c r="Z2164" s="40" t="s">
        <v>5004</v>
      </c>
      <c r="AA2164" s="47">
        <f>IF(H2ProjectDB689571011[[#This Row],[Dummy_1]]="Electrolysis",
AB2164*VLOOKUP(G2164,ElectrolysisConvF,3,FALSE),
"")</f>
        <v>2494.4563018373424</v>
      </c>
      <c r="AB2164" s="92">
        <f>AC2164/(H2dens*HoursInYear/10^6)</f>
        <v>554323.62263052061</v>
      </c>
      <c r="AC2164" s="92">
        <f>1200*3/17/0.98/H2ProjectDB689571011[[#This Row],[LOWE_CF]]</f>
        <v>432.17286914765907</v>
      </c>
      <c r="AE2164" s="46">
        <f t="shared" si="150"/>
        <v>554323.62263052061</v>
      </c>
      <c r="AF2164" s="43" t="s">
        <v>7816</v>
      </c>
      <c r="AG2164" s="43">
        <v>20.2450473694553</v>
      </c>
      <c r="AH2164" s="43">
        <v>86.166850256520306</v>
      </c>
      <c r="AI2164" s="122" t="s">
        <v>7286</v>
      </c>
      <c r="AJ2164" s="41">
        <v>0.5</v>
      </c>
    </row>
    <row r="2165" spans="1:36" ht="29.25" hidden="1" customHeight="1" x14ac:dyDescent="0.25">
      <c r="A2165" s="40">
        <v>2878</v>
      </c>
      <c r="B2165" s="40" t="s">
        <v>7817</v>
      </c>
      <c r="C2165" s="40" t="s">
        <v>539</v>
      </c>
      <c r="F2165" s="40" t="s">
        <v>1331</v>
      </c>
      <c r="G2165" s="40" t="s">
        <v>1259</v>
      </c>
      <c r="H2165" s="40" t="s">
        <v>467</v>
      </c>
      <c r="I2165" s="40" t="s">
        <v>1269</v>
      </c>
      <c r="J2165" s="40" t="s">
        <v>581</v>
      </c>
      <c r="K2165" s="40" t="s">
        <v>1243</v>
      </c>
      <c r="M2165" s="40">
        <v>1</v>
      </c>
      <c r="Z2165" s="40" t="s">
        <v>7818</v>
      </c>
      <c r="AA2165" s="47">
        <f>IF(H2ProjectDB689571011[[#This Row],[Dummy_1]]="Electrolysis",
AB2165*VLOOKUP(G2165,ElectrolysisConvF,3,FALSE),
"")</f>
        <v>623.6140754593356</v>
      </c>
      <c r="AB2165" s="92">
        <f>AC2165/(H2dens*HoursInYear/10^6)</f>
        <v>138580.90565763015</v>
      </c>
      <c r="AC2165" s="92">
        <f>300*3/17/0.98/H2ProjectDB689571011[[#This Row],[LOWE_CF]]</f>
        <v>108.04321728691477</v>
      </c>
      <c r="AE2165" s="46">
        <f t="shared" si="150"/>
        <v>138580.90565763015</v>
      </c>
      <c r="AF2165" s="43" t="s">
        <v>7816</v>
      </c>
      <c r="AG2165" s="43">
        <v>19.3140707490764</v>
      </c>
      <c r="AH2165" s="43">
        <v>85.0039560947029</v>
      </c>
      <c r="AI2165" s="122" t="s">
        <v>7286</v>
      </c>
      <c r="AJ2165" s="41">
        <v>0.5</v>
      </c>
    </row>
    <row r="2166" spans="1:36" ht="29.25" hidden="1" customHeight="1" x14ac:dyDescent="0.25">
      <c r="A2166" s="40">
        <v>2879</v>
      </c>
      <c r="B2166" s="40" t="s">
        <v>7819</v>
      </c>
      <c r="C2166" s="40" t="s">
        <v>539</v>
      </c>
      <c r="F2166" s="40" t="s">
        <v>1331</v>
      </c>
      <c r="G2166" s="40" t="s">
        <v>1259</v>
      </c>
      <c r="H2166" s="40" t="s">
        <v>467</v>
      </c>
      <c r="I2166" s="40" t="s">
        <v>1266</v>
      </c>
      <c r="K2166" s="40" t="s">
        <v>1243</v>
      </c>
      <c r="M2166" s="40">
        <v>1</v>
      </c>
      <c r="Z2166" s="40" t="s">
        <v>7820</v>
      </c>
      <c r="AA2166" s="47">
        <f>IF(H2ProjectDB689571011[[#This Row],[Dummy_1]]="Electrolysis",
AB2166*VLOOKUP(G2166,ElectrolysisConvF,3,FALSE),
"")</f>
        <v>1312.8717378091278</v>
      </c>
      <c r="AB2166" s="92">
        <f>AC2166/(H2dens*HoursInYear/10^6)</f>
        <v>291749.27506869507</v>
      </c>
      <c r="AC2166" s="92">
        <f>720*3/17/0.98/H2ProjectDB689571011[[#This Row],[LOWE_CF]]</f>
        <v>227.45940481455742</v>
      </c>
      <c r="AE2166" s="46">
        <f t="shared" si="150"/>
        <v>291749.27506869507</v>
      </c>
      <c r="AF2166" s="43" t="s">
        <v>7821</v>
      </c>
      <c r="AG2166" s="43">
        <v>19.3238515364283</v>
      </c>
      <c r="AH2166" s="43">
        <v>84.9870382842889</v>
      </c>
      <c r="AI2166" s="122" t="s">
        <v>7286</v>
      </c>
      <c r="AJ2166" s="41">
        <v>0.56999999999999995</v>
      </c>
    </row>
    <row r="2167" spans="1:36" ht="29.25" hidden="1" customHeight="1" x14ac:dyDescent="0.25">
      <c r="A2167" s="40">
        <v>2880</v>
      </c>
      <c r="B2167" s="40" t="s">
        <v>7823</v>
      </c>
      <c r="C2167" s="40" t="s">
        <v>1067</v>
      </c>
      <c r="F2167" s="40" t="s">
        <v>2222</v>
      </c>
      <c r="G2167" s="40" t="s">
        <v>1259</v>
      </c>
      <c r="H2167" s="40" t="s">
        <v>467</v>
      </c>
      <c r="I2167" s="40" t="s">
        <v>1269</v>
      </c>
      <c r="J2167" s="40" t="s">
        <v>1391</v>
      </c>
      <c r="K2167" s="40" t="s">
        <v>578</v>
      </c>
      <c r="P2167" s="40">
        <v>1</v>
      </c>
      <c r="Q2167" s="40">
        <v>1</v>
      </c>
      <c r="R2167" s="40">
        <v>1</v>
      </c>
      <c r="Z2167" s="40" t="s">
        <v>7824</v>
      </c>
      <c r="AA2167" s="47">
        <f>IF(H2ProjectDB689571011[[#This Row],[Dummy_1]]="Electrolysis",
AB2167*VLOOKUP(G2167,ElectrolysisConvF,3,FALSE),
"")</f>
        <v>808.06526088964142</v>
      </c>
      <c r="AB2167" s="92">
        <f>AC2167/(H2dens*HoursInYear/10^6)</f>
        <v>179570.05797547588</v>
      </c>
      <c r="AC2167" s="92">
        <f>42/H2ProjectDB689571011[[#This Row],[LOWE_CF]]</f>
        <v>140</v>
      </c>
      <c r="AE2167" s="46">
        <f t="shared" si="150"/>
        <v>179570.05797547588</v>
      </c>
      <c r="AF2167" s="43" t="s">
        <v>7826</v>
      </c>
      <c r="AG2167" s="43">
        <v>26.420480769220799</v>
      </c>
      <c r="AH2167" s="43">
        <v>-108.62911315599899</v>
      </c>
      <c r="AI2167" s="122" t="s">
        <v>7286</v>
      </c>
      <c r="AJ2167" s="41">
        <v>0.3</v>
      </c>
    </row>
    <row r="2168" spans="1:36" ht="29.25" hidden="1" customHeight="1" x14ac:dyDescent="0.25">
      <c r="A2168" s="40">
        <v>2881</v>
      </c>
      <c r="B2168" s="40" t="s">
        <v>7829</v>
      </c>
      <c r="C2168" s="40" t="s">
        <v>1061</v>
      </c>
      <c r="F2168" s="40" t="s">
        <v>2222</v>
      </c>
      <c r="G2168" s="40" t="s">
        <v>1259</v>
      </c>
      <c r="H2168" s="40" t="s">
        <v>7668</v>
      </c>
      <c r="I2168" s="40" t="s">
        <v>1269</v>
      </c>
      <c r="J2168" s="40" t="s">
        <v>1395</v>
      </c>
      <c r="K2168" s="40" t="s">
        <v>578</v>
      </c>
      <c r="Z2168" s="40" t="s">
        <v>7830</v>
      </c>
      <c r="AA2168" s="47">
        <f>IF(H2ProjectDB689571011[[#This Row],[Dummy_1]]="Electrolysis",
AB2168*VLOOKUP(G2168,ElectrolysisConvF,3,FALSE),
"")</f>
        <v>692.6273664768355</v>
      </c>
      <c r="AB2168" s="92">
        <f>AC2168/(H2dens*HoursInYear/10^6)</f>
        <v>153917.1925504079</v>
      </c>
      <c r="AC2168" s="92">
        <f>60/H2ProjectDB689571011[[#This Row],[LOWE_CF]]</f>
        <v>120</v>
      </c>
      <c r="AE2168" s="46">
        <f t="shared" si="150"/>
        <v>153917.1925504079</v>
      </c>
      <c r="AF2168" s="43" t="s">
        <v>7833</v>
      </c>
      <c r="AG2168" s="43">
        <v>16.670273012086302</v>
      </c>
      <c r="AH2168" s="43">
        <v>107.154806544629</v>
      </c>
      <c r="AI2168" s="122" t="s">
        <v>7286</v>
      </c>
      <c r="AJ2168" s="41">
        <v>0.5</v>
      </c>
    </row>
    <row r="2169" spans="1:36" ht="29.25" hidden="1" customHeight="1" x14ac:dyDescent="0.25">
      <c r="A2169" s="40">
        <v>2882</v>
      </c>
      <c r="B2169" s="40" t="s">
        <v>7834</v>
      </c>
      <c r="C2169" s="40" t="s">
        <v>541</v>
      </c>
      <c r="F2169" s="40" t="s">
        <v>1331</v>
      </c>
      <c r="G2169" s="40" t="s">
        <v>1259</v>
      </c>
      <c r="H2169" s="40" t="s">
        <v>467</v>
      </c>
      <c r="I2169" s="40" t="s">
        <v>1269</v>
      </c>
      <c r="J2169" s="40" t="s">
        <v>1391</v>
      </c>
      <c r="K2169" s="40" t="s">
        <v>578</v>
      </c>
      <c r="Q2169" s="40">
        <v>1</v>
      </c>
      <c r="Z2169" s="40" t="s">
        <v>7835</v>
      </c>
      <c r="AA2169" s="47">
        <v>15</v>
      </c>
      <c r="AB2169" s="92">
        <f>IF(H2ProjectDB689571011[[#This Row],[Dummy_1]]="Electrolysis",
AA2169/VLOOKUP(G2169,ElectrolysisConvF,3,FALSE),
AC2169*10^6/(H2dens*HoursInYear))</f>
        <v>3333.3333333333335</v>
      </c>
      <c r="AC2169" s="92">
        <f>AB2169*H2dens*HoursInYear/10^6</f>
        <v>2.5988000000000002</v>
      </c>
      <c r="AE2169" s="46">
        <f t="shared" si="150"/>
        <v>3333.3333333333335</v>
      </c>
      <c r="AF2169" s="43" t="s">
        <v>7837</v>
      </c>
      <c r="AG2169" s="43">
        <v>43.608611914569202</v>
      </c>
      <c r="AH2169" s="43">
        <v>11.467392706738901</v>
      </c>
      <c r="AI2169" s="122" t="s">
        <v>7286</v>
      </c>
      <c r="AJ2169" s="41">
        <v>0.3</v>
      </c>
    </row>
    <row r="2170" spans="1:36" ht="29.25" hidden="1" customHeight="1" x14ac:dyDescent="0.25">
      <c r="A2170" s="40">
        <v>2883</v>
      </c>
      <c r="B2170" s="40" t="s">
        <v>7838</v>
      </c>
      <c r="C2170" s="40" t="s">
        <v>539</v>
      </c>
      <c r="F2170" s="40" t="s">
        <v>2222</v>
      </c>
      <c r="G2170" s="40" t="s">
        <v>1259</v>
      </c>
      <c r="H2170" s="40" t="s">
        <v>467</v>
      </c>
      <c r="I2170" s="40" t="s">
        <v>1269</v>
      </c>
      <c r="J2170" s="40" t="s">
        <v>581</v>
      </c>
      <c r="K2170" s="40" t="s">
        <v>1243</v>
      </c>
      <c r="M2170" s="40">
        <v>1</v>
      </c>
      <c r="Z2170" s="40" t="s">
        <v>7841</v>
      </c>
      <c r="AA2170" s="47">
        <f>IF(H2ProjectDB689571011[[#This Row],[Dummy_1]]="Electrolysis",
AB2170*VLOOKUP(G2170,ElectrolysisConvF,3,FALSE),
"")</f>
        <v>207.87135848644522</v>
      </c>
      <c r="AB2170" s="92">
        <f t="shared" ref="AB2170:AB2179" si="152">AC2170/(H2dens*HoursInYear/10^6)</f>
        <v>46193.635219210053</v>
      </c>
      <c r="AC2170" s="92">
        <f>100*3/17/0.98/H2ProjectDB689571011[[#This Row],[LOWE_CF]]</f>
        <v>36.014405762304925</v>
      </c>
      <c r="AE2170" s="46">
        <f t="shared" si="150"/>
        <v>46193.635219210053</v>
      </c>
      <c r="AF2170" s="43" t="s">
        <v>7842</v>
      </c>
      <c r="AG2170" s="43">
        <v>20.313751259247201</v>
      </c>
      <c r="AH2170" s="43">
        <v>86.703414021630294</v>
      </c>
      <c r="AI2170" s="122" t="s">
        <v>7286</v>
      </c>
      <c r="AJ2170" s="41">
        <v>0.5</v>
      </c>
    </row>
    <row r="2171" spans="1:36" ht="29.25" hidden="1" customHeight="1" x14ac:dyDescent="0.25">
      <c r="A2171" s="40">
        <v>2884</v>
      </c>
      <c r="B2171" s="40" t="s">
        <v>8056</v>
      </c>
      <c r="C2171" s="40" t="s">
        <v>539</v>
      </c>
      <c r="D2171" s="40">
        <v>2026</v>
      </c>
      <c r="F2171" s="40" t="s">
        <v>1331</v>
      </c>
      <c r="G2171" s="40" t="s">
        <v>457</v>
      </c>
      <c r="I2171" s="40" t="s">
        <v>5700</v>
      </c>
      <c r="J2171" s="40" t="s">
        <v>1395</v>
      </c>
      <c r="K2171" s="40" t="s">
        <v>1243</v>
      </c>
      <c r="M2171" s="40">
        <v>1</v>
      </c>
      <c r="O2171" s="40">
        <v>1</v>
      </c>
      <c r="P2171" s="40">
        <v>1</v>
      </c>
      <c r="Q2171" s="40">
        <v>1</v>
      </c>
      <c r="R2171" s="40">
        <v>1</v>
      </c>
      <c r="Z2171" s="40" t="s">
        <v>8579</v>
      </c>
      <c r="AA2171" s="47">
        <f>IF(H2ProjectDB689571011[[#This Row],[Dummy_1]]="Electrolysis",
AB2171*VLOOKUP(G2171,ElectrolysisConvF,3,FALSE),
"")</f>
        <v>0.91067452289299811</v>
      </c>
      <c r="AB2171" s="92">
        <f t="shared" si="152"/>
        <v>197.97272236804307</v>
      </c>
      <c r="AC2171" s="92">
        <f>0.6*3/17/0.98/H2ProjectDB689571011[[#This Row],[LOWE_CF]]</f>
        <v>0.1543474532670211</v>
      </c>
      <c r="AE2171" s="46">
        <f t="shared" si="150"/>
        <v>197.97272236804307</v>
      </c>
      <c r="AF2171" s="43" t="s">
        <v>7845</v>
      </c>
      <c r="AG2171" s="43">
        <v>19.2772592538212</v>
      </c>
      <c r="AH2171" s="43">
        <v>84.940415166578504</v>
      </c>
      <c r="AI2171" s="122" t="s">
        <v>7286</v>
      </c>
      <c r="AJ2171" s="41">
        <v>0.7</v>
      </c>
    </row>
    <row r="2172" spans="1:36" ht="29.25" hidden="1" customHeight="1" x14ac:dyDescent="0.25">
      <c r="A2172" s="40">
        <v>2885</v>
      </c>
      <c r="B2172" s="40" t="s">
        <v>8057</v>
      </c>
      <c r="C2172" s="40" t="s">
        <v>539</v>
      </c>
      <c r="F2172" s="40" t="s">
        <v>1331</v>
      </c>
      <c r="G2172" s="40" t="s">
        <v>457</v>
      </c>
      <c r="I2172" s="40" t="s">
        <v>5700</v>
      </c>
      <c r="J2172" s="40" t="s">
        <v>1395</v>
      </c>
      <c r="K2172" s="40" t="s">
        <v>1243</v>
      </c>
      <c r="M2172" s="40">
        <v>1</v>
      </c>
      <c r="O2172" s="40">
        <v>1</v>
      </c>
      <c r="P2172" s="40">
        <v>1</v>
      </c>
      <c r="Q2172" s="40">
        <v>1</v>
      </c>
      <c r="R2172" s="40">
        <v>1</v>
      </c>
      <c r="Z2172" s="40" t="s">
        <v>8580</v>
      </c>
      <c r="AA2172" s="47">
        <f>IF(H2ProjectDB689571011[[#This Row],[Dummy_1]]="Electrolysis",
AB2172*VLOOKUP(G2172,ElectrolysisConvF,3,FALSE),
"")</f>
        <v>3.9462562658696596</v>
      </c>
      <c r="AB2172" s="92">
        <f t="shared" si="152"/>
        <v>857.88179692818687</v>
      </c>
      <c r="AC2172" s="92">
        <f>(3.2-0.6)*3/17/0.98/H2ProjectDB689571011[[#This Row],[LOWE_CF]]</f>
        <v>0.66883896415709154</v>
      </c>
      <c r="AE2172" s="46">
        <f t="shared" si="150"/>
        <v>857.88179692818687</v>
      </c>
      <c r="AF2172" s="43" t="s">
        <v>7845</v>
      </c>
      <c r="AG2172" s="43">
        <v>19.2772592538212</v>
      </c>
      <c r="AH2172" s="43">
        <v>84.940415166578504</v>
      </c>
      <c r="AI2172" s="122" t="s">
        <v>7286</v>
      </c>
      <c r="AJ2172" s="41">
        <v>0.7</v>
      </c>
    </row>
    <row r="2173" spans="1:36" ht="29.25" hidden="1" customHeight="1" x14ac:dyDescent="0.25">
      <c r="A2173" s="40">
        <v>2886</v>
      </c>
      <c r="B2173" s="40" t="s">
        <v>7846</v>
      </c>
      <c r="C2173" s="40" t="s">
        <v>539</v>
      </c>
      <c r="D2173" s="40">
        <v>2027</v>
      </c>
      <c r="F2173" s="40" t="s">
        <v>1331</v>
      </c>
      <c r="G2173" s="40" t="s">
        <v>1259</v>
      </c>
      <c r="H2173" s="40" t="s">
        <v>467</v>
      </c>
      <c r="I2173" s="40" t="s">
        <v>1269</v>
      </c>
      <c r="J2173" s="40" t="s">
        <v>581</v>
      </c>
      <c r="K2173" s="40" t="s">
        <v>1243</v>
      </c>
      <c r="M2173" s="40">
        <v>1</v>
      </c>
      <c r="Z2173" s="40" t="s">
        <v>7841</v>
      </c>
      <c r="AA2173" s="47">
        <f>IF(H2ProjectDB689571011[[#This Row],[Dummy_1]]="Electrolysis",
AB2173*VLOOKUP(G2173,ElectrolysisConvF,3,FALSE),
"")</f>
        <v>207.87135848644522</v>
      </c>
      <c r="AB2173" s="92">
        <f t="shared" si="152"/>
        <v>46193.635219210053</v>
      </c>
      <c r="AC2173" s="92">
        <f>100*3/17/0.98/H2ProjectDB689571011[[#This Row],[LOWE_CF]]</f>
        <v>36.014405762304925</v>
      </c>
      <c r="AE2173" s="46">
        <f t="shared" si="150"/>
        <v>46193.635219210053</v>
      </c>
      <c r="AF2173" s="43" t="s">
        <v>7848</v>
      </c>
      <c r="AG2173" s="43">
        <v>8.3748814639800102</v>
      </c>
      <c r="AH2173" s="43">
        <v>76.989836259797997</v>
      </c>
      <c r="AI2173" s="122" t="s">
        <v>7286</v>
      </c>
      <c r="AJ2173" s="41">
        <v>0.5</v>
      </c>
    </row>
    <row r="2174" spans="1:36" ht="29.25" hidden="1" customHeight="1" x14ac:dyDescent="0.25">
      <c r="A2174" s="40">
        <v>2887</v>
      </c>
      <c r="B2174" s="40" t="s">
        <v>7849</v>
      </c>
      <c r="C2174" s="40" t="s">
        <v>539</v>
      </c>
      <c r="F2174" s="40" t="s">
        <v>2222</v>
      </c>
      <c r="G2174" s="40" t="s">
        <v>1259</v>
      </c>
      <c r="H2174" s="40" t="s">
        <v>467</v>
      </c>
      <c r="I2174" s="40" t="s">
        <v>1269</v>
      </c>
      <c r="J2174" s="40" t="s">
        <v>581</v>
      </c>
      <c r="K2174" s="40" t="s">
        <v>1243</v>
      </c>
      <c r="M2174" s="40">
        <v>1</v>
      </c>
      <c r="Z2174" s="40" t="s">
        <v>5019</v>
      </c>
      <c r="AA2174" s="47">
        <f>IF(H2ProjectDB689571011[[#This Row],[Dummy_1]]="Electrolysis",
AB2174*VLOOKUP(G2174,ElectrolysisConvF,3,FALSE),
"")</f>
        <v>1039.356792432226</v>
      </c>
      <c r="AB2174" s="92">
        <f t="shared" si="152"/>
        <v>230968.17609605024</v>
      </c>
      <c r="AC2174" s="92">
        <f>500*3/17/0.98/H2ProjectDB689571011[[#This Row],[LOWE_CF]]</f>
        <v>180.0720288115246</v>
      </c>
      <c r="AE2174" s="46">
        <f t="shared" si="150"/>
        <v>230968.17609605024</v>
      </c>
      <c r="AF2174" s="43" t="s">
        <v>7848</v>
      </c>
      <c r="AG2174" s="43">
        <v>8.3748814639800102</v>
      </c>
      <c r="AH2174" s="43">
        <v>76.989836259797997</v>
      </c>
      <c r="AI2174" s="122" t="s">
        <v>7286</v>
      </c>
      <c r="AJ2174" s="41">
        <v>0.5</v>
      </c>
    </row>
    <row r="2175" spans="1:36" ht="29.25" hidden="1" customHeight="1" x14ac:dyDescent="0.25">
      <c r="A2175" s="40">
        <v>2888</v>
      </c>
      <c r="B2175" s="40" t="s">
        <v>7850</v>
      </c>
      <c r="C2175" s="40" t="s">
        <v>539</v>
      </c>
      <c r="F2175" s="40" t="s">
        <v>2222</v>
      </c>
      <c r="G2175" s="40" t="s">
        <v>1259</v>
      </c>
      <c r="H2175" s="40" t="s">
        <v>467</v>
      </c>
      <c r="I2175" s="40" t="s">
        <v>1269</v>
      </c>
      <c r="J2175" s="40" t="s">
        <v>581</v>
      </c>
      <c r="K2175" s="40" t="s">
        <v>1243</v>
      </c>
      <c r="M2175" s="40">
        <v>1</v>
      </c>
      <c r="Z2175" s="40" t="s">
        <v>5019</v>
      </c>
      <c r="AA2175" s="47">
        <f>IF(H2ProjectDB689571011[[#This Row],[Dummy_1]]="Electrolysis",
AB2175*VLOOKUP(G2175,ElectrolysisConvF,3,FALSE),
"")</f>
        <v>1039.356792432226</v>
      </c>
      <c r="AB2175" s="92">
        <f t="shared" si="152"/>
        <v>230968.17609605024</v>
      </c>
      <c r="AC2175" s="92">
        <f>500*3/17/0.98/H2ProjectDB689571011[[#This Row],[LOWE_CF]]</f>
        <v>180.0720288115246</v>
      </c>
      <c r="AE2175" s="46">
        <f t="shared" si="150"/>
        <v>230968.17609605024</v>
      </c>
      <c r="AF2175" s="43" t="s">
        <v>7848</v>
      </c>
      <c r="AG2175" s="43">
        <v>8.3748814639800102</v>
      </c>
      <c r="AH2175" s="43">
        <v>76.989836259797997</v>
      </c>
      <c r="AI2175" s="122" t="s">
        <v>7286</v>
      </c>
      <c r="AJ2175" s="41">
        <v>0.5</v>
      </c>
    </row>
    <row r="2176" spans="1:36" ht="29.25" hidden="1" customHeight="1" x14ac:dyDescent="0.25">
      <c r="A2176" s="40">
        <v>2889</v>
      </c>
      <c r="B2176" s="40" t="s">
        <v>7854</v>
      </c>
      <c r="C2176" s="40" t="s">
        <v>1062</v>
      </c>
      <c r="F2176" s="40" t="s">
        <v>2222</v>
      </c>
      <c r="G2176" s="40" t="s">
        <v>1261</v>
      </c>
      <c r="H2176" s="40" t="s">
        <v>5709</v>
      </c>
      <c r="K2176" s="40" t="s">
        <v>1243</v>
      </c>
      <c r="M2176" s="40">
        <v>1</v>
      </c>
      <c r="Z2176" s="40" t="s">
        <v>7855</v>
      </c>
      <c r="AA2176" s="47" t="str">
        <f>IF(H2ProjectDB689571011[[#This Row],[Dummy_1]]="Electrolysis",
AB2176*VLOOKUP(G2176,ElectrolysisConvF,3,FALSE),
"")</f>
        <v/>
      </c>
      <c r="AB2176" s="92">
        <f t="shared" si="152"/>
        <v>168606.76855011666</v>
      </c>
      <c r="AC2176" s="92">
        <f>730*3/17/0.98</f>
        <v>131.45258103241295</v>
      </c>
      <c r="AE2176" s="46">
        <f t="shared" si="150"/>
        <v>0</v>
      </c>
      <c r="AF2176" s="43" t="s">
        <v>7857</v>
      </c>
      <c r="AG2176" s="43">
        <v>-6.2401345957274303</v>
      </c>
      <c r="AH2176" s="43">
        <v>107.886113606934</v>
      </c>
      <c r="AI2176" s="122" t="s">
        <v>7287</v>
      </c>
      <c r="AJ2176" s="41">
        <v>0.9</v>
      </c>
    </row>
    <row r="2177" spans="1:36" ht="29.25" hidden="1" customHeight="1" x14ac:dyDescent="0.25">
      <c r="A2177" s="40">
        <v>2890</v>
      </c>
      <c r="B2177" s="40" t="s">
        <v>7859</v>
      </c>
      <c r="C2177" s="40" t="s">
        <v>1062</v>
      </c>
      <c r="D2177" s="40">
        <v>2030</v>
      </c>
      <c r="F2177" s="40" t="s">
        <v>2222</v>
      </c>
      <c r="G2177" s="40" t="s">
        <v>1259</v>
      </c>
      <c r="H2177" s="40" t="s">
        <v>467</v>
      </c>
      <c r="I2177" s="40" t="s">
        <v>1269</v>
      </c>
      <c r="J2177" s="40" t="s">
        <v>1395</v>
      </c>
      <c r="K2177" s="40" t="s">
        <v>578</v>
      </c>
      <c r="Z2177" s="40" t="s">
        <v>6674</v>
      </c>
      <c r="AA2177" s="47">
        <f>IF(H2ProjectDB689571011[[#This Row],[Dummy_1]]="Electrolysis",
AB2177*VLOOKUP(G2177,ElectrolysisConvF,3,FALSE),
"")</f>
        <v>577.18947206402959</v>
      </c>
      <c r="AB2177" s="92">
        <f t="shared" si="152"/>
        <v>128264.32712533991</v>
      </c>
      <c r="AC2177" s="92">
        <v>100</v>
      </c>
      <c r="AE2177" s="46">
        <f t="shared" si="150"/>
        <v>128264.32712533991</v>
      </c>
      <c r="AF2177" s="43" t="s">
        <v>7857</v>
      </c>
      <c r="AG2177" s="43">
        <v>-5.3065439999999997</v>
      </c>
      <c r="AH2177" s="43">
        <v>104.57719400000001</v>
      </c>
      <c r="AI2177" s="122" t="s">
        <v>7286</v>
      </c>
      <c r="AJ2177" s="41">
        <v>0.5</v>
      </c>
    </row>
    <row r="2178" spans="1:36" ht="29.25" hidden="1" customHeight="1" x14ac:dyDescent="0.25">
      <c r="A2178" s="40">
        <v>2891</v>
      </c>
      <c r="B2178" s="40" t="s">
        <v>7858</v>
      </c>
      <c r="C2178" s="40" t="s">
        <v>1062</v>
      </c>
      <c r="D2178" s="40">
        <v>2030</v>
      </c>
      <c r="F2178" s="40" t="s">
        <v>2222</v>
      </c>
      <c r="G2178" s="40" t="s">
        <v>1259</v>
      </c>
      <c r="H2178" s="40" t="s">
        <v>467</v>
      </c>
      <c r="I2178" s="40" t="s">
        <v>1269</v>
      </c>
      <c r="J2178" s="40" t="s">
        <v>1391</v>
      </c>
      <c r="K2178" s="40" t="s">
        <v>578</v>
      </c>
      <c r="Z2178" s="40" t="s">
        <v>6674</v>
      </c>
      <c r="AA2178" s="47">
        <f>IF(H2ProjectDB689571011[[#This Row],[Dummy_1]]="Electrolysis",
AB2178*VLOOKUP(G2178,ElectrolysisConvF,3,FALSE),
"")</f>
        <v>577.18947206402959</v>
      </c>
      <c r="AB2178" s="92">
        <f t="shared" si="152"/>
        <v>128264.32712533991</v>
      </c>
      <c r="AC2178" s="92">
        <v>100</v>
      </c>
      <c r="AE2178" s="46">
        <f t="shared" si="150"/>
        <v>128264.32712533991</v>
      </c>
      <c r="AF2178" s="43" t="s">
        <v>7857</v>
      </c>
      <c r="AG2178" s="43">
        <v>1.0593867176578999</v>
      </c>
      <c r="AH2178" s="43">
        <v>104.46691156865199</v>
      </c>
      <c r="AI2178" s="122" t="s">
        <v>7286</v>
      </c>
      <c r="AJ2178" s="41">
        <v>0.3</v>
      </c>
    </row>
    <row r="2179" spans="1:36" ht="29.25" hidden="1" customHeight="1" x14ac:dyDescent="0.25">
      <c r="A2179" s="40">
        <v>2892</v>
      </c>
      <c r="B2179" s="40" t="s">
        <v>7860</v>
      </c>
      <c r="C2179" s="40" t="s">
        <v>1062</v>
      </c>
      <c r="D2179" s="40">
        <v>2030</v>
      </c>
      <c r="F2179" s="40" t="s">
        <v>2222</v>
      </c>
      <c r="G2179" s="40" t="s">
        <v>1259</v>
      </c>
      <c r="H2179" s="40" t="s">
        <v>467</v>
      </c>
      <c r="I2179" s="40" t="s">
        <v>1269</v>
      </c>
      <c r="J2179" s="40" t="s">
        <v>1395</v>
      </c>
      <c r="K2179" s="40" t="s">
        <v>1243</v>
      </c>
      <c r="M2179" s="40">
        <v>1</v>
      </c>
      <c r="Z2179" s="40" t="s">
        <v>7861</v>
      </c>
      <c r="AA2179" s="47">
        <f>IF(H2ProjectDB689571011[[#This Row],[Dummy_1]]="Electrolysis",
AB2179*VLOOKUP(G2179,ElectrolysisConvF,3,FALSE),
"")</f>
        <v>519.67839621611301</v>
      </c>
      <c r="AB2179" s="92">
        <f t="shared" si="152"/>
        <v>115484.08804802512</v>
      </c>
      <c r="AC2179" s="92">
        <f>500*3/17/0.98</f>
        <v>90.036014405762302</v>
      </c>
      <c r="AE2179" s="46">
        <f t="shared" si="150"/>
        <v>115484.08804802512</v>
      </c>
      <c r="AF2179" s="43" t="s">
        <v>7857</v>
      </c>
      <c r="AG2179" s="43">
        <v>1.2474712264508101</v>
      </c>
      <c r="AH2179" s="43">
        <v>124.642168576279</v>
      </c>
      <c r="AI2179" s="122" t="s">
        <v>7286</v>
      </c>
      <c r="AJ2179" s="41">
        <v>0.5</v>
      </c>
    </row>
    <row r="2180" spans="1:36" ht="29.25" hidden="1" customHeight="1" x14ac:dyDescent="0.25">
      <c r="A2180" s="40">
        <v>2893</v>
      </c>
      <c r="B2180" s="40" t="s">
        <v>7862</v>
      </c>
      <c r="C2180" s="40" t="s">
        <v>1062</v>
      </c>
      <c r="D2180" s="40">
        <v>2027</v>
      </c>
      <c r="F2180" s="40" t="s">
        <v>2222</v>
      </c>
      <c r="G2180" s="40" t="s">
        <v>1259</v>
      </c>
      <c r="H2180" s="40" t="s">
        <v>467</v>
      </c>
      <c r="I2180" s="40" t="s">
        <v>1269</v>
      </c>
      <c r="J2180" s="40" t="s">
        <v>1395</v>
      </c>
      <c r="K2180" s="40" t="s">
        <v>578</v>
      </c>
      <c r="O2180" s="40">
        <v>1</v>
      </c>
      <c r="AA2180" s="47">
        <f>IF(OR(G2180="ALK",G2180="PEM",G2180="SOEC",G2180="Other Electrolysis"),
AB2180*VLOOKUP(G2180,ElectrolysisConvF,3,FALSE),
"")</f>
        <v>0</v>
      </c>
      <c r="AB2180" s="92"/>
      <c r="AC2180" s="92"/>
      <c r="AE2180" s="46">
        <f t="shared" si="150"/>
        <v>0</v>
      </c>
      <c r="AF2180" s="43" t="s">
        <v>7857</v>
      </c>
      <c r="AG2180" s="43">
        <v>-5.9420693556912596</v>
      </c>
      <c r="AH2180" s="43">
        <v>106.037781362071</v>
      </c>
      <c r="AI2180" s="122" t="s">
        <v>7286</v>
      </c>
      <c r="AJ2180" s="41">
        <v>0.5</v>
      </c>
    </row>
    <row r="2181" spans="1:36" ht="29.25" hidden="1" customHeight="1" x14ac:dyDescent="0.25">
      <c r="A2181" s="40">
        <v>2894</v>
      </c>
      <c r="B2181" s="40" t="s">
        <v>7863</v>
      </c>
      <c r="C2181" s="40" t="s">
        <v>541</v>
      </c>
      <c r="D2181" s="40">
        <v>2026</v>
      </c>
      <c r="F2181" s="40" t="s">
        <v>5701</v>
      </c>
      <c r="G2181" s="40" t="s">
        <v>1259</v>
      </c>
      <c r="H2181" s="40" t="s">
        <v>467</v>
      </c>
      <c r="I2181" s="40" t="s">
        <v>1269</v>
      </c>
      <c r="J2181" s="40" t="s">
        <v>1391</v>
      </c>
      <c r="K2181" s="40" t="s">
        <v>578</v>
      </c>
      <c r="P2181" s="40">
        <v>1</v>
      </c>
      <c r="Q2181" s="40">
        <v>1</v>
      </c>
      <c r="U2181" s="40">
        <v>1</v>
      </c>
      <c r="Z2181" s="40" t="s">
        <v>7864</v>
      </c>
      <c r="AA2181" s="47">
        <v>9.18</v>
      </c>
      <c r="AB2181" s="92">
        <f>IF(H2ProjectDB689571011[[#This Row],[Dummy_1]]="Electrolysis",
AA2181/VLOOKUP(G2181,ElectrolysisConvF,3,FALSE),
AC2181*10^6/(H2dens*HoursInYear))</f>
        <v>2040</v>
      </c>
      <c r="AC2181" s="92">
        <f t="shared" ref="AC2181:AC2186" si="153">AB2181*H2dens*HoursInYear/10^6</f>
        <v>1.5904656000000001</v>
      </c>
      <c r="AE2181" s="46">
        <f t="shared" si="150"/>
        <v>2040</v>
      </c>
      <c r="AF2181" s="43" t="s">
        <v>7866</v>
      </c>
      <c r="AG2181" s="43">
        <v>45.156999999999996</v>
      </c>
      <c r="AH2181" s="43">
        <v>10.792</v>
      </c>
      <c r="AI2181" s="122" t="s">
        <v>7286</v>
      </c>
      <c r="AJ2181" s="41">
        <v>0.3</v>
      </c>
    </row>
    <row r="2182" spans="1:36" ht="29.25" hidden="1" customHeight="1" x14ac:dyDescent="0.25">
      <c r="A2182" s="40">
        <v>2895</v>
      </c>
      <c r="B2182" s="40" t="s">
        <v>7867</v>
      </c>
      <c r="C2182" s="40" t="s">
        <v>541</v>
      </c>
      <c r="D2182" s="40">
        <v>2026</v>
      </c>
      <c r="F2182" s="40" t="s">
        <v>1331</v>
      </c>
      <c r="G2182" s="40" t="s">
        <v>1259</v>
      </c>
      <c r="H2182" s="40" t="s">
        <v>467</v>
      </c>
      <c r="I2182" s="40" t="s">
        <v>1269</v>
      </c>
      <c r="J2182" s="40" t="s">
        <v>1391</v>
      </c>
      <c r="K2182" s="40" t="s">
        <v>578</v>
      </c>
      <c r="P2182" s="40">
        <v>1</v>
      </c>
      <c r="Z2182" s="40" t="s">
        <v>1484</v>
      </c>
      <c r="AA2182" s="47">
        <v>5</v>
      </c>
      <c r="AB2182" s="92">
        <f>IF(H2ProjectDB689571011[[#This Row],[Dummy_1]]="Electrolysis",
AA2182/VLOOKUP(G2182,ElectrolysisConvF,3,FALSE),
AC2182*10^6/(H2dens*HoursInYear))</f>
        <v>1111.1111111111111</v>
      </c>
      <c r="AC2182" s="92">
        <f t="shared" si="153"/>
        <v>0.86626666666666663</v>
      </c>
      <c r="AE2182" s="46">
        <f t="shared" si="150"/>
        <v>1111.1111111111111</v>
      </c>
      <c r="AF2182" s="43" t="s">
        <v>8069</v>
      </c>
      <c r="AG2182" s="43">
        <v>45.463000000000001</v>
      </c>
      <c r="AH2182" s="43">
        <v>12.266999999999999</v>
      </c>
      <c r="AI2182" s="122" t="s">
        <v>7286</v>
      </c>
      <c r="AJ2182" s="41">
        <v>0.3</v>
      </c>
    </row>
    <row r="2183" spans="1:36" ht="34.5" hidden="1" customHeight="1" x14ac:dyDescent="0.25">
      <c r="A2183" s="40">
        <v>2896</v>
      </c>
      <c r="B2183" s="40" t="s">
        <v>7868</v>
      </c>
      <c r="C2183" s="40" t="s">
        <v>541</v>
      </c>
      <c r="D2183" s="44">
        <v>2026</v>
      </c>
      <c r="E2183" s="44"/>
      <c r="F2183" s="40" t="s">
        <v>1331</v>
      </c>
      <c r="G2183" s="40" t="s">
        <v>1259</v>
      </c>
      <c r="H2183" s="40" t="s">
        <v>467</v>
      </c>
      <c r="I2183" s="40" t="s">
        <v>1269</v>
      </c>
      <c r="J2183" s="40" t="s">
        <v>1391</v>
      </c>
      <c r="K2183" s="40" t="s">
        <v>578</v>
      </c>
      <c r="P2183" s="40">
        <v>1</v>
      </c>
      <c r="Z2183" s="40" t="s">
        <v>2154</v>
      </c>
      <c r="AA2183" s="47">
        <v>8</v>
      </c>
      <c r="AB2183" s="46">
        <f>IF(H2ProjectDB689571011[[#This Row],[Dummy_1]]="Electrolysis",
AA2183/VLOOKUP(G2183,ElectrolysisConvF,3,FALSE),
AC2183*10^6/(H2dens*HoursInYear))</f>
        <v>1777.7777777777778</v>
      </c>
      <c r="AC2183" s="47">
        <f t="shared" si="153"/>
        <v>1.3860266666666667</v>
      </c>
      <c r="AE2183" s="46">
        <f t="shared" si="150"/>
        <v>1777.7777777777778</v>
      </c>
      <c r="AF2183" s="43" t="s">
        <v>8071</v>
      </c>
      <c r="AG2183" s="43">
        <v>42.518000000000001</v>
      </c>
      <c r="AH2183" s="43">
        <v>12.516</v>
      </c>
      <c r="AI2183" s="122" t="s">
        <v>7286</v>
      </c>
      <c r="AJ2183" s="41">
        <v>0.3</v>
      </c>
    </row>
    <row r="2184" spans="1:36" ht="34.5" hidden="1" customHeight="1" x14ac:dyDescent="0.25">
      <c r="A2184" s="40">
        <v>2897</v>
      </c>
      <c r="B2184" s="40" t="s">
        <v>7869</v>
      </c>
      <c r="C2184" s="40" t="s">
        <v>541</v>
      </c>
      <c r="D2184" s="44">
        <v>2026</v>
      </c>
      <c r="E2184" s="44"/>
      <c r="F2184" s="40" t="s">
        <v>1331</v>
      </c>
      <c r="G2184" s="40" t="s">
        <v>1259</v>
      </c>
      <c r="H2184" s="40" t="s">
        <v>467</v>
      </c>
      <c r="I2184" s="40" t="s">
        <v>1269</v>
      </c>
      <c r="J2184" s="40" t="s">
        <v>1393</v>
      </c>
      <c r="K2184" s="40" t="s">
        <v>578</v>
      </c>
      <c r="Z2184" s="40" t="s">
        <v>3968</v>
      </c>
      <c r="AA2184" s="47">
        <v>800</v>
      </c>
      <c r="AB2184" s="46">
        <f>IF(H2ProjectDB689571011[[#This Row],[Dummy_1]]="Electrolysis",
AA2184/VLOOKUP(G2184,ElectrolysisConvF,3,FALSE),
AC2184*10^6/(H2dens*HoursInYear))</f>
        <v>177777.77777777778</v>
      </c>
      <c r="AC2184" s="47">
        <f t="shared" si="153"/>
        <v>138.60266666666666</v>
      </c>
      <c r="AE2184" s="46">
        <f t="shared" si="150"/>
        <v>177777.77777777778</v>
      </c>
      <c r="AF2184" s="43" t="s">
        <v>7866</v>
      </c>
      <c r="AG2184" s="43">
        <v>41.948999999999998</v>
      </c>
      <c r="AH2184" s="43">
        <v>15.004</v>
      </c>
      <c r="AI2184" s="122" t="s">
        <v>7286</v>
      </c>
      <c r="AJ2184" s="41">
        <v>0.55000000000000004</v>
      </c>
    </row>
    <row r="2185" spans="1:36" ht="34.5" hidden="1" customHeight="1" x14ac:dyDescent="0.25">
      <c r="A2185" s="40">
        <v>2898</v>
      </c>
      <c r="B2185" s="40" t="s">
        <v>7870</v>
      </c>
      <c r="C2185" s="40" t="s">
        <v>541</v>
      </c>
      <c r="D2185" s="44"/>
      <c r="E2185" s="44"/>
      <c r="F2185" s="40" t="s">
        <v>1331</v>
      </c>
      <c r="G2185" s="40" t="s">
        <v>455</v>
      </c>
      <c r="I2185" s="40" t="s">
        <v>1257</v>
      </c>
      <c r="K2185" s="40" t="s">
        <v>578</v>
      </c>
      <c r="P2185" s="40">
        <v>1</v>
      </c>
      <c r="Q2185" s="40">
        <v>1</v>
      </c>
      <c r="Z2185" s="40" t="s">
        <v>1484</v>
      </c>
      <c r="AA2185" s="47">
        <v>5</v>
      </c>
      <c r="AB2185" s="46">
        <f>IF(H2ProjectDB689571011[[#This Row],[Dummy_1]]="Electrolysis",
AA2185/VLOOKUP(G2185,ElectrolysisConvF,3,FALSE),
AC2185*10^6/(H2dens*HoursInYear))</f>
        <v>961.53846153846155</v>
      </c>
      <c r="AC2185" s="47">
        <f t="shared" si="153"/>
        <v>0.74965384615384612</v>
      </c>
      <c r="AE2185" s="46">
        <f t="shared" si="150"/>
        <v>961.53846153846155</v>
      </c>
      <c r="AF2185" s="43" t="s">
        <v>7866</v>
      </c>
      <c r="AG2185" s="43">
        <v>45.635484037074299</v>
      </c>
      <c r="AH2185" s="43">
        <v>8.7139744017433003</v>
      </c>
      <c r="AI2185" s="122" t="s">
        <v>7286</v>
      </c>
      <c r="AJ2185" s="41">
        <v>0.56999999999999995</v>
      </c>
    </row>
    <row r="2186" spans="1:36" ht="34.5" hidden="1" customHeight="1" x14ac:dyDescent="0.25">
      <c r="A2186" s="40">
        <v>2899</v>
      </c>
      <c r="B2186" s="40" t="s">
        <v>7871</v>
      </c>
      <c r="C2186" s="40" t="s">
        <v>541</v>
      </c>
      <c r="D2186" s="44">
        <v>2025</v>
      </c>
      <c r="E2186" s="44"/>
      <c r="F2186" s="40" t="s">
        <v>1331</v>
      </c>
      <c r="G2186" s="40" t="s">
        <v>1259</v>
      </c>
      <c r="H2186" s="40" t="s">
        <v>467</v>
      </c>
      <c r="I2186" s="40" t="s">
        <v>1257</v>
      </c>
      <c r="K2186" s="40" t="s">
        <v>578</v>
      </c>
      <c r="Q2186" s="40">
        <v>1</v>
      </c>
      <c r="Z2186" s="40" t="s">
        <v>1484</v>
      </c>
      <c r="AA2186" s="47">
        <v>5</v>
      </c>
      <c r="AB2186" s="46">
        <f>IF(H2ProjectDB689571011[[#This Row],[Dummy_1]]="Electrolysis",
AA2186/VLOOKUP(G2186,ElectrolysisConvF,3,FALSE),
AC2186*10^6/(H2dens*HoursInYear))</f>
        <v>1111.1111111111111</v>
      </c>
      <c r="AC2186" s="47">
        <f t="shared" si="153"/>
        <v>0.86626666666666663</v>
      </c>
      <c r="AE2186" s="46">
        <f t="shared" si="150"/>
        <v>1111.1111111111111</v>
      </c>
      <c r="AF2186" s="43" t="s">
        <v>8073</v>
      </c>
      <c r="AG2186" s="43">
        <v>45.542856224542298</v>
      </c>
      <c r="AH2186" s="43">
        <v>10.2504532968465</v>
      </c>
      <c r="AI2186" s="122" t="s">
        <v>7286</v>
      </c>
      <c r="AJ2186" s="41">
        <v>0.56999999999999995</v>
      </c>
    </row>
    <row r="2187" spans="1:36" ht="34.5" hidden="1" customHeight="1" x14ac:dyDescent="0.25">
      <c r="A2187" s="40">
        <v>2900</v>
      </c>
      <c r="B2187" s="40" t="s">
        <v>7875</v>
      </c>
      <c r="C2187" s="40" t="s">
        <v>539</v>
      </c>
      <c r="D2187" s="44"/>
      <c r="E2187" s="44"/>
      <c r="F2187" s="40" t="s">
        <v>2222</v>
      </c>
      <c r="G2187" s="40" t="s">
        <v>1259</v>
      </c>
      <c r="H2187" s="40" t="s">
        <v>467</v>
      </c>
      <c r="I2187" s="40" t="s">
        <v>1257</v>
      </c>
      <c r="K2187" s="40" t="s">
        <v>1243</v>
      </c>
      <c r="M2187" s="40">
        <v>1</v>
      </c>
      <c r="Z2187" s="40" t="s">
        <v>7861</v>
      </c>
      <c r="AA2187" s="47">
        <f>IF(H2ProjectDB689571011[[#This Row],[Dummy_1]]="Electrolysis",
AB2187*VLOOKUP(G2187,ElectrolysisConvF,3,FALSE),
"")</f>
        <v>519.67839621611301</v>
      </c>
      <c r="AB2187" s="46">
        <f>AC2187/(H2dens*HoursInYear/10^6)</f>
        <v>115484.08804802512</v>
      </c>
      <c r="AC2187" s="47">
        <f>500*3/17/0.98</f>
        <v>90.036014405762302</v>
      </c>
      <c r="AE2187" s="46">
        <f t="shared" si="150"/>
        <v>115484.08804802512</v>
      </c>
      <c r="AF2187" s="43" t="s">
        <v>7878</v>
      </c>
      <c r="AG2187" s="43">
        <v>18.872961147516499</v>
      </c>
      <c r="AH2187" s="43">
        <v>74.866987511008304</v>
      </c>
      <c r="AI2187" s="122" t="s">
        <v>7286</v>
      </c>
      <c r="AJ2187" s="41">
        <v>0.56999999999999995</v>
      </c>
    </row>
    <row r="2188" spans="1:36" ht="34.5" hidden="1" customHeight="1" x14ac:dyDescent="0.25">
      <c r="A2188" s="40">
        <v>2901</v>
      </c>
      <c r="B2188" s="40" t="s">
        <v>8589</v>
      </c>
      <c r="C2188" s="40" t="s">
        <v>531</v>
      </c>
      <c r="D2188" s="44">
        <v>2028</v>
      </c>
      <c r="E2188" s="44"/>
      <c r="F2188" s="40" t="s">
        <v>1331</v>
      </c>
      <c r="G2188" s="40" t="s">
        <v>1259</v>
      </c>
      <c r="H2188" s="40" t="s">
        <v>467</v>
      </c>
      <c r="I2188" s="40" t="s">
        <v>1266</v>
      </c>
      <c r="K2188" s="40" t="s">
        <v>1243</v>
      </c>
      <c r="M2188" s="40">
        <v>1</v>
      </c>
      <c r="Z2188" s="40" t="s">
        <v>8590</v>
      </c>
      <c r="AA2188" s="45">
        <v>171</v>
      </c>
      <c r="AB2188" s="46">
        <f>IF(H2ProjectDB689571011[[#This Row],[Dummy_1]]="Electrolysis",
AA2188/VLOOKUP(G2188,ElectrolysisConvF,3,FALSE),
AC2188*10^6/(H2dens*HoursInYear))</f>
        <v>38000</v>
      </c>
      <c r="AC2188" s="47">
        <f>AB2188*H2dens*HoursInYear/10^6</f>
        <v>29.62632</v>
      </c>
      <c r="AE2188" s="46">
        <f t="shared" si="150"/>
        <v>38000</v>
      </c>
      <c r="AF2188" s="43" t="s">
        <v>7880</v>
      </c>
      <c r="AG2188" s="43">
        <v>58.449717746084097</v>
      </c>
      <c r="AH2188" s="43">
        <v>8.84933770982461</v>
      </c>
      <c r="AI2188" s="122" t="s">
        <v>7286</v>
      </c>
      <c r="AJ2188" s="41">
        <v>0.56999999999999995</v>
      </c>
    </row>
    <row r="2189" spans="1:36" ht="34.5" hidden="1" customHeight="1" x14ac:dyDescent="0.25">
      <c r="A2189" s="40">
        <v>2902</v>
      </c>
      <c r="B2189" s="40" t="s">
        <v>7881</v>
      </c>
      <c r="C2189" s="40" t="s">
        <v>531</v>
      </c>
      <c r="D2189" s="44"/>
      <c r="E2189" s="44"/>
      <c r="F2189" s="40" t="s">
        <v>2222</v>
      </c>
      <c r="G2189" s="40" t="s">
        <v>1259</v>
      </c>
      <c r="H2189" s="40" t="s">
        <v>467</v>
      </c>
      <c r="I2189" s="40" t="s">
        <v>1257</v>
      </c>
      <c r="K2189" s="40" t="s">
        <v>1243</v>
      </c>
      <c r="M2189" s="40">
        <v>1</v>
      </c>
      <c r="Z2189" s="40" t="s">
        <v>7841</v>
      </c>
      <c r="AA2189" s="45">
        <f>IF(H2ProjectDB689571011[[#This Row],[Dummy_1]]="Electrolysis",
AB2189*VLOOKUP(G2189,ElectrolysisConvF,3,FALSE),
"")</f>
        <v>182.34329691793442</v>
      </c>
      <c r="AB2189" s="46">
        <f>AC2189/(H2dens*HoursInYear/10^6)</f>
        <v>40520.732648429876</v>
      </c>
      <c r="AC2189" s="47">
        <f>100*3/17/0.98/H2ProjectDB689571011[[#This Row],[LOWE_CF]]</f>
        <v>31.591584002021868</v>
      </c>
      <c r="AE2189" s="46">
        <f t="shared" si="150"/>
        <v>40520.732648429876</v>
      </c>
      <c r="AF2189" s="43" t="s">
        <v>7882</v>
      </c>
      <c r="AG2189" s="43">
        <v>59.309949685339703</v>
      </c>
      <c r="AH2189" s="43">
        <v>10.518410166873201</v>
      </c>
      <c r="AI2189" s="122" t="s">
        <v>7286</v>
      </c>
      <c r="AJ2189" s="41">
        <v>0.56999999999999995</v>
      </c>
    </row>
    <row r="2190" spans="1:36" ht="35.1" customHeight="1" x14ac:dyDescent="0.25">
      <c r="A2190" s="40">
        <v>2903</v>
      </c>
      <c r="B2190" s="40" t="s">
        <v>8475</v>
      </c>
      <c r="C2190" s="40" t="s">
        <v>1052</v>
      </c>
      <c r="D2190" s="44">
        <v>2030</v>
      </c>
      <c r="E2190" s="44"/>
      <c r="F2190" s="40" t="s">
        <v>1331</v>
      </c>
      <c r="G2190" s="40" t="s">
        <v>1259</v>
      </c>
      <c r="H2190" s="40" t="s">
        <v>467</v>
      </c>
      <c r="I2190" s="40" t="s">
        <v>5700</v>
      </c>
      <c r="K2190" s="40" t="s">
        <v>1243</v>
      </c>
      <c r="M2190" s="40">
        <v>1</v>
      </c>
      <c r="Z2190" s="40" t="s">
        <v>1334</v>
      </c>
      <c r="AA2190" s="45">
        <v>1000</v>
      </c>
      <c r="AB2190" s="46">
        <f>IF(H2ProjectDB689571011[[#This Row],[Dummy_1]]="Electrolysis",
AA2190/VLOOKUP(G2190,ElectrolysisConvF,3,FALSE),
AC2190*10^6/(H2dens*HoursInYear))</f>
        <v>222222.22222222225</v>
      </c>
      <c r="AC2190" s="47">
        <f>AB2190*H2dens*HoursInYear/10^6</f>
        <v>173.25333333333333</v>
      </c>
      <c r="AE2190" s="46">
        <f t="shared" si="150"/>
        <v>222222.22222222225</v>
      </c>
      <c r="AF2190" s="43" t="s">
        <v>8349</v>
      </c>
      <c r="AG2190" s="43">
        <v>-3.53092803394662</v>
      </c>
      <c r="AH2190" s="43">
        <v>-38.792377458297302</v>
      </c>
      <c r="AI2190" s="122" t="s">
        <v>7286</v>
      </c>
      <c r="AJ2190" s="41">
        <v>0.7</v>
      </c>
    </row>
    <row r="2191" spans="1:36" ht="34.5" hidden="1" customHeight="1" x14ac:dyDescent="0.25">
      <c r="A2191" s="40">
        <v>2904</v>
      </c>
      <c r="B2191" s="40" t="s">
        <v>7886</v>
      </c>
      <c r="C2191" s="40" t="s">
        <v>535</v>
      </c>
      <c r="D2191" s="44">
        <v>2027</v>
      </c>
      <c r="E2191" s="44"/>
      <c r="F2191" s="40" t="s">
        <v>1331</v>
      </c>
      <c r="G2191" s="40" t="s">
        <v>1259</v>
      </c>
      <c r="H2191" s="40" t="s">
        <v>467</v>
      </c>
      <c r="I2191" s="40" t="s">
        <v>5700</v>
      </c>
      <c r="K2191" s="40" t="s">
        <v>578</v>
      </c>
      <c r="Z2191" s="40" t="s">
        <v>1483</v>
      </c>
      <c r="AA2191" s="47">
        <v>50</v>
      </c>
      <c r="AB2191" s="46">
        <f>IF(H2ProjectDB689571011[[#This Row],[Dummy_1]]="Electrolysis",
AA2191/VLOOKUP(G2191,ElectrolysisConvF,3,FALSE),
AC2191*10^6/(H2dens*HoursInYear))</f>
        <v>11111.111111111111</v>
      </c>
      <c r="AC2191" s="47">
        <f>AB2191*H2dens*HoursInYear/10^6</f>
        <v>8.6626666666666665</v>
      </c>
      <c r="AE2191" s="46">
        <f t="shared" si="150"/>
        <v>11111.111111111111</v>
      </c>
      <c r="AF2191" s="43" t="s">
        <v>7888</v>
      </c>
      <c r="AG2191" s="43">
        <v>-23.8059755377543</v>
      </c>
      <c r="AH2191" s="43">
        <v>151.060685014358</v>
      </c>
      <c r="AI2191" s="122" t="s">
        <v>7286</v>
      </c>
      <c r="AJ2191" s="41">
        <v>0.7</v>
      </c>
    </row>
    <row r="2192" spans="1:36" ht="34.5" hidden="1" customHeight="1" x14ac:dyDescent="0.25">
      <c r="A2192" s="40">
        <v>2905</v>
      </c>
      <c r="B2192" s="40" t="s">
        <v>7889</v>
      </c>
      <c r="C2192" s="40" t="s">
        <v>535</v>
      </c>
      <c r="D2192" s="44">
        <v>2030</v>
      </c>
      <c r="E2192" s="44"/>
      <c r="F2192" s="40" t="s">
        <v>2222</v>
      </c>
      <c r="G2192" s="40" t="s">
        <v>1259</v>
      </c>
      <c r="H2192" s="40" t="s">
        <v>467</v>
      </c>
      <c r="I2192" s="40" t="s">
        <v>5700</v>
      </c>
      <c r="K2192" s="40" t="s">
        <v>578</v>
      </c>
      <c r="Z2192" s="40" t="s">
        <v>3475</v>
      </c>
      <c r="AA2192" s="47">
        <v>350</v>
      </c>
      <c r="AB2192" s="46">
        <f>IF(H2ProjectDB689571011[[#This Row],[Dummy_1]]="Electrolysis",
AA2192/VLOOKUP(G2192,ElectrolysisConvF,3,FALSE),
AC2192*10^6/(H2dens*HoursInYear))</f>
        <v>77777.777777777781</v>
      </c>
      <c r="AC2192" s="47">
        <f>AB2192*H2dens*HoursInYear/10^6</f>
        <v>60.638666666666673</v>
      </c>
      <c r="AE2192" s="46">
        <f t="shared" si="150"/>
        <v>77777.777777777781</v>
      </c>
      <c r="AF2192" s="43" t="s">
        <v>7888</v>
      </c>
      <c r="AG2192" s="43">
        <v>-23.8059755377543</v>
      </c>
      <c r="AH2192" s="43">
        <v>151.060685014358</v>
      </c>
      <c r="AI2192" s="122" t="s">
        <v>7286</v>
      </c>
      <c r="AJ2192" s="41">
        <v>0.7</v>
      </c>
    </row>
    <row r="2193" spans="1:36" ht="34.5" hidden="1" customHeight="1" x14ac:dyDescent="0.25">
      <c r="A2193" s="40">
        <v>2906</v>
      </c>
      <c r="B2193" s="40" t="s">
        <v>7890</v>
      </c>
      <c r="C2193" s="40" t="s">
        <v>534</v>
      </c>
      <c r="D2193" s="44"/>
      <c r="E2193" s="44"/>
      <c r="F2193" s="40" t="s">
        <v>2222</v>
      </c>
      <c r="G2193" s="40" t="s">
        <v>1259</v>
      </c>
      <c r="H2193" s="40" t="s">
        <v>467</v>
      </c>
      <c r="I2193" s="40" t="s">
        <v>1269</v>
      </c>
      <c r="J2193" s="40" t="s">
        <v>581</v>
      </c>
      <c r="K2193" s="40" t="s">
        <v>578</v>
      </c>
      <c r="Z2193" s="40" t="s">
        <v>1574</v>
      </c>
      <c r="AA2193" s="47">
        <v>200</v>
      </c>
      <c r="AB2193" s="46">
        <f>IF(H2ProjectDB689571011[[#This Row],[Dummy_1]]="Electrolysis",
AA2193/VLOOKUP(G2193,ElectrolysisConvF,3,FALSE),
AC2193*10^6/(H2dens*HoursInYear))</f>
        <v>44444.444444444445</v>
      </c>
      <c r="AC2193" s="47">
        <f>AB2193*H2dens*HoursInYear/10^6</f>
        <v>34.650666666666666</v>
      </c>
      <c r="AE2193" s="46">
        <f t="shared" si="150"/>
        <v>44444.444444444445</v>
      </c>
      <c r="AF2193" s="43" t="s">
        <v>7892</v>
      </c>
      <c r="AG2193" s="43">
        <v>4.6506823818913201</v>
      </c>
      <c r="AH2193" s="43">
        <v>103.382167597631</v>
      </c>
      <c r="AI2193" s="122" t="s">
        <v>7286</v>
      </c>
      <c r="AJ2193" s="41">
        <v>0.5</v>
      </c>
    </row>
    <row r="2194" spans="1:36" ht="35.1" hidden="1" customHeight="1" x14ac:dyDescent="0.25">
      <c r="A2194" s="40">
        <v>2907</v>
      </c>
      <c r="B2194" s="40" t="s">
        <v>7893</v>
      </c>
      <c r="C2194" s="40" t="s">
        <v>1177</v>
      </c>
      <c r="D2194" s="44">
        <v>2028</v>
      </c>
      <c r="E2194" s="44"/>
      <c r="F2194" s="40" t="s">
        <v>2222</v>
      </c>
      <c r="G2194" s="40" t="s">
        <v>1259</v>
      </c>
      <c r="H2194" s="40" t="s">
        <v>467</v>
      </c>
      <c r="I2194" s="40" t="s">
        <v>1269</v>
      </c>
      <c r="J2194" s="40" t="s">
        <v>1395</v>
      </c>
      <c r="K2194" s="40" t="s">
        <v>1243</v>
      </c>
      <c r="Z2194" s="40" t="s">
        <v>1574</v>
      </c>
      <c r="AA2194" s="91">
        <v>200</v>
      </c>
      <c r="AB2194" s="46">
        <f>IF(H2ProjectDB689571011[[#This Row],[Dummy_1]]="Electrolysis",
AA2194/VLOOKUP(G2194,ElectrolysisConvF,3,FALSE),
AC2194*10^6/(H2dens*HoursInYear))</f>
        <v>44444.444444444445</v>
      </c>
      <c r="AC2194" s="47">
        <f>AB2194*H2dens*HoursInYear/10^6</f>
        <v>34.650666666666666</v>
      </c>
      <c r="AE2194" s="46">
        <f t="shared" si="150"/>
        <v>44444.444444444445</v>
      </c>
      <c r="AF2194" s="43" t="s">
        <v>7895</v>
      </c>
      <c r="AG2194" s="43">
        <v>9.4121952506795807</v>
      </c>
      <c r="AH2194" s="43">
        <v>-84.104027514554801</v>
      </c>
      <c r="AI2194" s="122" t="s">
        <v>7286</v>
      </c>
      <c r="AJ2194" s="41">
        <v>0.5</v>
      </c>
    </row>
    <row r="2195" spans="1:36" ht="35.1" customHeight="1" x14ac:dyDescent="0.25">
      <c r="A2195" s="40">
        <v>2908</v>
      </c>
      <c r="B2195" s="40" t="s">
        <v>7896</v>
      </c>
      <c r="C2195" s="40" t="s">
        <v>1052</v>
      </c>
      <c r="D2195" s="44">
        <v>2026</v>
      </c>
      <c r="E2195" s="44"/>
      <c r="F2195" s="40" t="s">
        <v>1331</v>
      </c>
      <c r="G2195" s="40" t="s">
        <v>1259</v>
      </c>
      <c r="H2195" s="40" t="s">
        <v>467</v>
      </c>
      <c r="I2195" s="40" t="s">
        <v>1257</v>
      </c>
      <c r="K2195" s="40" t="s">
        <v>1242</v>
      </c>
      <c r="N2195" s="40">
        <v>1</v>
      </c>
      <c r="Z2195" s="40" t="s">
        <v>5000</v>
      </c>
      <c r="AA2195" s="91">
        <f>IF(H2ProjectDB689571011[[#This Row],[Dummy_1]]="Electrolysis",
AB2195*VLOOKUP(G2195,ElectrolysisConvF,3,FALSE),
"")</f>
        <v>193.74022828349928</v>
      </c>
      <c r="AB2195" s="46">
        <f>AC2195/(H2dens*HoursInYear/10^6)</f>
        <v>43053.384062999845</v>
      </c>
      <c r="AC2195" s="47">
        <f>(100*0.191327)/H2ProjectDB689571011[[#This Row],[LOWE_CF]]</f>
        <v>33.566140350877198</v>
      </c>
      <c r="AE2195" s="46">
        <f t="shared" si="150"/>
        <v>43053.384062999845</v>
      </c>
      <c r="AF2195" s="43" t="s">
        <v>8350</v>
      </c>
      <c r="AG2195" s="43">
        <v>-8.3934681977897299</v>
      </c>
      <c r="AH2195" s="43">
        <v>-34.967697047493303</v>
      </c>
      <c r="AI2195" s="122" t="s">
        <v>7286</v>
      </c>
      <c r="AJ2195" s="41">
        <v>0.56999999999999995</v>
      </c>
    </row>
    <row r="2196" spans="1:36" ht="35.1" hidden="1" customHeight="1" x14ac:dyDescent="0.25">
      <c r="A2196" s="40">
        <v>2909</v>
      </c>
      <c r="B2196" s="40" t="s">
        <v>7898</v>
      </c>
      <c r="C2196" s="40" t="s">
        <v>556</v>
      </c>
      <c r="D2196" s="44">
        <v>2028</v>
      </c>
      <c r="E2196" s="44"/>
      <c r="F2196" s="40" t="s">
        <v>1331</v>
      </c>
      <c r="G2196" s="40" t="s">
        <v>1259</v>
      </c>
      <c r="H2196" s="40" t="s">
        <v>467</v>
      </c>
      <c r="I2196" s="40" t="s">
        <v>1269</v>
      </c>
      <c r="J2196" s="40" t="s">
        <v>1393</v>
      </c>
      <c r="K2196" s="40" t="s">
        <v>1242</v>
      </c>
      <c r="N2196" s="40">
        <v>1</v>
      </c>
      <c r="Z2196" s="40" t="s">
        <v>7145</v>
      </c>
      <c r="AA2196" s="91">
        <f>IF(H2ProjectDB689571011[[#This Row],[Dummy_1]]="Electrolysis",
AB2196*VLOOKUP(G2196,ElectrolysisConvF,3,FALSE),
"")</f>
        <v>1003.9266374690415</v>
      </c>
      <c r="AB2196" s="46">
        <f>AC2196/(H2dens*HoursInYear/10^6)</f>
        <v>223094.80832645367</v>
      </c>
      <c r="AC2196" s="47">
        <f>(500*0.191327)/H2ProjectDB689571011[[#This Row],[LOWE_CF]]</f>
        <v>173.93363636363634</v>
      </c>
      <c r="AE2196" s="46">
        <f t="shared" si="150"/>
        <v>223094.80832645367</v>
      </c>
      <c r="AF2196" s="43" t="s">
        <v>7900</v>
      </c>
      <c r="AG2196" s="43">
        <v>58.395829715390597</v>
      </c>
      <c r="AH2196" s="43">
        <v>24.439971630223599</v>
      </c>
      <c r="AI2196" s="122" t="s">
        <v>7286</v>
      </c>
      <c r="AJ2196" s="41">
        <v>0.55000000000000004</v>
      </c>
    </row>
    <row r="2197" spans="1:36" ht="35.1" hidden="1" customHeight="1" x14ac:dyDescent="0.25">
      <c r="A2197" s="40">
        <v>2910</v>
      </c>
      <c r="B2197" s="40" t="s">
        <v>7901</v>
      </c>
      <c r="C2197" s="40" t="s">
        <v>560</v>
      </c>
      <c r="D2197" s="44">
        <v>2032</v>
      </c>
      <c r="E2197" s="44"/>
      <c r="F2197" s="40" t="s">
        <v>2222</v>
      </c>
      <c r="G2197" s="40" t="s">
        <v>1259</v>
      </c>
      <c r="H2197" s="40" t="s">
        <v>467</v>
      </c>
      <c r="I2197" s="40" t="s">
        <v>1269</v>
      </c>
      <c r="J2197" s="40" t="s">
        <v>1392</v>
      </c>
      <c r="K2197" s="40" t="s">
        <v>1243</v>
      </c>
      <c r="M2197" s="40">
        <v>1</v>
      </c>
      <c r="Z2197" s="40" t="s">
        <v>1334</v>
      </c>
      <c r="AA2197" s="91">
        <v>1000</v>
      </c>
      <c r="AB2197" s="46">
        <f>IF(H2ProjectDB689571011[[#This Row],[Dummy_1]]="Electrolysis",
AA2197/VLOOKUP(G2197,ElectrolysisConvF,3,FALSE),
AC2197*10^6/(H2dens*HoursInYear))</f>
        <v>222222.22222222225</v>
      </c>
      <c r="AC2197" s="47">
        <f t="shared" ref="AC2197:AC2202" si="154">AB2197*H2dens*HoursInYear/10^6</f>
        <v>173.25333333333333</v>
      </c>
      <c r="AE2197" s="46">
        <f t="shared" ref="AE2197:AE2253" si="155">IF(AND(G2197&lt;&gt;"NG w CCUS",G2197&lt;&gt;"Oil w CCUS",G2197&lt;&gt;"Coal w CCUS"),AB2197,AD2197*10^3/(HoursInYear*IF(G2197="NG w CCUS",0.9105,1.9075)))</f>
        <v>222222.22222222225</v>
      </c>
      <c r="AF2197" s="43" t="s">
        <v>7904</v>
      </c>
      <c r="AG2197" s="43">
        <v>-53.4654375559453</v>
      </c>
      <c r="AH2197" s="43">
        <v>-71.616809961338902</v>
      </c>
      <c r="AI2197" s="122" t="s">
        <v>7286</v>
      </c>
      <c r="AJ2197" s="41">
        <v>0.4</v>
      </c>
    </row>
    <row r="2198" spans="1:36" ht="35.1" hidden="1" customHeight="1" x14ac:dyDescent="0.25">
      <c r="A2198" s="40">
        <v>2911</v>
      </c>
      <c r="B2198" s="40" t="s">
        <v>7902</v>
      </c>
      <c r="C2198" s="40" t="s">
        <v>560</v>
      </c>
      <c r="D2198" s="44">
        <v>2032</v>
      </c>
      <c r="E2198" s="44"/>
      <c r="F2198" s="40" t="s">
        <v>2222</v>
      </c>
      <c r="G2198" s="40" t="s">
        <v>1259</v>
      </c>
      <c r="H2198" s="40" t="s">
        <v>467</v>
      </c>
      <c r="I2198" s="40" t="s">
        <v>1269</v>
      </c>
      <c r="J2198" s="40" t="s">
        <v>1392</v>
      </c>
      <c r="K2198" s="40" t="s">
        <v>1243</v>
      </c>
      <c r="M2198" s="40">
        <v>1</v>
      </c>
      <c r="Z2198" s="40" t="s">
        <v>2694</v>
      </c>
      <c r="AA2198" s="91">
        <v>1500</v>
      </c>
      <c r="AB2198" s="46">
        <f>IF(H2ProjectDB689571011[[#This Row],[Dummy_1]]="Electrolysis",
AA2198/VLOOKUP(G2198,ElectrolysisConvF,3,FALSE),
AC2198*10^6/(H2dens*HoursInYear))</f>
        <v>333333.33333333337</v>
      </c>
      <c r="AC2198" s="47">
        <f t="shared" si="154"/>
        <v>259.88</v>
      </c>
      <c r="AE2198" s="46">
        <f t="shared" si="155"/>
        <v>333333.33333333337</v>
      </c>
      <c r="AF2198" s="43" t="s">
        <v>7904</v>
      </c>
      <c r="AG2198" s="43">
        <v>-51.4577196214412</v>
      </c>
      <c r="AH2198" s="43">
        <v>-73.923938727299202</v>
      </c>
      <c r="AI2198" s="122" t="s">
        <v>7286</v>
      </c>
      <c r="AJ2198" s="41">
        <v>0.4</v>
      </c>
    </row>
    <row r="2199" spans="1:36" ht="35.1" hidden="1" customHeight="1" x14ac:dyDescent="0.25">
      <c r="A2199" s="40">
        <v>2912</v>
      </c>
      <c r="B2199" s="40" t="s">
        <v>7905</v>
      </c>
      <c r="C2199" s="40" t="s">
        <v>560</v>
      </c>
      <c r="D2199" s="44"/>
      <c r="E2199" s="44"/>
      <c r="F2199" s="40" t="s">
        <v>2222</v>
      </c>
      <c r="G2199" s="40" t="s">
        <v>1259</v>
      </c>
      <c r="H2199" s="40" t="s">
        <v>467</v>
      </c>
      <c r="I2199" s="40" t="s">
        <v>1269</v>
      </c>
      <c r="J2199" s="40" t="s">
        <v>1395</v>
      </c>
      <c r="K2199" s="40" t="s">
        <v>1243</v>
      </c>
      <c r="M2199" s="40">
        <v>1</v>
      </c>
      <c r="Z2199" s="40" t="s">
        <v>7906</v>
      </c>
      <c r="AA2199" s="91">
        <v>1440</v>
      </c>
      <c r="AB2199" s="46">
        <f>IF(H2ProjectDB689571011[[#This Row],[Dummy_1]]="Electrolysis",
AA2199/VLOOKUP(G2199,ElectrolysisConvF,3,FALSE),
AC2199*10^6/(H2dens*HoursInYear))</f>
        <v>320000</v>
      </c>
      <c r="AC2199" s="47">
        <f t="shared" si="154"/>
        <v>249.48480000000001</v>
      </c>
      <c r="AE2199" s="46">
        <f t="shared" si="155"/>
        <v>320000</v>
      </c>
      <c r="AF2199" s="43" t="s">
        <v>7907</v>
      </c>
      <c r="AG2199" s="43">
        <v>-23.473750678813101</v>
      </c>
      <c r="AH2199" s="43">
        <v>-70.388691287920693</v>
      </c>
      <c r="AI2199" s="122" t="s">
        <v>7286</v>
      </c>
      <c r="AJ2199" s="41">
        <v>0.5</v>
      </c>
    </row>
    <row r="2200" spans="1:36" ht="35.1" customHeight="1" x14ac:dyDescent="0.25">
      <c r="A2200" s="40">
        <v>2913</v>
      </c>
      <c r="B2200" s="40" t="s">
        <v>7971</v>
      </c>
      <c r="C2200" s="40" t="s">
        <v>1052</v>
      </c>
      <c r="D2200" s="44">
        <v>2030</v>
      </c>
      <c r="E2200" s="44"/>
      <c r="F2200" s="40" t="s">
        <v>2222</v>
      </c>
      <c r="G2200" s="40" t="s">
        <v>1259</v>
      </c>
      <c r="H2200" s="40" t="s">
        <v>467</v>
      </c>
      <c r="I2200" s="40" t="s">
        <v>1257</v>
      </c>
      <c r="K2200" s="40" t="s">
        <v>1243</v>
      </c>
      <c r="M2200" s="40">
        <v>1</v>
      </c>
      <c r="Z2200" s="40" t="s">
        <v>7969</v>
      </c>
      <c r="AA2200" s="91">
        <v>500</v>
      </c>
      <c r="AB2200" s="46">
        <f>IF(H2ProjectDB689571011[[#This Row],[Dummy_1]]="Electrolysis",
AA2200/VLOOKUP(G2200,ElectrolysisConvF,3,FALSE),
AC2200*10^6/(H2dens*HoursInYear))</f>
        <v>111111.11111111112</v>
      </c>
      <c r="AC2200" s="47">
        <f t="shared" si="154"/>
        <v>86.626666666666665</v>
      </c>
      <c r="AE2200" s="46">
        <f t="shared" si="155"/>
        <v>111111.11111111112</v>
      </c>
      <c r="AF2200" s="43" t="s">
        <v>8351</v>
      </c>
      <c r="AG2200" s="43">
        <v>-3.53</v>
      </c>
      <c r="AH2200" s="43">
        <v>-38.79</v>
      </c>
      <c r="AI2200" s="122" t="s">
        <v>7286</v>
      </c>
      <c r="AJ2200" s="41">
        <v>0.56999999999999995</v>
      </c>
    </row>
    <row r="2201" spans="1:36" ht="35.1" hidden="1" customHeight="1" x14ac:dyDescent="0.25">
      <c r="A2201" s="40">
        <v>2914</v>
      </c>
      <c r="B2201" s="40" t="s">
        <v>7909</v>
      </c>
      <c r="C2201" s="40" t="s">
        <v>1761</v>
      </c>
      <c r="D2201" s="44">
        <v>2027</v>
      </c>
      <c r="E2201" s="44"/>
      <c r="F2201" s="40" t="s">
        <v>1331</v>
      </c>
      <c r="G2201" s="40" t="s">
        <v>1259</v>
      </c>
      <c r="H2201" s="40" t="s">
        <v>467</v>
      </c>
      <c r="I2201" s="40" t="s">
        <v>1269</v>
      </c>
      <c r="J2201" s="40" t="s">
        <v>581</v>
      </c>
      <c r="K2201" s="40" t="s">
        <v>1243</v>
      </c>
      <c r="M2201" s="40">
        <v>1</v>
      </c>
      <c r="Z2201" s="40" t="s">
        <v>7910</v>
      </c>
      <c r="AA2201" s="91">
        <v>137</v>
      </c>
      <c r="AB2201" s="46">
        <f>IF(H2ProjectDB689571011[[#This Row],[Dummy_1]]="Electrolysis",
AA2201/VLOOKUP(G2201,ElectrolysisConvF,3,FALSE),
AC2201*10^6/(H2dens*HoursInYear))</f>
        <v>30444.444444444445</v>
      </c>
      <c r="AC2201" s="47">
        <f t="shared" si="154"/>
        <v>23.735706666666669</v>
      </c>
      <c r="AE2201" s="46">
        <f t="shared" si="155"/>
        <v>30444.444444444445</v>
      </c>
      <c r="AF2201" s="43" t="s">
        <v>7912</v>
      </c>
      <c r="AG2201" s="43">
        <v>37.993470054452501</v>
      </c>
      <c r="AH2201" s="43">
        <v>-8.8542119591189898</v>
      </c>
      <c r="AI2201" s="122" t="s">
        <v>7286</v>
      </c>
      <c r="AJ2201" s="41">
        <v>0.5</v>
      </c>
    </row>
    <row r="2202" spans="1:36" ht="35.1" customHeight="1" x14ac:dyDescent="0.25">
      <c r="A2202" s="40">
        <v>2915</v>
      </c>
      <c r="B2202" s="40" t="s">
        <v>7980</v>
      </c>
      <c r="C2202" s="40" t="s">
        <v>1052</v>
      </c>
      <c r="D2202" s="44"/>
      <c r="E2202" s="44"/>
      <c r="F2202" s="40" t="s">
        <v>2222</v>
      </c>
      <c r="G2202" s="40" t="s">
        <v>1259</v>
      </c>
      <c r="H2202" s="40" t="s">
        <v>467</v>
      </c>
      <c r="I2202" s="40" t="s">
        <v>1257</v>
      </c>
      <c r="K2202" s="40" t="s">
        <v>578</v>
      </c>
      <c r="Z2202" s="40" t="s">
        <v>1333</v>
      </c>
      <c r="AA2202" s="91">
        <v>10</v>
      </c>
      <c r="AB2202" s="46">
        <f>IF(H2ProjectDB689571011[[#This Row],[Dummy_1]]="Electrolysis",
AA2202/VLOOKUP(G2202,ElectrolysisConvF,3,FALSE),
AC2202*10^6/(H2dens*HoursInYear))</f>
        <v>2222.2222222222222</v>
      </c>
      <c r="AC2202" s="47">
        <f t="shared" si="154"/>
        <v>1.7325333333333333</v>
      </c>
      <c r="AE2202" s="46">
        <f t="shared" si="155"/>
        <v>2222.2222222222222</v>
      </c>
      <c r="AF2202" s="43" t="s">
        <v>7979</v>
      </c>
      <c r="AG2202" s="43">
        <v>-21.8667292150067</v>
      </c>
      <c r="AH2202" s="43">
        <v>-41.015984308884498</v>
      </c>
      <c r="AI2202" s="122" t="s">
        <v>7286</v>
      </c>
      <c r="AJ2202" s="41">
        <v>0.56999999999999995</v>
      </c>
    </row>
    <row r="2203" spans="1:36" ht="35.1" hidden="1" customHeight="1" x14ac:dyDescent="0.25">
      <c r="A2203" s="40">
        <v>2916</v>
      </c>
      <c r="B2203" s="40" t="s">
        <v>7917</v>
      </c>
      <c r="C2203" s="40" t="s">
        <v>535</v>
      </c>
      <c r="D2203" s="44">
        <v>2028</v>
      </c>
      <c r="E2203" s="44"/>
      <c r="F2203" s="40" t="s">
        <v>2222</v>
      </c>
      <c r="G2203" s="40" t="s">
        <v>1259</v>
      </c>
      <c r="H2203" s="40" t="s">
        <v>467</v>
      </c>
      <c r="I2203" s="40" t="s">
        <v>1257</v>
      </c>
      <c r="K2203" s="40" t="s">
        <v>1242</v>
      </c>
      <c r="N2203" s="40">
        <v>1</v>
      </c>
      <c r="Z2203" s="40" t="s">
        <v>7918</v>
      </c>
      <c r="AA2203" s="91">
        <f>IF(H2ProjectDB689571011[[#This Row],[Dummy_1]]="Electrolysis",
AB2203*VLOOKUP(G2203,ElectrolysisConvF,3,FALSE),
"")</f>
        <v>193.74022828349928</v>
      </c>
      <c r="AB2203" s="46">
        <f t="shared" ref="AB2203:AB2215" si="156">AC2203/(H2dens*HoursInYear/10^6)</f>
        <v>43053.384062999845</v>
      </c>
      <c r="AC2203" s="47">
        <f>(100*0.191327)/H2ProjectDB689571011[[#This Row],[LOWE_CF]]</f>
        <v>33.566140350877198</v>
      </c>
      <c r="AE2203" s="46">
        <f t="shared" si="155"/>
        <v>43053.384062999845</v>
      </c>
      <c r="AF2203" s="43" t="s">
        <v>7921</v>
      </c>
      <c r="AG2203" s="43">
        <v>-23.965064957122301</v>
      </c>
      <c r="AH2203" s="43">
        <v>151.34071667418399</v>
      </c>
      <c r="AI2203" s="122" t="s">
        <v>7286</v>
      </c>
      <c r="AJ2203" s="41">
        <v>0.56999999999999995</v>
      </c>
    </row>
    <row r="2204" spans="1:36" ht="35.1" hidden="1" customHeight="1" x14ac:dyDescent="0.25">
      <c r="A2204" s="40">
        <v>2917</v>
      </c>
      <c r="B2204" s="40" t="s">
        <v>7930</v>
      </c>
      <c r="C2204" s="40" t="s">
        <v>537</v>
      </c>
      <c r="D2204" s="44"/>
      <c r="E2204" s="44"/>
      <c r="F2204" s="40" t="s">
        <v>2222</v>
      </c>
      <c r="G2204" s="40" t="s">
        <v>1259</v>
      </c>
      <c r="H2204" s="40" t="s">
        <v>467</v>
      </c>
      <c r="I2204" s="40" t="s">
        <v>1269</v>
      </c>
      <c r="J2204" s="40" t="s">
        <v>1392</v>
      </c>
      <c r="K2204" s="40" t="s">
        <v>1242</v>
      </c>
      <c r="N2204" s="40">
        <v>1</v>
      </c>
      <c r="Z2204" s="40" t="s">
        <v>7931</v>
      </c>
      <c r="AA2204" s="91">
        <f>IF(H2ProjectDB689571011[[#This Row],[Dummy_1]]="Electrolysis",
AB2204*VLOOKUP(G2204,ElectrolysisConvF,3,FALSE),
"")</f>
        <v>541.11645759581347</v>
      </c>
      <c r="AB2204" s="46">
        <f t="shared" si="156"/>
        <v>120248.10168795855</v>
      </c>
      <c r="AC2204" s="47">
        <f>(490*0.191327)</f>
        <v>93.750230000000002</v>
      </c>
      <c r="AE2204" s="46">
        <f t="shared" si="155"/>
        <v>120248.10168795855</v>
      </c>
      <c r="AF2204" s="43" t="s">
        <v>7922</v>
      </c>
      <c r="AG2204" s="43">
        <v>38.920833999999999</v>
      </c>
      <c r="AH2204" s="43">
        <v>121.639168</v>
      </c>
      <c r="AI2204" s="122" t="s">
        <v>7286</v>
      </c>
      <c r="AJ2204" s="41">
        <v>0.4</v>
      </c>
    </row>
    <row r="2205" spans="1:36" ht="35.1" hidden="1" customHeight="1" x14ac:dyDescent="0.25">
      <c r="A2205" s="40">
        <v>2918</v>
      </c>
      <c r="B2205" s="40" t="s">
        <v>7932</v>
      </c>
      <c r="C2205" s="40" t="s">
        <v>533</v>
      </c>
      <c r="D2205" s="44">
        <v>2029</v>
      </c>
      <c r="E2205" s="44"/>
      <c r="F2205" s="40" t="s">
        <v>1331</v>
      </c>
      <c r="G2205" s="40" t="s">
        <v>1259</v>
      </c>
      <c r="H2205" s="40" t="s">
        <v>467</v>
      </c>
      <c r="I2205" s="40" t="s">
        <v>1269</v>
      </c>
      <c r="J2205" s="40" t="s">
        <v>1394</v>
      </c>
      <c r="K2205" s="40" t="s">
        <v>1243</v>
      </c>
      <c r="M2205" s="40">
        <v>1</v>
      </c>
      <c r="Z2205" s="40" t="s">
        <v>7933</v>
      </c>
      <c r="AA2205" s="91">
        <f>IF(H2ProjectDB689571011[[#This Row],[Dummy_1]]="Electrolysis",
AB2205*VLOOKUP(G2205,ElectrolysisConvF,3,FALSE),
"")</f>
        <v>519.67839621611301</v>
      </c>
      <c r="AB2205" s="46">
        <f t="shared" si="156"/>
        <v>115484.08804802512</v>
      </c>
      <c r="AC2205" s="47">
        <f>400*3/17/0.98/H2ProjectDB689571011[[#This Row],[LOWE_CF]]</f>
        <v>90.036014405762302</v>
      </c>
      <c r="AE2205" s="46">
        <f t="shared" si="155"/>
        <v>115484.08804802512</v>
      </c>
      <c r="AF2205" s="43" t="s">
        <v>7936</v>
      </c>
      <c r="AG2205" s="43">
        <v>50.2534908632488</v>
      </c>
      <c r="AH2205" s="43">
        <v>-66.351199462765706</v>
      </c>
      <c r="AI2205" s="122" t="s">
        <v>7286</v>
      </c>
      <c r="AJ2205" s="41">
        <v>0.8</v>
      </c>
    </row>
    <row r="2206" spans="1:36" ht="35.1" hidden="1" customHeight="1" x14ac:dyDescent="0.25">
      <c r="A2206" s="40">
        <v>2919</v>
      </c>
      <c r="B2206" s="40" t="s">
        <v>7952</v>
      </c>
      <c r="C2206" s="40" t="s">
        <v>537</v>
      </c>
      <c r="D2206" s="44">
        <v>2025</v>
      </c>
      <c r="E2206" s="44"/>
      <c r="F2206" s="40" t="s">
        <v>1331</v>
      </c>
      <c r="G2206" s="40" t="s">
        <v>1259</v>
      </c>
      <c r="H2206" s="40" t="s">
        <v>467</v>
      </c>
      <c r="I2206" s="40" t="s">
        <v>1257</v>
      </c>
      <c r="K2206" s="40" t="s">
        <v>1242</v>
      </c>
      <c r="N2206" s="40">
        <v>1</v>
      </c>
      <c r="Z2206" s="40" t="s">
        <v>7937</v>
      </c>
      <c r="AA2206" s="91">
        <f>IF(H2ProjectDB689571011[[#This Row],[Dummy_1]]="Electrolysis",
AB2206*VLOOKUP(G2206,ElectrolysisConvF,3,FALSE),
"")</f>
        <v>662.59158072956745</v>
      </c>
      <c r="AB2206" s="46">
        <f t="shared" si="156"/>
        <v>147242.57349545945</v>
      </c>
      <c r="AC2206" s="47">
        <f>(600*0.191327)</f>
        <v>114.7962</v>
      </c>
      <c r="AE2206" s="46">
        <f t="shared" si="155"/>
        <v>147242.57349545945</v>
      </c>
      <c r="AF2206" s="43" t="s">
        <v>7939</v>
      </c>
      <c r="AG2206" s="43">
        <v>42.223085319209801</v>
      </c>
      <c r="AH2206" s="43">
        <v>119.008006884662</v>
      </c>
      <c r="AI2206" s="122" t="s">
        <v>7286</v>
      </c>
      <c r="AJ2206" s="41">
        <v>0.56999999999999995</v>
      </c>
    </row>
    <row r="2207" spans="1:36" ht="35.1" hidden="1" customHeight="1" x14ac:dyDescent="0.25">
      <c r="A2207" s="40">
        <v>2920</v>
      </c>
      <c r="B2207" s="40" t="s">
        <v>7953</v>
      </c>
      <c r="C2207" s="40" t="s">
        <v>537</v>
      </c>
      <c r="D2207" s="44"/>
      <c r="E2207" s="44"/>
      <c r="F2207" s="40" t="s">
        <v>2222</v>
      </c>
      <c r="G2207" s="40" t="s">
        <v>1259</v>
      </c>
      <c r="H2207" s="40" t="s">
        <v>467</v>
      </c>
      <c r="I2207" s="40" t="s">
        <v>1257</v>
      </c>
      <c r="K2207" s="40" t="s">
        <v>1242</v>
      </c>
      <c r="N2207" s="40">
        <v>1</v>
      </c>
      <c r="Z2207" s="40" t="s">
        <v>7796</v>
      </c>
      <c r="AA2207" s="91">
        <f>IF(H2ProjectDB689571011[[#This Row],[Dummy_1]]="Electrolysis",
AB2207*VLOOKUP(G2207,ElectrolysisConvF,3,FALSE),
"")</f>
        <v>441.72772048637836</v>
      </c>
      <c r="AB2207" s="46">
        <f t="shared" si="156"/>
        <v>98161.715663639639</v>
      </c>
      <c r="AC2207" s="47">
        <f>(400*0.191327)</f>
        <v>76.530799999999999</v>
      </c>
      <c r="AE2207" s="46">
        <f t="shared" si="155"/>
        <v>98161.715663639639</v>
      </c>
      <c r="AF2207" s="43" t="s">
        <v>7939</v>
      </c>
      <c r="AG2207" s="43">
        <v>42.223085319209801</v>
      </c>
      <c r="AH2207" s="43">
        <v>119.008006884662</v>
      </c>
      <c r="AI2207" s="122" t="s">
        <v>7286</v>
      </c>
      <c r="AJ2207" s="41">
        <v>0.56999999999999995</v>
      </c>
    </row>
    <row r="2208" spans="1:36" ht="35.1" hidden="1" customHeight="1" x14ac:dyDescent="0.25">
      <c r="A2208" s="40">
        <v>2921</v>
      </c>
      <c r="B2208" s="40" t="s">
        <v>7940</v>
      </c>
      <c r="C2208" s="40" t="s">
        <v>537</v>
      </c>
      <c r="D2208" s="44">
        <v>2027</v>
      </c>
      <c r="E2208" s="44"/>
      <c r="F2208" s="40" t="s">
        <v>1331</v>
      </c>
      <c r="G2208" s="40" t="s">
        <v>1259</v>
      </c>
      <c r="H2208" s="40" t="s">
        <v>467</v>
      </c>
      <c r="I2208" s="40" t="s">
        <v>1269</v>
      </c>
      <c r="J2208" s="40" t="s">
        <v>1395</v>
      </c>
      <c r="K2208" s="40" t="s">
        <v>1242</v>
      </c>
      <c r="N2208" s="40">
        <v>1</v>
      </c>
      <c r="Z2208" s="40" t="s">
        <v>7941</v>
      </c>
      <c r="AA2208" s="91">
        <f>IF(H2ProjectDB689571011[[#This Row],[Dummy_1]]="Electrolysis",
AB2208*VLOOKUP(G2208,ElectrolysisConvF,3,FALSE),
"")</f>
        <v>773.02351085116197</v>
      </c>
      <c r="AB2208" s="46">
        <f t="shared" si="156"/>
        <v>171783.00241136935</v>
      </c>
      <c r="AC2208" s="47">
        <f>(700*0.191327)</f>
        <v>133.9289</v>
      </c>
      <c r="AE2208" s="46">
        <f t="shared" si="155"/>
        <v>171783.00241136935</v>
      </c>
      <c r="AF2208" s="43" t="s">
        <v>7939</v>
      </c>
      <c r="AG2208" s="43">
        <v>39.325517990062401</v>
      </c>
      <c r="AH2208" s="43">
        <v>107.758773142999</v>
      </c>
      <c r="AI2208" s="122" t="s">
        <v>7286</v>
      </c>
      <c r="AJ2208" s="41">
        <v>0.5</v>
      </c>
    </row>
    <row r="2209" spans="1:36" ht="35.1" hidden="1" customHeight="1" x14ac:dyDescent="0.25">
      <c r="A2209" s="40">
        <v>2922</v>
      </c>
      <c r="B2209" s="40" t="s">
        <v>7944</v>
      </c>
      <c r="C2209" s="40" t="s">
        <v>537</v>
      </c>
      <c r="D2209" s="44"/>
      <c r="E2209" s="44"/>
      <c r="F2209" s="40" t="s">
        <v>1331</v>
      </c>
      <c r="G2209" s="40" t="s">
        <v>1259</v>
      </c>
      <c r="H2209" s="40" t="s">
        <v>467</v>
      </c>
      <c r="I2209" s="40" t="s">
        <v>1257</v>
      </c>
      <c r="K2209" s="40" t="s">
        <v>1242</v>
      </c>
      <c r="N2209" s="40">
        <v>1</v>
      </c>
      <c r="Z2209" s="40" t="s">
        <v>7945</v>
      </c>
      <c r="AA2209" s="91">
        <f>IF(H2ProjectDB689571011[[#This Row],[Dummy_1]]="Electrolysis",
AB2209*VLOOKUP(G2209,ElectrolysisConvF,3,FALSE),
"")</f>
        <v>372.70776416038171</v>
      </c>
      <c r="AB2209" s="46">
        <f t="shared" si="156"/>
        <v>82823.947591195945</v>
      </c>
      <c r="AC2209" s="47">
        <f>(337.5*0.191327)</f>
        <v>64.572862499999999</v>
      </c>
      <c r="AE2209" s="46">
        <f t="shared" si="155"/>
        <v>82823.947591195945</v>
      </c>
      <c r="AF2209" s="43" t="s">
        <v>7946</v>
      </c>
      <c r="AG2209" s="43">
        <v>39.768825498412099</v>
      </c>
      <c r="AH2209" s="43">
        <v>109.742352188501</v>
      </c>
      <c r="AI2209" s="122" t="s">
        <v>7286</v>
      </c>
      <c r="AJ2209" s="41">
        <v>0.56999999999999995</v>
      </c>
    </row>
    <row r="2210" spans="1:36" ht="35.1" hidden="1" customHeight="1" x14ac:dyDescent="0.25">
      <c r="A2210" s="40">
        <v>2923</v>
      </c>
      <c r="B2210" s="40" t="s">
        <v>8185</v>
      </c>
      <c r="C2210" s="40" t="s">
        <v>537</v>
      </c>
      <c r="D2210" s="44"/>
      <c r="E2210" s="44"/>
      <c r="F2210" s="40" t="s">
        <v>1331</v>
      </c>
      <c r="G2210" s="40" t="s">
        <v>1259</v>
      </c>
      <c r="H2210" s="40" t="s">
        <v>467</v>
      </c>
      <c r="I2210" s="40" t="s">
        <v>1257</v>
      </c>
      <c r="K2210" s="40" t="s">
        <v>1242</v>
      </c>
      <c r="N2210" s="40">
        <v>1</v>
      </c>
      <c r="Z2210" s="40" t="s">
        <v>7931</v>
      </c>
      <c r="AA2210" s="91">
        <f>IF(H2ProjectDB689571011[[#This Row],[Dummy_1]]="Electrolysis",
AB2210*VLOOKUP(G2210,ElectrolysisConvF,3,FALSE),
"")</f>
        <v>541.11645759581347</v>
      </c>
      <c r="AB2210" s="46">
        <f t="shared" si="156"/>
        <v>120248.10168795855</v>
      </c>
      <c r="AC2210" s="47">
        <f>(490*0.191327)</f>
        <v>93.750230000000002</v>
      </c>
      <c r="AE2210" s="46">
        <f t="shared" si="155"/>
        <v>120248.10168795855</v>
      </c>
      <c r="AF2210" s="43" t="s">
        <v>7948</v>
      </c>
      <c r="AG2210" s="43">
        <v>38.917237269174798</v>
      </c>
      <c r="AH2210" s="43">
        <v>105.29376845086099</v>
      </c>
      <c r="AI2210" s="122" t="s">
        <v>7286</v>
      </c>
      <c r="AJ2210" s="41">
        <v>0.56999999999999995</v>
      </c>
    </row>
    <row r="2211" spans="1:36" ht="35.1" hidden="1" customHeight="1" x14ac:dyDescent="0.25">
      <c r="A2211" s="40">
        <v>2924</v>
      </c>
      <c r="B2211" s="40" t="s">
        <v>8186</v>
      </c>
      <c r="C2211" s="40" t="s">
        <v>537</v>
      </c>
      <c r="D2211" s="44"/>
      <c r="E2211" s="44"/>
      <c r="F2211" s="40" t="s">
        <v>2222</v>
      </c>
      <c r="G2211" s="40" t="s">
        <v>1259</v>
      </c>
      <c r="H2211" s="40" t="s">
        <v>467</v>
      </c>
      <c r="I2211" s="40" t="s">
        <v>1257</v>
      </c>
      <c r="K2211" s="40" t="s">
        <v>1242</v>
      </c>
      <c r="N2211" s="40">
        <v>1</v>
      </c>
      <c r="Z2211" s="40" t="s">
        <v>7950</v>
      </c>
      <c r="AA2211" s="91">
        <f>IF(H2ProjectDB689571011[[#This Row],[Dummy_1]]="Electrolysis",
AB2211*VLOOKUP(G2211,ElectrolysisConvF,3,FALSE),
"")</f>
        <v>4969.4368554717566</v>
      </c>
      <c r="AB2211" s="46">
        <f t="shared" si="156"/>
        <v>1104319.301215946</v>
      </c>
      <c r="AC2211" s="47">
        <f>(4500*0.191327)</f>
        <v>860.97149999999999</v>
      </c>
      <c r="AE2211" s="46">
        <f t="shared" si="155"/>
        <v>1104319.301215946</v>
      </c>
      <c r="AF2211" s="43" t="s">
        <v>7949</v>
      </c>
      <c r="AG2211" s="43">
        <v>38.917237269174798</v>
      </c>
      <c r="AH2211" s="43">
        <v>105.29376845086099</v>
      </c>
      <c r="AI2211" s="122" t="s">
        <v>7286</v>
      </c>
      <c r="AJ2211" s="41">
        <v>0.56999999999999995</v>
      </c>
    </row>
    <row r="2212" spans="1:36" ht="35.1" hidden="1" customHeight="1" x14ac:dyDescent="0.25">
      <c r="A2212" s="40">
        <v>2925</v>
      </c>
      <c r="B2212" s="40" t="s">
        <v>7956</v>
      </c>
      <c r="C2212" s="40" t="s">
        <v>532</v>
      </c>
      <c r="D2212" s="44"/>
      <c r="E2212" s="44"/>
      <c r="F2212" s="40" t="s">
        <v>2222</v>
      </c>
      <c r="G2212" s="40" t="s">
        <v>1259</v>
      </c>
      <c r="H2212" s="40" t="s">
        <v>467</v>
      </c>
      <c r="I2212" s="40" t="s">
        <v>1257</v>
      </c>
      <c r="K2212" s="40" t="s">
        <v>1242</v>
      </c>
      <c r="N2212" s="40">
        <v>1</v>
      </c>
      <c r="Q2212" s="40">
        <v>1</v>
      </c>
      <c r="Z2212" s="40" t="s">
        <v>7795</v>
      </c>
      <c r="AA2212" s="91">
        <f>IF(H2ProjectDB689571011[[#This Row],[Dummy_1]]="Electrolysis",
AB2212*VLOOKUP(G2212,ElectrolysisConvF,3,FALSE),
"")</f>
        <v>110.43193012159459</v>
      </c>
      <c r="AB2212" s="46">
        <f t="shared" si="156"/>
        <v>24540.42891590991</v>
      </c>
      <c r="AC2212" s="47">
        <f>(100*0.191327)</f>
        <v>19.1327</v>
      </c>
      <c r="AE2212" s="46">
        <f t="shared" si="155"/>
        <v>24540.42891590991</v>
      </c>
      <c r="AF2212" s="43" t="s">
        <v>8712</v>
      </c>
      <c r="AG2212" s="43">
        <v>64.1431273175954</v>
      </c>
      <c r="AH2212" s="43">
        <v>25.346641263871401</v>
      </c>
      <c r="AI2212" s="122" t="s">
        <v>7286</v>
      </c>
      <c r="AJ2212" s="41">
        <v>0.56999999999999995</v>
      </c>
    </row>
    <row r="2213" spans="1:36" ht="35.1" hidden="1" customHeight="1" x14ac:dyDescent="0.25">
      <c r="A2213" s="40">
        <v>2926</v>
      </c>
      <c r="B2213" s="40" t="s">
        <v>7958</v>
      </c>
      <c r="C2213" s="40" t="s">
        <v>1067</v>
      </c>
      <c r="D2213" s="44">
        <v>2027</v>
      </c>
      <c r="E2213" s="44"/>
      <c r="F2213" s="40" t="s">
        <v>2222</v>
      </c>
      <c r="G2213" s="40" t="s">
        <v>1259</v>
      </c>
      <c r="H2213" s="40" t="s">
        <v>467</v>
      </c>
      <c r="I2213" s="40" t="s">
        <v>1257</v>
      </c>
      <c r="K2213" s="40" t="s">
        <v>1242</v>
      </c>
      <c r="N2213" s="40">
        <v>1</v>
      </c>
      <c r="Z2213" s="40" t="s">
        <v>6868</v>
      </c>
      <c r="AA2213" s="91">
        <f>IF(H2ProjectDB689571011[[#This Row],[Dummy_1]]="Electrolysis",
AB2213*VLOOKUP(G2213,ElectrolysisConvF,3,FALSE),
"")</f>
        <v>331.29579036478373</v>
      </c>
      <c r="AB2213" s="46">
        <f t="shared" si="156"/>
        <v>73621.286747729726</v>
      </c>
      <c r="AC2213" s="47">
        <f>(300*0.191327)</f>
        <v>57.398099999999999</v>
      </c>
      <c r="AE2213" s="46">
        <f t="shared" si="155"/>
        <v>73621.286747729726</v>
      </c>
      <c r="AF2213" s="43" t="s">
        <v>7960</v>
      </c>
      <c r="AG2213" s="43">
        <v>25.6973035165956</v>
      </c>
      <c r="AH2213" s="43">
        <v>-109.07430968339</v>
      </c>
      <c r="AI2213" s="122" t="s">
        <v>7286</v>
      </c>
      <c r="AJ2213" s="41">
        <v>0.56999999999999995</v>
      </c>
    </row>
    <row r="2214" spans="1:36" ht="35.1" hidden="1" customHeight="1" x14ac:dyDescent="0.25">
      <c r="A2214" s="40">
        <v>2927</v>
      </c>
      <c r="B2214" s="40" t="s">
        <v>7961</v>
      </c>
      <c r="C2214" s="40" t="s">
        <v>1066</v>
      </c>
      <c r="D2214" s="44"/>
      <c r="E2214" s="44"/>
      <c r="F2214" s="40" t="s">
        <v>1540</v>
      </c>
      <c r="G2214" s="40" t="s">
        <v>1259</v>
      </c>
      <c r="H2214" s="40" t="s">
        <v>467</v>
      </c>
      <c r="I2214" s="40" t="s">
        <v>1257</v>
      </c>
      <c r="K2214" s="40" t="s">
        <v>1242</v>
      </c>
      <c r="N2214" s="40">
        <v>1</v>
      </c>
      <c r="Z2214" s="40" t="s">
        <v>7963</v>
      </c>
      <c r="AA2214" s="91">
        <f>IF(H2ProjectDB689571011[[#This Row],[Dummy_1]]="Electrolysis",
AB2214*VLOOKUP(G2214,ElectrolysisConvF,3,FALSE),
"")</f>
        <v>4.8369185393258425</v>
      </c>
      <c r="AB2214" s="46">
        <f t="shared" si="156"/>
        <v>1074.870786516854</v>
      </c>
      <c r="AC2214" s="47">
        <f>(12*365/1000*0.191327)</f>
        <v>0.83801225999999995</v>
      </c>
      <c r="AE2214" s="46">
        <f t="shared" si="155"/>
        <v>1074.870786516854</v>
      </c>
      <c r="AF2214" s="43" t="s">
        <v>7964</v>
      </c>
      <c r="AG2214" s="43">
        <v>28.31</v>
      </c>
      <c r="AH2214" s="43">
        <v>34.85</v>
      </c>
      <c r="AI2214" s="122" t="s">
        <v>7286</v>
      </c>
      <c r="AJ2214" s="41">
        <v>0.56999999999999995</v>
      </c>
    </row>
    <row r="2215" spans="1:36" ht="35.1" hidden="1" customHeight="1" x14ac:dyDescent="0.25">
      <c r="A2215" s="40">
        <v>2928</v>
      </c>
      <c r="B2215" s="40" t="s">
        <v>7966</v>
      </c>
      <c r="C2215" s="40" t="s">
        <v>559</v>
      </c>
      <c r="D2215" s="44"/>
      <c r="E2215" s="44"/>
      <c r="F2215" s="40" t="s">
        <v>2222</v>
      </c>
      <c r="G2215" s="40" t="s">
        <v>1259</v>
      </c>
      <c r="H2215" s="40" t="s">
        <v>467</v>
      </c>
      <c r="I2215" s="40" t="s">
        <v>1257</v>
      </c>
      <c r="K2215" s="40" t="s">
        <v>1242</v>
      </c>
      <c r="N2215" s="40">
        <v>1</v>
      </c>
      <c r="Z2215" s="40" t="s">
        <v>7795</v>
      </c>
      <c r="AA2215" s="91">
        <f>IF(H2ProjectDB689571011[[#This Row],[Dummy_1]]="Electrolysis",
AB2215*VLOOKUP(G2215,ElectrolysisConvF,3,FALSE),
"")</f>
        <v>110.43193012159459</v>
      </c>
      <c r="AB2215" s="46">
        <f t="shared" si="156"/>
        <v>24540.42891590991</v>
      </c>
      <c r="AC2215" s="47">
        <f>(100*0.191327)</f>
        <v>19.1327</v>
      </c>
      <c r="AE2215" s="46">
        <f t="shared" si="155"/>
        <v>24540.42891590991</v>
      </c>
      <c r="AF2215" s="43" t="s">
        <v>7968</v>
      </c>
      <c r="AG2215" s="43">
        <v>62.9248721891407</v>
      </c>
      <c r="AH2215" s="43">
        <v>17.841610196234701</v>
      </c>
      <c r="AI2215" s="122" t="s">
        <v>7286</v>
      </c>
      <c r="AJ2215" s="41">
        <v>0.56999999999999995</v>
      </c>
    </row>
    <row r="2216" spans="1:36" ht="35.1" customHeight="1" x14ac:dyDescent="0.25">
      <c r="A2216" s="40">
        <v>2929</v>
      </c>
      <c r="B2216" s="40" t="s">
        <v>7972</v>
      </c>
      <c r="C2216" s="40" t="s">
        <v>1052</v>
      </c>
      <c r="D2216" s="44">
        <v>2030</v>
      </c>
      <c r="E2216" s="44"/>
      <c r="F2216" s="40" t="s">
        <v>2222</v>
      </c>
      <c r="G2216" s="40" t="s">
        <v>1259</v>
      </c>
      <c r="H2216" s="40" t="s">
        <v>467</v>
      </c>
      <c r="I2216" s="40" t="s">
        <v>1257</v>
      </c>
      <c r="K2216" s="40" t="s">
        <v>1243</v>
      </c>
      <c r="M2216" s="40">
        <v>1</v>
      </c>
      <c r="Z2216" s="40" t="s">
        <v>7973</v>
      </c>
      <c r="AA2216" s="91">
        <v>2000</v>
      </c>
      <c r="AB2216" s="46">
        <f>IF(H2ProjectDB689571011[[#This Row],[Dummy_1]]="Electrolysis",
AA2216/VLOOKUP(G2216,ElectrolysisConvF,3,FALSE),
AC2216*10^6/(H2dens*HoursInYear))</f>
        <v>444444.4444444445</v>
      </c>
      <c r="AC2216" s="47">
        <f>AB2216*H2dens*HoursInYear/10^6</f>
        <v>346.50666666666666</v>
      </c>
      <c r="AE2216" s="46">
        <f t="shared" si="155"/>
        <v>444444.4444444445</v>
      </c>
      <c r="AF2216" s="43" t="s">
        <v>7974</v>
      </c>
      <c r="AG2216" s="43">
        <v>-3.53</v>
      </c>
      <c r="AH2216" s="43">
        <v>-38.79</v>
      </c>
      <c r="AI2216" s="122" t="s">
        <v>7286</v>
      </c>
      <c r="AJ2216" s="41">
        <v>0.56999999999999995</v>
      </c>
    </row>
    <row r="2217" spans="1:36" ht="35.1" hidden="1" customHeight="1" x14ac:dyDescent="0.25">
      <c r="A2217" s="40">
        <v>2930</v>
      </c>
      <c r="B2217" s="40" t="s">
        <v>7981</v>
      </c>
      <c r="C2217" s="40" t="s">
        <v>560</v>
      </c>
      <c r="D2217" s="44">
        <v>2027</v>
      </c>
      <c r="E2217" s="44"/>
      <c r="F2217" s="40" t="s">
        <v>2222</v>
      </c>
      <c r="G2217" s="40" t="s">
        <v>1259</v>
      </c>
      <c r="H2217" s="40" t="s">
        <v>467</v>
      </c>
      <c r="I2217" s="40" t="s">
        <v>1257</v>
      </c>
      <c r="K2217" s="40" t="s">
        <v>1243</v>
      </c>
      <c r="M2217" s="40">
        <v>1</v>
      </c>
      <c r="Z2217" s="40" t="s">
        <v>7983</v>
      </c>
      <c r="AA2217" s="47">
        <f>IF(H2ProjectDB689571011[[#This Row],[Dummy_1]]="Electrolysis",
AB2217*VLOOKUP(G2217,ElectrolysisConvF,3,FALSE),
"")</f>
        <v>547.02989075380322</v>
      </c>
      <c r="AB2217" s="46">
        <f>AC2217/(H2dens*HoursInYear/10^6)</f>
        <v>121562.19794528962</v>
      </c>
      <c r="AC2217" s="92">
        <f>(300*3/17/0.98/H2ProjectDB689571011[[#This Row],[LOWE_CF]])</f>
        <v>94.774752006065597</v>
      </c>
      <c r="AE2217" s="46">
        <f t="shared" si="155"/>
        <v>121562.19794528962</v>
      </c>
      <c r="AF2217" s="43" t="s">
        <v>7986</v>
      </c>
      <c r="AG2217" s="43">
        <v>-23.473750678813101</v>
      </c>
      <c r="AH2217" s="43">
        <v>-70.388691287920693</v>
      </c>
      <c r="AI2217" s="122" t="s">
        <v>7286</v>
      </c>
      <c r="AJ2217" s="41">
        <v>0.56999999999999995</v>
      </c>
    </row>
    <row r="2218" spans="1:36" ht="35.1" hidden="1" customHeight="1" x14ac:dyDescent="0.25">
      <c r="A2218" s="40">
        <v>2931</v>
      </c>
      <c r="B2218" s="40" t="s">
        <v>7982</v>
      </c>
      <c r="C2218" s="40" t="s">
        <v>560</v>
      </c>
      <c r="D2218" s="143"/>
      <c r="E2218" s="143"/>
      <c r="F2218" s="40" t="s">
        <v>2222</v>
      </c>
      <c r="G2218" s="40" t="s">
        <v>1259</v>
      </c>
      <c r="H2218" s="40" t="s">
        <v>467</v>
      </c>
      <c r="I2218" s="40" t="s">
        <v>1257</v>
      </c>
      <c r="J2218" s="143"/>
      <c r="K2218" s="40" t="s">
        <v>1243</v>
      </c>
      <c r="M2218" s="40">
        <v>1</v>
      </c>
      <c r="N2218" s="143"/>
      <c r="O2218" s="143"/>
      <c r="P2218" s="143"/>
      <c r="Q2218" s="143"/>
      <c r="R2218" s="143"/>
      <c r="S2218" s="143"/>
      <c r="T2218" s="143"/>
      <c r="U2218" s="143"/>
      <c r="V2218" s="143"/>
      <c r="W2218" s="143"/>
      <c r="X2218" s="143"/>
      <c r="Y2218" s="143"/>
      <c r="Z2218" s="40" t="s">
        <v>7984</v>
      </c>
      <c r="AA2218" s="47">
        <f>IF(H2ProjectDB689571011[[#This Row],[Dummy_1]]="Electrolysis",
AB2218*VLOOKUP(G2218,ElectrolysisConvF,3,FALSE),
"")</f>
        <v>547.02989075380322</v>
      </c>
      <c r="AB2218" s="46">
        <f>AC2218/(H2dens*HoursInYear/10^6)</f>
        <v>121562.19794528962</v>
      </c>
      <c r="AC2218" s="92">
        <f>(300*3/17/0.98/H2ProjectDB689571011[[#This Row],[LOWE_CF]])</f>
        <v>94.774752006065597</v>
      </c>
      <c r="AD2218" s="145"/>
      <c r="AE2218" s="145">
        <f t="shared" si="155"/>
        <v>121562.19794528962</v>
      </c>
      <c r="AF2218" s="43" t="s">
        <v>7986</v>
      </c>
      <c r="AG2218" s="43">
        <v>-23.473750678813101</v>
      </c>
      <c r="AH2218" s="43">
        <v>-70.388691287920693</v>
      </c>
      <c r="AI2218" s="122" t="s">
        <v>7286</v>
      </c>
      <c r="AJ2218" s="41">
        <v>0.56999999999999995</v>
      </c>
    </row>
    <row r="2219" spans="1:36" ht="35.1" hidden="1" customHeight="1" x14ac:dyDescent="0.25">
      <c r="A2219" s="40">
        <v>2932</v>
      </c>
      <c r="B2219" s="40" t="s">
        <v>7988</v>
      </c>
      <c r="C2219" s="90" t="s">
        <v>1094</v>
      </c>
      <c r="D2219" s="44">
        <v>2032</v>
      </c>
      <c r="E2219" s="44"/>
      <c r="F2219" s="40" t="s">
        <v>2222</v>
      </c>
      <c r="G2219" s="40" t="s">
        <v>1259</v>
      </c>
      <c r="H2219" s="40" t="s">
        <v>467</v>
      </c>
      <c r="I2219" s="40" t="s">
        <v>1269</v>
      </c>
      <c r="J2219" s="90" t="s">
        <v>581</v>
      </c>
      <c r="K2219" s="90" t="s">
        <v>1243</v>
      </c>
      <c r="L2219" s="143"/>
      <c r="M2219" s="143">
        <v>1</v>
      </c>
      <c r="N2219" s="143"/>
      <c r="O2219" s="143"/>
      <c r="P2219" s="143"/>
      <c r="Q2219" s="143"/>
      <c r="R2219" s="143"/>
      <c r="S2219" s="143"/>
      <c r="T2219" s="143"/>
      <c r="U2219" s="143"/>
      <c r="V2219" s="143"/>
      <c r="W2219" s="143"/>
      <c r="X2219" s="143"/>
      <c r="Y2219" s="143"/>
      <c r="Z2219" s="40" t="s">
        <v>7990</v>
      </c>
      <c r="AA2219" s="47">
        <f>IF(H2ProjectDB689571011[[#This Row],[Dummy_1]]="Electrolysis",
AB2219*VLOOKUP(G2219,ElectrolysisConvF,3,FALSE),
"")</f>
        <v>2556.8177093832765</v>
      </c>
      <c r="AB2219" s="46">
        <f>AC2219/(H2dens*HoursInYear/10^6)</f>
        <v>568181.71319628367</v>
      </c>
      <c r="AC2219" s="92">
        <f>((1.65-0.42)*1000*3/17/0.98/H2ProjectDB689571011[[#This Row],[LOWE_CF]])</f>
        <v>442.97719087635056</v>
      </c>
      <c r="AD2219" s="145"/>
      <c r="AE2219" s="145">
        <f t="shared" si="155"/>
        <v>568181.71319628367</v>
      </c>
      <c r="AF2219" s="43" t="s">
        <v>7993</v>
      </c>
      <c r="AG2219" s="43">
        <v>-16.409153153123601</v>
      </c>
      <c r="AH2219" s="43">
        <v>-71.534721166134901</v>
      </c>
      <c r="AI2219" s="122" t="s">
        <v>7286</v>
      </c>
      <c r="AJ2219" s="41">
        <v>0.5</v>
      </c>
    </row>
    <row r="2220" spans="1:36" ht="35.1" hidden="1" customHeight="1" x14ac:dyDescent="0.25">
      <c r="A2220" s="40">
        <v>2933</v>
      </c>
      <c r="B2220" s="143" t="s">
        <v>7994</v>
      </c>
      <c r="C2220" s="143" t="s">
        <v>1067</v>
      </c>
      <c r="D2220" s="143"/>
      <c r="E2220" s="143"/>
      <c r="F2220" s="40" t="s">
        <v>2222</v>
      </c>
      <c r="G2220" s="40" t="s">
        <v>1259</v>
      </c>
      <c r="H2220" s="40" t="s">
        <v>467</v>
      </c>
      <c r="I2220" s="40" t="s">
        <v>1257</v>
      </c>
      <c r="J2220" s="143"/>
      <c r="K2220" s="143" t="s">
        <v>1268</v>
      </c>
      <c r="L2220" s="143"/>
      <c r="M2220" s="143"/>
      <c r="N2220" s="143"/>
      <c r="O2220" s="143"/>
      <c r="P2220" s="143"/>
      <c r="Q2220" s="143"/>
      <c r="R2220" s="143"/>
      <c r="S2220" s="143"/>
      <c r="T2220" s="143"/>
      <c r="U2220" s="143"/>
      <c r="V2220" s="143"/>
      <c r="W2220" s="143"/>
      <c r="X2220" s="143"/>
      <c r="Y2220" s="143"/>
      <c r="Z2220" s="143"/>
      <c r="AA2220" s="144">
        <f>IF(OR(G2220="ALK",G2220="PEM",G2220="SOEC",G2220="Other Electrolysis"),
AB2220*VLOOKUP(G2220,ElectrolysisConvF,3,FALSE),
"")</f>
        <v>0</v>
      </c>
      <c r="AB2220" s="145"/>
      <c r="AC2220" s="145"/>
      <c r="AD2220" s="145"/>
      <c r="AE2220" s="145">
        <f t="shared" si="155"/>
        <v>0</v>
      </c>
      <c r="AF2220" s="43" t="s">
        <v>7996</v>
      </c>
      <c r="AG2220" s="43">
        <v>17.072272567563498</v>
      </c>
      <c r="AH2220" s="43">
        <v>-96.728640487497501</v>
      </c>
      <c r="AI2220" s="122" t="s">
        <v>7286</v>
      </c>
      <c r="AJ2220" s="41">
        <v>0.56999999999999995</v>
      </c>
    </row>
    <row r="2221" spans="1:36" ht="35.1" customHeight="1" x14ac:dyDescent="0.25">
      <c r="A2221" s="40">
        <v>2934</v>
      </c>
      <c r="B2221" s="40" t="s">
        <v>7997</v>
      </c>
      <c r="C2221" s="143" t="s">
        <v>1052</v>
      </c>
      <c r="D2221" s="143"/>
      <c r="E2221" s="143"/>
      <c r="F2221" s="40" t="s">
        <v>2222</v>
      </c>
      <c r="G2221" s="40" t="s">
        <v>1259</v>
      </c>
      <c r="H2221" s="40" t="s">
        <v>467</v>
      </c>
      <c r="I2221" s="40" t="s">
        <v>1269</v>
      </c>
      <c r="J2221" s="143" t="s">
        <v>1394</v>
      </c>
      <c r="K2221" s="40" t="s">
        <v>578</v>
      </c>
      <c r="L2221" s="143"/>
      <c r="M2221" s="143"/>
      <c r="N2221" s="143"/>
      <c r="O2221" s="143"/>
      <c r="P2221" s="143"/>
      <c r="Q2221" s="143"/>
      <c r="R2221" s="143"/>
      <c r="S2221" s="143"/>
      <c r="T2221" s="143"/>
      <c r="U2221" s="143"/>
      <c r="V2221" s="143"/>
      <c r="W2221" s="143"/>
      <c r="X2221" s="143"/>
      <c r="Y2221" s="143"/>
      <c r="Z2221" s="143"/>
      <c r="AA2221" s="144">
        <f>IF(OR(G2221="ALK",G2221="PEM",G2221="SOEC",G2221="Other Electrolysis"),
AB2221*VLOOKUP(G2221,ElectrolysisConvF,3,FALSE),
"")</f>
        <v>0</v>
      </c>
      <c r="AB2221" s="145"/>
      <c r="AC2221" s="145"/>
      <c r="AD2221" s="145"/>
      <c r="AE2221" s="145">
        <f t="shared" si="155"/>
        <v>0</v>
      </c>
      <c r="AF2221" s="43" t="s">
        <v>7999</v>
      </c>
      <c r="AG2221" s="43">
        <v>-23.965834897207099</v>
      </c>
      <c r="AH2221" s="43">
        <v>-46.3016325683692</v>
      </c>
      <c r="AI2221" s="122" t="s">
        <v>7286</v>
      </c>
      <c r="AJ2221" s="41">
        <v>0.8</v>
      </c>
    </row>
    <row r="2222" spans="1:36" ht="35.1" hidden="1" customHeight="1" x14ac:dyDescent="0.25">
      <c r="A2222" s="40">
        <v>2935</v>
      </c>
      <c r="B2222" s="40" t="s">
        <v>8002</v>
      </c>
      <c r="C2222" s="143" t="s">
        <v>1083</v>
      </c>
      <c r="D2222" s="44">
        <v>2024</v>
      </c>
      <c r="E2222" s="44"/>
      <c r="F2222" s="90" t="s">
        <v>5701</v>
      </c>
      <c r="G2222" s="90" t="s">
        <v>1259</v>
      </c>
      <c r="H2222" s="40" t="s">
        <v>467</v>
      </c>
      <c r="I2222" s="90" t="s">
        <v>1269</v>
      </c>
      <c r="J2222" s="143" t="s">
        <v>1394</v>
      </c>
      <c r="K2222" s="143" t="s">
        <v>1243</v>
      </c>
      <c r="L2222" s="143"/>
      <c r="M2222" s="143">
        <v>1</v>
      </c>
      <c r="N2222" s="143"/>
      <c r="O2222" s="143"/>
      <c r="P2222" s="143"/>
      <c r="Q2222" s="143"/>
      <c r="R2222" s="143"/>
      <c r="S2222" s="143"/>
      <c r="T2222" s="143"/>
      <c r="U2222" s="143"/>
      <c r="V2222" s="143"/>
      <c r="W2222" s="143"/>
      <c r="X2222" s="143"/>
      <c r="Y2222" s="143"/>
      <c r="Z2222" s="143" t="s">
        <v>8000</v>
      </c>
      <c r="AA2222" s="47">
        <f>IF(H2ProjectDB689571011[[#This Row],[Dummy_1]]="Electrolysis",
AB2222*VLOOKUP(G2222,ElectrolysisConvF,3,FALSE),
"")</f>
        <v>0.72148684008003694</v>
      </c>
      <c r="AB2222" s="46">
        <f>AC2222/(H2dens*HoursInYear/10^6)</f>
        <v>160.33040890667488</v>
      </c>
      <c r="AC2222" s="95">
        <f>0.1/H2ProjectDB689571011[[#This Row],[LOWE_CF]]</f>
        <v>0.125</v>
      </c>
      <c r="AD2222" s="145"/>
      <c r="AE2222" s="145">
        <f t="shared" si="155"/>
        <v>160.33040890667488</v>
      </c>
      <c r="AF2222" s="43" t="s">
        <v>8005</v>
      </c>
      <c r="AG2222" s="43">
        <v>8.2473025141991201</v>
      </c>
      <c r="AH2222" s="43">
        <v>-76.580217015896807</v>
      </c>
      <c r="AI2222" s="122" t="s">
        <v>7286</v>
      </c>
      <c r="AJ2222" s="41">
        <v>0.8</v>
      </c>
    </row>
    <row r="2223" spans="1:36" ht="35.1" hidden="1" customHeight="1" x14ac:dyDescent="0.25">
      <c r="A2223" s="40">
        <v>2936</v>
      </c>
      <c r="B2223" s="40" t="s">
        <v>8001</v>
      </c>
      <c r="C2223" s="143" t="s">
        <v>1083</v>
      </c>
      <c r="D2223" s="44">
        <v>2027</v>
      </c>
      <c r="E2223" s="44"/>
      <c r="F2223" s="90" t="s">
        <v>2222</v>
      </c>
      <c r="G2223" s="90" t="s">
        <v>1259</v>
      </c>
      <c r="H2223" s="40" t="s">
        <v>467</v>
      </c>
      <c r="I2223" s="90" t="s">
        <v>1269</v>
      </c>
      <c r="J2223" s="143" t="s">
        <v>1394</v>
      </c>
      <c r="K2223" s="143" t="s">
        <v>578</v>
      </c>
      <c r="L2223" s="143"/>
      <c r="M2223" s="143"/>
      <c r="N2223" s="143"/>
      <c r="O2223" s="143"/>
      <c r="P2223" s="143"/>
      <c r="Q2223" s="143"/>
      <c r="R2223" s="143"/>
      <c r="S2223" s="143"/>
      <c r="T2223" s="143"/>
      <c r="U2223" s="143"/>
      <c r="V2223" s="143"/>
      <c r="W2223" s="143"/>
      <c r="X2223" s="143"/>
      <c r="Y2223" s="143"/>
      <c r="Z2223" s="40" t="s">
        <v>8003</v>
      </c>
      <c r="AA2223" s="47">
        <f>IF(H2ProjectDB689571011[[#This Row],[Dummy_1]]="Electrolysis",
AB2223*VLOOKUP(G2223,ElectrolysisConvF,3,FALSE),
"")</f>
        <v>2.8859473603201478</v>
      </c>
      <c r="AB2223" s="46">
        <f>AC2223/(H2dens*HoursInYear/10^6)</f>
        <v>641.3216356266995</v>
      </c>
      <c r="AC2223" s="95">
        <f>0.4/H2ProjectDB689571011[[#This Row],[LOWE_CF]]</f>
        <v>0.5</v>
      </c>
      <c r="AD2223" s="145"/>
      <c r="AE2223" s="145">
        <f t="shared" si="155"/>
        <v>641.3216356266995</v>
      </c>
      <c r="AF2223" s="43" t="s">
        <v>8005</v>
      </c>
      <c r="AG2223" s="43">
        <v>8.2473025141991201</v>
      </c>
      <c r="AH2223" s="43">
        <v>-76.580217015896807</v>
      </c>
      <c r="AI2223" s="122" t="s">
        <v>7286</v>
      </c>
      <c r="AJ2223" s="41">
        <v>0.8</v>
      </c>
    </row>
    <row r="2224" spans="1:36" ht="35.1" customHeight="1" x14ac:dyDescent="0.25">
      <c r="A2224" s="40">
        <v>2937</v>
      </c>
      <c r="B2224" s="40" t="s">
        <v>8272</v>
      </c>
      <c r="C2224" s="143" t="s">
        <v>1052</v>
      </c>
      <c r="D2224" s="44">
        <v>2021</v>
      </c>
      <c r="E2224" s="44"/>
      <c r="F2224" s="90" t="s">
        <v>1540</v>
      </c>
      <c r="G2224" s="90" t="s">
        <v>1259</v>
      </c>
      <c r="H2224" s="40" t="s">
        <v>467</v>
      </c>
      <c r="I2224" s="143" t="s">
        <v>1257</v>
      </c>
      <c r="J2224" s="143"/>
      <c r="K2224" s="143" t="s">
        <v>578</v>
      </c>
      <c r="L2224" s="143"/>
      <c r="M2224" s="143"/>
      <c r="N2224" s="143"/>
      <c r="O2224" s="143"/>
      <c r="P2224" s="143"/>
      <c r="Q2224" s="143"/>
      <c r="R2224" s="143">
        <v>1</v>
      </c>
      <c r="S2224" s="143"/>
      <c r="T2224" s="143"/>
      <c r="U2224" s="143"/>
      <c r="V2224" s="143"/>
      <c r="W2224" s="143"/>
      <c r="X2224" s="143"/>
      <c r="Y2224" s="143"/>
      <c r="Z2224" s="40" t="s">
        <v>8268</v>
      </c>
      <c r="AA2224" s="144">
        <f>IF(H2ProjectDB689571011[[#This Row],[Dummy_1]]="Electrolysis",
AB2224*VLOOKUP(G2224,ElectrolysisConvF,3,FALSE),
"")</f>
        <v>0.5771894720640296</v>
      </c>
      <c r="AB2224" s="145">
        <f>AC2224/(H2dens*HoursInYear/10^6)</f>
        <v>128.26432712533992</v>
      </c>
      <c r="AC2224" s="145">
        <f>0.1</f>
        <v>0.1</v>
      </c>
      <c r="AD2224" s="145"/>
      <c r="AE2224" s="145">
        <f t="shared" si="155"/>
        <v>128.26432712533992</v>
      </c>
      <c r="AF2224" s="43" t="s">
        <v>8355</v>
      </c>
      <c r="AG2224" s="43">
        <v>-23.0086285730379</v>
      </c>
      <c r="AH2224" s="43">
        <v>-44.455985517343898</v>
      </c>
      <c r="AI2224" s="122" t="s">
        <v>7286</v>
      </c>
      <c r="AJ2224" s="41">
        <v>0.56999999999999995</v>
      </c>
    </row>
    <row r="2225" spans="1:36" ht="35.1" hidden="1" customHeight="1" x14ac:dyDescent="0.25">
      <c r="A2225" s="40">
        <v>2938</v>
      </c>
      <c r="B2225" s="143" t="s">
        <v>8011</v>
      </c>
      <c r="C2225" s="143" t="s">
        <v>560</v>
      </c>
      <c r="D2225" s="143"/>
      <c r="E2225" s="143"/>
      <c r="F2225" s="40" t="s">
        <v>2222</v>
      </c>
      <c r="G2225" s="40" t="s">
        <v>1259</v>
      </c>
      <c r="H2225" s="40" t="s">
        <v>467</v>
      </c>
      <c r="I2225" s="40" t="s">
        <v>1257</v>
      </c>
      <c r="J2225" s="143"/>
      <c r="K2225" s="40" t="s">
        <v>1243</v>
      </c>
      <c r="M2225" s="40">
        <v>1</v>
      </c>
      <c r="N2225" s="143"/>
      <c r="O2225" s="143"/>
      <c r="P2225" s="143"/>
      <c r="Q2225" s="143"/>
      <c r="R2225" s="143"/>
      <c r="S2225" s="143"/>
      <c r="T2225" s="143"/>
      <c r="U2225" s="143"/>
      <c r="V2225" s="143"/>
      <c r="W2225" s="143"/>
      <c r="X2225" s="143"/>
      <c r="Y2225" s="143"/>
      <c r="Z2225" s="143"/>
      <c r="AA2225" s="144">
        <f>IF(OR(G2225="ALK",G2225="PEM",G2225="SOEC",G2225="Other Electrolysis"),
AB2225*VLOOKUP(G2225,ElectrolysisConvF,3,FALSE),
"")</f>
        <v>0</v>
      </c>
      <c r="AB2225" s="145"/>
      <c r="AC2225" s="145"/>
      <c r="AD2225" s="145"/>
      <c r="AE2225" s="145">
        <f t="shared" si="155"/>
        <v>0</v>
      </c>
      <c r="AF2225" s="146" t="s">
        <v>8013</v>
      </c>
      <c r="AG2225" s="43">
        <v>-38.596839000198997</v>
      </c>
      <c r="AH2225" s="43">
        <v>-73.266298504667603</v>
      </c>
      <c r="AI2225" s="122" t="s">
        <v>7286</v>
      </c>
      <c r="AJ2225" s="41">
        <v>0.56999999999999995</v>
      </c>
    </row>
    <row r="2226" spans="1:36" ht="35.1" customHeight="1" x14ac:dyDescent="0.25">
      <c r="A2226" s="40">
        <v>2939</v>
      </c>
      <c r="B2226" s="40" t="s">
        <v>8016</v>
      </c>
      <c r="C2226" s="143" t="s">
        <v>1052</v>
      </c>
      <c r="D2226" s="44">
        <v>2027</v>
      </c>
      <c r="E2226" s="44"/>
      <c r="F2226" s="90" t="s">
        <v>2222</v>
      </c>
      <c r="G2226" s="90" t="s">
        <v>1259</v>
      </c>
      <c r="H2226" s="40" t="s">
        <v>467</v>
      </c>
      <c r="I2226" s="40" t="s">
        <v>1257</v>
      </c>
      <c r="J2226" s="143"/>
      <c r="K2226" s="143" t="s">
        <v>578</v>
      </c>
      <c r="L2226" s="143"/>
      <c r="M2226" s="143"/>
      <c r="N2226" s="143"/>
      <c r="O2226" s="143"/>
      <c r="P2226" s="143"/>
      <c r="Q2226" s="143"/>
      <c r="R2226" s="143"/>
      <c r="S2226" s="143"/>
      <c r="T2226" s="143"/>
      <c r="U2226" s="143"/>
      <c r="V2226" s="143"/>
      <c r="W2226" s="143"/>
      <c r="X2226" s="143"/>
      <c r="Y2226" s="143"/>
      <c r="Z2226" s="40" t="s">
        <v>8017</v>
      </c>
      <c r="AA2226" s="144">
        <f>IF(H2ProjectDB689571011[[#This Row],[Dummy_1]]="Electrolysis",
AB2226*VLOOKUP(G2226,ElectrolysisConvF,3,FALSE),
"")</f>
        <v>6926.2736647683541</v>
      </c>
      <c r="AB2226" s="145">
        <f>AC2226/(H2dens*HoursInYear/10^6)</f>
        <v>1539171.9255040789</v>
      </c>
      <c r="AC2226" s="145">
        <f>(1.2*1000)</f>
        <v>1200</v>
      </c>
      <c r="AD2226" s="145"/>
      <c r="AE2226" s="145">
        <f t="shared" si="155"/>
        <v>1539171.9255040789</v>
      </c>
      <c r="AF2226" s="43" t="s">
        <v>8019</v>
      </c>
      <c r="AG2226" s="43">
        <v>-3.5509580093111399</v>
      </c>
      <c r="AH2226" s="43">
        <v>-38.829456316983197</v>
      </c>
      <c r="AI2226" s="122" t="s">
        <v>7286</v>
      </c>
      <c r="AJ2226" s="41">
        <v>0.56999999999999995</v>
      </c>
    </row>
    <row r="2227" spans="1:36" ht="35.1" hidden="1" customHeight="1" x14ac:dyDescent="0.25">
      <c r="A2227" s="40">
        <v>2940</v>
      </c>
      <c r="B2227" s="143" t="s">
        <v>8020</v>
      </c>
      <c r="C2227" s="143" t="s">
        <v>1305</v>
      </c>
      <c r="D2227" s="143"/>
      <c r="E2227" s="143"/>
      <c r="F2227" s="40" t="s">
        <v>2222</v>
      </c>
      <c r="G2227" s="40" t="s">
        <v>1259</v>
      </c>
      <c r="H2227" s="40" t="s">
        <v>467</v>
      </c>
      <c r="I2227" s="40" t="s">
        <v>1269</v>
      </c>
      <c r="J2227" s="40" t="s">
        <v>581</v>
      </c>
      <c r="K2227" s="40" t="s">
        <v>578</v>
      </c>
      <c r="L2227" s="143">
        <v>1</v>
      </c>
      <c r="M2227" s="143"/>
      <c r="N2227" s="143"/>
      <c r="O2227" s="143"/>
      <c r="P2227" s="143"/>
      <c r="Q2227" s="143"/>
      <c r="R2227" s="143"/>
      <c r="S2227" s="143"/>
      <c r="T2227" s="143"/>
      <c r="U2227" s="143"/>
      <c r="V2227" s="143"/>
      <c r="W2227" s="143"/>
      <c r="X2227" s="143"/>
      <c r="Y2227" s="143"/>
      <c r="Z2227" s="143" t="s">
        <v>1510</v>
      </c>
      <c r="AA2227" s="144">
        <v>30</v>
      </c>
      <c r="AB2227" s="46">
        <f>IF(H2ProjectDB689571011[[#This Row],[Dummy_1]]="Electrolysis",
AA2227/VLOOKUP(G2227,ElectrolysisConvF,3,FALSE),
AC2227*10^6/(H2dens*HoursInYear))</f>
        <v>6666.666666666667</v>
      </c>
      <c r="AC2227" s="46">
        <f t="shared" ref="AC2227:AC2239" si="157">AB2227*H2dens*HoursInYear/10^6</f>
        <v>5.1976000000000004</v>
      </c>
      <c r="AD2227" s="145"/>
      <c r="AE2227" s="145">
        <f t="shared" si="155"/>
        <v>6666.666666666667</v>
      </c>
      <c r="AF2227" s="146" t="s">
        <v>8022</v>
      </c>
      <c r="AG2227" s="43">
        <v>51.387091728560797</v>
      </c>
      <c r="AH2227" s="43">
        <v>11.8672628096575</v>
      </c>
      <c r="AI2227" s="122" t="s">
        <v>7286</v>
      </c>
      <c r="AJ2227" s="41">
        <v>0.5</v>
      </c>
    </row>
    <row r="2228" spans="1:36" ht="35.1" hidden="1" customHeight="1" x14ac:dyDescent="0.25">
      <c r="A2228" s="40">
        <v>2941</v>
      </c>
      <c r="B2228" s="40" t="s">
        <v>8026</v>
      </c>
      <c r="C2228" s="143" t="s">
        <v>537</v>
      </c>
      <c r="D2228" s="143"/>
      <c r="E2228" s="143"/>
      <c r="F2228" s="40" t="s">
        <v>5701</v>
      </c>
      <c r="G2228" s="40" t="s">
        <v>457</v>
      </c>
      <c r="I2228" s="40" t="s">
        <v>1269</v>
      </c>
      <c r="J2228" s="143" t="s">
        <v>1395</v>
      </c>
      <c r="K2228" s="143" t="s">
        <v>1268</v>
      </c>
      <c r="L2228" s="143"/>
      <c r="M2228" s="143">
        <v>1</v>
      </c>
      <c r="N2228" s="143"/>
      <c r="O2228" s="143"/>
      <c r="P2228" s="143"/>
      <c r="Q2228" s="143"/>
      <c r="R2228" s="143"/>
      <c r="S2228" s="143"/>
      <c r="T2228" s="143"/>
      <c r="U2228" s="143"/>
      <c r="V2228" s="143"/>
      <c r="W2228" s="143"/>
      <c r="X2228" s="143"/>
      <c r="Y2228" s="143"/>
      <c r="Z2228" s="143" t="s">
        <v>1334</v>
      </c>
      <c r="AA2228" s="45">
        <v>1000</v>
      </c>
      <c r="AB2228" s="46">
        <f>IF(H2ProjectDB689571011[[#This Row],[Dummy_1]]="Electrolysis",
AA2228/VLOOKUP(G2228,ElectrolysisConvF,3,FALSE),
AC2228*10^6/(H2dens*HoursInYear))</f>
        <v>217391.30434782608</v>
      </c>
      <c r="AC2228" s="47">
        <f t="shared" si="157"/>
        <v>169.48695652173913</v>
      </c>
      <c r="AD2228" s="145"/>
      <c r="AE2228" s="145">
        <f t="shared" si="155"/>
        <v>217391.30434782608</v>
      </c>
      <c r="AF2228" s="146" t="s">
        <v>8023</v>
      </c>
      <c r="AG2228" s="43">
        <v>40.9970560815471</v>
      </c>
      <c r="AH2228" s="43">
        <v>113.126216565237</v>
      </c>
      <c r="AI2228" s="122" t="s">
        <v>7286</v>
      </c>
      <c r="AJ2228" s="41">
        <v>0.5</v>
      </c>
    </row>
    <row r="2229" spans="1:36" ht="35.1" hidden="1" customHeight="1" x14ac:dyDescent="0.25">
      <c r="A2229" s="40">
        <v>2942</v>
      </c>
      <c r="B2229" s="143" t="s">
        <v>8028</v>
      </c>
      <c r="C2229" s="143" t="s">
        <v>560</v>
      </c>
      <c r="D2229" s="143"/>
      <c r="E2229" s="143"/>
      <c r="F2229" s="40" t="s">
        <v>2222</v>
      </c>
      <c r="G2229" s="40" t="s">
        <v>1259</v>
      </c>
      <c r="H2229" s="40" t="s">
        <v>467</v>
      </c>
      <c r="I2229" s="40" t="s">
        <v>1269</v>
      </c>
      <c r="J2229" s="143" t="s">
        <v>1392</v>
      </c>
      <c r="K2229" s="143" t="s">
        <v>578</v>
      </c>
      <c r="L2229" s="143"/>
      <c r="M2229" s="143"/>
      <c r="N2229" s="143"/>
      <c r="O2229" s="143"/>
      <c r="P2229" s="143"/>
      <c r="Q2229" s="143"/>
      <c r="R2229" s="143"/>
      <c r="S2229" s="143"/>
      <c r="T2229" s="143"/>
      <c r="U2229" s="143"/>
      <c r="V2229" s="143"/>
      <c r="W2229" s="143"/>
      <c r="X2229" s="143"/>
      <c r="Y2229" s="143"/>
      <c r="Z2229" s="143" t="s">
        <v>8029</v>
      </c>
      <c r="AA2229" s="144">
        <v>227</v>
      </c>
      <c r="AB2229" s="46">
        <f>IF(H2ProjectDB689571011[[#This Row],[Dummy_1]]="Electrolysis",
AA2229/VLOOKUP(G2229,ElectrolysisConvF,3,FALSE),
AC2229*10^6/(H2dens*HoursInYear))</f>
        <v>50444.444444444445</v>
      </c>
      <c r="AC2229" s="47">
        <f t="shared" si="157"/>
        <v>39.328506666666662</v>
      </c>
      <c r="AD2229" s="145"/>
      <c r="AE2229" s="145">
        <f t="shared" si="155"/>
        <v>50444.444444444445</v>
      </c>
      <c r="AF2229" s="146" t="s">
        <v>8031</v>
      </c>
      <c r="AG2229" s="43">
        <v>-54.1051771502839</v>
      </c>
      <c r="AH2229" s="43">
        <v>-68.119326258687806</v>
      </c>
      <c r="AI2229" s="122" t="s">
        <v>7286</v>
      </c>
      <c r="AJ2229" s="41">
        <v>0.4</v>
      </c>
    </row>
    <row r="2230" spans="1:36" ht="35.1" hidden="1" customHeight="1" x14ac:dyDescent="0.25">
      <c r="A2230" s="40">
        <v>2943</v>
      </c>
      <c r="B2230" s="143" t="s">
        <v>8032</v>
      </c>
      <c r="C2230" s="143" t="s">
        <v>1764</v>
      </c>
      <c r="D2230" s="143">
        <v>2023</v>
      </c>
      <c r="E2230" s="143"/>
      <c r="F2230" s="143" t="s">
        <v>1339</v>
      </c>
      <c r="G2230" s="143" t="s">
        <v>455</v>
      </c>
      <c r="H2230" s="143"/>
      <c r="I2230" s="143" t="s">
        <v>1266</v>
      </c>
      <c r="J2230" s="143"/>
      <c r="K2230" s="143" t="s">
        <v>1267</v>
      </c>
      <c r="L2230" s="143"/>
      <c r="M2230" s="143"/>
      <c r="N2230" s="143"/>
      <c r="O2230" s="143"/>
      <c r="P2230" s="143"/>
      <c r="Q2230" s="143"/>
      <c r="R2230" s="143"/>
      <c r="S2230" s="143"/>
      <c r="T2230" s="143"/>
      <c r="U2230" s="143"/>
      <c r="V2230" s="143"/>
      <c r="W2230" s="143">
        <v>1</v>
      </c>
      <c r="X2230" s="143"/>
      <c r="Y2230" s="143"/>
      <c r="Z2230" s="143" t="s">
        <v>1493</v>
      </c>
      <c r="AA2230" s="144">
        <v>2</v>
      </c>
      <c r="AB2230" s="46">
        <f>IF(H2ProjectDB689571011[[#This Row],[Dummy_1]]="Electrolysis",
AA2230/VLOOKUP(G2230,ElectrolysisConvF,3,FALSE),
AC2230*10^6/(H2dens*HoursInYear))</f>
        <v>384.61538461538464</v>
      </c>
      <c r="AC2230" s="47">
        <f t="shared" si="157"/>
        <v>0.29986153846153851</v>
      </c>
      <c r="AD2230" s="145"/>
      <c r="AE2230" s="145">
        <f t="shared" si="155"/>
        <v>384.61538461538464</v>
      </c>
      <c r="AF2230" s="146" t="s">
        <v>8035</v>
      </c>
      <c r="AG2230" s="43">
        <v>39.1517062587045</v>
      </c>
      <c r="AH2230" s="43">
        <v>-5.8971360417027299</v>
      </c>
      <c r="AI2230" s="122" t="s">
        <v>7286</v>
      </c>
      <c r="AJ2230" s="41">
        <v>0.56999999999999995</v>
      </c>
    </row>
    <row r="2231" spans="1:36" ht="35.1" hidden="1" customHeight="1" x14ac:dyDescent="0.25">
      <c r="A2231" s="40">
        <v>2944</v>
      </c>
      <c r="B2231" s="40" t="s">
        <v>8043</v>
      </c>
      <c r="C2231" s="143" t="s">
        <v>1764</v>
      </c>
      <c r="D2231" s="44">
        <v>2027</v>
      </c>
      <c r="E2231" s="44"/>
      <c r="F2231" s="143" t="s">
        <v>1331</v>
      </c>
      <c r="G2231" s="143" t="s">
        <v>457</v>
      </c>
      <c r="H2231" s="143"/>
      <c r="I2231" s="143" t="s">
        <v>5700</v>
      </c>
      <c r="J2231" s="143" t="s">
        <v>1391</v>
      </c>
      <c r="K2231" s="143" t="s">
        <v>578</v>
      </c>
      <c r="L2231" s="143"/>
      <c r="M2231" s="143"/>
      <c r="N2231" s="143"/>
      <c r="O2231" s="143"/>
      <c r="P2231" s="143">
        <v>1</v>
      </c>
      <c r="Q2231" s="143">
        <v>1</v>
      </c>
      <c r="R2231" s="143"/>
      <c r="S2231" s="143"/>
      <c r="T2231" s="143"/>
      <c r="U2231" s="143"/>
      <c r="V2231" s="143"/>
      <c r="W2231" s="143"/>
      <c r="X2231" s="143"/>
      <c r="Y2231" s="143"/>
      <c r="Z2231" s="40" t="s">
        <v>1582</v>
      </c>
      <c r="AA2231" s="144">
        <v>15</v>
      </c>
      <c r="AB2231" s="46">
        <f>IF(H2ProjectDB689571011[[#This Row],[Dummy_1]]="Electrolysis",
AA2231/VLOOKUP(G2231,ElectrolysisConvF,3,FALSE),
AC2231*10^6/(H2dens*HoursInYear))</f>
        <v>3260.8695652173915</v>
      </c>
      <c r="AC2231" s="47">
        <f t="shared" si="157"/>
        <v>2.5423043478260867</v>
      </c>
      <c r="AD2231" s="145"/>
      <c r="AE2231" s="145">
        <f t="shared" si="155"/>
        <v>3260.8695652173915</v>
      </c>
      <c r="AF2231" s="146"/>
      <c r="AG2231" s="43">
        <v>41.108611111000002</v>
      </c>
      <c r="AH2231" s="43">
        <v>1.1894444444400001</v>
      </c>
      <c r="AI2231" s="122" t="s">
        <v>7286</v>
      </c>
      <c r="AJ2231" s="41">
        <v>0.7</v>
      </c>
    </row>
    <row r="2232" spans="1:36" ht="35.1" hidden="1" customHeight="1" x14ac:dyDescent="0.25">
      <c r="A2232" s="40">
        <v>2945</v>
      </c>
      <c r="B2232" s="143" t="s">
        <v>8046</v>
      </c>
      <c r="C2232" s="143" t="s">
        <v>541</v>
      </c>
      <c r="D2232" s="44">
        <v>2026</v>
      </c>
      <c r="E2232" s="44"/>
      <c r="F2232" s="143" t="s">
        <v>1331</v>
      </c>
      <c r="G2232" s="143" t="s">
        <v>3239</v>
      </c>
      <c r="H2232" s="143"/>
      <c r="I2232" s="40" t="s">
        <v>1269</v>
      </c>
      <c r="J2232" s="40" t="s">
        <v>581</v>
      </c>
      <c r="K2232" s="40" t="s">
        <v>578</v>
      </c>
      <c r="L2232" s="143"/>
      <c r="M2232" s="143"/>
      <c r="N2232" s="143"/>
      <c r="O2232" s="143"/>
      <c r="P2232" s="143"/>
      <c r="Q2232" s="143"/>
      <c r="R2232" s="143"/>
      <c r="S2232" s="143"/>
      <c r="T2232" s="143"/>
      <c r="U2232" s="143"/>
      <c r="V2232" s="143"/>
      <c r="W2232" s="143"/>
      <c r="X2232" s="143"/>
      <c r="Y2232" s="143"/>
      <c r="Z2232" s="40" t="s">
        <v>8049</v>
      </c>
      <c r="AA2232" s="91">
        <v>4</v>
      </c>
      <c r="AB2232" s="46">
        <f>IF(H2ProjectDB689571011[[#This Row],[Dummy_1]]="Electrolysis",
AA2232/VLOOKUP(G2232,ElectrolysisConvF,3,FALSE),
AC2232*10^6/(H2dens*HoursInYear))</f>
        <v>888.88888888888891</v>
      </c>
      <c r="AC2232" s="47">
        <f t="shared" si="157"/>
        <v>0.69301333333333337</v>
      </c>
      <c r="AD2232" s="145"/>
      <c r="AE2232" s="145">
        <f t="shared" si="155"/>
        <v>888.88888888888891</v>
      </c>
      <c r="AF2232" s="43" t="s">
        <v>8051</v>
      </c>
      <c r="AG2232" s="43">
        <v>0</v>
      </c>
      <c r="AH2232" s="43">
        <v>0</v>
      </c>
      <c r="AI2232" s="122" t="s">
        <v>7286</v>
      </c>
      <c r="AJ2232" s="41">
        <v>0.5</v>
      </c>
    </row>
    <row r="2233" spans="1:36" ht="35.1" hidden="1" customHeight="1" x14ac:dyDescent="0.25">
      <c r="A2233" s="40">
        <v>2946</v>
      </c>
      <c r="B2233" s="143" t="s">
        <v>8047</v>
      </c>
      <c r="C2233" s="143" t="s">
        <v>541</v>
      </c>
      <c r="D2233" s="44">
        <v>2026</v>
      </c>
      <c r="E2233" s="44"/>
      <c r="F2233" s="143" t="s">
        <v>2222</v>
      </c>
      <c r="G2233" s="143" t="s">
        <v>3239</v>
      </c>
      <c r="H2233" s="143"/>
      <c r="I2233" s="40" t="s">
        <v>1269</v>
      </c>
      <c r="J2233" s="40" t="s">
        <v>581</v>
      </c>
      <c r="K2233" s="40" t="s">
        <v>578</v>
      </c>
      <c r="L2233" s="143"/>
      <c r="M2233" s="143"/>
      <c r="N2233" s="143"/>
      <c r="O2233" s="143"/>
      <c r="P2233" s="143"/>
      <c r="Q2233" s="143"/>
      <c r="R2233" s="143"/>
      <c r="S2233" s="143"/>
      <c r="T2233" s="143"/>
      <c r="U2233" s="143"/>
      <c r="V2233" s="143"/>
      <c r="W2233" s="143"/>
      <c r="X2233" s="143"/>
      <c r="Y2233" s="143"/>
      <c r="Z2233" s="40" t="s">
        <v>8052</v>
      </c>
      <c r="AA2233" s="91">
        <v>3</v>
      </c>
      <c r="AB2233" s="46">
        <f>IF(H2ProjectDB689571011[[#This Row],[Dummy_1]]="Electrolysis",
AA2233/VLOOKUP(G2233,ElectrolysisConvF,3,FALSE),
AC2233*10^6/(H2dens*HoursInYear))</f>
        <v>666.66666666666674</v>
      </c>
      <c r="AC2233" s="47">
        <f t="shared" si="157"/>
        <v>0.51976</v>
      </c>
      <c r="AD2233" s="145"/>
      <c r="AE2233" s="145">
        <f t="shared" si="155"/>
        <v>666.66666666666674</v>
      </c>
      <c r="AF2233" s="43" t="s">
        <v>8051</v>
      </c>
      <c r="AG2233" s="43">
        <v>41.886734209919197</v>
      </c>
      <c r="AH2233" s="43">
        <v>12.5311326473152</v>
      </c>
      <c r="AI2233" s="122" t="s">
        <v>7286</v>
      </c>
      <c r="AJ2233" s="41">
        <v>0.5</v>
      </c>
    </row>
    <row r="2234" spans="1:36" ht="35.1" hidden="1" customHeight="1" x14ac:dyDescent="0.25">
      <c r="A2234" s="40">
        <v>2947</v>
      </c>
      <c r="B2234" s="143" t="s">
        <v>8048</v>
      </c>
      <c r="C2234" s="143" t="s">
        <v>1305</v>
      </c>
      <c r="D2234" s="44">
        <v>2025</v>
      </c>
      <c r="E2234" s="44"/>
      <c r="F2234" s="143" t="s">
        <v>2222</v>
      </c>
      <c r="G2234" s="143" t="s">
        <v>3239</v>
      </c>
      <c r="H2234" s="143"/>
      <c r="I2234" s="40" t="s">
        <v>1269</v>
      </c>
      <c r="J2234" s="40" t="s">
        <v>581</v>
      </c>
      <c r="K2234" s="40" t="s">
        <v>578</v>
      </c>
      <c r="L2234" s="143"/>
      <c r="M2234" s="143"/>
      <c r="N2234" s="143"/>
      <c r="O2234" s="143"/>
      <c r="P2234" s="143"/>
      <c r="Q2234" s="143"/>
      <c r="R2234" s="143"/>
      <c r="S2234" s="143"/>
      <c r="T2234" s="143"/>
      <c r="U2234" s="143"/>
      <c r="V2234" s="143"/>
      <c r="W2234" s="143"/>
      <c r="X2234" s="143"/>
      <c r="Y2234" s="143"/>
      <c r="Z2234" s="40" t="s">
        <v>8045</v>
      </c>
      <c r="AA2234" s="91">
        <v>0.5</v>
      </c>
      <c r="AB2234" s="46">
        <f>IF(H2ProjectDB689571011[[#This Row],[Dummy_1]]="Electrolysis",
AA2234/VLOOKUP(G2234,ElectrolysisConvF,3,FALSE),
AC2234*10^6/(H2dens*HoursInYear))</f>
        <v>111.11111111111111</v>
      </c>
      <c r="AC2234" s="47">
        <f t="shared" si="157"/>
        <v>8.6626666666666671E-2</v>
      </c>
      <c r="AD2234" s="145"/>
      <c r="AE2234" s="145">
        <f t="shared" si="155"/>
        <v>111.11111111111111</v>
      </c>
      <c r="AF2234" s="43" t="s">
        <v>8054</v>
      </c>
      <c r="AG2234" s="43">
        <v>48.993417000000001</v>
      </c>
      <c r="AH2234" s="43">
        <v>8.5501290000000001</v>
      </c>
      <c r="AI2234" s="122" t="s">
        <v>7286</v>
      </c>
      <c r="AJ2234" s="41">
        <v>0.5</v>
      </c>
    </row>
    <row r="2235" spans="1:36" ht="35.1" hidden="1" customHeight="1" x14ac:dyDescent="0.25">
      <c r="A2235" s="40">
        <v>2948</v>
      </c>
      <c r="B2235" s="40" t="s">
        <v>8058</v>
      </c>
      <c r="C2235" s="40" t="s">
        <v>539</v>
      </c>
      <c r="D2235" s="143"/>
      <c r="E2235" s="143"/>
      <c r="F2235" s="90" t="s">
        <v>5701</v>
      </c>
      <c r="G2235" s="90" t="s">
        <v>457</v>
      </c>
      <c r="H2235" s="143"/>
      <c r="I2235" s="90" t="s">
        <v>5700</v>
      </c>
      <c r="J2235" s="143" t="s">
        <v>1395</v>
      </c>
      <c r="K2235" s="90" t="s">
        <v>578</v>
      </c>
      <c r="L2235" s="143"/>
      <c r="M2235" s="143"/>
      <c r="N2235" s="143"/>
      <c r="O2235" s="143"/>
      <c r="P2235" s="143">
        <v>1</v>
      </c>
      <c r="Q2235" s="143"/>
      <c r="R2235" s="143"/>
      <c r="S2235" s="143"/>
      <c r="T2235" s="143"/>
      <c r="U2235" s="143"/>
      <c r="V2235" s="143"/>
      <c r="W2235" s="143"/>
      <c r="X2235" s="143"/>
      <c r="Y2235" s="143"/>
      <c r="Z2235" s="40" t="s">
        <v>8059</v>
      </c>
      <c r="AA2235" s="91">
        <v>1.8</v>
      </c>
      <c r="AB2235" s="46">
        <f>IF(H2ProjectDB689571011[[#This Row],[Dummy_1]]="Electrolysis",
AA2235/VLOOKUP(G2235,ElectrolysisConvF,3,FALSE),
AC2235*10^6/(H2dens*HoursInYear))</f>
        <v>391.304347826087</v>
      </c>
      <c r="AC2235" s="47">
        <f t="shared" si="157"/>
        <v>0.30507652173913041</v>
      </c>
      <c r="AD2235" s="145"/>
      <c r="AE2235" s="145">
        <f t="shared" si="155"/>
        <v>391.304347826087</v>
      </c>
      <c r="AF2235" s="146"/>
      <c r="AG2235" s="43">
        <v>24.045976586938501</v>
      </c>
      <c r="AH2235" s="43">
        <v>76.176618382733096</v>
      </c>
      <c r="AI2235" s="122" t="s">
        <v>7286</v>
      </c>
      <c r="AJ2235" s="41">
        <v>0.7</v>
      </c>
    </row>
    <row r="2236" spans="1:36" ht="35.1" hidden="1" customHeight="1" x14ac:dyDescent="0.25">
      <c r="A2236" s="40">
        <v>2949</v>
      </c>
      <c r="B2236" s="40" t="s">
        <v>8088</v>
      </c>
      <c r="C2236" s="143" t="s">
        <v>1764</v>
      </c>
      <c r="D2236" s="44">
        <v>2024</v>
      </c>
      <c r="E2236" s="44"/>
      <c r="F2236" s="143" t="s">
        <v>5701</v>
      </c>
      <c r="G2236" s="143" t="s">
        <v>455</v>
      </c>
      <c r="H2236" s="143"/>
      <c r="I2236" s="143" t="s">
        <v>5700</v>
      </c>
      <c r="J2236" s="143" t="s">
        <v>1391</v>
      </c>
      <c r="K2236" s="143" t="s">
        <v>578</v>
      </c>
      <c r="L2236" s="143"/>
      <c r="M2236" s="143"/>
      <c r="N2236" s="143"/>
      <c r="O2236" s="143"/>
      <c r="P2236" s="143">
        <v>1</v>
      </c>
      <c r="Q2236" s="143"/>
      <c r="R2236" s="143"/>
      <c r="S2236" s="143"/>
      <c r="T2236" s="143"/>
      <c r="U2236" s="143"/>
      <c r="V2236" s="143"/>
      <c r="W2236" s="143"/>
      <c r="X2236" s="143"/>
      <c r="Y2236" s="143"/>
      <c r="Z2236" s="40" t="s">
        <v>1439</v>
      </c>
      <c r="AA2236" s="144">
        <v>1.25</v>
      </c>
      <c r="AB2236" s="46">
        <f>IF(H2ProjectDB689571011[[#This Row],[Dummy_1]]="Electrolysis",
AA2236/VLOOKUP(G2236,ElectrolysisConvF,3,FALSE),
AC2236*10^6/(H2dens*HoursInYear))</f>
        <v>240.38461538461539</v>
      </c>
      <c r="AC2236" s="47">
        <f t="shared" si="157"/>
        <v>0.18741346153846153</v>
      </c>
      <c r="AD2236" s="145"/>
      <c r="AE2236" s="145">
        <f t="shared" si="155"/>
        <v>240.38461538461539</v>
      </c>
      <c r="AF2236" s="146"/>
      <c r="AG2236" s="43">
        <v>39.993410669291798</v>
      </c>
      <c r="AH2236" s="43">
        <v>-2.0854670623856701E-2</v>
      </c>
      <c r="AI2236" s="122" t="s">
        <v>7286</v>
      </c>
      <c r="AJ2236" s="41">
        <v>0.7</v>
      </c>
    </row>
    <row r="2237" spans="1:36" ht="35.1" hidden="1" customHeight="1" x14ac:dyDescent="0.25">
      <c r="A2237" s="40">
        <v>2950</v>
      </c>
      <c r="B2237" s="40" t="s">
        <v>8087</v>
      </c>
      <c r="C2237" s="143" t="s">
        <v>1764</v>
      </c>
      <c r="D2237" s="44">
        <v>2026</v>
      </c>
      <c r="E2237" s="44"/>
      <c r="F2237" s="40" t="s">
        <v>1331</v>
      </c>
      <c r="G2237" s="40" t="s">
        <v>1259</v>
      </c>
      <c r="H2237" s="40" t="s">
        <v>467</v>
      </c>
      <c r="I2237" s="143" t="s">
        <v>5700</v>
      </c>
      <c r="J2237" s="143" t="s">
        <v>1391</v>
      </c>
      <c r="K2237" s="143" t="s">
        <v>578</v>
      </c>
      <c r="L2237" s="143"/>
      <c r="M2237" s="143"/>
      <c r="N2237" s="143"/>
      <c r="O2237" s="143"/>
      <c r="P2237" s="143">
        <v>1</v>
      </c>
      <c r="Q2237" s="143"/>
      <c r="R2237" s="143"/>
      <c r="S2237" s="143"/>
      <c r="T2237" s="143"/>
      <c r="U2237" s="143"/>
      <c r="V2237" s="143"/>
      <c r="W2237" s="143"/>
      <c r="X2237" s="143"/>
      <c r="Y2237" s="143"/>
      <c r="Z2237" s="40" t="s">
        <v>1336</v>
      </c>
      <c r="AA2237" s="144">
        <v>2.5</v>
      </c>
      <c r="AB2237" s="46">
        <f>IF(H2ProjectDB689571011[[#This Row],[Dummy_1]]="Electrolysis",
AA2237/VLOOKUP(G2237,ElectrolysisConvF,3,FALSE),
AC2237*10^6/(H2dens*HoursInYear))</f>
        <v>555.55555555555554</v>
      </c>
      <c r="AC2237" s="47">
        <f t="shared" si="157"/>
        <v>0.43313333333333331</v>
      </c>
      <c r="AD2237" s="145"/>
      <c r="AE2237" s="145">
        <f t="shared" si="155"/>
        <v>555.55555555555554</v>
      </c>
      <c r="AF2237" s="146"/>
      <c r="AG2237" s="43">
        <v>41.390468304758699</v>
      </c>
      <c r="AH2237" s="43">
        <v>2.16988385449095</v>
      </c>
      <c r="AI2237" s="122" t="s">
        <v>7286</v>
      </c>
      <c r="AJ2237" s="41">
        <v>0.7</v>
      </c>
    </row>
    <row r="2238" spans="1:36" ht="35.1" hidden="1" customHeight="1" x14ac:dyDescent="0.25">
      <c r="A2238" s="40">
        <v>2951</v>
      </c>
      <c r="B2238" s="143" t="s">
        <v>8114</v>
      </c>
      <c r="C2238" s="143" t="s">
        <v>2011</v>
      </c>
      <c r="D2238" s="143"/>
      <c r="E2238" s="143"/>
      <c r="F2238" s="40" t="s">
        <v>2222</v>
      </c>
      <c r="G2238" s="40" t="s">
        <v>1259</v>
      </c>
      <c r="H2238" s="40" t="s">
        <v>467</v>
      </c>
      <c r="I2238" s="40" t="s">
        <v>1269</v>
      </c>
      <c r="J2238" s="40" t="s">
        <v>581</v>
      </c>
      <c r="K2238" s="40" t="s">
        <v>578</v>
      </c>
      <c r="L2238" s="143"/>
      <c r="M2238" s="143"/>
      <c r="N2238" s="143"/>
      <c r="O2238" s="143"/>
      <c r="P2238" s="143"/>
      <c r="Q2238" s="143"/>
      <c r="R2238" s="143"/>
      <c r="S2238" s="143"/>
      <c r="T2238" s="143"/>
      <c r="U2238" s="143"/>
      <c r="V2238" s="143"/>
      <c r="W2238" s="143"/>
      <c r="X2238" s="143"/>
      <c r="Y2238" s="143"/>
      <c r="Z2238" s="40" t="s">
        <v>1648</v>
      </c>
      <c r="AA2238" s="144">
        <v>4</v>
      </c>
      <c r="AB2238" s="46">
        <f>IF(H2ProjectDB689571011[[#This Row],[Dummy_1]]="Electrolysis",
AA2238/VLOOKUP(G2238,ElectrolysisConvF,3,FALSE),
AC2238*10^6/(H2dens*HoursInYear))</f>
        <v>888.88888888888891</v>
      </c>
      <c r="AC2238" s="47">
        <f t="shared" si="157"/>
        <v>0.69301333333333337</v>
      </c>
      <c r="AD2238" s="145"/>
      <c r="AE2238" s="145">
        <f t="shared" si="155"/>
        <v>888.88888888888891</v>
      </c>
      <c r="AF2238" s="43" t="s">
        <v>8119</v>
      </c>
      <c r="AG2238" s="43">
        <v>26.036714147858</v>
      </c>
      <c r="AH2238" s="43">
        <v>50.536883050888797</v>
      </c>
      <c r="AI2238" s="122" t="s">
        <v>7286</v>
      </c>
      <c r="AJ2238" s="41">
        <v>0.5</v>
      </c>
    </row>
    <row r="2239" spans="1:36" ht="35.1" hidden="1" customHeight="1" x14ac:dyDescent="0.25">
      <c r="A2239" s="40">
        <v>2952</v>
      </c>
      <c r="B2239" s="147" t="s">
        <v>8115</v>
      </c>
      <c r="C2239" s="147" t="s">
        <v>1045</v>
      </c>
      <c r="D2239" s="147"/>
      <c r="E2239" s="147"/>
      <c r="F2239" s="40" t="s">
        <v>1331</v>
      </c>
      <c r="G2239" s="40" t="s">
        <v>1259</v>
      </c>
      <c r="H2239" s="40" t="s">
        <v>467</v>
      </c>
      <c r="I2239" s="40" t="s">
        <v>1269</v>
      </c>
      <c r="J2239" s="40" t="s">
        <v>581</v>
      </c>
      <c r="K2239" s="40" t="s">
        <v>1243</v>
      </c>
      <c r="L2239" s="147"/>
      <c r="M2239" s="147">
        <v>1</v>
      </c>
      <c r="N2239" s="147"/>
      <c r="O2239" s="147"/>
      <c r="P2239" s="147"/>
      <c r="Q2239" s="147"/>
      <c r="R2239" s="147"/>
      <c r="S2239" s="147"/>
      <c r="T2239" s="147"/>
      <c r="U2239" s="147"/>
      <c r="V2239" s="147"/>
      <c r="W2239" s="147"/>
      <c r="X2239" s="147"/>
      <c r="Y2239" s="147"/>
      <c r="Z2239" s="147" t="s">
        <v>8120</v>
      </c>
      <c r="AA2239" s="148">
        <v>500</v>
      </c>
      <c r="AB2239" s="46">
        <f>IF(H2ProjectDB689571011[[#This Row],[Dummy_1]]="Electrolysis",
AA2239/VLOOKUP(G2239,ElectrolysisConvF,3,FALSE),
AC2239*10^6/(H2dens*HoursInYear))</f>
        <v>111111.11111111112</v>
      </c>
      <c r="AC2239" s="47">
        <f t="shared" si="157"/>
        <v>86.626666666666665</v>
      </c>
      <c r="AD2239" s="149"/>
      <c r="AE2239" s="149">
        <f t="shared" si="155"/>
        <v>111111.11111111112</v>
      </c>
      <c r="AF2239" s="43" t="s">
        <v>8121</v>
      </c>
      <c r="AG2239" s="43">
        <v>31.131396012889098</v>
      </c>
      <c r="AH2239" s="43">
        <v>27.4213925735977</v>
      </c>
      <c r="AI2239" s="122" t="s">
        <v>7286</v>
      </c>
      <c r="AJ2239" s="41">
        <v>0.5</v>
      </c>
    </row>
    <row r="2240" spans="1:36" ht="35.1" hidden="1" customHeight="1" x14ac:dyDescent="0.25">
      <c r="A2240" s="40">
        <v>2953</v>
      </c>
      <c r="B2240" s="147" t="s">
        <v>8116</v>
      </c>
      <c r="C2240" s="147" t="s">
        <v>1045</v>
      </c>
      <c r="D2240" s="44"/>
      <c r="E2240" s="44"/>
      <c r="F2240" s="40" t="s">
        <v>2222</v>
      </c>
      <c r="G2240" s="40" t="s">
        <v>1259</v>
      </c>
      <c r="H2240" s="40" t="s">
        <v>467</v>
      </c>
      <c r="I2240" s="40" t="s">
        <v>1269</v>
      </c>
      <c r="J2240" s="40" t="s">
        <v>581</v>
      </c>
      <c r="K2240" s="40" t="s">
        <v>1243</v>
      </c>
      <c r="L2240" s="147"/>
      <c r="M2240" s="147">
        <v>1</v>
      </c>
      <c r="N2240" s="147"/>
      <c r="O2240" s="147"/>
      <c r="P2240" s="147"/>
      <c r="Q2240" s="147"/>
      <c r="R2240" s="147"/>
      <c r="S2240" s="147"/>
      <c r="T2240" s="147"/>
      <c r="U2240" s="147"/>
      <c r="V2240" s="147"/>
      <c r="W2240" s="147"/>
      <c r="X2240" s="147"/>
      <c r="Y2240" s="147"/>
      <c r="Z2240" s="40" t="s">
        <v>8125</v>
      </c>
      <c r="AA2240" s="47">
        <f>IF(H2ProjectDB689571011[[#This Row],[Dummy_1]]="Electrolysis",
AB2240*VLOOKUP(G2240,ElectrolysisConvF,3,FALSE),
"")</f>
        <v>1039.356792432226</v>
      </c>
      <c r="AB2240" s="46">
        <f>AC2240/(H2dens*HoursInYear/10^6)</f>
        <v>230968.17609605024</v>
      </c>
      <c r="AC2240" s="92">
        <f>(500*3/17/0.98/H2ProjectDB689571011[[#This Row],[LOWE_CF]])</f>
        <v>180.0720288115246</v>
      </c>
      <c r="AD2240" s="149"/>
      <c r="AE2240" s="149">
        <f t="shared" si="155"/>
        <v>230968.17609605024</v>
      </c>
      <c r="AF2240" s="43" t="s">
        <v>8124</v>
      </c>
      <c r="AG2240" s="43">
        <v>29.656914135326399</v>
      </c>
      <c r="AH2240" s="43">
        <v>32.337896709918503</v>
      </c>
      <c r="AI2240" s="122" t="s">
        <v>7286</v>
      </c>
      <c r="AJ2240" s="41">
        <v>0.5</v>
      </c>
    </row>
    <row r="2241" spans="1:36" ht="35.1" hidden="1" customHeight="1" x14ac:dyDescent="0.25">
      <c r="A2241" s="40">
        <v>2954</v>
      </c>
      <c r="B2241" s="147" t="s">
        <v>8117</v>
      </c>
      <c r="C2241" s="147" t="s">
        <v>1045</v>
      </c>
      <c r="D2241" s="44"/>
      <c r="E2241" s="44"/>
      <c r="F2241" s="40" t="s">
        <v>2222</v>
      </c>
      <c r="G2241" s="40" t="s">
        <v>1259</v>
      </c>
      <c r="H2241" s="40" t="s">
        <v>467</v>
      </c>
      <c r="I2241" s="40" t="s">
        <v>1269</v>
      </c>
      <c r="J2241" s="40" t="s">
        <v>581</v>
      </c>
      <c r="K2241" s="40" t="s">
        <v>1243</v>
      </c>
      <c r="L2241" s="147"/>
      <c r="M2241" s="147">
        <v>1</v>
      </c>
      <c r="N2241" s="147"/>
      <c r="O2241" s="147"/>
      <c r="P2241" s="147"/>
      <c r="Q2241" s="147"/>
      <c r="R2241" s="147"/>
      <c r="S2241" s="147"/>
      <c r="T2241" s="147"/>
      <c r="U2241" s="147"/>
      <c r="V2241" s="147"/>
      <c r="W2241" s="147"/>
      <c r="X2241" s="147"/>
      <c r="Y2241" s="147"/>
      <c r="Z2241" s="40" t="s">
        <v>8126</v>
      </c>
      <c r="AA2241" s="47">
        <f>IF(H2ProjectDB689571011[[#This Row],[Dummy_1]]="Electrolysis",
AB2241*VLOOKUP(G2241,ElectrolysisConvF,3,FALSE),
"")</f>
        <v>415.74271697289043</v>
      </c>
      <c r="AB2241" s="46">
        <f>AC2241/(H2dens*HoursInYear/10^6)</f>
        <v>92387.270438420106</v>
      </c>
      <c r="AC2241" s="92">
        <f>(200*3/17/0.98/H2ProjectDB689571011[[#This Row],[LOWE_CF]])</f>
        <v>72.02881152460985</v>
      </c>
      <c r="AD2241" s="149"/>
      <c r="AE2241" s="149">
        <f t="shared" si="155"/>
        <v>92387.270438420106</v>
      </c>
      <c r="AF2241" s="43" t="s">
        <v>8128</v>
      </c>
      <c r="AG2241" s="43">
        <v>0</v>
      </c>
      <c r="AH2241" s="43">
        <v>0</v>
      </c>
      <c r="AI2241" s="122" t="s">
        <v>7286</v>
      </c>
      <c r="AJ2241" s="41">
        <v>0.5</v>
      </c>
    </row>
    <row r="2242" spans="1:36" ht="35.1" hidden="1" customHeight="1" x14ac:dyDescent="0.25">
      <c r="A2242" s="40">
        <v>2957</v>
      </c>
      <c r="B2242" s="40" t="s">
        <v>8129</v>
      </c>
      <c r="C2242" s="143" t="s">
        <v>1764</v>
      </c>
      <c r="D2242" s="44">
        <v>2026</v>
      </c>
      <c r="E2242" s="44"/>
      <c r="F2242" s="147" t="s">
        <v>1331</v>
      </c>
      <c r="G2242" s="147" t="s">
        <v>1259</v>
      </c>
      <c r="H2242" s="147" t="s">
        <v>467</v>
      </c>
      <c r="I2242" s="147" t="s">
        <v>1269</v>
      </c>
      <c r="J2242" s="147" t="s">
        <v>581</v>
      </c>
      <c r="K2242" s="147" t="s">
        <v>1243</v>
      </c>
      <c r="L2242" s="147"/>
      <c r="M2242" s="147">
        <v>1</v>
      </c>
      <c r="N2242" s="147"/>
      <c r="O2242" s="147"/>
      <c r="P2242" s="147"/>
      <c r="Q2242" s="147"/>
      <c r="R2242" s="147"/>
      <c r="S2242" s="147"/>
      <c r="T2242" s="147"/>
      <c r="U2242" s="147"/>
      <c r="V2242" s="147"/>
      <c r="W2242" s="147"/>
      <c r="X2242" s="147"/>
      <c r="Y2242" s="147"/>
      <c r="Z2242" s="40" t="s">
        <v>8132</v>
      </c>
      <c r="AA2242" s="47">
        <f>IF(H2ProjectDB689571011[[#This Row],[Dummy_1]]="Electrolysis",
AB2242*VLOOKUP(G2242,ElectrolysisConvF,3,FALSE),
"")</f>
        <v>298.29539942804888</v>
      </c>
      <c r="AB2242" s="46">
        <f>AC2242/(H2dens*HoursInYear/10^6)</f>
        <v>66287.866539566428</v>
      </c>
      <c r="AC2242" s="149">
        <f>287*3/17/0.98</f>
        <v>51.680672268907564</v>
      </c>
      <c r="AD2242" s="149"/>
      <c r="AE2242" s="149">
        <f t="shared" si="155"/>
        <v>66287.866539566428</v>
      </c>
      <c r="AF2242" s="43" t="s">
        <v>8136</v>
      </c>
      <c r="AG2242" s="43">
        <v>37.389181532419897</v>
      </c>
      <c r="AH2242" s="43">
        <v>-5.9832393666922101</v>
      </c>
      <c r="AI2242" s="122" t="s">
        <v>7286</v>
      </c>
      <c r="AJ2242" s="41">
        <v>0.5</v>
      </c>
    </row>
    <row r="2243" spans="1:36" ht="35.1" hidden="1" customHeight="1" x14ac:dyDescent="0.25">
      <c r="A2243" s="40">
        <v>2958</v>
      </c>
      <c r="B2243" s="147" t="s">
        <v>8130</v>
      </c>
      <c r="C2243" s="143" t="s">
        <v>1764</v>
      </c>
      <c r="D2243" s="44">
        <v>2028</v>
      </c>
      <c r="E2243" s="44"/>
      <c r="F2243" s="147" t="s">
        <v>2222</v>
      </c>
      <c r="G2243" s="147" t="s">
        <v>1259</v>
      </c>
      <c r="H2243" s="147" t="s">
        <v>467</v>
      </c>
      <c r="I2243" s="147" t="s">
        <v>1269</v>
      </c>
      <c r="J2243" s="147" t="s">
        <v>581</v>
      </c>
      <c r="K2243" s="147" t="s">
        <v>1243</v>
      </c>
      <c r="L2243" s="147"/>
      <c r="M2243" s="147">
        <v>1</v>
      </c>
      <c r="N2243" s="147"/>
      <c r="O2243" s="147"/>
      <c r="P2243" s="147"/>
      <c r="Q2243" s="147"/>
      <c r="R2243" s="147"/>
      <c r="S2243" s="147"/>
      <c r="T2243" s="147"/>
      <c r="U2243" s="147"/>
      <c r="V2243" s="147"/>
      <c r="W2243" s="147"/>
      <c r="X2243" s="147"/>
      <c r="Y2243" s="147"/>
      <c r="Z2243" s="40" t="s">
        <v>8133</v>
      </c>
      <c r="AA2243" s="47">
        <f>IF(H2ProjectDB689571011[[#This Row],[Dummy_1]]="Electrolysis",
AB2243*VLOOKUP(G2243,ElectrolysisConvF,3,FALSE),
"")</f>
        <v>298.29539942804888</v>
      </c>
      <c r="AB2243" s="46">
        <f>AC2243/(H2dens*HoursInYear/10^6)</f>
        <v>66287.866539566428</v>
      </c>
      <c r="AC2243" s="149">
        <f>(574-287)*3/17/0.98</f>
        <v>51.680672268907564</v>
      </c>
      <c r="AD2243" s="149"/>
      <c r="AE2243" s="149">
        <f t="shared" si="155"/>
        <v>66287.866539566428</v>
      </c>
      <c r="AF2243" s="43" t="s">
        <v>8136</v>
      </c>
      <c r="AG2243" s="43">
        <v>37.389181532419897</v>
      </c>
      <c r="AH2243" s="43">
        <v>-5.9832393666922101</v>
      </c>
      <c r="AI2243" s="122" t="s">
        <v>7286</v>
      </c>
      <c r="AJ2243" s="41">
        <v>0.5</v>
      </c>
    </row>
    <row r="2244" spans="1:36" ht="35.1" hidden="1" customHeight="1" x14ac:dyDescent="0.25">
      <c r="A2244" s="40">
        <v>2959</v>
      </c>
      <c r="B2244" s="147" t="s">
        <v>8131</v>
      </c>
      <c r="C2244" s="143" t="s">
        <v>1764</v>
      </c>
      <c r="D2244" s="44">
        <v>2030</v>
      </c>
      <c r="E2244" s="44"/>
      <c r="F2244" s="147" t="s">
        <v>2222</v>
      </c>
      <c r="G2244" s="147" t="s">
        <v>1259</v>
      </c>
      <c r="H2244" s="147" t="s">
        <v>467</v>
      </c>
      <c r="I2244" s="147" t="s">
        <v>1269</v>
      </c>
      <c r="J2244" s="147" t="s">
        <v>581</v>
      </c>
      <c r="K2244" s="147" t="s">
        <v>1243</v>
      </c>
      <c r="L2244" s="147"/>
      <c r="M2244" s="147">
        <v>1</v>
      </c>
      <c r="N2244" s="147"/>
      <c r="O2244" s="147"/>
      <c r="P2244" s="147"/>
      <c r="Q2244" s="147"/>
      <c r="R2244" s="147"/>
      <c r="S2244" s="147"/>
      <c r="T2244" s="147"/>
      <c r="U2244" s="147"/>
      <c r="V2244" s="147"/>
      <c r="W2244" s="147"/>
      <c r="X2244" s="147"/>
      <c r="Y2244" s="147"/>
      <c r="Z2244" s="40" t="s">
        <v>8134</v>
      </c>
      <c r="AA2244" s="47">
        <f>IF(H2ProjectDB689571011[[#This Row],[Dummy_1]]="Electrolysis",
AB2244*VLOOKUP(G2244,ElectrolysisConvF,3,FALSE),
"")</f>
        <v>298.29539942804888</v>
      </c>
      <c r="AB2244" s="46">
        <f>AC2244/(H2dens*HoursInYear/10^6)</f>
        <v>66287.866539566428</v>
      </c>
      <c r="AC2244" s="149">
        <f>(861-574)*3/17/0.98</f>
        <v>51.680672268907564</v>
      </c>
      <c r="AD2244" s="149"/>
      <c r="AE2244" s="149">
        <f t="shared" si="155"/>
        <v>66287.866539566428</v>
      </c>
      <c r="AF2244" s="43" t="s">
        <v>8136</v>
      </c>
      <c r="AG2244" s="43">
        <v>37.389181532419897</v>
      </c>
      <c r="AH2244" s="43">
        <v>-5.9832393666922101</v>
      </c>
      <c r="AI2244" s="122" t="s">
        <v>7286</v>
      </c>
      <c r="AJ2244" s="41">
        <v>0.5</v>
      </c>
    </row>
    <row r="2245" spans="1:36" ht="35.1" hidden="1" customHeight="1" x14ac:dyDescent="0.25">
      <c r="A2245" s="40">
        <v>2960</v>
      </c>
      <c r="B2245" s="40" t="s">
        <v>8153</v>
      </c>
      <c r="C2245" s="147" t="s">
        <v>866</v>
      </c>
      <c r="D2245" s="44"/>
      <c r="E2245" s="44"/>
      <c r="F2245" s="147" t="s">
        <v>2222</v>
      </c>
      <c r="G2245" s="147" t="s">
        <v>1259</v>
      </c>
      <c r="H2245" s="147" t="s">
        <v>467</v>
      </c>
      <c r="I2245" s="147" t="s">
        <v>1269</v>
      </c>
      <c r="J2245" s="147" t="s">
        <v>581</v>
      </c>
      <c r="K2245" s="147" t="s">
        <v>578</v>
      </c>
      <c r="L2245" s="147"/>
      <c r="M2245" s="147">
        <v>1</v>
      </c>
      <c r="N2245" s="147"/>
      <c r="O2245" s="147"/>
      <c r="P2245" s="147"/>
      <c r="Q2245" s="147"/>
      <c r="R2245" s="147"/>
      <c r="S2245" s="147"/>
      <c r="T2245" s="147"/>
      <c r="U2245" s="147"/>
      <c r="V2245" s="147"/>
      <c r="W2245" s="147"/>
      <c r="X2245" s="147"/>
      <c r="Y2245" s="147"/>
      <c r="Z2245" s="40" t="s">
        <v>8154</v>
      </c>
      <c r="AA2245" s="148">
        <v>44</v>
      </c>
      <c r="AB2245" s="46">
        <f>IF(H2ProjectDB689571011[[#This Row],[Dummy_1]]="Electrolysis",
AA2245/VLOOKUP(G2245,ElectrolysisConvF,3,FALSE),
AC2245*10^6/(H2dens*HoursInYear))</f>
        <v>9777.7777777777792</v>
      </c>
      <c r="AC2245" s="47">
        <f>AB2245*H2dens*HoursInYear/10^6</f>
        <v>7.623146666666667</v>
      </c>
      <c r="AD2245" s="149"/>
      <c r="AE2245" s="149">
        <f t="shared" si="155"/>
        <v>9777.7777777777792</v>
      </c>
      <c r="AF2245" s="43" t="s">
        <v>8155</v>
      </c>
      <c r="AG2245" s="43">
        <v>-32.995119161771001</v>
      </c>
      <c r="AH2245" s="43">
        <v>17.992656849477001</v>
      </c>
      <c r="AI2245" s="122" t="s">
        <v>7286</v>
      </c>
      <c r="AJ2245" s="41">
        <v>0.5</v>
      </c>
    </row>
    <row r="2246" spans="1:36" ht="35.1" hidden="1" customHeight="1" x14ac:dyDescent="0.25">
      <c r="A2246" s="40">
        <v>2961</v>
      </c>
      <c r="B2246" s="40" t="s">
        <v>8160</v>
      </c>
      <c r="C2246" s="147" t="s">
        <v>1917</v>
      </c>
      <c r="D2246" s="44"/>
      <c r="E2246" s="44"/>
      <c r="F2246" s="147" t="s">
        <v>1331</v>
      </c>
      <c r="G2246" s="147" t="s">
        <v>1259</v>
      </c>
      <c r="H2246" s="147" t="s">
        <v>467</v>
      </c>
      <c r="I2246" s="147" t="s">
        <v>1266</v>
      </c>
      <c r="J2246" s="147"/>
      <c r="K2246" s="147" t="s">
        <v>1243</v>
      </c>
      <c r="L2246" s="147"/>
      <c r="M2246" s="147">
        <v>1</v>
      </c>
      <c r="N2246" s="147"/>
      <c r="O2246" s="147"/>
      <c r="P2246" s="147"/>
      <c r="Q2246" s="147"/>
      <c r="R2246" s="147"/>
      <c r="S2246" s="147"/>
      <c r="T2246" s="147"/>
      <c r="U2246" s="147"/>
      <c r="V2246" s="147"/>
      <c r="W2246" s="147"/>
      <c r="X2246" s="147"/>
      <c r="Y2246" s="147"/>
      <c r="Z2246" s="40" t="s">
        <v>8161</v>
      </c>
      <c r="AA2246" s="47">
        <f>IF(H2ProjectDB689571011[[#This Row],[Dummy_1]]="Electrolysis",
AB2246*VLOOKUP(G2246,ElectrolysisConvF,3,FALSE),
"")</f>
        <v>204.22449254808657</v>
      </c>
      <c r="AB2246" s="46">
        <f>AC2246/(H2dens*HoursInYear/10^6)</f>
        <v>45383.220566241464</v>
      </c>
      <c r="AC2246" s="92">
        <f>(112*3/17/0.98/H2ProjectDB689571011[[#This Row],[LOWE_CF]])</f>
        <v>35.38257408226449</v>
      </c>
      <c r="AD2246" s="149"/>
      <c r="AE2246" s="149">
        <f t="shared" si="155"/>
        <v>45383.220566241464</v>
      </c>
      <c r="AF2246" s="43" t="s">
        <v>8162</v>
      </c>
      <c r="AG2246" s="43">
        <v>-9.7326393894418999</v>
      </c>
      <c r="AH2246" s="43">
        <v>15.4260907723946</v>
      </c>
      <c r="AI2246" s="122" t="s">
        <v>7286</v>
      </c>
      <c r="AJ2246" s="41">
        <v>0.56999999999999995</v>
      </c>
    </row>
    <row r="2247" spans="1:36" ht="35.1" hidden="1" customHeight="1" x14ac:dyDescent="0.25">
      <c r="A2247" s="40">
        <v>2962</v>
      </c>
      <c r="B2247" s="40" t="s">
        <v>8157</v>
      </c>
      <c r="C2247" s="147" t="s">
        <v>536</v>
      </c>
      <c r="D2247" s="44">
        <v>2027</v>
      </c>
      <c r="E2247" s="44"/>
      <c r="F2247" s="147" t="s">
        <v>1331</v>
      </c>
      <c r="G2247" s="147" t="s">
        <v>1255</v>
      </c>
      <c r="H2247" s="147"/>
      <c r="I2247" s="147"/>
      <c r="J2247" s="147"/>
      <c r="K2247" s="147" t="s">
        <v>578</v>
      </c>
      <c r="L2247" s="147">
        <v>1</v>
      </c>
      <c r="M2247" s="147"/>
      <c r="N2247" s="147"/>
      <c r="O2247" s="147"/>
      <c r="P2247" s="147"/>
      <c r="Q2247" s="147"/>
      <c r="R2247" s="147">
        <v>1</v>
      </c>
      <c r="S2247" s="147"/>
      <c r="T2247" s="147"/>
      <c r="U2247" s="147"/>
      <c r="V2247" s="147"/>
      <c r="W2247" s="147"/>
      <c r="X2247" s="147"/>
      <c r="Y2247" s="147"/>
      <c r="Z2247" s="147"/>
      <c r="AA2247" s="148" t="str">
        <f>IF(OR(G2247="ALK",G2247="PEM",G2247="SOEC",G2247="Other Electrolysis"),
AB2247*VLOOKUP(G2247,ElectrolysisConvF,3,FALSE),
"")</f>
        <v/>
      </c>
      <c r="AB2247" s="149"/>
      <c r="AC2247" s="149"/>
      <c r="AD2247" s="149"/>
      <c r="AE2247" s="149">
        <f t="shared" si="155"/>
        <v>0</v>
      </c>
      <c r="AF2247" s="43" t="s">
        <v>8159</v>
      </c>
      <c r="AG2247" s="43">
        <v>25.9554298913569</v>
      </c>
      <c r="AH2247" s="43">
        <v>-97.375614372711993</v>
      </c>
      <c r="AI2247" s="122" t="s">
        <v>1255</v>
      </c>
      <c r="AJ2247" s="41">
        <v>0.9</v>
      </c>
    </row>
    <row r="2248" spans="1:36" ht="35.1" hidden="1" customHeight="1" x14ac:dyDescent="0.25">
      <c r="A2248" s="40">
        <v>2963</v>
      </c>
      <c r="B2248" s="40" t="s">
        <v>8164</v>
      </c>
      <c r="C2248" s="147" t="s">
        <v>559</v>
      </c>
      <c r="D2248" s="44"/>
      <c r="E2248" s="44"/>
      <c r="F2248" s="40" t="s">
        <v>1331</v>
      </c>
      <c r="G2248" s="40" t="s">
        <v>1259</v>
      </c>
      <c r="H2248" s="40" t="s">
        <v>467</v>
      </c>
      <c r="I2248" s="147" t="s">
        <v>1257</v>
      </c>
      <c r="J2248" s="147"/>
      <c r="K2248" s="147" t="s">
        <v>578</v>
      </c>
      <c r="L2248" s="147"/>
      <c r="M2248" s="147"/>
      <c r="N2248" s="147"/>
      <c r="O2248" s="147"/>
      <c r="P2248" s="147">
        <v>1</v>
      </c>
      <c r="Q2248" s="147"/>
      <c r="R2248" s="147"/>
      <c r="S2248" s="147"/>
      <c r="T2248" s="147"/>
      <c r="U2248" s="147"/>
      <c r="V2248" s="147"/>
      <c r="W2248" s="147"/>
      <c r="X2248" s="147"/>
      <c r="Y2248" s="147"/>
      <c r="Z2248" s="40" t="s">
        <v>8165</v>
      </c>
      <c r="AA2248" s="47">
        <f>IF(H2ProjectDB689571011[[#This Row],[Dummy_1]]="Electrolysis",
AB2248*VLOOKUP(G2248,ElectrolysisConvF,3,FALSE),
"")</f>
        <v>218.26492641076746</v>
      </c>
      <c r="AB2248" s="46">
        <f>AC2248/(H2dens*HoursInYear/10^6)</f>
        <v>48503.316980170552</v>
      </c>
      <c r="AC2248" s="46">
        <f>1000*0.21*3/17/0.98</f>
        <v>37.815126050420169</v>
      </c>
      <c r="AD2248" s="149"/>
      <c r="AE2248" s="149">
        <f t="shared" si="155"/>
        <v>48503.316980170552</v>
      </c>
      <c r="AF2248" s="43" t="s">
        <v>8167</v>
      </c>
      <c r="AG2248" s="43">
        <v>65.622533011639206</v>
      </c>
      <c r="AH2248" s="43">
        <v>22.188622846287299</v>
      </c>
      <c r="AI2248" s="122" t="s">
        <v>7286</v>
      </c>
      <c r="AJ2248" s="41">
        <v>0.56999999999999995</v>
      </c>
    </row>
    <row r="2249" spans="1:36" ht="35.1" hidden="1" customHeight="1" x14ac:dyDescent="0.25">
      <c r="A2249" s="40">
        <v>2964</v>
      </c>
      <c r="B2249" s="40" t="s">
        <v>8170</v>
      </c>
      <c r="C2249" s="147" t="s">
        <v>975</v>
      </c>
      <c r="D2249" s="44">
        <v>2027</v>
      </c>
      <c r="E2249" s="44"/>
      <c r="F2249" s="40" t="s">
        <v>1540</v>
      </c>
      <c r="G2249" s="40" t="s">
        <v>1259</v>
      </c>
      <c r="H2249" s="40" t="s">
        <v>467</v>
      </c>
      <c r="I2249" s="147" t="s">
        <v>1680</v>
      </c>
      <c r="J2249" s="147"/>
      <c r="K2249" s="147" t="s">
        <v>578</v>
      </c>
      <c r="L2249" s="147"/>
      <c r="M2249" s="147"/>
      <c r="N2249" s="147"/>
      <c r="O2249" s="147"/>
      <c r="P2249" s="147"/>
      <c r="Q2249" s="147"/>
      <c r="R2249" s="147"/>
      <c r="S2249" s="147"/>
      <c r="T2249" s="147"/>
      <c r="U2249" s="147"/>
      <c r="V2249" s="147"/>
      <c r="W2249" s="147"/>
      <c r="X2249" s="147"/>
      <c r="Y2249" s="147"/>
      <c r="Z2249" s="40" t="s">
        <v>1348</v>
      </c>
      <c r="AA2249" s="148">
        <v>10</v>
      </c>
      <c r="AB2249" s="46">
        <f>IF(H2ProjectDB689571011[[#This Row],[Dummy_1]]="Electrolysis",
AA2249/VLOOKUP(G2249,ElectrolysisConvF,3,FALSE),
AC2249*10^6/(H2dens*HoursInYear))</f>
        <v>2222.2222222222222</v>
      </c>
      <c r="AC2249" s="47">
        <f>AB2249*H2dens*HoursInYear/10^6</f>
        <v>1.7325333333333333</v>
      </c>
      <c r="AD2249" s="149"/>
      <c r="AE2249" s="149">
        <f t="shared" si="155"/>
        <v>2222.2222222222222</v>
      </c>
      <c r="AF2249" s="43" t="s">
        <v>8169</v>
      </c>
      <c r="AG2249" s="43">
        <v>0</v>
      </c>
      <c r="AH2249" s="43">
        <v>0</v>
      </c>
      <c r="AI2249" s="122" t="s">
        <v>7286</v>
      </c>
      <c r="AJ2249" s="41">
        <v>0.8</v>
      </c>
    </row>
    <row r="2250" spans="1:36" ht="35.1" hidden="1" customHeight="1" x14ac:dyDescent="0.25">
      <c r="A2250" s="40">
        <v>2965</v>
      </c>
      <c r="B2250" s="40" t="s">
        <v>8171</v>
      </c>
      <c r="C2250" s="147" t="s">
        <v>545</v>
      </c>
      <c r="D2250" s="44"/>
      <c r="E2250" s="44"/>
      <c r="F2250" s="40" t="s">
        <v>2222</v>
      </c>
      <c r="G2250" s="40" t="s">
        <v>1259</v>
      </c>
      <c r="H2250" s="40" t="s">
        <v>467</v>
      </c>
      <c r="I2250" s="147" t="s">
        <v>1266</v>
      </c>
      <c r="J2250" s="147"/>
      <c r="K2250" s="147" t="s">
        <v>578</v>
      </c>
      <c r="L2250" s="147"/>
      <c r="M2250" s="147"/>
      <c r="N2250" s="147"/>
      <c r="O2250" s="147"/>
      <c r="P2250" s="147">
        <v>1</v>
      </c>
      <c r="Q2250" s="147"/>
      <c r="R2250" s="147"/>
      <c r="S2250" s="147"/>
      <c r="T2250" s="147"/>
      <c r="U2250" s="147"/>
      <c r="V2250" s="147"/>
      <c r="W2250" s="147"/>
      <c r="X2250" s="147"/>
      <c r="Y2250" s="147"/>
      <c r="Z2250" s="40" t="s">
        <v>8173</v>
      </c>
      <c r="AA2250" s="144">
        <f>IF(H2ProjectDB689571011[[#This Row],[Dummy_1]]="Electrolysis",
AB2250*VLOOKUP(G2250,ElectrolysisConvF,3,FALSE),
"")</f>
        <v>101.26131088842624</v>
      </c>
      <c r="AB2250" s="145">
        <f t="shared" ref="AB2250:AB2262" si="158">AC2250/(H2dens*HoursInYear/10^6)</f>
        <v>22502.513530761389</v>
      </c>
      <c r="AC2250" s="145">
        <f>10/H2ProjectDB689571011[[#This Row],[LOWE_CF]]</f>
        <v>17.543859649122808</v>
      </c>
      <c r="AD2250" s="149"/>
      <c r="AE2250" s="149">
        <f t="shared" si="155"/>
        <v>22502.513530761389</v>
      </c>
      <c r="AF2250" s="43" t="s">
        <v>8172</v>
      </c>
      <c r="AG2250" s="43">
        <v>55.480365696434902</v>
      </c>
      <c r="AH2250" s="43">
        <v>9.1222328031770292</v>
      </c>
      <c r="AI2250" s="122" t="s">
        <v>7286</v>
      </c>
      <c r="AJ2250" s="41">
        <v>0.56999999999999995</v>
      </c>
    </row>
    <row r="2251" spans="1:36" ht="35.1" hidden="1" customHeight="1" x14ac:dyDescent="0.25">
      <c r="A2251" s="40">
        <v>2966</v>
      </c>
      <c r="B2251" s="40" t="s">
        <v>8175</v>
      </c>
      <c r="C2251" s="40" t="s">
        <v>1067</v>
      </c>
      <c r="D2251" s="44">
        <v>2028</v>
      </c>
      <c r="E2251" s="44"/>
      <c r="F2251" s="40" t="s">
        <v>2222</v>
      </c>
      <c r="G2251" s="40" t="s">
        <v>1259</v>
      </c>
      <c r="H2251" s="40" t="s">
        <v>467</v>
      </c>
      <c r="I2251" s="147" t="s">
        <v>1269</v>
      </c>
      <c r="J2251" s="147" t="s">
        <v>1391</v>
      </c>
      <c r="K2251" s="147" t="s">
        <v>578</v>
      </c>
      <c r="L2251" s="147"/>
      <c r="M2251" s="147">
        <v>1</v>
      </c>
      <c r="N2251" s="147"/>
      <c r="O2251" s="147"/>
      <c r="P2251" s="147">
        <v>1</v>
      </c>
      <c r="Q2251" s="147"/>
      <c r="R2251" s="147"/>
      <c r="S2251" s="147"/>
      <c r="T2251" s="147"/>
      <c r="U2251" s="147"/>
      <c r="V2251" s="147"/>
      <c r="W2251" s="147"/>
      <c r="X2251" s="147"/>
      <c r="Y2251" s="147"/>
      <c r="Z2251" s="40" t="s">
        <v>5433</v>
      </c>
      <c r="AA2251" s="170">
        <f>IF(H2ProjectDB689571011[[#This Row],[Dummy_1]]="Electrolysis",
AB2251*VLOOKUP(G2251,ElectrolysisConvF,3,FALSE),
"")</f>
        <v>2078.7135848644525</v>
      </c>
      <c r="AB2251" s="171">
        <f t="shared" si="158"/>
        <v>461936.35219210054</v>
      </c>
      <c r="AC2251" s="171">
        <f>(600*3/17/0.98/H2ProjectDB689571011[[#This Row],[LOWE_CF]])</f>
        <v>360.14405762304926</v>
      </c>
      <c r="AD2251" s="149"/>
      <c r="AE2251" s="149">
        <f t="shared" si="155"/>
        <v>461936.35219210054</v>
      </c>
      <c r="AF2251" s="43" t="s">
        <v>8178</v>
      </c>
      <c r="AG2251" s="43">
        <v>29.464764059424098</v>
      </c>
      <c r="AH2251" s="43">
        <v>-112.208944595666</v>
      </c>
      <c r="AI2251" s="122" t="s">
        <v>7286</v>
      </c>
      <c r="AJ2251" s="41">
        <v>0.3</v>
      </c>
    </row>
    <row r="2252" spans="1:36" ht="35.1" hidden="1" customHeight="1" x14ac:dyDescent="0.25">
      <c r="A2252" s="40">
        <v>2967</v>
      </c>
      <c r="B2252" s="40" t="s">
        <v>8176</v>
      </c>
      <c r="C2252" s="40" t="s">
        <v>1067</v>
      </c>
      <c r="D2252" s="44">
        <v>2030</v>
      </c>
      <c r="E2252" s="44"/>
      <c r="F2252" s="40" t="s">
        <v>2222</v>
      </c>
      <c r="G2252" s="40" t="s">
        <v>1259</v>
      </c>
      <c r="H2252" s="40" t="s">
        <v>467</v>
      </c>
      <c r="I2252" s="147" t="s">
        <v>1269</v>
      </c>
      <c r="J2252" s="147" t="s">
        <v>1391</v>
      </c>
      <c r="K2252" s="147" t="s">
        <v>578</v>
      </c>
      <c r="L2252" s="147"/>
      <c r="M2252" s="147">
        <v>1</v>
      </c>
      <c r="N2252" s="147"/>
      <c r="O2252" s="147"/>
      <c r="P2252" s="147">
        <v>1</v>
      </c>
      <c r="Q2252" s="147"/>
      <c r="R2252" s="147"/>
      <c r="S2252" s="147"/>
      <c r="T2252" s="147"/>
      <c r="U2252" s="147"/>
      <c r="V2252" s="147"/>
      <c r="W2252" s="147"/>
      <c r="X2252" s="147"/>
      <c r="Y2252" s="147"/>
      <c r="Z2252" s="40" t="s">
        <v>8179</v>
      </c>
      <c r="AA2252" s="170">
        <f>IF(H2ProjectDB689571011[[#This Row],[Dummy_1]]="Electrolysis",
AB2252*VLOOKUP(G2252,ElectrolysisConvF,3,FALSE),
"")</f>
        <v>2078.7135848644525</v>
      </c>
      <c r="AB2252" s="171">
        <f t="shared" si="158"/>
        <v>461936.35219210054</v>
      </c>
      <c r="AC2252" s="171">
        <f>(600*3/17/0.98/H2ProjectDB689571011[[#This Row],[LOWE_CF]])</f>
        <v>360.14405762304926</v>
      </c>
      <c r="AD2252" s="149"/>
      <c r="AE2252" s="149">
        <f t="shared" si="155"/>
        <v>461936.35219210054</v>
      </c>
      <c r="AF2252" s="43" t="s">
        <v>8178</v>
      </c>
      <c r="AG2252" s="43">
        <v>29.464764059424098</v>
      </c>
      <c r="AH2252" s="43">
        <v>-112.208944595666</v>
      </c>
      <c r="AI2252" s="122" t="s">
        <v>7286</v>
      </c>
      <c r="AJ2252" s="41">
        <v>0.3</v>
      </c>
    </row>
    <row r="2253" spans="1:36" ht="35.1" hidden="1" customHeight="1" x14ac:dyDescent="0.25">
      <c r="A2253" s="40">
        <v>2968</v>
      </c>
      <c r="B2253" s="40" t="s">
        <v>8180</v>
      </c>
      <c r="C2253" s="40" t="s">
        <v>537</v>
      </c>
      <c r="D2253" s="44">
        <v>2026</v>
      </c>
      <c r="E2253" s="44"/>
      <c r="F2253" s="40" t="s">
        <v>5701</v>
      </c>
      <c r="G2253" s="40" t="s">
        <v>1263</v>
      </c>
      <c r="K2253" s="40" t="s">
        <v>1242</v>
      </c>
      <c r="N2253" s="40">
        <v>1</v>
      </c>
      <c r="Z2253" s="40" t="s">
        <v>8181</v>
      </c>
      <c r="AA2253" s="47" t="str">
        <f>IF(H2ProjectDB689571011[[#This Row],[Dummy_1]]="Electrolysis",
AB2253*VLOOKUP(G2253,ElectrolysisConvF,3,FALSE),
"")</f>
        <v/>
      </c>
      <c r="AB2253" s="46">
        <f t="shared" si="158"/>
        <v>29448.514699091891</v>
      </c>
      <c r="AC2253" s="92">
        <f>(120*0.191327)</f>
        <v>22.959240000000001</v>
      </c>
      <c r="AE2253" s="46">
        <f t="shared" si="155"/>
        <v>29448.514699091891</v>
      </c>
      <c r="AF2253" s="43" t="s">
        <v>8184</v>
      </c>
      <c r="AG2253" s="43">
        <v>34.050780694017</v>
      </c>
      <c r="AH2253" s="43">
        <v>113.79699893674299</v>
      </c>
      <c r="AI2253" s="122" t="s">
        <v>1255</v>
      </c>
      <c r="AJ2253" s="41">
        <v>0.9</v>
      </c>
    </row>
    <row r="2254" spans="1:36" ht="35.1" hidden="1" customHeight="1" x14ac:dyDescent="0.25">
      <c r="A2254" s="40">
        <v>2969</v>
      </c>
      <c r="B2254" s="40" t="s">
        <v>8187</v>
      </c>
      <c r="C2254" s="40" t="s">
        <v>537</v>
      </c>
      <c r="D2254" s="44"/>
      <c r="E2254" s="44"/>
      <c r="F2254" s="40" t="s">
        <v>1331</v>
      </c>
      <c r="G2254" s="40" t="s">
        <v>1259</v>
      </c>
      <c r="H2254" s="40" t="s">
        <v>467</v>
      </c>
      <c r="I2254" s="40" t="s">
        <v>1257</v>
      </c>
      <c r="K2254" s="40" t="s">
        <v>1242</v>
      </c>
      <c r="N2254" s="40">
        <v>1</v>
      </c>
      <c r="Z2254" s="40" t="s">
        <v>8188</v>
      </c>
      <c r="AA2254" s="47">
        <f>IF(H2ProjectDB689571011[[#This Row],[Dummy_1]]="Electrolysis",
AB2254*VLOOKUP(G2254,ElectrolysisConvF,3,FALSE),
"")</f>
        <v>231.90705325534861</v>
      </c>
      <c r="AB2254" s="46">
        <f t="shared" si="158"/>
        <v>51534.900723410807</v>
      </c>
      <c r="AC2254" s="92">
        <f>(210*0.191327)</f>
        <v>40.178669999999997</v>
      </c>
      <c r="AF2254" s="43" t="s">
        <v>8190</v>
      </c>
      <c r="AG2254" s="43">
        <v>37.412077068161402</v>
      </c>
      <c r="AH2254" s="43">
        <v>118.719826556485</v>
      </c>
      <c r="AI2254" s="122" t="s">
        <v>7286</v>
      </c>
      <c r="AJ2254" s="41">
        <v>0.56999999999999995</v>
      </c>
    </row>
    <row r="2255" spans="1:36" ht="35.1" hidden="1" customHeight="1" x14ac:dyDescent="0.25">
      <c r="A2255" s="40">
        <v>2970</v>
      </c>
      <c r="B2255" s="40" t="s">
        <v>8191</v>
      </c>
      <c r="C2255" s="40" t="s">
        <v>537</v>
      </c>
      <c r="D2255" s="44"/>
      <c r="E2255" s="44"/>
      <c r="F2255" s="40" t="s">
        <v>1331</v>
      </c>
      <c r="G2255" s="40" t="s">
        <v>1259</v>
      </c>
      <c r="H2255" s="40" t="s">
        <v>467</v>
      </c>
      <c r="I2255" s="40" t="s">
        <v>1269</v>
      </c>
      <c r="J2255" s="40" t="s">
        <v>1392</v>
      </c>
      <c r="K2255" s="40" t="s">
        <v>1242</v>
      </c>
      <c r="N2255" s="40">
        <v>1</v>
      </c>
      <c r="Z2255" s="40" t="s">
        <v>8192</v>
      </c>
      <c r="AA2255" s="47">
        <f>IF(H2ProjectDB689571011[[#This Row],[Dummy_1]]="Electrolysis",
AB2255*VLOOKUP(G2255,ElectrolysisConvF,3,FALSE),
"")</f>
        <v>496.94368554717562</v>
      </c>
      <c r="AB2255" s="46">
        <f t="shared" si="158"/>
        <v>110431.93012159459</v>
      </c>
      <c r="AC2255" s="92">
        <f>(450*0.191327)</f>
        <v>86.097149999999999</v>
      </c>
      <c r="AF2255" s="43" t="s">
        <v>8190</v>
      </c>
      <c r="AG2255" s="43">
        <v>44.1201177758482</v>
      </c>
      <c r="AH2255" s="43">
        <v>87.245844386137904</v>
      </c>
      <c r="AI2255" s="122" t="s">
        <v>7286</v>
      </c>
      <c r="AJ2255" s="41">
        <v>0.4</v>
      </c>
    </row>
    <row r="2256" spans="1:36" ht="35.1" hidden="1" customHeight="1" x14ac:dyDescent="0.25">
      <c r="A2256" s="40">
        <v>2971</v>
      </c>
      <c r="B2256" s="40" t="s">
        <v>8193</v>
      </c>
      <c r="C2256" s="40" t="s">
        <v>537</v>
      </c>
      <c r="D2256" s="44"/>
      <c r="E2256" s="44"/>
      <c r="F2256" s="40" t="s">
        <v>1331</v>
      </c>
      <c r="G2256" s="40" t="s">
        <v>1259</v>
      </c>
      <c r="H2256" s="40" t="s">
        <v>467</v>
      </c>
      <c r="I2256" s="40" t="s">
        <v>1257</v>
      </c>
      <c r="K2256" s="40" t="s">
        <v>1242</v>
      </c>
      <c r="N2256" s="40">
        <v>1</v>
      </c>
      <c r="Z2256" s="40" t="s">
        <v>7931</v>
      </c>
      <c r="AA2256" s="47">
        <f>IF(H2ProjectDB689571011[[#This Row],[Dummy_1]]="Electrolysis",
AB2256*VLOOKUP(G2256,ElectrolysisConvF,3,FALSE),
"")</f>
        <v>552.15965060797294</v>
      </c>
      <c r="AB2256" s="46">
        <f t="shared" si="158"/>
        <v>122702.14457954954</v>
      </c>
      <c r="AC2256" s="92">
        <f>(500*0.191327)</f>
        <v>95.663499999999999</v>
      </c>
      <c r="AE2256" s="46">
        <f t="shared" ref="AE2256:AE2289" si="159">IF(AND(G2256&lt;&gt;"NG w CCUS",G2256&lt;&gt;"Oil w CCUS",G2256&lt;&gt;"Coal w CCUS"),AB2256,AD2256*10^3/(HoursInYear*IF(G2256="NG w CCUS",0.9105,1.9075)))</f>
        <v>122702.14457954954</v>
      </c>
      <c r="AF2256" s="43" t="s">
        <v>8190</v>
      </c>
      <c r="AG2256" s="43">
        <v>37.417727186172201</v>
      </c>
      <c r="AH2256" s="43">
        <v>121.43062527271201</v>
      </c>
      <c r="AI2256" s="122" t="s">
        <v>7286</v>
      </c>
      <c r="AJ2256" s="41">
        <v>0.56999999999999995</v>
      </c>
    </row>
    <row r="2257" spans="1:36" ht="35.1" hidden="1" customHeight="1" x14ac:dyDescent="0.25">
      <c r="A2257" s="40">
        <v>2972</v>
      </c>
      <c r="B2257" s="43" t="s">
        <v>8194</v>
      </c>
      <c r="C2257" s="40" t="s">
        <v>537</v>
      </c>
      <c r="D2257" s="44"/>
      <c r="E2257" s="44"/>
      <c r="F2257" s="40" t="s">
        <v>1331</v>
      </c>
      <c r="G2257" s="40" t="s">
        <v>1259</v>
      </c>
      <c r="H2257" s="40" t="s">
        <v>467</v>
      </c>
      <c r="I2257" s="40" t="s">
        <v>1269</v>
      </c>
      <c r="J2257" s="40" t="s">
        <v>1392</v>
      </c>
      <c r="K2257" s="40" t="s">
        <v>1242</v>
      </c>
      <c r="N2257" s="40">
        <v>1</v>
      </c>
      <c r="Z2257" s="40" t="s">
        <v>7954</v>
      </c>
      <c r="AA2257" s="47">
        <f>IF(H2ProjectDB689571011[[#This Row],[Dummy_1]]="Electrolysis",
AB2257*VLOOKUP(G2257,ElectrolysisConvF,3,FALSE),
"")</f>
        <v>198.77747421887022</v>
      </c>
      <c r="AB2257" s="46">
        <f t="shared" si="158"/>
        <v>44172.772048637831</v>
      </c>
      <c r="AC2257" s="92">
        <f>(180*0.191327)</f>
        <v>34.438859999999998</v>
      </c>
      <c r="AE2257" s="46">
        <f t="shared" si="159"/>
        <v>44172.772048637831</v>
      </c>
      <c r="AF2257" s="43" t="s">
        <v>8190</v>
      </c>
      <c r="AG2257" s="43">
        <v>41.1282450014997</v>
      </c>
      <c r="AH2257" s="43">
        <v>121.11097698724301</v>
      </c>
      <c r="AI2257" s="122" t="s">
        <v>7286</v>
      </c>
      <c r="AJ2257" s="41">
        <v>0.4</v>
      </c>
    </row>
    <row r="2258" spans="1:36" ht="35.1" hidden="1" customHeight="1" x14ac:dyDescent="0.25">
      <c r="A2258" s="40">
        <v>2973</v>
      </c>
      <c r="B2258" s="40" t="s">
        <v>8195</v>
      </c>
      <c r="C2258" s="40" t="s">
        <v>537</v>
      </c>
      <c r="D2258" s="44"/>
      <c r="E2258" s="44"/>
      <c r="F2258" s="40" t="s">
        <v>1331</v>
      </c>
      <c r="G2258" s="40" t="s">
        <v>1259</v>
      </c>
      <c r="H2258" s="40" t="s">
        <v>467</v>
      </c>
      <c r="I2258" s="40" t="s">
        <v>1269</v>
      </c>
      <c r="J2258" s="40" t="s">
        <v>1392</v>
      </c>
      <c r="K2258" s="40" t="s">
        <v>1242</v>
      </c>
      <c r="N2258" s="40">
        <v>1</v>
      </c>
      <c r="Z2258" s="40" t="s">
        <v>8181</v>
      </c>
      <c r="AA2258" s="47">
        <f>IF(H2ProjectDB689571011[[#This Row],[Dummy_1]]="Electrolysis",
AB2258*VLOOKUP(G2258,ElectrolysisConvF,3,FALSE),
"")</f>
        <v>132.5183161459135</v>
      </c>
      <c r="AB2258" s="46">
        <f t="shared" si="158"/>
        <v>29448.514699091891</v>
      </c>
      <c r="AC2258" s="92">
        <f>(120*0.191327)</f>
        <v>22.959240000000001</v>
      </c>
      <c r="AE2258" s="46">
        <f t="shared" si="159"/>
        <v>29448.514699091891</v>
      </c>
      <c r="AF2258" s="43" t="s">
        <v>8190</v>
      </c>
      <c r="AG2258" s="43">
        <v>42.300327614555101</v>
      </c>
      <c r="AH2258" s="43">
        <v>118.905704345328</v>
      </c>
      <c r="AI2258" s="122" t="s">
        <v>7286</v>
      </c>
      <c r="AJ2258" s="41">
        <v>0.4</v>
      </c>
    </row>
    <row r="2259" spans="1:36" ht="35.1" hidden="1" customHeight="1" x14ac:dyDescent="0.25">
      <c r="A2259" s="40">
        <v>2974</v>
      </c>
      <c r="B2259" s="40" t="s">
        <v>8196</v>
      </c>
      <c r="C2259" s="40" t="s">
        <v>537</v>
      </c>
      <c r="D2259" s="44"/>
      <c r="E2259" s="44"/>
      <c r="F2259" s="40" t="s">
        <v>1331</v>
      </c>
      <c r="G2259" s="40" t="s">
        <v>1259</v>
      </c>
      <c r="H2259" s="40" t="s">
        <v>467</v>
      </c>
      <c r="I2259" s="40" t="s">
        <v>1257</v>
      </c>
      <c r="K2259" s="40" t="s">
        <v>1242</v>
      </c>
      <c r="N2259" s="40">
        <v>1</v>
      </c>
      <c r="Z2259" s="40" t="s">
        <v>8197</v>
      </c>
      <c r="AA2259" s="47">
        <f>IF(H2ProjectDB689571011[[#This Row],[Dummy_1]]="Electrolysis",
AB2259*VLOOKUP(G2259,ElectrolysisConvF,3,FALSE),
"")</f>
        <v>5521.5965060797298</v>
      </c>
      <c r="AB2259" s="46">
        <f t="shared" si="158"/>
        <v>1227021.4457954955</v>
      </c>
      <c r="AC2259" s="92">
        <f>(5000*0.191327)</f>
        <v>956.63499999999999</v>
      </c>
      <c r="AE2259" s="46">
        <f t="shared" si="159"/>
        <v>1227021.4457954955</v>
      </c>
      <c r="AF2259" s="43" t="s">
        <v>8190</v>
      </c>
      <c r="AG2259" s="43">
        <v>40.6370890132863</v>
      </c>
      <c r="AH2259" s="43">
        <v>122.271195528197</v>
      </c>
      <c r="AI2259" s="122" t="s">
        <v>7286</v>
      </c>
      <c r="AJ2259" s="41">
        <v>0.56999999999999995</v>
      </c>
    </row>
    <row r="2260" spans="1:36" ht="35.1" hidden="1" customHeight="1" x14ac:dyDescent="0.25">
      <c r="A2260" s="40">
        <v>2975</v>
      </c>
      <c r="B2260" s="40" t="s">
        <v>8198</v>
      </c>
      <c r="C2260" s="40" t="s">
        <v>537</v>
      </c>
      <c r="D2260" s="44"/>
      <c r="E2260" s="44"/>
      <c r="F2260" s="40" t="s">
        <v>1331</v>
      </c>
      <c r="G2260" s="40" t="s">
        <v>1259</v>
      </c>
      <c r="H2260" s="40" t="s">
        <v>467</v>
      </c>
      <c r="I2260" s="40" t="s">
        <v>1257</v>
      </c>
      <c r="K2260" s="40" t="s">
        <v>1242</v>
      </c>
      <c r="N2260" s="40">
        <v>1</v>
      </c>
      <c r="Z2260" s="40" t="s">
        <v>6868</v>
      </c>
      <c r="AA2260" s="47">
        <f>IF(H2ProjectDB689571011[[#This Row],[Dummy_1]]="Electrolysis",
AB2260*VLOOKUP(G2260,ElectrolysisConvF,3,FALSE),
"")</f>
        <v>331.29579036478373</v>
      </c>
      <c r="AB2260" s="46">
        <f t="shared" si="158"/>
        <v>73621.286747729726</v>
      </c>
      <c r="AC2260" s="92">
        <f>(300*0.191327)</f>
        <v>57.398099999999999</v>
      </c>
      <c r="AE2260" s="46">
        <f t="shared" si="159"/>
        <v>73621.286747729726</v>
      </c>
      <c r="AF2260" s="43" t="s">
        <v>8190</v>
      </c>
      <c r="AG2260" s="43">
        <v>33.365322376145699</v>
      </c>
      <c r="AH2260" s="43">
        <v>120.17908069945101</v>
      </c>
      <c r="AI2260" s="122" t="s">
        <v>7286</v>
      </c>
      <c r="AJ2260" s="41">
        <v>0.56999999999999995</v>
      </c>
    </row>
    <row r="2261" spans="1:36" ht="35.1" hidden="1" customHeight="1" x14ac:dyDescent="0.25">
      <c r="A2261" s="40">
        <v>2976</v>
      </c>
      <c r="B2261" s="40" t="s">
        <v>8199</v>
      </c>
      <c r="C2261" s="40" t="s">
        <v>537</v>
      </c>
      <c r="D2261" s="44">
        <v>2024</v>
      </c>
      <c r="E2261" s="44"/>
      <c r="F2261" s="40" t="s">
        <v>1331</v>
      </c>
      <c r="G2261" s="40" t="s">
        <v>1259</v>
      </c>
      <c r="H2261" s="40" t="s">
        <v>467</v>
      </c>
      <c r="I2261" s="40" t="s">
        <v>1257</v>
      </c>
      <c r="K2261" s="40" t="s">
        <v>1242</v>
      </c>
      <c r="Q2261" s="40">
        <v>1</v>
      </c>
      <c r="Z2261" s="40" t="s">
        <v>8200</v>
      </c>
      <c r="AA2261" s="47">
        <f>IF(H2ProjectDB689571011[[#This Row],[Dummy_1]]="Electrolysis",
AB2261*VLOOKUP(G2261,ElectrolysisConvF,3,FALSE),
"")</f>
        <v>419.64133446205949</v>
      </c>
      <c r="AB2261" s="46">
        <f t="shared" si="158"/>
        <v>93253.629880457665</v>
      </c>
      <c r="AC2261" s="92">
        <f>(380*0.191327)</f>
        <v>72.704260000000005</v>
      </c>
      <c r="AE2261" s="46">
        <f t="shared" si="159"/>
        <v>93253.629880457665</v>
      </c>
      <c r="AF2261" s="43" t="s">
        <v>8202</v>
      </c>
      <c r="AG2261" s="43">
        <v>32.126758684142203</v>
      </c>
      <c r="AH2261" s="43">
        <v>118.781643194689</v>
      </c>
      <c r="AI2261" s="122" t="s">
        <v>7286</v>
      </c>
      <c r="AJ2261" s="41">
        <v>0.56999999999999995</v>
      </c>
    </row>
    <row r="2262" spans="1:36" ht="35.1" hidden="1" customHeight="1" x14ac:dyDescent="0.25">
      <c r="A2262" s="40">
        <v>2977</v>
      </c>
      <c r="B2262" s="40" t="s">
        <v>8203</v>
      </c>
      <c r="C2262" s="40" t="s">
        <v>537</v>
      </c>
      <c r="D2262" s="44"/>
      <c r="E2262" s="44"/>
      <c r="F2262" s="40" t="s">
        <v>1331</v>
      </c>
      <c r="G2262" s="40" t="s">
        <v>1259</v>
      </c>
      <c r="H2262" s="40" t="s">
        <v>467</v>
      </c>
      <c r="I2262" s="40" t="s">
        <v>1257</v>
      </c>
      <c r="K2262" s="40" t="s">
        <v>1242</v>
      </c>
      <c r="N2262" s="40">
        <v>1</v>
      </c>
      <c r="Z2262" s="40" t="s">
        <v>6868</v>
      </c>
      <c r="AA2262" s="47">
        <f>IF(H2ProjectDB689571011[[#This Row],[Dummy_1]]="Electrolysis",
AB2262*VLOOKUP(G2262,ElectrolysisConvF,3,FALSE),
"")</f>
        <v>331.29579036478373</v>
      </c>
      <c r="AB2262" s="46">
        <f t="shared" si="158"/>
        <v>73621.286747729726</v>
      </c>
      <c r="AC2262" s="92">
        <f>(300*0.191327)</f>
        <v>57.398099999999999</v>
      </c>
      <c r="AE2262" s="46">
        <f t="shared" si="159"/>
        <v>73621.286747729726</v>
      </c>
      <c r="AF2262" s="43" t="s">
        <v>8190</v>
      </c>
      <c r="AG2262" s="43">
        <v>33.365322376145699</v>
      </c>
      <c r="AH2262" s="43">
        <v>120.17908069945101</v>
      </c>
      <c r="AI2262" s="122" t="s">
        <v>7286</v>
      </c>
      <c r="AJ2262" s="41">
        <v>0.56999999999999995</v>
      </c>
    </row>
    <row r="2263" spans="1:36" ht="35.1" customHeight="1" x14ac:dyDescent="0.25">
      <c r="A2263" s="40">
        <v>2978</v>
      </c>
      <c r="B2263" s="40" t="s">
        <v>8264</v>
      </c>
      <c r="C2263" s="40" t="s">
        <v>1052</v>
      </c>
      <c r="D2263" s="44">
        <v>2025</v>
      </c>
      <c r="E2263" s="44"/>
      <c r="F2263" s="40" t="s">
        <v>2222</v>
      </c>
      <c r="G2263" s="40" t="s">
        <v>1259</v>
      </c>
      <c r="H2263" s="40" t="s">
        <v>467</v>
      </c>
      <c r="I2263" s="40" t="s">
        <v>1257</v>
      </c>
      <c r="K2263" s="40" t="s">
        <v>578</v>
      </c>
      <c r="M2263" s="40">
        <v>1</v>
      </c>
      <c r="Z2263" s="40" t="s">
        <v>8265</v>
      </c>
      <c r="AA2263" s="91">
        <v>140</v>
      </c>
      <c r="AB2263" s="46">
        <f>IF(H2ProjectDB689571011[[#This Row],[Dummy_1]]="Electrolysis",
AA2263/VLOOKUP(G2263,ElectrolysisConvF,3,FALSE),
AC2263*10^6/(H2dens*HoursInYear))</f>
        <v>31111.111111111113</v>
      </c>
      <c r="AC2263" s="47">
        <f>AB2263*H2dens*HoursInYear/10^6</f>
        <v>24.255466666666667</v>
      </c>
      <c r="AE2263" s="46">
        <f t="shared" si="159"/>
        <v>31111.111111111113</v>
      </c>
      <c r="AF2263" s="43" t="s">
        <v>8353</v>
      </c>
      <c r="AG2263" s="43">
        <v>-8.3934681977897299</v>
      </c>
      <c r="AH2263" s="43">
        <v>-34.967697047493303</v>
      </c>
      <c r="AI2263" s="122" t="s">
        <v>7286</v>
      </c>
      <c r="AJ2263" s="41">
        <v>0.56999999999999995</v>
      </c>
    </row>
    <row r="2264" spans="1:36" ht="35.1" hidden="1" customHeight="1" x14ac:dyDescent="0.25">
      <c r="A2264" s="40">
        <v>2979</v>
      </c>
      <c r="B2264" s="40" t="s">
        <v>8204</v>
      </c>
      <c r="C2264" s="40" t="s">
        <v>537</v>
      </c>
      <c r="D2264" s="44"/>
      <c r="E2264" s="44"/>
      <c r="F2264" s="40" t="s">
        <v>1331</v>
      </c>
      <c r="G2264" s="40" t="s">
        <v>1259</v>
      </c>
      <c r="H2264" s="40" t="s">
        <v>467</v>
      </c>
      <c r="I2264" s="40" t="s">
        <v>1257</v>
      </c>
      <c r="K2264" s="40" t="s">
        <v>1242</v>
      </c>
      <c r="N2264" s="40">
        <v>1</v>
      </c>
      <c r="Z2264" s="40" t="s">
        <v>8205</v>
      </c>
      <c r="AA2264" s="47">
        <f>IF(H2ProjectDB689571011[[#This Row],[Dummy_1]]="Electrolysis",
AB2264*VLOOKUP(G2264,ElectrolysisConvF,3,FALSE),
"")</f>
        <v>1104.3193012159459</v>
      </c>
      <c r="AB2264" s="46">
        <f t="shared" ref="AB2264:AB2289" si="160">AC2264/(H2dens*HoursInYear/10^6)</f>
        <v>245404.28915909908</v>
      </c>
      <c r="AC2264" s="92">
        <f>(1000*0.191327)</f>
        <v>191.327</v>
      </c>
      <c r="AE2264" s="46">
        <f t="shared" si="159"/>
        <v>245404.28915909908</v>
      </c>
      <c r="AF2264" s="43" t="s">
        <v>8190</v>
      </c>
      <c r="AG2264" s="43">
        <v>36.628272744295899</v>
      </c>
      <c r="AH2264" s="43">
        <v>114.440800371181</v>
      </c>
      <c r="AI2264" s="122" t="s">
        <v>7286</v>
      </c>
      <c r="AJ2264" s="41">
        <v>0.56999999999999995</v>
      </c>
    </row>
    <row r="2265" spans="1:36" ht="35.1" hidden="1" customHeight="1" x14ac:dyDescent="0.25">
      <c r="A2265" s="40">
        <v>2980</v>
      </c>
      <c r="B2265" s="40" t="s">
        <v>8206</v>
      </c>
      <c r="C2265" s="40" t="s">
        <v>537</v>
      </c>
      <c r="D2265" s="44"/>
      <c r="E2265" s="44"/>
      <c r="F2265" s="40" t="s">
        <v>1540</v>
      </c>
      <c r="G2265" s="40" t="s">
        <v>1259</v>
      </c>
      <c r="H2265" s="40" t="s">
        <v>467</v>
      </c>
      <c r="I2265" s="40" t="s">
        <v>1257</v>
      </c>
      <c r="K2265" s="40" t="s">
        <v>1242</v>
      </c>
      <c r="N2265" s="40">
        <v>1</v>
      </c>
      <c r="Z2265" s="40" t="s">
        <v>7795</v>
      </c>
      <c r="AA2265" s="47">
        <f>IF(H2ProjectDB689571011[[#This Row],[Dummy_1]]="Electrolysis",
AB2265*VLOOKUP(G2265,ElectrolysisConvF,3,FALSE),
"")</f>
        <v>110.43193012159459</v>
      </c>
      <c r="AB2265" s="46">
        <f t="shared" si="160"/>
        <v>24540.42891590991</v>
      </c>
      <c r="AC2265" s="92">
        <f>(100*0.191327)</f>
        <v>19.1327</v>
      </c>
      <c r="AE2265" s="46">
        <f t="shared" si="159"/>
        <v>24540.42891590991</v>
      </c>
      <c r="AF2265" s="43" t="s">
        <v>8190</v>
      </c>
      <c r="AG2265" s="43">
        <v>30.002768351708099</v>
      </c>
      <c r="AH2265" s="43">
        <v>122.210475958779</v>
      </c>
      <c r="AI2265" s="122" t="s">
        <v>7286</v>
      </c>
      <c r="AJ2265" s="41">
        <v>0.56999999999999995</v>
      </c>
    </row>
    <row r="2266" spans="1:36" ht="35.1" hidden="1" customHeight="1" x14ac:dyDescent="0.25">
      <c r="A2266" s="40">
        <v>2981</v>
      </c>
      <c r="B2266" s="40" t="s">
        <v>8207</v>
      </c>
      <c r="C2266" s="40" t="s">
        <v>537</v>
      </c>
      <c r="D2266" s="44"/>
      <c r="E2266" s="44"/>
      <c r="F2266" s="40" t="s">
        <v>1331</v>
      </c>
      <c r="G2266" s="40" t="s">
        <v>1259</v>
      </c>
      <c r="H2266" s="40" t="s">
        <v>467</v>
      </c>
      <c r="I2266" s="40" t="s">
        <v>1257</v>
      </c>
      <c r="K2266" s="40" t="s">
        <v>1242</v>
      </c>
      <c r="N2266" s="40">
        <v>1</v>
      </c>
      <c r="Z2266" s="40" t="s">
        <v>8208</v>
      </c>
      <c r="AA2266" s="47">
        <f>IF(H2ProjectDB689571011[[#This Row],[Dummy_1]]="Electrolysis",
AB2266*VLOOKUP(G2266,ElectrolysisConvF,3,FALSE),
"")</f>
        <v>176.69108819455136</v>
      </c>
      <c r="AB2266" s="46">
        <f t="shared" si="160"/>
        <v>39264.686265455857</v>
      </c>
      <c r="AC2266" s="92">
        <f>(160*0.191327)</f>
        <v>30.61232</v>
      </c>
      <c r="AE2266" s="46">
        <f t="shared" si="159"/>
        <v>39264.686265455857</v>
      </c>
      <c r="AF2266" s="43" t="s">
        <v>8190</v>
      </c>
      <c r="AG2266" s="43">
        <v>26.6717820491934</v>
      </c>
      <c r="AH2266" s="43">
        <v>107.973499139875</v>
      </c>
      <c r="AI2266" s="122" t="s">
        <v>7286</v>
      </c>
      <c r="AJ2266" s="41">
        <v>0.56999999999999995</v>
      </c>
    </row>
    <row r="2267" spans="1:36" ht="35.1" hidden="1" customHeight="1" x14ac:dyDescent="0.25">
      <c r="A2267" s="40">
        <v>2982</v>
      </c>
      <c r="B2267" s="40" t="s">
        <v>8210</v>
      </c>
      <c r="C2267" s="40" t="s">
        <v>537</v>
      </c>
      <c r="D2267" s="44"/>
      <c r="E2267" s="44"/>
      <c r="F2267" s="40" t="s">
        <v>1331</v>
      </c>
      <c r="G2267" s="40" t="s">
        <v>1259</v>
      </c>
      <c r="H2267" s="40" t="s">
        <v>467</v>
      </c>
      <c r="I2267" s="40" t="s">
        <v>1257</v>
      </c>
      <c r="K2267" s="40" t="s">
        <v>1242</v>
      </c>
      <c r="N2267" s="40">
        <v>1</v>
      </c>
      <c r="Z2267" s="40" t="s">
        <v>6868</v>
      </c>
      <c r="AA2267" s="47">
        <f>IF(H2ProjectDB689571011[[#This Row],[Dummy_1]]="Electrolysis",
AB2267*VLOOKUP(G2267,ElectrolysisConvF,3,FALSE),
"")</f>
        <v>331.29579036478373</v>
      </c>
      <c r="AB2267" s="46">
        <f t="shared" si="160"/>
        <v>73621.286747729726</v>
      </c>
      <c r="AC2267" s="92">
        <f>(300*0.191327)</f>
        <v>57.398099999999999</v>
      </c>
      <c r="AE2267" s="46">
        <f t="shared" si="159"/>
        <v>73621.286747729726</v>
      </c>
      <c r="AF2267" s="43" t="s">
        <v>8190</v>
      </c>
      <c r="AG2267" s="43">
        <v>45.6256610172764</v>
      </c>
      <c r="AH2267" s="43">
        <v>122.84099282129699</v>
      </c>
      <c r="AI2267" s="122" t="s">
        <v>7286</v>
      </c>
      <c r="AJ2267" s="41">
        <v>0.56999999999999995</v>
      </c>
    </row>
    <row r="2268" spans="1:36" ht="35.1" hidden="1" customHeight="1" x14ac:dyDescent="0.25">
      <c r="A2268" s="40">
        <v>2983</v>
      </c>
      <c r="B2268" s="40" t="s">
        <v>8211</v>
      </c>
      <c r="C2268" s="40" t="s">
        <v>537</v>
      </c>
      <c r="D2268" s="44"/>
      <c r="E2268" s="44"/>
      <c r="F2268" s="40" t="s">
        <v>1331</v>
      </c>
      <c r="G2268" s="40" t="s">
        <v>1259</v>
      </c>
      <c r="H2268" s="40" t="s">
        <v>467</v>
      </c>
      <c r="I2268" s="40" t="s">
        <v>1257</v>
      </c>
      <c r="K2268" s="40" t="s">
        <v>1242</v>
      </c>
      <c r="N2268" s="40">
        <v>1</v>
      </c>
      <c r="Z2268" s="40" t="s">
        <v>8205</v>
      </c>
      <c r="AA2268" s="47">
        <f>IF(H2ProjectDB689571011[[#This Row],[Dummy_1]]="Electrolysis",
AB2268*VLOOKUP(G2268,ElectrolysisConvF,3,FALSE),
"")</f>
        <v>1104.3193012159459</v>
      </c>
      <c r="AB2268" s="46">
        <f t="shared" si="160"/>
        <v>245404.28915909908</v>
      </c>
      <c r="AC2268" s="92">
        <f>(1000*0.191327)</f>
        <v>191.327</v>
      </c>
      <c r="AE2268" s="46">
        <f t="shared" si="159"/>
        <v>245404.28915909908</v>
      </c>
      <c r="AF2268" s="43" t="s">
        <v>8190</v>
      </c>
      <c r="AG2268" s="43">
        <v>46.679762675321498</v>
      </c>
      <c r="AH2268" s="43">
        <v>131.16541735266799</v>
      </c>
      <c r="AI2268" s="122" t="s">
        <v>7286</v>
      </c>
      <c r="AJ2268" s="41">
        <v>0.56999999999999995</v>
      </c>
    </row>
    <row r="2269" spans="1:36" ht="35.1" hidden="1" customHeight="1" x14ac:dyDescent="0.25">
      <c r="A2269" s="40">
        <v>2984</v>
      </c>
      <c r="B2269" s="43" t="s">
        <v>8212</v>
      </c>
      <c r="C2269" s="40" t="s">
        <v>537</v>
      </c>
      <c r="D2269" s="44"/>
      <c r="E2269" s="44"/>
      <c r="F2269" s="40" t="s">
        <v>1331</v>
      </c>
      <c r="G2269" s="40" t="s">
        <v>1259</v>
      </c>
      <c r="H2269" s="40" t="s">
        <v>467</v>
      </c>
      <c r="I2269" s="40" t="s">
        <v>1269</v>
      </c>
      <c r="J2269" s="40" t="s">
        <v>1392</v>
      </c>
      <c r="K2269" s="40" t="s">
        <v>1242</v>
      </c>
      <c r="N2269" s="40">
        <v>1</v>
      </c>
      <c r="Z2269" s="40" t="s">
        <v>6868</v>
      </c>
      <c r="AA2269" s="47">
        <f>IF(H2ProjectDB689571011[[#This Row],[Dummy_1]]="Electrolysis",
AB2269*VLOOKUP(G2269,ElectrolysisConvF,3,FALSE),
"")</f>
        <v>331.29579036478373</v>
      </c>
      <c r="AB2269" s="46">
        <f t="shared" si="160"/>
        <v>73621.286747729726</v>
      </c>
      <c r="AC2269" s="92">
        <f>(300*0.191327)</f>
        <v>57.398099999999999</v>
      </c>
      <c r="AE2269" s="46">
        <f t="shared" si="159"/>
        <v>73621.286747729726</v>
      </c>
      <c r="AF2269" s="43" t="s">
        <v>8190</v>
      </c>
      <c r="AG2269" s="43">
        <v>45.311941677256101</v>
      </c>
      <c r="AH2269" s="43">
        <v>130.96342060926901</v>
      </c>
      <c r="AI2269" s="122" t="s">
        <v>7286</v>
      </c>
      <c r="AJ2269" s="41">
        <v>0.4</v>
      </c>
    </row>
    <row r="2270" spans="1:36" ht="35.1" hidden="1" customHeight="1" x14ac:dyDescent="0.25">
      <c r="A2270" s="40">
        <v>2985</v>
      </c>
      <c r="B2270" s="43" t="s">
        <v>8213</v>
      </c>
      <c r="C2270" s="40" t="s">
        <v>537</v>
      </c>
      <c r="D2270" s="44"/>
      <c r="E2270" s="44"/>
      <c r="F2270" s="40" t="s">
        <v>1331</v>
      </c>
      <c r="G2270" s="40" t="s">
        <v>1263</v>
      </c>
      <c r="K2270" s="40" t="s">
        <v>1242</v>
      </c>
      <c r="N2270" s="40">
        <v>1</v>
      </c>
      <c r="Q2270" s="40">
        <v>1</v>
      </c>
      <c r="Z2270" s="40" t="s">
        <v>8214</v>
      </c>
      <c r="AA2270" s="47" t="str">
        <f>IF(H2ProjectDB689571011[[#This Row],[Dummy_1]]="Electrolysis",
AB2270*VLOOKUP(G2270,ElectrolysisConvF,3,FALSE),
"")</f>
        <v/>
      </c>
      <c r="AB2270" s="46">
        <f t="shared" si="160"/>
        <v>36810.643373864863</v>
      </c>
      <c r="AC2270" s="92">
        <f>(150*0.191327)</f>
        <v>28.69905</v>
      </c>
      <c r="AE2270" s="46">
        <f t="shared" si="159"/>
        <v>36810.643373864863</v>
      </c>
      <c r="AF2270" s="43" t="s">
        <v>8216</v>
      </c>
      <c r="AG2270" s="43">
        <v>29.693029225896101</v>
      </c>
      <c r="AH2270" s="43">
        <v>115.651464337188</v>
      </c>
      <c r="AI2270" s="122" t="s">
        <v>1255</v>
      </c>
      <c r="AJ2270" s="41">
        <v>0.9</v>
      </c>
    </row>
    <row r="2271" spans="1:36" ht="35.1" hidden="1" customHeight="1" x14ac:dyDescent="0.25">
      <c r="A2271" s="40">
        <v>2986</v>
      </c>
      <c r="B2271" s="43" t="s">
        <v>8217</v>
      </c>
      <c r="C2271" s="40" t="s">
        <v>537</v>
      </c>
      <c r="D2271" s="44"/>
      <c r="E2271" s="44"/>
      <c r="F2271" s="40" t="s">
        <v>5701</v>
      </c>
      <c r="G2271" s="40" t="s">
        <v>1263</v>
      </c>
      <c r="K2271" s="40" t="s">
        <v>1242</v>
      </c>
      <c r="N2271" s="40">
        <v>1</v>
      </c>
      <c r="Z2271" s="40" t="s">
        <v>6868</v>
      </c>
      <c r="AA2271" s="47" t="str">
        <f>IF(H2ProjectDB689571011[[#This Row],[Dummy_1]]="Electrolysis",
AB2271*VLOOKUP(G2271,ElectrolysisConvF,3,FALSE),
"")</f>
        <v/>
      </c>
      <c r="AB2271" s="46">
        <f t="shared" si="160"/>
        <v>73621.286747729726</v>
      </c>
      <c r="AC2271" s="92">
        <f>(300*0.191327)</f>
        <v>57.398099999999999</v>
      </c>
      <c r="AE2271" s="46">
        <f t="shared" si="159"/>
        <v>73621.286747729726</v>
      </c>
      <c r="AF2271" s="43" t="s">
        <v>8219</v>
      </c>
      <c r="AG2271" s="43">
        <v>42.300327614555101</v>
      </c>
      <c r="AH2271" s="43">
        <v>118.905704345328</v>
      </c>
      <c r="AI2271" s="122" t="s">
        <v>1255</v>
      </c>
      <c r="AJ2271" s="41">
        <v>0.9</v>
      </c>
    </row>
    <row r="2272" spans="1:36" ht="35.1" hidden="1" customHeight="1" x14ac:dyDescent="0.25">
      <c r="A2272" s="40">
        <v>2987</v>
      </c>
      <c r="B2272" s="43" t="s">
        <v>8220</v>
      </c>
      <c r="C2272" s="40" t="s">
        <v>537</v>
      </c>
      <c r="D2272" s="44"/>
      <c r="E2272" s="44"/>
      <c r="F2272" s="40" t="s">
        <v>5701</v>
      </c>
      <c r="G2272" s="40" t="s">
        <v>1259</v>
      </c>
      <c r="H2272" s="40" t="s">
        <v>467</v>
      </c>
      <c r="I2272" s="40" t="s">
        <v>1269</v>
      </c>
      <c r="J2272" s="40" t="s">
        <v>1395</v>
      </c>
      <c r="K2272" s="40" t="s">
        <v>1268</v>
      </c>
      <c r="M2272" s="40">
        <v>1</v>
      </c>
      <c r="N2272" s="40">
        <v>1</v>
      </c>
      <c r="Z2272" s="40" t="s">
        <v>6868</v>
      </c>
      <c r="AA2272" s="47">
        <f>IF(H2ProjectDB689571011[[#This Row],[Dummy_1]]="Electrolysis",
AB2272*VLOOKUP(G2272,ElectrolysisConvF,3,FALSE),
"")</f>
        <v>331.29579036478373</v>
      </c>
      <c r="AB2272" s="46">
        <f t="shared" si="160"/>
        <v>73621.286747729726</v>
      </c>
      <c r="AC2272" s="92">
        <f>(300*0.191327)</f>
        <v>57.398099999999999</v>
      </c>
      <c r="AE2272" s="46">
        <f t="shared" si="159"/>
        <v>73621.286747729726</v>
      </c>
      <c r="AF2272" s="43" t="s">
        <v>8222</v>
      </c>
      <c r="AG2272" s="43">
        <v>43.657080269121003</v>
      </c>
      <c r="AH2272" s="43">
        <v>122.200916393583</v>
      </c>
      <c r="AI2272" s="122" t="s">
        <v>7286</v>
      </c>
      <c r="AJ2272" s="41">
        <v>0.5</v>
      </c>
    </row>
    <row r="2273" spans="1:36" ht="35.1" hidden="1" customHeight="1" x14ac:dyDescent="0.25">
      <c r="A2273" s="40">
        <v>2988</v>
      </c>
      <c r="B2273" s="40" t="s">
        <v>8223</v>
      </c>
      <c r="C2273" s="40" t="s">
        <v>537</v>
      </c>
      <c r="D2273" s="44">
        <v>2023</v>
      </c>
      <c r="E2273" s="44"/>
      <c r="F2273" s="40" t="s">
        <v>1339</v>
      </c>
      <c r="G2273" s="40" t="s">
        <v>1259</v>
      </c>
      <c r="H2273" s="40" t="s">
        <v>467</v>
      </c>
      <c r="I2273" s="40" t="s">
        <v>1257</v>
      </c>
      <c r="K2273" s="40" t="s">
        <v>1242</v>
      </c>
      <c r="N2273" s="40">
        <v>1</v>
      </c>
      <c r="Z2273" s="40" t="s">
        <v>7795</v>
      </c>
      <c r="AA2273" s="47">
        <f>IF(H2ProjectDB689571011[[#This Row],[Dummy_1]]="Electrolysis",
AB2273*VLOOKUP(G2273,ElectrolysisConvF,3,FALSE),
"")</f>
        <v>110.43193012159459</v>
      </c>
      <c r="AB2273" s="46">
        <f t="shared" si="160"/>
        <v>24540.42891590991</v>
      </c>
      <c r="AC2273" s="92">
        <f>(100*0.191327)</f>
        <v>19.1327</v>
      </c>
      <c r="AE2273" s="46">
        <f t="shared" si="159"/>
        <v>24540.42891590991</v>
      </c>
      <c r="AF2273" s="43" t="s">
        <v>8225</v>
      </c>
      <c r="AG2273" s="43">
        <v>34.620541603930199</v>
      </c>
      <c r="AH2273" s="43">
        <v>119.106890144275</v>
      </c>
      <c r="AI2273" s="122" t="s">
        <v>7286</v>
      </c>
      <c r="AJ2273" s="41">
        <v>0.56999999999999995</v>
      </c>
    </row>
    <row r="2274" spans="1:36" ht="35.1" hidden="1" customHeight="1" x14ac:dyDescent="0.25">
      <c r="A2274" s="40">
        <v>2989</v>
      </c>
      <c r="B2274" s="40" t="s">
        <v>8226</v>
      </c>
      <c r="C2274" s="40" t="s">
        <v>537</v>
      </c>
      <c r="D2274" s="44"/>
      <c r="E2274" s="44"/>
      <c r="F2274" s="40" t="s">
        <v>5701</v>
      </c>
      <c r="G2274" s="40" t="s">
        <v>1259</v>
      </c>
      <c r="H2274" s="40" t="s">
        <v>467</v>
      </c>
      <c r="I2274" s="40" t="s">
        <v>1257</v>
      </c>
      <c r="K2274" s="40" t="s">
        <v>1242</v>
      </c>
      <c r="N2274" s="40">
        <v>1</v>
      </c>
      <c r="Z2274" s="40" t="s">
        <v>7941</v>
      </c>
      <c r="AA2274" s="47">
        <f>IF(H2ProjectDB689571011[[#This Row],[Dummy_1]]="Electrolysis",
AB2274*VLOOKUP(G2274,ElectrolysisConvF,3,FALSE),
"")</f>
        <v>773.02351085116197</v>
      </c>
      <c r="AB2274" s="46">
        <f t="shared" si="160"/>
        <v>171783.00241136935</v>
      </c>
      <c r="AC2274" s="92">
        <f>(700*0.191327)</f>
        <v>133.9289</v>
      </c>
      <c r="AE2274" s="46">
        <f t="shared" si="159"/>
        <v>171783.00241136935</v>
      </c>
      <c r="AF2274" s="43" t="s">
        <v>8190</v>
      </c>
      <c r="AG2274" s="43">
        <v>39.517231850169701</v>
      </c>
      <c r="AH2274" s="43">
        <v>107.079938047575</v>
      </c>
      <c r="AI2274" s="122" t="s">
        <v>7286</v>
      </c>
      <c r="AJ2274" s="41">
        <v>0.56999999999999995</v>
      </c>
    </row>
    <row r="2275" spans="1:36" ht="35.1" hidden="1" customHeight="1" x14ac:dyDescent="0.25">
      <c r="A2275" s="40">
        <v>2990</v>
      </c>
      <c r="B2275" s="40" t="s">
        <v>8227</v>
      </c>
      <c r="C2275" s="40" t="s">
        <v>537</v>
      </c>
      <c r="F2275" s="40" t="s">
        <v>1540</v>
      </c>
      <c r="G2275" s="40" t="s">
        <v>1259</v>
      </c>
      <c r="H2275" s="40" t="s">
        <v>467</v>
      </c>
      <c r="I2275" s="40" t="s">
        <v>1269</v>
      </c>
      <c r="J2275" s="40" t="s">
        <v>1395</v>
      </c>
      <c r="K2275" s="40" t="s">
        <v>1243</v>
      </c>
      <c r="M2275" s="40">
        <v>1</v>
      </c>
      <c r="N2275" s="40">
        <v>1</v>
      </c>
      <c r="Z2275" s="40" t="s">
        <v>8228</v>
      </c>
      <c r="AA2275" s="47">
        <f>IF(H2ProjectDB689571011[[#This Row],[Dummy_1]]="Electrolysis",
AB2275*VLOOKUP(G2275,ElectrolysisConvF,3,FALSE),
"")</f>
        <v>361.11241149761429</v>
      </c>
      <c r="AB2275" s="46">
        <f t="shared" si="160"/>
        <v>80247.202555025404</v>
      </c>
      <c r="AC2275" s="92">
        <f>(327*0.191327)</f>
        <v>62.563929000000002</v>
      </c>
      <c r="AE2275" s="46">
        <f t="shared" si="159"/>
        <v>80247.202555025404</v>
      </c>
      <c r="AF2275" s="43" t="s">
        <v>8230</v>
      </c>
      <c r="AG2275" s="43">
        <v>45.146898549152901</v>
      </c>
      <c r="AH2275" s="43">
        <v>124.82884507520799</v>
      </c>
      <c r="AI2275" s="122" t="s">
        <v>7286</v>
      </c>
      <c r="AJ2275" s="41">
        <v>0.5</v>
      </c>
    </row>
    <row r="2276" spans="1:36" ht="35.1" hidden="1" customHeight="1" x14ac:dyDescent="0.25">
      <c r="A2276" s="40">
        <v>2991</v>
      </c>
      <c r="B2276" s="40" t="s">
        <v>8231</v>
      </c>
      <c r="C2276" s="40" t="s">
        <v>537</v>
      </c>
      <c r="D2276" s="44">
        <v>2024</v>
      </c>
      <c r="E2276" s="44"/>
      <c r="F2276" s="40" t="s">
        <v>1540</v>
      </c>
      <c r="G2276" s="40" t="s">
        <v>1259</v>
      </c>
      <c r="H2276" s="40" t="s">
        <v>467</v>
      </c>
      <c r="I2276" s="40" t="s">
        <v>1269</v>
      </c>
      <c r="J2276" s="40" t="s">
        <v>1392</v>
      </c>
      <c r="K2276" s="40" t="s">
        <v>1242</v>
      </c>
      <c r="N2276" s="40">
        <v>1</v>
      </c>
      <c r="Z2276" s="40" t="s">
        <v>7795</v>
      </c>
      <c r="AA2276" s="47">
        <f>IF(H2ProjectDB689571011[[#This Row],[Dummy_1]]="Electrolysis",
AB2276*VLOOKUP(G2276,ElectrolysisConvF,3,FALSE),
"")</f>
        <v>110.43193012159459</v>
      </c>
      <c r="AB2276" s="46">
        <f t="shared" si="160"/>
        <v>24540.42891590991</v>
      </c>
      <c r="AC2276" s="92">
        <f>(100*0.191327)</f>
        <v>19.1327</v>
      </c>
      <c r="AE2276" s="46">
        <f t="shared" si="159"/>
        <v>24540.42891590991</v>
      </c>
      <c r="AF2276" s="43" t="s">
        <v>8233</v>
      </c>
      <c r="AG2276" s="43">
        <v>42.281876808589899</v>
      </c>
      <c r="AH2276" s="43">
        <v>123.80896789254101</v>
      </c>
      <c r="AI2276" s="122" t="s">
        <v>7286</v>
      </c>
      <c r="AJ2276" s="41">
        <v>0.4</v>
      </c>
    </row>
    <row r="2277" spans="1:36" ht="35.1" hidden="1" customHeight="1" x14ac:dyDescent="0.25">
      <c r="A2277" s="40">
        <v>2992</v>
      </c>
      <c r="B2277" s="40" t="s">
        <v>8235</v>
      </c>
      <c r="C2277" s="40" t="s">
        <v>537</v>
      </c>
      <c r="D2277" s="44"/>
      <c r="E2277" s="44"/>
      <c r="F2277" s="40" t="s">
        <v>2222</v>
      </c>
      <c r="G2277" s="40" t="s">
        <v>1263</v>
      </c>
      <c r="K2277" s="40" t="s">
        <v>1242</v>
      </c>
      <c r="N2277" s="40">
        <v>1</v>
      </c>
      <c r="Z2277" s="40" t="s">
        <v>8214</v>
      </c>
      <c r="AA2277" s="47" t="str">
        <f>IF(H2ProjectDB689571011[[#This Row],[Dummy_1]]="Electrolysis",
AB2277*VLOOKUP(G2277,ElectrolysisConvF,3,FALSE),
"")</f>
        <v/>
      </c>
      <c r="AB2277" s="46">
        <f t="shared" si="160"/>
        <v>36810.643373864863</v>
      </c>
      <c r="AC2277" s="92">
        <f>(150*0.191327)</f>
        <v>28.69905</v>
      </c>
      <c r="AE2277" s="46">
        <f t="shared" si="159"/>
        <v>36810.643373864863</v>
      </c>
      <c r="AF2277" s="43" t="s">
        <v>8190</v>
      </c>
      <c r="AG2277" s="43">
        <v>21.4834298899254</v>
      </c>
      <c r="AH2277" s="43">
        <v>109.184310370403</v>
      </c>
      <c r="AI2277" s="122" t="s">
        <v>1255</v>
      </c>
      <c r="AJ2277" s="41">
        <v>0.9</v>
      </c>
    </row>
    <row r="2278" spans="1:36" ht="35.1" hidden="1" customHeight="1" x14ac:dyDescent="0.25">
      <c r="A2278" s="40">
        <v>2993</v>
      </c>
      <c r="B2278" s="40" t="s">
        <v>8236</v>
      </c>
      <c r="C2278" s="40" t="s">
        <v>537</v>
      </c>
      <c r="D2278" s="44"/>
      <c r="E2278" s="44"/>
      <c r="F2278" s="40" t="s">
        <v>1331</v>
      </c>
      <c r="G2278" s="40" t="s">
        <v>1259</v>
      </c>
      <c r="H2278" s="40" t="s">
        <v>467</v>
      </c>
      <c r="I2278" s="40" t="s">
        <v>1269</v>
      </c>
      <c r="J2278" s="40" t="s">
        <v>1395</v>
      </c>
      <c r="K2278" s="40" t="s">
        <v>1268</v>
      </c>
      <c r="M2278" s="40">
        <v>1</v>
      </c>
      <c r="N2278" s="40">
        <v>1</v>
      </c>
      <c r="Z2278" s="40" t="s">
        <v>8237</v>
      </c>
      <c r="AA2278" s="47">
        <f>IF(H2ProjectDB689571011[[#This Row],[Dummy_1]]="Electrolysis",
AB2278*VLOOKUP(G2278,ElectrolysisConvF,3,FALSE),
"")</f>
        <v>883.45544097275672</v>
      </c>
      <c r="AB2278" s="46">
        <f t="shared" si="160"/>
        <v>196323.43132727928</v>
      </c>
      <c r="AC2278" s="92">
        <f>(800*0.191327)</f>
        <v>153.0616</v>
      </c>
      <c r="AE2278" s="46">
        <f t="shared" si="159"/>
        <v>196323.43132727928</v>
      </c>
      <c r="AF2278" s="43" t="s">
        <v>8190</v>
      </c>
      <c r="AG2278" s="43">
        <v>46.428247314694701</v>
      </c>
      <c r="AH2278" s="43">
        <v>125.384251892132</v>
      </c>
      <c r="AI2278" s="122" t="s">
        <v>7286</v>
      </c>
      <c r="AJ2278" s="41">
        <v>0.5</v>
      </c>
    </row>
    <row r="2279" spans="1:36" ht="35.1" hidden="1" customHeight="1" x14ac:dyDescent="0.25">
      <c r="A2279" s="40">
        <v>2994</v>
      </c>
      <c r="B2279" s="40" t="s">
        <v>8238</v>
      </c>
      <c r="C2279" s="40" t="s">
        <v>537</v>
      </c>
      <c r="D2279" s="44"/>
      <c r="E2279" s="44"/>
      <c r="F2279" s="40" t="s">
        <v>1331</v>
      </c>
      <c r="G2279" s="40" t="s">
        <v>1259</v>
      </c>
      <c r="H2279" s="40" t="s">
        <v>467</v>
      </c>
      <c r="I2279" s="40" t="s">
        <v>1269</v>
      </c>
      <c r="J2279" s="40" t="s">
        <v>1392</v>
      </c>
      <c r="K2279" s="40" t="s">
        <v>1242</v>
      </c>
      <c r="N2279" s="40">
        <v>1</v>
      </c>
      <c r="O2279" s="150"/>
      <c r="Z2279" s="40" t="s">
        <v>7797</v>
      </c>
      <c r="AA2279" s="47">
        <f>IF(H2ProjectDB689571011[[#This Row],[Dummy_1]]="Electrolysis",
AB2279*VLOOKUP(G2279,ElectrolysisConvF,3,FALSE),
"")</f>
        <v>220.86386024318918</v>
      </c>
      <c r="AB2279" s="46">
        <f t="shared" si="160"/>
        <v>49080.85783181982</v>
      </c>
      <c r="AC2279" s="92">
        <f>(200*0.191327)</f>
        <v>38.2654</v>
      </c>
      <c r="AE2279" s="46">
        <f t="shared" si="159"/>
        <v>49080.85783181982</v>
      </c>
      <c r="AF2279" s="43" t="s">
        <v>8190</v>
      </c>
      <c r="AG2279" s="43">
        <v>46.477058165745497</v>
      </c>
      <c r="AH2279" s="43">
        <v>121.984937612463</v>
      </c>
      <c r="AI2279" s="122" t="s">
        <v>7286</v>
      </c>
      <c r="AJ2279" s="41">
        <v>0.4</v>
      </c>
    </row>
    <row r="2280" spans="1:36" ht="35.1" hidden="1" customHeight="1" x14ac:dyDescent="0.25">
      <c r="A2280" s="40">
        <v>2995</v>
      </c>
      <c r="B2280" s="40" t="s">
        <v>8239</v>
      </c>
      <c r="C2280" s="40" t="s">
        <v>537</v>
      </c>
      <c r="D2280" s="44"/>
      <c r="E2280" s="44"/>
      <c r="F2280" s="40" t="s">
        <v>1331</v>
      </c>
      <c r="G2280" s="40" t="s">
        <v>1259</v>
      </c>
      <c r="H2280" s="40" t="s">
        <v>467</v>
      </c>
      <c r="I2280" s="40" t="s">
        <v>1269</v>
      </c>
      <c r="J2280" s="40" t="s">
        <v>1395</v>
      </c>
      <c r="K2280" s="40" t="s">
        <v>1242</v>
      </c>
      <c r="N2280" s="40">
        <v>1</v>
      </c>
      <c r="Z2280" s="40" t="s">
        <v>8205</v>
      </c>
      <c r="AA2280" s="47">
        <f>IF(H2ProjectDB689571011[[#This Row],[Dummy_1]]="Electrolysis",
AB2280*VLOOKUP(G2280,ElectrolysisConvF,3,FALSE),
"")</f>
        <v>1104.3193012159459</v>
      </c>
      <c r="AB2280" s="46">
        <f t="shared" si="160"/>
        <v>245404.28915909908</v>
      </c>
      <c r="AC2280" s="92">
        <f>(1000*0.191327)</f>
        <v>191.327</v>
      </c>
      <c r="AE2280" s="46">
        <f t="shared" si="159"/>
        <v>245404.28915909908</v>
      </c>
      <c r="AF2280" s="43" t="s">
        <v>8190</v>
      </c>
      <c r="AG2280" s="43">
        <v>42.281876808589899</v>
      </c>
      <c r="AH2280" s="43">
        <v>123.80896789254101</v>
      </c>
      <c r="AI2280" s="122" t="s">
        <v>7286</v>
      </c>
      <c r="AJ2280" s="41">
        <v>0.5</v>
      </c>
    </row>
    <row r="2281" spans="1:36" ht="35.1" hidden="1" customHeight="1" x14ac:dyDescent="0.25">
      <c r="A2281" s="40">
        <v>2996</v>
      </c>
      <c r="B2281" s="40" t="s">
        <v>8240</v>
      </c>
      <c r="C2281" s="40" t="s">
        <v>537</v>
      </c>
      <c r="F2281" s="40" t="s">
        <v>1331</v>
      </c>
      <c r="G2281" s="40" t="s">
        <v>1259</v>
      </c>
      <c r="H2281" s="40" t="s">
        <v>467</v>
      </c>
      <c r="I2281" s="40" t="s">
        <v>1257</v>
      </c>
      <c r="K2281" s="40" t="s">
        <v>1242</v>
      </c>
      <c r="N2281" s="40">
        <v>1</v>
      </c>
      <c r="Z2281" s="40" t="s">
        <v>8205</v>
      </c>
      <c r="AA2281" s="47">
        <f>IF(H2ProjectDB689571011[[#This Row],[Dummy_1]]="Electrolysis",
AB2281*VLOOKUP(G2281,ElectrolysisConvF,3,FALSE),
"")</f>
        <v>1104.3193012159459</v>
      </c>
      <c r="AB2281" s="46">
        <f t="shared" si="160"/>
        <v>245404.28915909908</v>
      </c>
      <c r="AC2281" s="92">
        <f>(1000*0.191327)</f>
        <v>191.327</v>
      </c>
      <c r="AE2281" s="46">
        <f t="shared" si="159"/>
        <v>245404.28915909908</v>
      </c>
      <c r="AF2281" s="43" t="s">
        <v>8190</v>
      </c>
      <c r="AG2281" s="43">
        <v>33.365322376145699</v>
      </c>
      <c r="AH2281" s="43">
        <v>120.17908069945101</v>
      </c>
      <c r="AI2281" s="122" t="s">
        <v>7286</v>
      </c>
      <c r="AJ2281" s="41">
        <v>0.56999999999999995</v>
      </c>
    </row>
    <row r="2282" spans="1:36" ht="35.1" hidden="1" customHeight="1" x14ac:dyDescent="0.25">
      <c r="A2282" s="40">
        <v>2997</v>
      </c>
      <c r="B2282" s="40" t="s">
        <v>8241</v>
      </c>
      <c r="C2282" s="40" t="s">
        <v>537</v>
      </c>
      <c r="F2282" s="40" t="s">
        <v>1331</v>
      </c>
      <c r="G2282" s="40" t="s">
        <v>1259</v>
      </c>
      <c r="H2282" s="40" t="s">
        <v>467</v>
      </c>
      <c r="I2282" s="40" t="s">
        <v>1257</v>
      </c>
      <c r="K2282" s="40" t="s">
        <v>1242</v>
      </c>
      <c r="N2282" s="40">
        <v>1</v>
      </c>
      <c r="Z2282" s="40" t="s">
        <v>7797</v>
      </c>
      <c r="AA2282" s="47">
        <f>IF(H2ProjectDB689571011[[#This Row],[Dummy_1]]="Electrolysis",
AB2282*VLOOKUP(G2282,ElectrolysisConvF,3,FALSE),
"")</f>
        <v>220.86386024318918</v>
      </c>
      <c r="AB2282" s="46">
        <f t="shared" si="160"/>
        <v>49080.85783181982</v>
      </c>
      <c r="AC2282" s="92">
        <f>(200*0.191327)</f>
        <v>38.2654</v>
      </c>
      <c r="AE2282" s="46">
        <f t="shared" si="159"/>
        <v>49080.85783181982</v>
      </c>
      <c r="AF2282" s="43" t="s">
        <v>8190</v>
      </c>
      <c r="AG2282" s="43">
        <v>44.015822734303597</v>
      </c>
      <c r="AH2282" s="43">
        <v>116.01121261231</v>
      </c>
      <c r="AI2282" s="122" t="s">
        <v>7286</v>
      </c>
      <c r="AJ2282" s="41">
        <v>0.56999999999999995</v>
      </c>
    </row>
    <row r="2283" spans="1:36" ht="35.1" hidden="1" customHeight="1" x14ac:dyDescent="0.25">
      <c r="A2283" s="40">
        <v>2998</v>
      </c>
      <c r="B2283" s="40" t="s">
        <v>8242</v>
      </c>
      <c r="C2283" s="40" t="s">
        <v>537</v>
      </c>
      <c r="F2283" s="40" t="s">
        <v>1331</v>
      </c>
      <c r="G2283" s="40" t="s">
        <v>1259</v>
      </c>
      <c r="H2283" s="40" t="s">
        <v>467</v>
      </c>
      <c r="I2283" s="40" t="s">
        <v>1269</v>
      </c>
      <c r="J2283" s="40" t="s">
        <v>1392</v>
      </c>
      <c r="K2283" s="40" t="s">
        <v>1242</v>
      </c>
      <c r="N2283" s="40">
        <v>1</v>
      </c>
      <c r="Z2283" s="40" t="s">
        <v>6868</v>
      </c>
      <c r="AA2283" s="47">
        <f>IF(H2ProjectDB689571011[[#This Row],[Dummy_1]]="Electrolysis",
AB2283*VLOOKUP(G2283,ElectrolysisConvF,3,FALSE),
"")</f>
        <v>331.29579036478373</v>
      </c>
      <c r="AB2283" s="46">
        <f t="shared" si="160"/>
        <v>73621.286747729726</v>
      </c>
      <c r="AC2283" s="92">
        <f>(300*0.191327)</f>
        <v>57.398099999999999</v>
      </c>
      <c r="AE2283" s="46">
        <f t="shared" si="159"/>
        <v>73621.286747729726</v>
      </c>
      <c r="AF2283" s="43" t="s">
        <v>8244</v>
      </c>
      <c r="AG2283" s="43">
        <v>35.999181994752398</v>
      </c>
      <c r="AH2283" s="43">
        <v>118.172747647449</v>
      </c>
      <c r="AI2283" s="122" t="s">
        <v>7286</v>
      </c>
      <c r="AJ2283" s="41">
        <v>0.4</v>
      </c>
    </row>
    <row r="2284" spans="1:36" ht="35.1" hidden="1" customHeight="1" x14ac:dyDescent="0.25">
      <c r="A2284" s="40">
        <v>2999</v>
      </c>
      <c r="B2284" s="40" t="s">
        <v>8245</v>
      </c>
      <c r="C2284" s="40" t="s">
        <v>537</v>
      </c>
      <c r="F2284" s="40" t="s">
        <v>1331</v>
      </c>
      <c r="G2284" s="40" t="s">
        <v>1255</v>
      </c>
      <c r="K2284" s="40" t="s">
        <v>1242</v>
      </c>
      <c r="N2284" s="40">
        <v>1</v>
      </c>
      <c r="Z2284" s="40" t="s">
        <v>7797</v>
      </c>
      <c r="AA2284" s="47" t="str">
        <f>IF(H2ProjectDB689571011[[#This Row],[Dummy_1]]="Electrolysis",
AB2284*VLOOKUP(G2284,ElectrolysisConvF,3,FALSE),
"")</f>
        <v/>
      </c>
      <c r="AB2284" s="46">
        <f t="shared" si="160"/>
        <v>49080.85783181982</v>
      </c>
      <c r="AC2284" s="92">
        <f>(200*0.191327)</f>
        <v>38.2654</v>
      </c>
      <c r="AE2284" s="46">
        <f t="shared" si="159"/>
        <v>49080.85783181982</v>
      </c>
      <c r="AF2284" s="43" t="s">
        <v>8190</v>
      </c>
      <c r="AG2284" s="43">
        <v>43.184681511690897</v>
      </c>
      <c r="AH2284" s="43">
        <v>124.43574624517299</v>
      </c>
      <c r="AI2284" s="122" t="s">
        <v>1255</v>
      </c>
      <c r="AJ2284" s="41">
        <v>0.9</v>
      </c>
    </row>
    <row r="2285" spans="1:36" ht="35.1" hidden="1" customHeight="1" x14ac:dyDescent="0.25">
      <c r="A2285" s="40">
        <v>3000</v>
      </c>
      <c r="B2285" s="40" t="s">
        <v>8257</v>
      </c>
      <c r="C2285" s="40" t="s">
        <v>537</v>
      </c>
      <c r="F2285" s="40" t="s">
        <v>1331</v>
      </c>
      <c r="G2285" s="40" t="s">
        <v>1259</v>
      </c>
      <c r="H2285" s="40" t="s">
        <v>467</v>
      </c>
      <c r="I2285" s="40" t="s">
        <v>1266</v>
      </c>
      <c r="J2285" s="40" t="str">
        <f>IF(I2285&lt;&gt;"Dedicated renewable","N/A",)</f>
        <v>N/A</v>
      </c>
      <c r="K2285" s="40" t="s">
        <v>1242</v>
      </c>
      <c r="N2285" s="40">
        <v>1</v>
      </c>
      <c r="Z2285" s="40" t="s">
        <v>7796</v>
      </c>
      <c r="AA2285" s="47">
        <f>IF(H2ProjectDB689571011[[#This Row],[Dummy_1]]="Electrolysis",
AB2285*VLOOKUP(G2285,ElectrolysisConvF,3,FALSE),
"")</f>
        <v>441.72772048637836</v>
      </c>
      <c r="AB2285" s="46">
        <f t="shared" si="160"/>
        <v>98161.715663639639</v>
      </c>
      <c r="AC2285" s="92">
        <f>(400*0.191327)</f>
        <v>76.530799999999999</v>
      </c>
      <c r="AE2285" s="46">
        <f t="shared" si="159"/>
        <v>98161.715663639639</v>
      </c>
      <c r="AF2285" s="43" t="s">
        <v>8190</v>
      </c>
      <c r="AG2285" s="43">
        <v>45.146898549152901</v>
      </c>
      <c r="AH2285" s="43">
        <v>124.82884507520799</v>
      </c>
      <c r="AI2285" s="122" t="s">
        <v>7286</v>
      </c>
      <c r="AJ2285" s="41">
        <v>0.56999999999999995</v>
      </c>
    </row>
    <row r="2286" spans="1:36" ht="35.1" hidden="1" customHeight="1" x14ac:dyDescent="0.25">
      <c r="A2286" s="40">
        <v>3001</v>
      </c>
      <c r="B2286" s="40" t="s">
        <v>8248</v>
      </c>
      <c r="C2286" s="40" t="s">
        <v>537</v>
      </c>
      <c r="F2286" s="87" t="s">
        <v>1331</v>
      </c>
      <c r="G2286" s="87" t="s">
        <v>1259</v>
      </c>
      <c r="H2286" s="87" t="s">
        <v>467</v>
      </c>
      <c r="I2286" s="87" t="s">
        <v>1257</v>
      </c>
      <c r="J2286" s="40" t="str">
        <f>IF(I2286&lt;&gt;"Dedicated renewable","N/A",)</f>
        <v>N/A</v>
      </c>
      <c r="K2286" s="40" t="s">
        <v>1242</v>
      </c>
      <c r="N2286" s="40">
        <v>1</v>
      </c>
      <c r="Z2286" s="87" t="s">
        <v>8214</v>
      </c>
      <c r="AA2286" s="47">
        <f>IF(H2ProjectDB689571011[[#This Row],[Dummy_1]]="Electrolysis",
AB2286*VLOOKUP(G2286,ElectrolysisConvF,3,FALSE),
"")</f>
        <v>165.64789518239186</v>
      </c>
      <c r="AB2286" s="46">
        <f t="shared" si="160"/>
        <v>36810.643373864863</v>
      </c>
      <c r="AC2286" s="92">
        <f>(150*0.191327)</f>
        <v>28.69905</v>
      </c>
      <c r="AE2286" s="46">
        <f t="shared" si="159"/>
        <v>36810.643373864863</v>
      </c>
      <c r="AF2286" s="43" t="s">
        <v>8190</v>
      </c>
      <c r="AG2286" s="43">
        <v>44.861837271683598</v>
      </c>
      <c r="AH2286" s="43">
        <v>126.567507725282</v>
      </c>
      <c r="AI2286" s="122" t="s">
        <v>7286</v>
      </c>
      <c r="AJ2286" s="41">
        <v>0.56999999999999995</v>
      </c>
    </row>
    <row r="2287" spans="1:36" ht="35.1" customHeight="1" x14ac:dyDescent="0.25">
      <c r="A2287" s="40">
        <v>3002</v>
      </c>
      <c r="B2287" s="40" t="s">
        <v>8274</v>
      </c>
      <c r="C2287" s="40" t="s">
        <v>1052</v>
      </c>
      <c r="D2287" s="151"/>
      <c r="E2287" s="151"/>
      <c r="F2287" s="40" t="s">
        <v>2222</v>
      </c>
      <c r="G2287" s="40" t="s">
        <v>1259</v>
      </c>
      <c r="H2287" s="40" t="s">
        <v>467</v>
      </c>
      <c r="I2287" s="40" t="s">
        <v>1269</v>
      </c>
      <c r="J2287" s="40" t="s">
        <v>1393</v>
      </c>
      <c r="K2287" s="40" t="s">
        <v>1243</v>
      </c>
      <c r="M2287" s="40">
        <v>1</v>
      </c>
      <c r="Z2287" s="40" t="s">
        <v>8275</v>
      </c>
      <c r="AA2287" s="47">
        <f>IF(H2ProjectDB689571011[[#This Row],[Dummy_1]]="Electrolysis",
AB2287*VLOOKUP(G2287,ElectrolysisConvF,3,FALSE),
"")</f>
        <v>754.38663998768652</v>
      </c>
      <c r="AB2287" s="46">
        <f t="shared" si="160"/>
        <v>167641.47555281923</v>
      </c>
      <c r="AC2287" s="47">
        <f>305-AC785</f>
        <v>130.69999999999999</v>
      </c>
      <c r="AE2287" s="46">
        <f t="shared" si="159"/>
        <v>167641.47555281923</v>
      </c>
      <c r="AF2287" s="43" t="s">
        <v>8279</v>
      </c>
      <c r="AG2287" s="43">
        <v>-3.54515</v>
      </c>
      <c r="AH2287" s="43">
        <v>-38.813220000000001</v>
      </c>
      <c r="AI2287" s="122" t="s">
        <v>7286</v>
      </c>
      <c r="AJ2287" s="41">
        <v>0.55000000000000004</v>
      </c>
    </row>
    <row r="2288" spans="1:36" ht="35.1" customHeight="1" x14ac:dyDescent="0.25">
      <c r="A2288" s="40">
        <v>3003</v>
      </c>
      <c r="B2288" s="40" t="s">
        <v>8266</v>
      </c>
      <c r="C2288" s="40" t="s">
        <v>1052</v>
      </c>
      <c r="D2288" s="44">
        <v>2023</v>
      </c>
      <c r="E2288" s="44"/>
      <c r="F2288" s="40" t="s">
        <v>1540</v>
      </c>
      <c r="G2288" s="40" t="s">
        <v>3239</v>
      </c>
      <c r="I2288" s="40" t="s">
        <v>1266</v>
      </c>
      <c r="K2288" s="40" t="s">
        <v>1268</v>
      </c>
      <c r="Q2288" s="40">
        <v>1</v>
      </c>
      <c r="Z2288" s="40" t="s">
        <v>8269</v>
      </c>
      <c r="AA2288" s="144">
        <f>IF(H2ProjectDB689571011[[#This Row],[Dummy_1]]="Electrolysis",
AB2288*VLOOKUP(G2288,ElectrolysisConvF,3,FALSE),
"")</f>
        <v>1.7315684161920884E-2</v>
      </c>
      <c r="AB2288" s="145">
        <f t="shared" si="160"/>
        <v>3.8479298137601972</v>
      </c>
      <c r="AC2288" s="145">
        <f>0.003</f>
        <v>3.0000000000000001E-3</v>
      </c>
      <c r="AE2288" s="46">
        <f t="shared" si="159"/>
        <v>3.8479298137601972</v>
      </c>
      <c r="AF2288" s="43" t="s">
        <v>8357</v>
      </c>
      <c r="AG2288" s="43">
        <v>-22.8623464</v>
      </c>
      <c r="AH2288" s="43">
        <v>-43.228980700000001</v>
      </c>
      <c r="AI2288" s="122" t="s">
        <v>7286</v>
      </c>
      <c r="AJ2288" s="41">
        <v>0.56999999999999995</v>
      </c>
    </row>
    <row r="2289" spans="1:36" ht="35.1" customHeight="1" x14ac:dyDescent="0.25">
      <c r="A2289" s="40">
        <v>3004</v>
      </c>
      <c r="B2289" s="40" t="s">
        <v>8267</v>
      </c>
      <c r="C2289" s="40" t="s">
        <v>1052</v>
      </c>
      <c r="D2289" s="44">
        <v>2027</v>
      </c>
      <c r="E2289" s="44"/>
      <c r="F2289" s="40" t="s">
        <v>1331</v>
      </c>
      <c r="G2289" s="40" t="s">
        <v>1259</v>
      </c>
      <c r="H2289" s="40" t="s">
        <v>467</v>
      </c>
      <c r="I2289" s="40" t="s">
        <v>1257</v>
      </c>
      <c r="K2289" s="40" t="s">
        <v>578</v>
      </c>
      <c r="M2289" s="40">
        <v>1</v>
      </c>
      <c r="Z2289" s="40" t="s">
        <v>8270</v>
      </c>
      <c r="AA2289" s="144">
        <f>IF(H2ProjectDB689571011[[#This Row],[Dummy_1]]="Electrolysis",
AB2289*VLOOKUP(G2289,ElectrolysisConvF,3,FALSE),
"")</f>
        <v>242.41957826689239</v>
      </c>
      <c r="AB2289" s="145">
        <f t="shared" si="160"/>
        <v>53871.01739264276</v>
      </c>
      <c r="AC2289" s="145">
        <f>42</f>
        <v>42</v>
      </c>
      <c r="AE2289" s="46">
        <f t="shared" si="159"/>
        <v>53871.01739264276</v>
      </c>
      <c r="AF2289" s="43" t="s">
        <v>8360</v>
      </c>
      <c r="AG2289" s="43">
        <v>-3.53092803394662</v>
      </c>
      <c r="AH2289" s="43">
        <v>-38.792377458297302</v>
      </c>
      <c r="AI2289" s="122" t="s">
        <v>7286</v>
      </c>
      <c r="AJ2289" s="41">
        <v>0.56999999999999995</v>
      </c>
    </row>
    <row r="2290" spans="1:36" ht="35.1" hidden="1" customHeight="1" x14ac:dyDescent="0.25">
      <c r="A2290" s="40">
        <v>3005</v>
      </c>
      <c r="B2290" s="40" t="s">
        <v>8282</v>
      </c>
      <c r="C2290" s="40" t="s">
        <v>530</v>
      </c>
      <c r="D2290" s="44">
        <v>2026</v>
      </c>
      <c r="E2290" s="44"/>
      <c r="F2290" s="40" t="s">
        <v>5701</v>
      </c>
      <c r="G2290" s="40" t="s">
        <v>1259</v>
      </c>
      <c r="H2290" s="40" t="s">
        <v>467</v>
      </c>
      <c r="I2290" s="40" t="s">
        <v>1257</v>
      </c>
      <c r="K2290" s="40" t="s">
        <v>578</v>
      </c>
      <c r="O2290" s="40">
        <v>1</v>
      </c>
      <c r="AF2290" s="43" t="s">
        <v>8281</v>
      </c>
      <c r="AG2290" s="43">
        <v>49.320199101003503</v>
      </c>
      <c r="AH2290" s="43">
        <v>6.1126843900431203</v>
      </c>
      <c r="AI2290" s="122" t="s">
        <v>7286</v>
      </c>
      <c r="AJ2290" s="41">
        <v>0.56999999999999995</v>
      </c>
    </row>
    <row r="2291" spans="1:36" ht="35.1" hidden="1" customHeight="1" x14ac:dyDescent="0.25">
      <c r="A2291" s="40">
        <v>3006</v>
      </c>
      <c r="B2291" s="40" t="s">
        <v>8291</v>
      </c>
      <c r="C2291" s="40" t="s">
        <v>1764</v>
      </c>
      <c r="D2291" s="44">
        <v>2026</v>
      </c>
      <c r="E2291" s="44"/>
      <c r="F2291" s="40" t="s">
        <v>1331</v>
      </c>
      <c r="G2291" s="40" t="s">
        <v>1259</v>
      </c>
      <c r="H2291" s="40" t="s">
        <v>467</v>
      </c>
      <c r="I2291" s="40" t="s">
        <v>1269</v>
      </c>
      <c r="J2291" s="40" t="s">
        <v>1391</v>
      </c>
      <c r="K2291" s="40" t="s">
        <v>578</v>
      </c>
      <c r="Q2291" s="40">
        <v>1</v>
      </c>
      <c r="Z2291" s="40" t="s">
        <v>8288</v>
      </c>
      <c r="AA2291" s="144">
        <f>IF(H2ProjectDB689571011[[#This Row],[Dummy_1]]="Electrolysis",
AB2291*VLOOKUP(G2290,ElectrolysisConvF,3,FALSE),
"")</f>
        <v>15.622595043866403</v>
      </c>
      <c r="AB2291" s="145">
        <f>AC2291/(H2dens*HoursInYear/10^6)</f>
        <v>3471.6877875258674</v>
      </c>
      <c r="AC2291" s="145">
        <f>0.812/H2ProjectDB689571011[[#This Row],[LOWE_CF]]</f>
        <v>2.706666666666667</v>
      </c>
      <c r="AE2291" s="46">
        <f t="shared" ref="AE2291:AE2313" si="161">IF(AND(G2291&lt;&gt;"NG w CCUS",G2291&lt;&gt;"Oil w CCUS",G2291&lt;&gt;"Coal w CCUS"),AB2291,AD2291*10^3/(HoursInYear*IF(G2291="NG w CCUS",0.9105,1.9075)))</f>
        <v>3471.6877875258674</v>
      </c>
      <c r="AF2291" s="43" t="s">
        <v>8290</v>
      </c>
      <c r="AG2291" s="43">
        <v>37.387980567721499</v>
      </c>
      <c r="AH2291" s="43">
        <v>-6.6061331657576403</v>
      </c>
      <c r="AI2291" s="122" t="s">
        <v>7286</v>
      </c>
      <c r="AJ2291" s="41">
        <v>0.3</v>
      </c>
    </row>
    <row r="2292" spans="1:36" ht="35.1" hidden="1" customHeight="1" x14ac:dyDescent="0.25">
      <c r="A2292" s="40">
        <v>3007</v>
      </c>
      <c r="B2292" s="40" t="s">
        <v>8292</v>
      </c>
      <c r="C2292" s="40" t="s">
        <v>546</v>
      </c>
      <c r="D2292" s="44">
        <v>2028</v>
      </c>
      <c r="E2292" s="44"/>
      <c r="F2292" s="40" t="s">
        <v>1331</v>
      </c>
      <c r="G2292" s="40" t="s">
        <v>1259</v>
      </c>
      <c r="H2292" s="40" t="s">
        <v>467</v>
      </c>
      <c r="I2292" s="40" t="s">
        <v>1269</v>
      </c>
      <c r="J2292" s="40" t="s">
        <v>1393</v>
      </c>
      <c r="K2292" s="40" t="s">
        <v>578</v>
      </c>
      <c r="L2292" s="40">
        <v>1</v>
      </c>
      <c r="Z2292" s="40" t="s">
        <v>8293</v>
      </c>
      <c r="AA2292" s="45">
        <v>350</v>
      </c>
      <c r="AB2292" s="46">
        <f>IF(H2ProjectDB689571011[[#This Row],[Dummy_1]]="Electrolysis",
AA2292/VLOOKUP(G2292,ElectrolysisConvF,3,FALSE),
AC2292*10^6/(H2dens*HoursInYear))</f>
        <v>77777.777777777781</v>
      </c>
      <c r="AC2292" s="46">
        <f>AB2292*H2dens*HoursInYear/10^6</f>
        <v>60.638666666666673</v>
      </c>
      <c r="AE2292" s="46">
        <f t="shared" si="161"/>
        <v>77777.777777777781</v>
      </c>
      <c r="AG2292" s="43">
        <v>53.268266493559501</v>
      </c>
      <c r="AH2292" s="43">
        <v>4.5897736549329897</v>
      </c>
      <c r="AI2292" s="122" t="s">
        <v>7286</v>
      </c>
      <c r="AJ2292" s="41">
        <v>0.55000000000000004</v>
      </c>
    </row>
    <row r="2293" spans="1:36" ht="35.1" hidden="1" customHeight="1" x14ac:dyDescent="0.25">
      <c r="A2293" s="40">
        <v>3008</v>
      </c>
      <c r="B2293" s="40" t="s">
        <v>8294</v>
      </c>
      <c r="C2293" s="40" t="s">
        <v>533</v>
      </c>
      <c r="D2293" s="44"/>
      <c r="E2293" s="44"/>
      <c r="F2293" s="90" t="s">
        <v>1331</v>
      </c>
      <c r="G2293" s="90" t="s">
        <v>1259</v>
      </c>
      <c r="H2293" s="40" t="s">
        <v>467</v>
      </c>
      <c r="I2293" s="40" t="s">
        <v>1269</v>
      </c>
      <c r="J2293" s="40" t="s">
        <v>1392</v>
      </c>
      <c r="K2293" s="40" t="s">
        <v>578</v>
      </c>
      <c r="L2293" s="40">
        <v>1</v>
      </c>
      <c r="Z2293" s="40" t="s">
        <v>8295</v>
      </c>
      <c r="AA2293" s="47">
        <f>IF(H2ProjectDB689571011[[#This Row],[Dummy_1]]="Electrolysis",
AB2293*VLOOKUP(G2293,ElectrolysisConvF,3,FALSE),
"")</f>
        <v>1442.9736801600739</v>
      </c>
      <c r="AB2293" s="46">
        <f>AC2293/(H2dens*HoursInYear/10^6)</f>
        <v>320660.81781334977</v>
      </c>
      <c r="AC2293" s="92">
        <f>100/H2ProjectDB689571011[[#This Row],[LOWE_CF]]</f>
        <v>250</v>
      </c>
      <c r="AE2293" s="46">
        <f t="shared" si="161"/>
        <v>320660.81781334977</v>
      </c>
      <c r="AF2293" s="43" t="s">
        <v>8297</v>
      </c>
      <c r="AG2293" s="43">
        <v>47.425092728061998</v>
      </c>
      <c r="AH2293" s="43">
        <v>-53.625449765347597</v>
      </c>
      <c r="AI2293" s="122" t="s">
        <v>7286</v>
      </c>
      <c r="AJ2293" s="41">
        <v>0.4</v>
      </c>
    </row>
    <row r="2294" spans="1:36" ht="35.1" hidden="1" customHeight="1" x14ac:dyDescent="0.25">
      <c r="A2294" s="40">
        <v>3009</v>
      </c>
      <c r="B2294" s="40" t="s">
        <v>8299</v>
      </c>
      <c r="C2294" s="40" t="s">
        <v>1761</v>
      </c>
      <c r="D2294" s="44">
        <v>2027</v>
      </c>
      <c r="E2294" s="44"/>
      <c r="F2294" s="40" t="s">
        <v>1331</v>
      </c>
      <c r="G2294" s="40" t="s">
        <v>455</v>
      </c>
      <c r="I2294" s="40" t="s">
        <v>5700</v>
      </c>
      <c r="K2294" s="40" t="s">
        <v>578</v>
      </c>
      <c r="L2294" s="40">
        <v>1</v>
      </c>
      <c r="Z2294" s="40" t="s">
        <v>8301</v>
      </c>
      <c r="AA2294" s="45">
        <f>310-AA1276</f>
        <v>210</v>
      </c>
      <c r="AB2294" s="46">
        <f>IF(H2ProjectDB689571011[[#This Row],[Dummy_1]]="Electrolysis",
AA2294/VLOOKUP(G2294,ElectrolysisConvF,3,FALSE),
AC2294*10^6/(H2dens*HoursInYear))</f>
        <v>40384.615384615383</v>
      </c>
      <c r="AC2294" s="47">
        <f>AB2294*H2dens*HoursInYear/10^6</f>
        <v>31.485461538461536</v>
      </c>
      <c r="AE2294" s="46">
        <f t="shared" si="161"/>
        <v>40384.615384615383</v>
      </c>
      <c r="AG2294" s="43">
        <v>37.964032515161797</v>
      </c>
      <c r="AH2294" s="43">
        <v>-8.8101578875968602</v>
      </c>
      <c r="AI2294" s="122" t="s">
        <v>7286</v>
      </c>
      <c r="AJ2294" s="41">
        <v>0.7</v>
      </c>
    </row>
    <row r="2295" spans="1:36" ht="35.1" hidden="1" customHeight="1" x14ac:dyDescent="0.25">
      <c r="A2295" s="40">
        <v>3010</v>
      </c>
      <c r="B2295" s="40" t="s">
        <v>8300</v>
      </c>
      <c r="C2295" s="40" t="s">
        <v>1761</v>
      </c>
      <c r="D2295" s="44">
        <v>2029</v>
      </c>
      <c r="E2295" s="44"/>
      <c r="F2295" s="40" t="s">
        <v>2222</v>
      </c>
      <c r="G2295" s="40" t="s">
        <v>455</v>
      </c>
      <c r="I2295" s="40" t="s">
        <v>5700</v>
      </c>
      <c r="K2295" s="40" t="s">
        <v>578</v>
      </c>
      <c r="L2295" s="40">
        <v>1</v>
      </c>
      <c r="Z2295" s="40" t="s">
        <v>8302</v>
      </c>
      <c r="AA2295" s="45">
        <f>510-AA2294-AA1276</f>
        <v>200</v>
      </c>
      <c r="AB2295" s="46">
        <f>IF(H2ProjectDB689571011[[#This Row],[Dummy_1]]="Electrolysis",
AA2295/VLOOKUP(G2295,ElectrolysisConvF,3,FALSE),
AC2295*10^6/(H2dens*HoursInYear))</f>
        <v>38461.538461538461</v>
      </c>
      <c r="AC2295" s="47">
        <f>AB2295*H2dens*HoursInYear/10^6</f>
        <v>29.986153846153844</v>
      </c>
      <c r="AE2295" s="46">
        <f t="shared" si="161"/>
        <v>38461.538461538461</v>
      </c>
      <c r="AG2295" s="43">
        <v>37.964032515161797</v>
      </c>
      <c r="AH2295" s="43">
        <v>-8.8101578875968602</v>
      </c>
      <c r="AI2295" s="122" t="s">
        <v>7286</v>
      </c>
      <c r="AJ2295" s="41">
        <v>0.7</v>
      </c>
    </row>
    <row r="2296" spans="1:36" ht="35.1" hidden="1" customHeight="1" x14ac:dyDescent="0.25">
      <c r="A2296" s="40">
        <v>3011</v>
      </c>
      <c r="B2296" s="43" t="s">
        <v>8304</v>
      </c>
      <c r="C2296" s="40" t="s">
        <v>537</v>
      </c>
      <c r="D2296" s="44">
        <v>2029</v>
      </c>
      <c r="E2296" s="44"/>
      <c r="F2296" s="40" t="s">
        <v>1331</v>
      </c>
      <c r="G2296" s="40" t="s">
        <v>457</v>
      </c>
      <c r="I2296" s="40" t="s">
        <v>1269</v>
      </c>
      <c r="J2296" s="40" t="s">
        <v>1395</v>
      </c>
      <c r="K2296" s="40" t="s">
        <v>1243</v>
      </c>
      <c r="M2296" s="40">
        <v>1</v>
      </c>
      <c r="Z2296" s="40" t="s">
        <v>8305</v>
      </c>
      <c r="AA2296" s="47">
        <f>IF(H2ProjectDB689571011[[#This Row],[Dummy_1]]="Electrolysis",
AB2296*VLOOKUP(G2296,ElectrolysisConvF,3,FALSE),
"")</f>
        <v>594.97402162342553</v>
      </c>
      <c r="AB2296" s="46">
        <f>AC2296/(H2dens*HoursInYear/10^6)</f>
        <v>129342.17861378816</v>
      </c>
      <c r="AC2296" s="46">
        <f>(280*3/17/0.98)/H2ProjectDB689571011[[#This Row],[LOWE_CF]]</f>
        <v>100.84033613445379</v>
      </c>
      <c r="AE2296" s="46">
        <f t="shared" si="161"/>
        <v>129342.17861378816</v>
      </c>
      <c r="AF2296" s="43" t="s">
        <v>8309</v>
      </c>
      <c r="AG2296" s="43">
        <v>42.272090526296303</v>
      </c>
      <c r="AH2296" s="43">
        <v>118.890974193958</v>
      </c>
      <c r="AI2296" s="122" t="s">
        <v>7286</v>
      </c>
      <c r="AJ2296" s="41">
        <v>0.5</v>
      </c>
    </row>
    <row r="2297" spans="1:36" ht="35.1" hidden="1" customHeight="1" x14ac:dyDescent="0.25">
      <c r="A2297" s="40">
        <v>3012</v>
      </c>
      <c r="B2297" s="40" t="s">
        <v>8317</v>
      </c>
      <c r="C2297" s="40" t="s">
        <v>1764</v>
      </c>
      <c r="D2297" s="44">
        <v>2028</v>
      </c>
      <c r="E2297" s="44"/>
      <c r="F2297" s="147" t="s">
        <v>1331</v>
      </c>
      <c r="G2297" s="147" t="s">
        <v>1259</v>
      </c>
      <c r="H2297" s="147" t="s">
        <v>467</v>
      </c>
      <c r="I2297" s="147" t="s">
        <v>1269</v>
      </c>
      <c r="J2297" s="147" t="s">
        <v>581</v>
      </c>
      <c r="K2297" s="147" t="s">
        <v>1243</v>
      </c>
      <c r="M2297" s="40">
        <v>1</v>
      </c>
      <c r="Q2297" s="40">
        <v>1</v>
      </c>
      <c r="Z2297" s="40" t="s">
        <v>8314</v>
      </c>
      <c r="AA2297" s="47">
        <f>IF(H2ProjectDB689571011[[#This Row],[Dummy_1]]="Electrolysis",
AB2297*VLOOKUP(G2297,ElectrolysisConvF,3,FALSE),
"")</f>
        <v>294.13797225831996</v>
      </c>
      <c r="AB2297" s="46">
        <f>AC2297/(H2dens*HoursInYear/10^6)</f>
        <v>65363.99383518222</v>
      </c>
      <c r="AC2297" s="149">
        <f>283*3/17/0.98</f>
        <v>50.960384153661465</v>
      </c>
      <c r="AE2297" s="46">
        <f t="shared" si="161"/>
        <v>65363.99383518222</v>
      </c>
      <c r="AF2297" s="43" t="s">
        <v>8312</v>
      </c>
      <c r="AG2297" s="43">
        <v>39.957213711603501</v>
      </c>
      <c r="AH2297" s="43">
        <v>1.23494134243755E-2</v>
      </c>
      <c r="AI2297" s="122" t="s">
        <v>7286</v>
      </c>
      <c r="AJ2297" s="41">
        <v>0.5</v>
      </c>
    </row>
    <row r="2298" spans="1:36" ht="35.1" hidden="1" customHeight="1" x14ac:dyDescent="0.25">
      <c r="A2298" s="40">
        <v>3013</v>
      </c>
      <c r="B2298" s="40" t="s">
        <v>8318</v>
      </c>
      <c r="C2298" s="40" t="s">
        <v>1764</v>
      </c>
      <c r="D2298" s="44">
        <v>2030</v>
      </c>
      <c r="E2298" s="44"/>
      <c r="F2298" s="147" t="s">
        <v>2222</v>
      </c>
      <c r="G2298" s="147" t="s">
        <v>1259</v>
      </c>
      <c r="H2298" s="147" t="s">
        <v>467</v>
      </c>
      <c r="I2298" s="147" t="s">
        <v>1269</v>
      </c>
      <c r="J2298" s="147" t="s">
        <v>581</v>
      </c>
      <c r="K2298" s="147" t="s">
        <v>1243</v>
      </c>
      <c r="M2298" s="40">
        <v>1</v>
      </c>
      <c r="Q2298" s="40">
        <v>1</v>
      </c>
      <c r="Z2298" s="40" t="s">
        <v>8315</v>
      </c>
      <c r="AA2298" s="47">
        <f>IF(H2ProjectDB689571011[[#This Row],[Dummy_1]]="Electrolysis",
AB2298*VLOOKUP(G2298,ElectrolysisConvF,3,FALSE),
"")</f>
        <v>295.17732905075218</v>
      </c>
      <c r="AB2298" s="46">
        <f>AC2298/(H2dens*HoursInYear/10^6)</f>
        <v>65594.962011278272</v>
      </c>
      <c r="AC2298" s="149">
        <f>(567-283)*3/17/0.98</f>
        <v>51.140456182472988</v>
      </c>
      <c r="AE2298" s="46">
        <f t="shared" si="161"/>
        <v>65594.962011278272</v>
      </c>
      <c r="AF2298" s="43" t="s">
        <v>8312</v>
      </c>
      <c r="AG2298" s="43">
        <v>39.957213711603501</v>
      </c>
      <c r="AH2298" s="43">
        <v>1.23494134243755E-2</v>
      </c>
      <c r="AI2298" s="122" t="s">
        <v>7286</v>
      </c>
      <c r="AJ2298" s="41">
        <v>0.5</v>
      </c>
    </row>
    <row r="2299" spans="1:36" ht="35.1" hidden="1" customHeight="1" x14ac:dyDescent="0.25">
      <c r="A2299" s="40">
        <v>3014</v>
      </c>
      <c r="B2299" s="40" t="s">
        <v>8319</v>
      </c>
      <c r="C2299" s="40" t="s">
        <v>1764</v>
      </c>
      <c r="D2299" s="44">
        <v>2031</v>
      </c>
      <c r="E2299" s="44"/>
      <c r="F2299" s="147" t="s">
        <v>2222</v>
      </c>
      <c r="G2299" s="147" t="s">
        <v>1259</v>
      </c>
      <c r="H2299" s="147" t="s">
        <v>467</v>
      </c>
      <c r="I2299" s="147" t="s">
        <v>1269</v>
      </c>
      <c r="J2299" s="147" t="s">
        <v>581</v>
      </c>
      <c r="K2299" s="147" t="s">
        <v>1243</v>
      </c>
      <c r="M2299" s="40">
        <v>1</v>
      </c>
      <c r="Q2299" s="40">
        <v>1</v>
      </c>
      <c r="Z2299" s="40" t="s">
        <v>8316</v>
      </c>
      <c r="AA2299" s="47">
        <f>IF(H2ProjectDB689571011[[#This Row],[Dummy_1]]="Electrolysis",
AB2299*VLOOKUP(G2299,ElectrolysisConvF,3,FALSE),
"")</f>
        <v>294.13797225831996</v>
      </c>
      <c r="AB2299" s="46">
        <f>AC2299/(H2dens*HoursInYear/10^6)</f>
        <v>65363.99383518222</v>
      </c>
      <c r="AC2299" s="149">
        <f>(850-567)*3/17/0.98</f>
        <v>50.960384153661465</v>
      </c>
      <c r="AE2299" s="46">
        <f t="shared" si="161"/>
        <v>65363.99383518222</v>
      </c>
      <c r="AF2299" s="43" t="s">
        <v>8312</v>
      </c>
      <c r="AG2299" s="43">
        <v>39.957213711603501</v>
      </c>
      <c r="AH2299" s="43">
        <v>1.23494134243755E-2</v>
      </c>
      <c r="AI2299" s="122" t="s">
        <v>7286</v>
      </c>
      <c r="AJ2299" s="41">
        <v>0.5</v>
      </c>
    </row>
    <row r="2300" spans="1:36" ht="35.1" hidden="1" customHeight="1" x14ac:dyDescent="0.25">
      <c r="A2300" s="40">
        <v>3015</v>
      </c>
      <c r="B2300" s="40" t="s">
        <v>8320</v>
      </c>
      <c r="C2300" s="40" t="s">
        <v>1764</v>
      </c>
      <c r="D2300" s="44">
        <v>2028</v>
      </c>
      <c r="E2300" s="44"/>
      <c r="F2300" s="147" t="s">
        <v>1331</v>
      </c>
      <c r="G2300" s="147" t="s">
        <v>1259</v>
      </c>
      <c r="H2300" s="147" t="s">
        <v>467</v>
      </c>
      <c r="I2300" s="147" t="s">
        <v>1269</v>
      </c>
      <c r="J2300" s="147" t="s">
        <v>581</v>
      </c>
      <c r="K2300" s="147" t="s">
        <v>1243</v>
      </c>
      <c r="M2300" s="40">
        <v>1</v>
      </c>
      <c r="Z2300" s="40" t="s">
        <v>2323</v>
      </c>
      <c r="AA2300" s="91">
        <v>200</v>
      </c>
      <c r="AB2300" s="46">
        <f>IF(H2ProjectDB689571011[[#This Row],[Dummy_1]]="Electrolysis",
AA2300/VLOOKUP(G2300,ElectrolysisConvF,3,FALSE),
AC2300*10^6/(H2dens*HoursInYear))</f>
        <v>44444.444444444445</v>
      </c>
      <c r="AC2300" s="47">
        <f>AB2300*H2dens*HoursInYear/10^6</f>
        <v>34.650666666666666</v>
      </c>
      <c r="AE2300" s="46">
        <f t="shared" si="161"/>
        <v>44444.444444444445</v>
      </c>
      <c r="AF2300" s="43" t="s">
        <v>8313</v>
      </c>
      <c r="AG2300" s="43">
        <v>43.359269786862399</v>
      </c>
      <c r="AH2300" s="43">
        <v>-8.4053089743062301</v>
      </c>
      <c r="AI2300" s="122" t="s">
        <v>7286</v>
      </c>
      <c r="AJ2300" s="41">
        <v>0.5</v>
      </c>
    </row>
    <row r="2301" spans="1:36" ht="35.1" hidden="1" customHeight="1" x14ac:dyDescent="0.25">
      <c r="A2301" s="40">
        <v>3016</v>
      </c>
      <c r="B2301" s="40" t="s">
        <v>8321</v>
      </c>
      <c r="C2301" s="40" t="s">
        <v>1764</v>
      </c>
      <c r="D2301" s="44">
        <v>2030</v>
      </c>
      <c r="E2301" s="44"/>
      <c r="F2301" s="147" t="s">
        <v>2222</v>
      </c>
      <c r="G2301" s="147" t="s">
        <v>1259</v>
      </c>
      <c r="H2301" s="147" t="s">
        <v>467</v>
      </c>
      <c r="I2301" s="147" t="s">
        <v>1269</v>
      </c>
      <c r="J2301" s="147" t="s">
        <v>581</v>
      </c>
      <c r="K2301" s="147" t="s">
        <v>1243</v>
      </c>
      <c r="M2301" s="40">
        <v>1</v>
      </c>
      <c r="Z2301" s="40" t="s">
        <v>8479</v>
      </c>
      <c r="AA2301" s="91">
        <f>600-AA2300</f>
        <v>400</v>
      </c>
      <c r="AB2301" s="46">
        <f>IF(H2ProjectDB689571011[[#This Row],[Dummy_1]]="Electrolysis",
AA2301/VLOOKUP(G2301,ElectrolysisConvF,3,FALSE),
AC2301*10^6/(H2dens*HoursInYear))</f>
        <v>88888.888888888891</v>
      </c>
      <c r="AC2301" s="47">
        <f>AB2301*H2dens*HoursInYear/10^6</f>
        <v>69.301333333333332</v>
      </c>
      <c r="AE2301" s="46">
        <f t="shared" si="161"/>
        <v>88888.888888888891</v>
      </c>
      <c r="AF2301" s="43" t="s">
        <v>8313</v>
      </c>
      <c r="AG2301" s="43">
        <v>43.359269786862399</v>
      </c>
      <c r="AH2301" s="43">
        <v>-8.4053089743062301</v>
      </c>
      <c r="AI2301" s="122" t="s">
        <v>7286</v>
      </c>
      <c r="AJ2301" s="41">
        <v>0.5</v>
      </c>
    </row>
    <row r="2302" spans="1:36" ht="35.1" hidden="1" customHeight="1" x14ac:dyDescent="0.25">
      <c r="A2302" s="40">
        <v>3017</v>
      </c>
      <c r="B2302" s="40" t="s">
        <v>8322</v>
      </c>
      <c r="C2302" s="40" t="s">
        <v>1764</v>
      </c>
      <c r="D2302" s="44">
        <v>2031</v>
      </c>
      <c r="E2302" s="44"/>
      <c r="F2302" s="147" t="s">
        <v>2222</v>
      </c>
      <c r="G2302" s="147" t="s">
        <v>1259</v>
      </c>
      <c r="H2302" s="147" t="s">
        <v>467</v>
      </c>
      <c r="I2302" s="147" t="s">
        <v>1269</v>
      </c>
      <c r="J2302" s="147" t="s">
        <v>581</v>
      </c>
      <c r="K2302" s="147" t="s">
        <v>1243</v>
      </c>
      <c r="M2302" s="40">
        <v>1</v>
      </c>
      <c r="Z2302" s="40" t="s">
        <v>8596</v>
      </c>
      <c r="AA2302" s="91">
        <f>1000-AA2301-AA2300</f>
        <v>400</v>
      </c>
      <c r="AB2302" s="46">
        <f>IF(H2ProjectDB689571011[[#This Row],[Dummy_1]]="Electrolysis",
AA2302/VLOOKUP(G2302,ElectrolysisConvF,3,FALSE),
AC2302*10^6/(H2dens*HoursInYear))</f>
        <v>88888.888888888891</v>
      </c>
      <c r="AC2302" s="47">
        <f>AB2302*H2dens*HoursInYear/10^6</f>
        <v>69.301333333333332</v>
      </c>
      <c r="AE2302" s="46">
        <f t="shared" si="161"/>
        <v>88888.888888888891</v>
      </c>
      <c r="AF2302" s="43" t="s">
        <v>8313</v>
      </c>
      <c r="AG2302" s="43">
        <v>43.359269786862399</v>
      </c>
      <c r="AH2302" s="43">
        <v>-8.4053089743062301</v>
      </c>
      <c r="AI2302" s="122" t="s">
        <v>7286</v>
      </c>
      <c r="AJ2302" s="41">
        <v>0.5</v>
      </c>
    </row>
    <row r="2303" spans="1:36" ht="35.1" hidden="1" customHeight="1" x14ac:dyDescent="0.25">
      <c r="A2303" s="40">
        <v>3018</v>
      </c>
      <c r="B2303" s="43" t="s">
        <v>8325</v>
      </c>
      <c r="C2303" s="40" t="s">
        <v>537</v>
      </c>
      <c r="D2303" s="44">
        <v>2026</v>
      </c>
      <c r="E2303" s="44"/>
      <c r="F2303" s="147" t="s">
        <v>1331</v>
      </c>
      <c r="G2303" s="147" t="s">
        <v>1259</v>
      </c>
      <c r="H2303" s="147" t="s">
        <v>467</v>
      </c>
      <c r="I2303" s="147" t="s">
        <v>1269</v>
      </c>
      <c r="J2303" s="40" t="s">
        <v>1395</v>
      </c>
      <c r="K2303" s="40" t="s">
        <v>578</v>
      </c>
      <c r="Z2303" s="40" t="s">
        <v>8326</v>
      </c>
      <c r="AA2303" s="47">
        <f>IF(H2ProjectDB689571011[[#This Row],[Dummy_1]]="Electrolysis",
AB2303*VLOOKUP(G2303,ElectrolysisConvF,3,FALSE),
"")</f>
        <v>311.68231491457595</v>
      </c>
      <c r="AB2303" s="46">
        <f>AC2303/(H2dens*HoursInYear/10^6)</f>
        <v>69262.736647683545</v>
      </c>
      <c r="AC2303" s="92">
        <f>54</f>
        <v>54</v>
      </c>
      <c r="AE2303" s="46">
        <f t="shared" si="161"/>
        <v>69262.736647683545</v>
      </c>
      <c r="AF2303" s="43" t="s">
        <v>8328</v>
      </c>
      <c r="AG2303" s="43">
        <v>41.091578188847798</v>
      </c>
      <c r="AH2303" s="43">
        <v>107.045939473826</v>
      </c>
      <c r="AI2303" s="122" t="s">
        <v>7286</v>
      </c>
      <c r="AJ2303" s="41">
        <v>0.5</v>
      </c>
    </row>
    <row r="2304" spans="1:36" ht="35.1" hidden="1" customHeight="1" x14ac:dyDescent="0.25">
      <c r="A2304" s="40">
        <v>3019</v>
      </c>
      <c r="B2304" s="43" t="s">
        <v>8338</v>
      </c>
      <c r="C2304" s="40" t="s">
        <v>1764</v>
      </c>
      <c r="D2304" s="44">
        <v>2029</v>
      </c>
      <c r="E2304" s="44"/>
      <c r="F2304" s="40" t="s">
        <v>2222</v>
      </c>
      <c r="G2304" s="40" t="s">
        <v>1259</v>
      </c>
      <c r="H2304" s="40" t="s">
        <v>467</v>
      </c>
      <c r="I2304" s="40" t="s">
        <v>1257</v>
      </c>
      <c r="K2304" s="40" t="s">
        <v>1268</v>
      </c>
      <c r="M2304" s="40">
        <v>1</v>
      </c>
      <c r="N2304" s="40">
        <v>1</v>
      </c>
      <c r="R2304" s="40">
        <v>1</v>
      </c>
      <c r="Y2304" s="40">
        <v>1</v>
      </c>
      <c r="Z2304" s="40" t="s">
        <v>8339</v>
      </c>
      <c r="AA2304" s="91">
        <v>500</v>
      </c>
      <c r="AB2304" s="46">
        <f>IF(H2ProjectDB689571011[[#This Row],[Dummy_1]]="Electrolysis",
AA2304/VLOOKUP(G2304,ElectrolysisConvF,3,FALSE),
AC2304*10^6/(H2dens*HoursInYear))</f>
        <v>111111.11111111112</v>
      </c>
      <c r="AC2304" s="47">
        <f>AB2304*H2dens*HoursInYear/10^6</f>
        <v>86.626666666666665</v>
      </c>
      <c r="AE2304" s="46">
        <f t="shared" si="161"/>
        <v>111111.11111111112</v>
      </c>
      <c r="AG2304" s="43">
        <v>36.205350000000003</v>
      </c>
      <c r="AH2304" s="43">
        <v>-5.3825859999999999</v>
      </c>
      <c r="AI2304" s="122" t="s">
        <v>7286</v>
      </c>
      <c r="AJ2304" s="41">
        <v>0.56999999999999995</v>
      </c>
    </row>
    <row r="2305" spans="1:36" ht="35.1" hidden="1" customHeight="1" x14ac:dyDescent="0.25">
      <c r="A2305" s="40">
        <v>3020</v>
      </c>
      <c r="B2305" s="40" t="s">
        <v>8362</v>
      </c>
      <c r="C2305" s="40" t="s">
        <v>536</v>
      </c>
      <c r="D2305" s="44">
        <v>2025</v>
      </c>
      <c r="E2305" s="44"/>
      <c r="F2305" s="40" t="s">
        <v>5701</v>
      </c>
      <c r="G2305" s="40" t="s">
        <v>1261</v>
      </c>
      <c r="H2305" s="40" t="s">
        <v>5709</v>
      </c>
      <c r="K2305" s="40" t="s">
        <v>1243</v>
      </c>
      <c r="M2305" s="40">
        <v>1</v>
      </c>
      <c r="Z2305" s="40" t="s">
        <v>8363</v>
      </c>
      <c r="AA2305" s="47"/>
      <c r="AC2305" s="92"/>
      <c r="AE2305" s="46">
        <f t="shared" si="161"/>
        <v>0</v>
      </c>
      <c r="AG2305" s="43">
        <v>30.098981962701298</v>
      </c>
      <c r="AH2305" s="43">
        <v>-90.954525138623595</v>
      </c>
      <c r="AI2305" s="122" t="s">
        <v>7287</v>
      </c>
      <c r="AJ2305" s="41">
        <v>0.9</v>
      </c>
    </row>
    <row r="2306" spans="1:36" ht="35.1" hidden="1" customHeight="1" x14ac:dyDescent="0.25">
      <c r="A2306" s="40">
        <v>3021</v>
      </c>
      <c r="B2306" s="40" t="s">
        <v>8366</v>
      </c>
      <c r="C2306" s="40" t="s">
        <v>1045</v>
      </c>
      <c r="D2306" s="44"/>
      <c r="E2306" s="44"/>
      <c r="F2306" s="90" t="s">
        <v>2222</v>
      </c>
      <c r="G2306" s="90" t="s">
        <v>1259</v>
      </c>
      <c r="H2306" s="90" t="s">
        <v>467</v>
      </c>
      <c r="I2306" s="90" t="s">
        <v>1257</v>
      </c>
      <c r="K2306" s="40" t="s">
        <v>1243</v>
      </c>
      <c r="M2306" s="40">
        <v>1</v>
      </c>
      <c r="Z2306" s="40" t="s">
        <v>8369</v>
      </c>
      <c r="AA2306" s="91">
        <v>500</v>
      </c>
      <c r="AB2306" s="46">
        <f>IF(H2ProjectDB689571011[[#This Row],[Dummy_1]]="Electrolysis",
AA2306/VLOOKUP(G2306,ElectrolysisConvF,3,FALSE),
AC2306*10^6/(H2dens*HoursInYear))</f>
        <v>111111.11111111112</v>
      </c>
      <c r="AC2306" s="47">
        <f>AB2306*H2dens*HoursInYear/10^6</f>
        <v>86.626666666666665</v>
      </c>
      <c r="AE2306" s="46">
        <f t="shared" si="161"/>
        <v>111111.11111111112</v>
      </c>
      <c r="AF2306" s="43" t="s">
        <v>8368</v>
      </c>
      <c r="AG2306" s="43">
        <v>29.659369000000002</v>
      </c>
      <c r="AH2306" s="43">
        <v>32.344810000000003</v>
      </c>
      <c r="AI2306" s="122" t="s">
        <v>7286</v>
      </c>
      <c r="AJ2306" s="41">
        <v>0.56999999999999995</v>
      </c>
    </row>
    <row r="2307" spans="1:36" ht="35.1" hidden="1" customHeight="1" x14ac:dyDescent="0.25">
      <c r="A2307" s="40">
        <v>3022</v>
      </c>
      <c r="B2307" s="40" t="s">
        <v>8373</v>
      </c>
      <c r="C2307" s="40" t="s">
        <v>1045</v>
      </c>
      <c r="D2307" s="44"/>
      <c r="E2307" s="44"/>
      <c r="F2307" s="90" t="s">
        <v>2222</v>
      </c>
      <c r="G2307" s="90" t="s">
        <v>1259</v>
      </c>
      <c r="H2307" s="90" t="s">
        <v>467</v>
      </c>
      <c r="I2307" s="90" t="s">
        <v>1257</v>
      </c>
      <c r="K2307" s="40" t="s">
        <v>1243</v>
      </c>
      <c r="M2307" s="40">
        <v>1</v>
      </c>
      <c r="Z2307" s="40" t="s">
        <v>8374</v>
      </c>
      <c r="AA2307" s="47">
        <f>IF(H2ProjectDB689571011[[#This Row],[Dummy_1]]="Electrolysis",
AB2307*VLOOKUP(G2307,ElectrolysisConvF,3,FALSE),
"")</f>
        <v>2598.3919810805651</v>
      </c>
      <c r="AB2307" s="46">
        <f>AC2307/(H2dens*HoursInYear/10^6)</f>
        <v>577420.44024012564</v>
      </c>
      <c r="AC2307" s="149">
        <f>2500*3/17/0.98</f>
        <v>450.18007202881154</v>
      </c>
      <c r="AE2307" s="46">
        <f t="shared" si="161"/>
        <v>577420.44024012564</v>
      </c>
      <c r="AF2307" s="43" t="s">
        <v>8376</v>
      </c>
      <c r="AG2307" s="43">
        <v>30.566437051056202</v>
      </c>
      <c r="AH2307" s="43">
        <v>30.825847911697998</v>
      </c>
      <c r="AI2307" s="122" t="s">
        <v>7286</v>
      </c>
      <c r="AJ2307" s="41">
        <v>0.56999999999999995</v>
      </c>
    </row>
    <row r="2308" spans="1:36" ht="35.1" hidden="1" customHeight="1" x14ac:dyDescent="0.25">
      <c r="A2308" s="40">
        <v>3023</v>
      </c>
      <c r="B2308" s="40" t="s">
        <v>8377</v>
      </c>
      <c r="C2308" s="40" t="s">
        <v>1045</v>
      </c>
      <c r="D2308" s="44"/>
      <c r="E2308" s="44"/>
      <c r="F2308" s="90" t="s">
        <v>2222</v>
      </c>
      <c r="G2308" s="90" t="s">
        <v>1259</v>
      </c>
      <c r="H2308" s="90" t="s">
        <v>467</v>
      </c>
      <c r="I2308" s="90" t="s">
        <v>1269</v>
      </c>
      <c r="J2308" s="40" t="s">
        <v>1395</v>
      </c>
      <c r="K2308" s="40" t="s">
        <v>1243</v>
      </c>
      <c r="M2308" s="40">
        <v>1</v>
      </c>
      <c r="Q2308" s="40">
        <v>1</v>
      </c>
      <c r="W2308" s="40">
        <v>1</v>
      </c>
      <c r="Z2308" s="40" t="s">
        <v>8380</v>
      </c>
      <c r="AA2308" s="91">
        <v>1000</v>
      </c>
      <c r="AB2308" s="46">
        <f>IF(H2ProjectDB689571011[[#This Row],[Dummy_1]]="Electrolysis",
AA2308/VLOOKUP(G2308,ElectrolysisConvF,3,FALSE),
AC2308*10^6/(H2dens*HoursInYear))</f>
        <v>222222.22222222225</v>
      </c>
      <c r="AC2308" s="47">
        <f>AB2308*H2dens*HoursInYear/10^6</f>
        <v>173.25333333333333</v>
      </c>
      <c r="AE2308" s="46">
        <f t="shared" si="161"/>
        <v>222222.22222222225</v>
      </c>
      <c r="AF2308" s="43" t="s">
        <v>8378</v>
      </c>
      <c r="AG2308" s="43">
        <v>29.659369000000002</v>
      </c>
      <c r="AH2308" s="43">
        <v>32.344810000000003</v>
      </c>
      <c r="AI2308" s="122" t="s">
        <v>7286</v>
      </c>
      <c r="AJ2308" s="41">
        <v>0.5</v>
      </c>
    </row>
    <row r="2309" spans="1:36" ht="35.1" hidden="1" customHeight="1" x14ac:dyDescent="0.25">
      <c r="A2309" s="40">
        <v>3024</v>
      </c>
      <c r="B2309" s="40" t="s">
        <v>8381</v>
      </c>
      <c r="C2309" s="40" t="s">
        <v>1045</v>
      </c>
      <c r="D2309" s="44">
        <v>2029</v>
      </c>
      <c r="E2309" s="44"/>
      <c r="F2309" s="90" t="s">
        <v>2222</v>
      </c>
      <c r="G2309" s="90" t="s">
        <v>456</v>
      </c>
      <c r="H2309" s="90"/>
      <c r="I2309" s="90" t="s">
        <v>1269</v>
      </c>
      <c r="J2309" s="40" t="s">
        <v>1395</v>
      </c>
      <c r="K2309" s="40" t="s">
        <v>1268</v>
      </c>
      <c r="M2309" s="40">
        <v>1</v>
      </c>
      <c r="Z2309" s="40" t="s">
        <v>8772</v>
      </c>
      <c r="AA2309" s="47">
        <v>250</v>
      </c>
      <c r="AB2309" s="46">
        <f>IF(H2ProjectDB689571011[[#This Row],[Dummy_1]]="Electrolysis",
AA2309/VLOOKUP(G2309,ElectrolysisConvF,3,FALSE),
AC2309*10^6/(H2dens*HoursInYear))</f>
        <v>65789.473684210519</v>
      </c>
      <c r="AC2309" s="47">
        <f>AB2309*H2dens*HoursInYear/10^6</f>
        <v>51.292105263157879</v>
      </c>
      <c r="AE2309" s="46">
        <f t="shared" si="161"/>
        <v>65789.473684210519</v>
      </c>
      <c r="AF2309" s="43" t="s">
        <v>8771</v>
      </c>
      <c r="AG2309" s="43">
        <v>29.659369000000002</v>
      </c>
      <c r="AH2309" s="43">
        <v>32.344810000000003</v>
      </c>
      <c r="AI2309" s="122" t="s">
        <v>7286</v>
      </c>
      <c r="AJ2309" s="41">
        <v>0.5</v>
      </c>
    </row>
    <row r="2310" spans="1:36" ht="35.1" hidden="1" customHeight="1" x14ac:dyDescent="0.25">
      <c r="A2310" s="40">
        <v>3025</v>
      </c>
      <c r="B2310" s="40" t="s">
        <v>8383</v>
      </c>
      <c r="C2310" s="40" t="s">
        <v>1045</v>
      </c>
      <c r="D2310" s="44"/>
      <c r="E2310" s="44"/>
      <c r="F2310" s="90" t="s">
        <v>2222</v>
      </c>
      <c r="G2310" s="90" t="s">
        <v>1259</v>
      </c>
      <c r="H2310" s="90" t="s">
        <v>467</v>
      </c>
      <c r="I2310" s="90" t="s">
        <v>2022</v>
      </c>
      <c r="K2310" s="40" t="s">
        <v>1243</v>
      </c>
      <c r="M2310" s="40">
        <v>1</v>
      </c>
      <c r="Z2310" s="40" t="s">
        <v>8384</v>
      </c>
      <c r="AA2310" s="47">
        <f>IF(H2ProjectDB689571011[[#This Row],[Dummy_1]]="Electrolysis",
AB2310*VLOOKUP(G2310,ElectrolysisConvF,3,FALSE),
"")</f>
        <v>910.47655017063005</v>
      </c>
      <c r="AB2310" s="46">
        <f>AC2310/(H2dens*HoursInYear/10^6)</f>
        <v>202328.12226014002</v>
      </c>
      <c r="AC2310" s="92">
        <f>(2.4*365)*3/17/0.98</f>
        <v>157.74309723889556</v>
      </c>
      <c r="AE2310" s="46">
        <f t="shared" si="161"/>
        <v>202328.12226014002</v>
      </c>
      <c r="AF2310" s="43" t="s">
        <v>8386</v>
      </c>
      <c r="AG2310" s="43">
        <v>31.273419967777301</v>
      </c>
      <c r="AH2310" s="43">
        <v>30.097297729045501</v>
      </c>
      <c r="AI2310" s="122" t="s">
        <v>7286</v>
      </c>
      <c r="AJ2310" s="41">
        <v>0.56999999999999995</v>
      </c>
    </row>
    <row r="2311" spans="1:36" ht="35.1" hidden="1" customHeight="1" x14ac:dyDescent="0.25">
      <c r="A2311" s="40">
        <v>3026</v>
      </c>
      <c r="B2311" s="40" t="s">
        <v>8389</v>
      </c>
      <c r="C2311" s="40" t="s">
        <v>1084</v>
      </c>
      <c r="D2311" s="44"/>
      <c r="E2311" s="44"/>
      <c r="F2311" s="90" t="s">
        <v>2222</v>
      </c>
      <c r="G2311" s="90" t="s">
        <v>1259</v>
      </c>
      <c r="H2311" s="40" t="s">
        <v>8388</v>
      </c>
      <c r="I2311" s="40" t="s">
        <v>1269</v>
      </c>
      <c r="J2311" s="40" t="s">
        <v>1391</v>
      </c>
      <c r="K2311" s="40" t="s">
        <v>578</v>
      </c>
      <c r="P2311" s="40">
        <v>1</v>
      </c>
      <c r="Z2311" s="43" t="s">
        <v>8387</v>
      </c>
      <c r="AA2311" s="91">
        <v>30</v>
      </c>
      <c r="AB2311" s="46">
        <f>IF(H2ProjectDB689571011[[#This Row],[Dummy_1]]="Electrolysis",
AA2311/VLOOKUP(G2311,ElectrolysisConvF,3,FALSE),
AC2311*10^6/(H2dens*HoursInYear))</f>
        <v>6666.666666666667</v>
      </c>
      <c r="AC2311" s="47">
        <f>AB2311*H2dens*HoursInYear/10^6</f>
        <v>5.1976000000000004</v>
      </c>
      <c r="AE2311" s="46">
        <f t="shared" si="161"/>
        <v>6666.666666666667</v>
      </c>
      <c r="AF2311" s="43" t="s">
        <v>8392</v>
      </c>
      <c r="AG2311" s="43">
        <v>29.8956798620234</v>
      </c>
      <c r="AH2311" s="43">
        <v>35.055641532306097</v>
      </c>
      <c r="AI2311" s="122" t="s">
        <v>7286</v>
      </c>
      <c r="AJ2311" s="41">
        <v>0.3</v>
      </c>
    </row>
    <row r="2312" spans="1:36" ht="35.1" hidden="1" customHeight="1" x14ac:dyDescent="0.25">
      <c r="A2312" s="40">
        <v>3027</v>
      </c>
      <c r="B2312" s="40" t="s">
        <v>8393</v>
      </c>
      <c r="C2312" s="40" t="s">
        <v>1097</v>
      </c>
      <c r="D2312" s="44"/>
      <c r="E2312" s="44"/>
      <c r="F2312" s="90" t="s">
        <v>1540</v>
      </c>
      <c r="G2312" s="90" t="s">
        <v>1259</v>
      </c>
      <c r="H2312" s="40" t="s">
        <v>8388</v>
      </c>
      <c r="I2312" s="40" t="s">
        <v>1257</v>
      </c>
      <c r="J2312" s="40" t="str">
        <f>IF(I2312&lt;&gt;"Dedicated renewable","N/A",)</f>
        <v>N/A</v>
      </c>
      <c r="K2312" s="40" t="s">
        <v>578</v>
      </c>
      <c r="Z2312" s="40" t="s">
        <v>8394</v>
      </c>
      <c r="AA2312" s="91">
        <v>15</v>
      </c>
      <c r="AB2312" s="46">
        <f>IF(H2ProjectDB689571011[[#This Row],[Dummy_1]]="Electrolysis",
AA2312/VLOOKUP(G2312,ElectrolysisConvF,3,FALSE),
AC2312*10^6/(H2dens*HoursInYear))</f>
        <v>3333.3333333333335</v>
      </c>
      <c r="AC2312" s="47">
        <f>AB2312*H2dens*HoursInYear/10^6</f>
        <v>2.5988000000000002</v>
      </c>
      <c r="AE2312" s="46">
        <f t="shared" si="161"/>
        <v>3333.3333333333335</v>
      </c>
      <c r="AF2312" s="43" t="s">
        <v>8396</v>
      </c>
      <c r="AG2312" s="43">
        <v>33.608683849357298</v>
      </c>
      <c r="AH2312" s="43">
        <v>-7.1475125421409498</v>
      </c>
      <c r="AI2312" s="122" t="s">
        <v>7286</v>
      </c>
      <c r="AJ2312" s="41">
        <v>0.56999999999999995</v>
      </c>
    </row>
    <row r="2313" spans="1:36" ht="35.1" hidden="1" customHeight="1" x14ac:dyDescent="0.25">
      <c r="A2313" s="40">
        <v>3028</v>
      </c>
      <c r="B2313" s="40" t="s">
        <v>8397</v>
      </c>
      <c r="C2313" s="40" t="s">
        <v>1097</v>
      </c>
      <c r="D2313" s="44"/>
      <c r="E2313" s="44"/>
      <c r="F2313" s="90" t="s">
        <v>2222</v>
      </c>
      <c r="G2313" s="90" t="s">
        <v>1259</v>
      </c>
      <c r="H2313" s="90" t="s">
        <v>467</v>
      </c>
      <c r="I2313" s="90" t="s">
        <v>1269</v>
      </c>
      <c r="J2313" s="40" t="s">
        <v>1395</v>
      </c>
      <c r="K2313" s="40" t="s">
        <v>578</v>
      </c>
      <c r="M2313" s="40">
        <v>1</v>
      </c>
      <c r="Z2313" s="40" t="s">
        <v>8398</v>
      </c>
      <c r="AA2313" s="47">
        <f>IF(H2ProjectDB689571011[[#This Row],[Dummy_1]]="Electrolysis",
AB2313*VLOOKUP(G2313,ElectrolysisConvF,3,FALSE),
"")</f>
        <v>1847.0063106048947</v>
      </c>
      <c r="AB2313" s="46">
        <f>AC2313/(H2dens*HoursInYear/10^6)</f>
        <v>410445.84680108773</v>
      </c>
      <c r="AC2313" s="92">
        <f>320</f>
        <v>320</v>
      </c>
      <c r="AE2313" s="46">
        <f t="shared" si="161"/>
        <v>410445.84680108773</v>
      </c>
      <c r="AF2313" s="43" t="s">
        <v>8400</v>
      </c>
      <c r="AG2313" s="43">
        <v>33.608683849357298</v>
      </c>
      <c r="AH2313" s="43">
        <v>-7.1475125421409498</v>
      </c>
      <c r="AI2313" s="122" t="s">
        <v>7286</v>
      </c>
      <c r="AJ2313" s="41">
        <v>0.5</v>
      </c>
    </row>
    <row r="2314" spans="1:36" ht="35.1" hidden="1" customHeight="1" x14ac:dyDescent="0.25">
      <c r="A2314" s="40">
        <v>3029</v>
      </c>
      <c r="B2314" s="40" t="s">
        <v>8401</v>
      </c>
      <c r="C2314" s="40" t="s">
        <v>1097</v>
      </c>
      <c r="D2314" s="44"/>
      <c r="E2314" s="44"/>
      <c r="F2314" s="90" t="s">
        <v>2222</v>
      </c>
      <c r="G2314" s="90" t="s">
        <v>1259</v>
      </c>
      <c r="H2314" s="90" t="s">
        <v>467</v>
      </c>
      <c r="I2314" s="40" t="s">
        <v>1257</v>
      </c>
      <c r="K2314" s="40" t="s">
        <v>578</v>
      </c>
      <c r="M2314" s="40">
        <v>1</v>
      </c>
      <c r="P2314" s="40">
        <v>1</v>
      </c>
      <c r="Q2314" s="40">
        <v>1</v>
      </c>
      <c r="Z2314" s="154"/>
      <c r="AA2314" s="155"/>
      <c r="AB2314" s="156"/>
      <c r="AC2314" s="156"/>
      <c r="AE2314" s="46">
        <f>IF(AND(G2314&lt;&gt;"NG w CCUS",G2314&lt;&gt;"Oil w CCUS",G2314&lt;&gt;"Coal w CCUS"),AB2316,AD2314*10^3/(HoursInYear*IF(G2314="NG w CCUS",0.9105,1.9075)))</f>
        <v>640632.74673781067</v>
      </c>
      <c r="AF2314" s="43" t="s">
        <v>8404</v>
      </c>
      <c r="AG2314" s="43">
        <v>23.7217462665987</v>
      </c>
      <c r="AH2314" s="43">
        <v>-15.944551902913901</v>
      </c>
      <c r="AI2314" s="122" t="s">
        <v>7286</v>
      </c>
      <c r="AJ2314" s="41">
        <v>0.56999999999999995</v>
      </c>
    </row>
    <row r="2315" spans="1:36" ht="35.1" hidden="1" customHeight="1" x14ac:dyDescent="0.25">
      <c r="A2315" s="40">
        <v>3030</v>
      </c>
      <c r="B2315" s="40" t="s">
        <v>8405</v>
      </c>
      <c r="C2315" s="40" t="s">
        <v>1097</v>
      </c>
      <c r="D2315" s="44">
        <v>2025</v>
      </c>
      <c r="E2315" s="44"/>
      <c r="F2315" s="90" t="s">
        <v>2222</v>
      </c>
      <c r="G2315" s="90" t="s">
        <v>1259</v>
      </c>
      <c r="H2315" s="90" t="s">
        <v>467</v>
      </c>
      <c r="I2315" s="90" t="s">
        <v>1269</v>
      </c>
      <c r="J2315" s="40" t="s">
        <v>1391</v>
      </c>
      <c r="K2315" s="40" t="s">
        <v>578</v>
      </c>
      <c r="Z2315" s="40" t="s">
        <v>8408</v>
      </c>
      <c r="AA2315" s="91">
        <v>3.1</v>
      </c>
      <c r="AB2315" s="46">
        <f>IF(H2ProjectDB689571011[[#This Row],[Dummy_1]]="Electrolysis",
AA2315/VLOOKUP(G2315,ElectrolysisConvF,3,FALSE),
AC2315*10^6/(H2dens*HoursInYear))</f>
        <v>688.88888888888891</v>
      </c>
      <c r="AC2315" s="47">
        <f>AB2315*H2dens*HoursInYear/10^6</f>
        <v>0.53708533333333341</v>
      </c>
      <c r="AE2315" s="46">
        <f>IF(AND(G2315&lt;&gt;"NG w CCUS",G2315&lt;&gt;"Oil w CCUS",G2315&lt;&gt;"Coal w CCUS"),AB2315,AD2315*10^3/(HoursInYear*IF(G2315="NG w CCUS",0.9105,1.9075)))</f>
        <v>688.88888888888891</v>
      </c>
      <c r="AF2315" s="43" t="s">
        <v>8410</v>
      </c>
      <c r="AG2315" s="43">
        <v>23.458662998663101</v>
      </c>
      <c r="AH2315" s="43">
        <v>-13.9251000132505</v>
      </c>
      <c r="AI2315" s="122" t="s">
        <v>7286</v>
      </c>
      <c r="AJ2315" s="41">
        <v>0.3</v>
      </c>
    </row>
    <row r="2316" spans="1:36" ht="35.1" hidden="1" customHeight="1" x14ac:dyDescent="0.25">
      <c r="A2316" s="40">
        <v>3031</v>
      </c>
      <c r="B2316" s="40" t="s">
        <v>8407</v>
      </c>
      <c r="C2316" s="40" t="s">
        <v>1097</v>
      </c>
      <c r="D2316" s="44">
        <v>2030</v>
      </c>
      <c r="E2316" s="44"/>
      <c r="F2316" s="90" t="s">
        <v>2222</v>
      </c>
      <c r="G2316" s="90" t="s">
        <v>1259</v>
      </c>
      <c r="H2316" s="90" t="s">
        <v>467</v>
      </c>
      <c r="I2316" s="90" t="s">
        <v>1269</v>
      </c>
      <c r="J2316" s="40" t="s">
        <v>1391</v>
      </c>
      <c r="K2316" s="40" t="s">
        <v>578</v>
      </c>
      <c r="Z2316" s="40" t="s">
        <v>8406</v>
      </c>
      <c r="AA2316" s="47">
        <f>IF(H2ProjectDB689571011[[#This Row],[Dummy_1]]="Electrolysis",
AB2316*VLOOKUP(G2314,ElectrolysisConvF,3,FALSE),
"")</f>
        <v>2882.8473603201478</v>
      </c>
      <c r="AB2316" s="46">
        <f>AC2316/(H2dens*HoursInYear/10^6)</f>
        <v>640632.74673781067</v>
      </c>
      <c r="AC2316" s="92">
        <f>500-AC2315</f>
        <v>499.46291466666668</v>
      </c>
      <c r="AE2316" s="46">
        <f>IF(AND(G2316&lt;&gt;"NG w CCUS",G2316&lt;&gt;"Oil w CCUS",G2316&lt;&gt;"Coal w CCUS"),AB2316,AD2316*10^3/(HoursInYear*IF(G2316="NG w CCUS",0.9105,1.9075)))</f>
        <v>640632.74673781067</v>
      </c>
      <c r="AF2316" s="43" t="s">
        <v>8410</v>
      </c>
      <c r="AG2316" s="43">
        <v>23.458662998663101</v>
      </c>
      <c r="AH2316" s="43">
        <v>-13.9251000132505</v>
      </c>
      <c r="AI2316" s="122" t="s">
        <v>7286</v>
      </c>
      <c r="AJ2316" s="41">
        <v>0.3</v>
      </c>
    </row>
    <row r="2317" spans="1:36" ht="35.1" hidden="1" customHeight="1" x14ac:dyDescent="0.25">
      <c r="A2317" s="40">
        <v>3032</v>
      </c>
      <c r="B2317" s="40" t="s">
        <v>8411</v>
      </c>
      <c r="C2317" s="40" t="s">
        <v>674</v>
      </c>
      <c r="D2317" s="44">
        <v>2025</v>
      </c>
      <c r="E2317" s="44"/>
      <c r="F2317" s="40" t="s">
        <v>1331</v>
      </c>
      <c r="G2317" s="40" t="s">
        <v>1261</v>
      </c>
      <c r="K2317" s="40" t="s">
        <v>578</v>
      </c>
      <c r="M2317" s="40">
        <v>1</v>
      </c>
      <c r="P2317" s="40">
        <v>1</v>
      </c>
      <c r="Z2317" s="40" t="s">
        <v>8415</v>
      </c>
      <c r="AA2317" s="47" t="str">
        <f>IF(H2ProjectDB689571011[[#This Row],[Dummy_1]]="Electrolysis",
AB2317*VLOOKUP(G2317,ElectrolysisConvF,3,FALSE),
"")</f>
        <v/>
      </c>
      <c r="AB2317" s="46">
        <f>AC2317/(H2dens*HoursInYear/10^6)</f>
        <v>252910.15282517506</v>
      </c>
      <c r="AC2317" s="92">
        <f>(3*365)*3/17/0.98</f>
        <v>197.17887154861947</v>
      </c>
      <c r="AE2317" s="46">
        <f>IF(AND(G2317&lt;&gt;"NG w CCUS",G2317&lt;&gt;"Oil w CCUS",G2317&lt;&gt;"Coal w CCUS"),AB2317,AD2317*10^3/(HoursInYear*IF(G2317="NG w CCUS",0.9105,1.9075)))</f>
        <v>0</v>
      </c>
      <c r="AF2317" s="43" t="s">
        <v>8414</v>
      </c>
      <c r="AG2317" s="43">
        <v>19.528178691506699</v>
      </c>
      <c r="AH2317" s="43">
        <v>57.616942451048402</v>
      </c>
      <c r="AI2317" s="122" t="s">
        <v>7287</v>
      </c>
      <c r="AJ2317" s="41">
        <v>0.9</v>
      </c>
    </row>
    <row r="2318" spans="1:36" ht="35.1" hidden="1" customHeight="1" x14ac:dyDescent="0.25">
      <c r="A2318" s="40">
        <v>3033</v>
      </c>
      <c r="B2318" s="40" t="s">
        <v>8416</v>
      </c>
      <c r="C2318" s="40" t="s">
        <v>543</v>
      </c>
      <c r="D2318" s="44">
        <v>2026</v>
      </c>
      <c r="E2318" s="44"/>
      <c r="F2318" s="90" t="s">
        <v>2222</v>
      </c>
      <c r="G2318" s="90" t="s">
        <v>1259</v>
      </c>
      <c r="H2318" s="90" t="s">
        <v>467</v>
      </c>
      <c r="I2318" s="90" t="s">
        <v>1269</v>
      </c>
      <c r="J2318" s="40" t="s">
        <v>1391</v>
      </c>
      <c r="K2318" s="40" t="s">
        <v>578</v>
      </c>
      <c r="AE2318" s="46">
        <f>IF(AND(G2318&lt;&gt;"NG w CCUS",G2318&lt;&gt;"Oil w CCUS",G2318&lt;&gt;"Coal w CCUS"),AB2319,AD2318*10^3/(HoursInYear*IF(G2318="NG w CCUS",0.9105,1.9075)))</f>
        <v>44444.444444444445</v>
      </c>
      <c r="AF2318" s="43" t="s">
        <v>8417</v>
      </c>
      <c r="AG2318" s="43">
        <v>25.894785913282199</v>
      </c>
      <c r="AH2318" s="43">
        <v>38.833337735723099</v>
      </c>
      <c r="AI2318" s="122" t="s">
        <v>7286</v>
      </c>
      <c r="AJ2318" s="41">
        <v>0.3</v>
      </c>
    </row>
    <row r="2319" spans="1:36" ht="35.1" hidden="1" customHeight="1" x14ac:dyDescent="0.25">
      <c r="A2319" s="40">
        <v>3034</v>
      </c>
      <c r="B2319" s="40" t="s">
        <v>8419</v>
      </c>
      <c r="C2319" s="40" t="s">
        <v>543</v>
      </c>
      <c r="D2319" s="44"/>
      <c r="E2319" s="44"/>
      <c r="F2319" s="90" t="s">
        <v>2222</v>
      </c>
      <c r="G2319" s="90" t="s">
        <v>1259</v>
      </c>
      <c r="H2319" s="90" t="s">
        <v>467</v>
      </c>
      <c r="I2319" s="90" t="s">
        <v>1269</v>
      </c>
      <c r="J2319" s="40" t="s">
        <v>1391</v>
      </c>
      <c r="K2319" s="40" t="s">
        <v>1243</v>
      </c>
      <c r="M2319" s="40">
        <v>1</v>
      </c>
      <c r="Z2319" s="40" t="s">
        <v>2323</v>
      </c>
      <c r="AA2319" s="91">
        <v>200</v>
      </c>
      <c r="AB2319" s="46">
        <f>IF(H2ProjectDB689571011[[#This Row],[Dummy_1]]="Electrolysis",
AA2319/VLOOKUP(G2318,ElectrolysisConvF,3,FALSE),
AC2319*10^6/(H2dens*HoursInYear))</f>
        <v>44444.444444444445</v>
      </c>
      <c r="AC2319" s="47">
        <f t="shared" ref="AC2319:AC2328" si="162">AB2319*H2dens*HoursInYear/10^6</f>
        <v>34.650666666666666</v>
      </c>
      <c r="AE2319" s="46">
        <f>IF(AND(G2319&lt;&gt;"NG w CCUS",G2319&lt;&gt;"Oil w CCUS",G2319&lt;&gt;"Coal w CCUS"),AB2320,AD2319*10^3/(HoursInYear*IF(G2319="NG w CCUS",0.9105,1.9075)))</f>
        <v>115555.55555555556</v>
      </c>
      <c r="AF2319" s="43" t="s">
        <v>8420</v>
      </c>
      <c r="AG2319" s="43">
        <v>23.972717187628302</v>
      </c>
      <c r="AH2319" s="43">
        <v>52.230339771680903</v>
      </c>
      <c r="AI2319" s="122" t="s">
        <v>7286</v>
      </c>
      <c r="AJ2319" s="41">
        <v>0.3</v>
      </c>
    </row>
    <row r="2320" spans="1:36" ht="35.1" customHeight="1" x14ac:dyDescent="0.25">
      <c r="A2320" s="40">
        <v>3035</v>
      </c>
      <c r="B2320" s="40" t="s">
        <v>8426</v>
      </c>
      <c r="C2320" s="40" t="s">
        <v>1052</v>
      </c>
      <c r="D2320" s="44">
        <v>2030</v>
      </c>
      <c r="E2320" s="44"/>
      <c r="F2320" s="40" t="s">
        <v>2222</v>
      </c>
      <c r="G2320" s="40" t="s">
        <v>1259</v>
      </c>
      <c r="H2320" s="40" t="s">
        <v>467</v>
      </c>
      <c r="I2320" s="40" t="s">
        <v>1257</v>
      </c>
      <c r="K2320" s="40" t="s">
        <v>1243</v>
      </c>
      <c r="Z2320" s="40" t="s">
        <v>8427</v>
      </c>
      <c r="AA2320" s="91">
        <v>520</v>
      </c>
      <c r="AB2320" s="46">
        <f>IF(H2ProjectDB689571011[[#This Row],[Dummy_1]]="Electrolysis",
AA2320/VLOOKUP(G2320,ElectrolysisConvF,3,FALSE),
AC2320*10^6/(H2dens*HoursInYear))</f>
        <v>115555.55555555556</v>
      </c>
      <c r="AC2320" s="47">
        <f t="shared" si="162"/>
        <v>90.091733333333337</v>
      </c>
      <c r="AE2320" s="46">
        <f t="shared" ref="AE2320:AE2383" si="163">IF(AND(G2320&lt;&gt;"NG w CCUS",G2320&lt;&gt;"Oil w CCUS",G2320&lt;&gt;"Coal w CCUS"),AB2320,AD2320*10^3/(HoursInYear*IF(G2320="NG w CCUS",0.9105,1.9075)))</f>
        <v>115555.55555555556</v>
      </c>
      <c r="AF2320" s="43" t="s">
        <v>8420</v>
      </c>
      <c r="AG2320" s="43">
        <v>-21.8667292150067</v>
      </c>
      <c r="AH2320" s="43">
        <v>-41.015984308884498</v>
      </c>
      <c r="AI2320" s="122" t="s">
        <v>7286</v>
      </c>
      <c r="AJ2320" s="41">
        <v>0.56999999999999995</v>
      </c>
    </row>
    <row r="2321" spans="1:36" ht="35.1" hidden="1" customHeight="1" x14ac:dyDescent="0.25">
      <c r="A2321" s="40">
        <v>3036</v>
      </c>
      <c r="B2321" s="40" t="s">
        <v>8429</v>
      </c>
      <c r="C2321" s="40" t="s">
        <v>541</v>
      </c>
      <c r="D2321" s="44">
        <v>2026</v>
      </c>
      <c r="E2321" s="44"/>
      <c r="F2321" s="90" t="s">
        <v>2222</v>
      </c>
      <c r="G2321" s="90" t="s">
        <v>1259</v>
      </c>
      <c r="H2321" s="90" t="s">
        <v>467</v>
      </c>
      <c r="I2321" s="90" t="s">
        <v>1269</v>
      </c>
      <c r="J2321" s="40" t="s">
        <v>581</v>
      </c>
      <c r="K2321" s="40" t="s">
        <v>578</v>
      </c>
      <c r="Q2321" s="40">
        <v>1</v>
      </c>
      <c r="Z2321" s="40" t="s">
        <v>8430</v>
      </c>
      <c r="AA2321" s="91">
        <v>8</v>
      </c>
      <c r="AB2321" s="46">
        <f>IF(H2ProjectDB689571011[[#This Row],[Dummy_1]]="Electrolysis",
AA2321/VLOOKUP(G2321,ElectrolysisConvF,3,FALSE),
AC2321*10^6/(H2dens*HoursInYear))</f>
        <v>1777.7777777777778</v>
      </c>
      <c r="AC2321" s="47">
        <f t="shared" si="162"/>
        <v>1.3860266666666667</v>
      </c>
      <c r="AE2321" s="46">
        <f t="shared" si="163"/>
        <v>1777.7777777777778</v>
      </c>
      <c r="AF2321" s="43" t="s">
        <v>8432</v>
      </c>
      <c r="AG2321" s="43">
        <v>45.4395654452467</v>
      </c>
      <c r="AH2321" s="43">
        <v>12.317526782757501</v>
      </c>
      <c r="AI2321" s="122" t="s">
        <v>7286</v>
      </c>
      <c r="AJ2321" s="41">
        <v>0.5</v>
      </c>
    </row>
    <row r="2322" spans="1:36" ht="35.1" hidden="1" customHeight="1" x14ac:dyDescent="0.25">
      <c r="A2322" s="40">
        <v>3037</v>
      </c>
      <c r="B2322" s="40" t="s">
        <v>8438</v>
      </c>
      <c r="C2322" s="40" t="s">
        <v>530</v>
      </c>
      <c r="D2322" s="44">
        <v>2028</v>
      </c>
      <c r="E2322" s="44"/>
      <c r="F2322" s="40" t="s">
        <v>1331</v>
      </c>
      <c r="G2322" s="40" t="s">
        <v>1259</v>
      </c>
      <c r="H2322" s="40" t="s">
        <v>467</v>
      </c>
      <c r="I2322" s="40" t="s">
        <v>1257</v>
      </c>
      <c r="K2322" s="40" t="s">
        <v>578</v>
      </c>
      <c r="M2322" s="40">
        <v>1</v>
      </c>
      <c r="Z2322" s="40" t="s">
        <v>1487</v>
      </c>
      <c r="AA2322" s="45">
        <v>100</v>
      </c>
      <c r="AB2322" s="46">
        <f>IF(H2ProjectDB689571011[[#This Row],[Dummy_1]]="Electrolysis",
AA2322/VLOOKUP(G2322,ElectrolysisConvF,3,FALSE),
AC2322*10^6/(H2dens*HoursInYear))</f>
        <v>22222.222222222223</v>
      </c>
      <c r="AC2322" s="47">
        <f t="shared" si="162"/>
        <v>17.325333333333333</v>
      </c>
      <c r="AE2322" s="46">
        <f t="shared" si="163"/>
        <v>22222.222222222223</v>
      </c>
      <c r="AF2322" s="43" t="s">
        <v>8440</v>
      </c>
      <c r="AG2322" s="43">
        <v>49.487244243812697</v>
      </c>
      <c r="AH2322" s="43">
        <v>0.23463946823999199</v>
      </c>
      <c r="AI2322" s="122" t="s">
        <v>7286</v>
      </c>
      <c r="AJ2322" s="41">
        <v>0.56999999999999995</v>
      </c>
    </row>
    <row r="2323" spans="1:36" ht="35.1" hidden="1" customHeight="1" x14ac:dyDescent="0.25">
      <c r="A2323" s="40">
        <v>3038</v>
      </c>
      <c r="B2323" s="40" t="s">
        <v>8444</v>
      </c>
      <c r="C2323" s="40" t="s">
        <v>541</v>
      </c>
      <c r="D2323" s="44">
        <v>2025</v>
      </c>
      <c r="E2323" s="44"/>
      <c r="F2323" s="40" t="s">
        <v>1331</v>
      </c>
      <c r="G2323" s="40" t="s">
        <v>457</v>
      </c>
      <c r="I2323" s="40" t="s">
        <v>1257</v>
      </c>
      <c r="K2323" s="40" t="s">
        <v>578</v>
      </c>
      <c r="Q2323" s="40">
        <v>1</v>
      </c>
      <c r="Z2323" s="40" t="s">
        <v>1372</v>
      </c>
      <c r="AA2323" s="45">
        <v>1</v>
      </c>
      <c r="AB2323" s="46">
        <f>IF(H2ProjectDB689571011[[#This Row],[Dummy_1]]="Electrolysis",
AA2323/VLOOKUP(G2323,ElectrolysisConvF,3,FALSE),
AC2323*10^6/(H2dens*HoursInYear))</f>
        <v>217.39130434782609</v>
      </c>
      <c r="AC2323" s="47">
        <f t="shared" si="162"/>
        <v>0.16948695652173912</v>
      </c>
      <c r="AE2323" s="46">
        <f t="shared" si="163"/>
        <v>217.39130434782609</v>
      </c>
      <c r="AG2323" s="43">
        <v>45.623140821861803</v>
      </c>
      <c r="AH2323" s="43">
        <v>8.7454723506405099</v>
      </c>
      <c r="AI2323" s="122" t="s">
        <v>7286</v>
      </c>
      <c r="AJ2323" s="41">
        <v>0.56999999999999995</v>
      </c>
    </row>
    <row r="2324" spans="1:36" ht="35.1" hidden="1" customHeight="1" x14ac:dyDescent="0.25">
      <c r="A2324" s="40">
        <v>3039</v>
      </c>
      <c r="B2324" s="40" t="s">
        <v>8447</v>
      </c>
      <c r="C2324" s="40" t="s">
        <v>543</v>
      </c>
      <c r="D2324" s="44"/>
      <c r="E2324" s="44"/>
      <c r="F2324" s="90" t="s">
        <v>2222</v>
      </c>
      <c r="G2324" s="90" t="s">
        <v>1259</v>
      </c>
      <c r="H2324" s="90" t="s">
        <v>467</v>
      </c>
      <c r="I2324" s="90" t="s">
        <v>1269</v>
      </c>
      <c r="J2324" s="40" t="s">
        <v>581</v>
      </c>
      <c r="K2324" s="40" t="s">
        <v>612</v>
      </c>
      <c r="Z2324" s="40" t="s">
        <v>8339</v>
      </c>
      <c r="AA2324" s="45">
        <v>500</v>
      </c>
      <c r="AB2324" s="46">
        <f>IF(H2ProjectDB689571011[[#This Row],[Dummy_1]]="Electrolysis",
AA2324/VLOOKUP(G2324,ElectrolysisConvF,3,FALSE),
AC2324*10^6/(H2dens*HoursInYear))</f>
        <v>111111.11111111112</v>
      </c>
      <c r="AC2324" s="47">
        <f t="shared" si="162"/>
        <v>86.626666666666665</v>
      </c>
      <c r="AE2324" s="46">
        <f t="shared" si="163"/>
        <v>111111.11111111112</v>
      </c>
      <c r="AG2324" s="43">
        <v>24.016584395002599</v>
      </c>
      <c r="AH2324" s="43">
        <v>53.541111658495197</v>
      </c>
      <c r="AI2324" s="122" t="s">
        <v>7286</v>
      </c>
      <c r="AJ2324" s="41">
        <v>0.5</v>
      </c>
    </row>
    <row r="2325" spans="1:36" ht="35.1" hidden="1" customHeight="1" x14ac:dyDescent="0.25">
      <c r="A2325" s="40">
        <v>3040</v>
      </c>
      <c r="B2325" s="40" t="s">
        <v>8448</v>
      </c>
      <c r="C2325" s="40" t="s">
        <v>674</v>
      </c>
      <c r="D2325" s="44"/>
      <c r="E2325" s="44"/>
      <c r="F2325" s="90" t="s">
        <v>2222</v>
      </c>
      <c r="G2325" s="90" t="s">
        <v>1259</v>
      </c>
      <c r="H2325" s="90" t="s">
        <v>467</v>
      </c>
      <c r="I2325" s="90" t="s">
        <v>1269</v>
      </c>
      <c r="J2325" s="40" t="s">
        <v>581</v>
      </c>
      <c r="K2325" s="40" t="s">
        <v>612</v>
      </c>
      <c r="Z2325" s="40" t="s">
        <v>8339</v>
      </c>
      <c r="AA2325" s="45">
        <v>500</v>
      </c>
      <c r="AB2325" s="46">
        <f>IF(H2ProjectDB689571011[[#This Row],[Dummy_1]]="Electrolysis",
AA2325/VLOOKUP(G2325,ElectrolysisConvF,3,FALSE),
AC2325*10^6/(H2dens*HoursInYear))</f>
        <v>111111.11111111112</v>
      </c>
      <c r="AC2325" s="47">
        <f t="shared" si="162"/>
        <v>86.626666666666665</v>
      </c>
      <c r="AE2325" s="46">
        <f t="shared" si="163"/>
        <v>111111.11111111112</v>
      </c>
      <c r="AG2325" s="43">
        <v>23.227352161829501</v>
      </c>
      <c r="AH2325" s="43">
        <v>56.780535885863898</v>
      </c>
      <c r="AI2325" s="122" t="s">
        <v>7286</v>
      </c>
      <c r="AJ2325" s="41">
        <v>0.5</v>
      </c>
    </row>
    <row r="2326" spans="1:36" ht="35.1" hidden="1" customHeight="1" x14ac:dyDescent="0.25">
      <c r="A2326" s="40">
        <v>3041</v>
      </c>
      <c r="B2326" s="40" t="s">
        <v>8450</v>
      </c>
      <c r="C2326" s="40" t="s">
        <v>1995</v>
      </c>
      <c r="D2326" s="44">
        <v>2033</v>
      </c>
      <c r="E2326" s="44"/>
      <c r="F2326" s="40" t="s">
        <v>2222</v>
      </c>
      <c r="G2326" s="40" t="s">
        <v>1259</v>
      </c>
      <c r="H2326" s="40" t="s">
        <v>467</v>
      </c>
      <c r="I2326" s="40" t="s">
        <v>1269</v>
      </c>
      <c r="J2326" s="40" t="s">
        <v>1395</v>
      </c>
      <c r="K2326" s="40" t="s">
        <v>578</v>
      </c>
      <c r="M2326" s="40">
        <v>1</v>
      </c>
      <c r="O2326" s="40">
        <v>1</v>
      </c>
      <c r="Z2326" s="40" t="s">
        <v>8451</v>
      </c>
      <c r="AA2326" s="45">
        <v>8500</v>
      </c>
      <c r="AB2326" s="46">
        <f>IF(H2ProjectDB689571011[[#This Row],[Dummy_1]]="Electrolysis",
AA2326/VLOOKUP(G2326,ElectrolysisConvF,3,FALSE),
AC2326*10^6/(H2dens*HoursInYear))</f>
        <v>1888888.888888889</v>
      </c>
      <c r="AC2326" s="47">
        <f t="shared" si="162"/>
        <v>1472.6533333333334</v>
      </c>
      <c r="AE2326" s="46">
        <f t="shared" si="163"/>
        <v>1888888.888888889</v>
      </c>
      <c r="AF2326" s="43" t="s">
        <v>8454</v>
      </c>
      <c r="AG2326" s="43">
        <v>19.171723</v>
      </c>
      <c r="AH2326" s="43">
        <v>-15.994444</v>
      </c>
      <c r="AI2326" s="122" t="s">
        <v>7286</v>
      </c>
      <c r="AJ2326" s="41">
        <v>0.5</v>
      </c>
    </row>
    <row r="2327" spans="1:36" ht="35.1" hidden="1" customHeight="1" x14ac:dyDescent="0.25">
      <c r="A2327" s="40">
        <v>3042</v>
      </c>
      <c r="B2327" s="40" t="s">
        <v>8457</v>
      </c>
      <c r="C2327" s="40" t="s">
        <v>560</v>
      </c>
      <c r="D2327" s="44">
        <v>2033</v>
      </c>
      <c r="E2327" s="44"/>
      <c r="F2327" s="40" t="s">
        <v>2222</v>
      </c>
      <c r="G2327" s="40" t="s">
        <v>1259</v>
      </c>
      <c r="H2327" s="40" t="s">
        <v>467</v>
      </c>
      <c r="I2327" s="40" t="s">
        <v>1269</v>
      </c>
      <c r="J2327" s="40" t="s">
        <v>1392</v>
      </c>
      <c r="K2327" s="40" t="s">
        <v>1243</v>
      </c>
      <c r="Z2327" s="40" t="s">
        <v>8459</v>
      </c>
      <c r="AA2327" s="45">
        <v>3700</v>
      </c>
      <c r="AB2327" s="46">
        <f>IF(H2ProjectDB689571011[[#This Row],[Dummy_1]]="Electrolysis",
AA2327/VLOOKUP(G2327,ElectrolysisConvF,3,FALSE),
AC2327*10^6/(H2dens*HoursInYear))</f>
        <v>822222.22222222225</v>
      </c>
      <c r="AC2327" s="47">
        <f t="shared" si="162"/>
        <v>641.03733333333332</v>
      </c>
      <c r="AE2327" s="46">
        <f t="shared" si="163"/>
        <v>822222.22222222225</v>
      </c>
      <c r="AF2327" s="43" t="s">
        <v>8082</v>
      </c>
      <c r="AG2327" s="43">
        <v>-52.276454565312001</v>
      </c>
      <c r="AH2327" s="43">
        <v>-69.522907312652293</v>
      </c>
      <c r="AI2327" s="122" t="s">
        <v>7286</v>
      </c>
      <c r="AJ2327" s="41">
        <v>0.4</v>
      </c>
    </row>
    <row r="2328" spans="1:36" ht="35.1" hidden="1" customHeight="1" x14ac:dyDescent="0.25">
      <c r="A2328" s="40">
        <v>3043</v>
      </c>
      <c r="B2328" s="40" t="s">
        <v>8460</v>
      </c>
      <c r="C2328" s="40" t="s">
        <v>1097</v>
      </c>
      <c r="D2328" s="44">
        <v>2032</v>
      </c>
      <c r="E2328" s="44"/>
      <c r="F2328" s="40" t="s">
        <v>2222</v>
      </c>
      <c r="G2328" s="40" t="s">
        <v>1259</v>
      </c>
      <c r="H2328" s="40" t="s">
        <v>467</v>
      </c>
      <c r="I2328" s="90" t="s">
        <v>1269</v>
      </c>
      <c r="J2328" s="40" t="s">
        <v>581</v>
      </c>
      <c r="K2328" s="40" t="s">
        <v>1243</v>
      </c>
      <c r="Z2328" s="40" t="s">
        <v>8462</v>
      </c>
      <c r="AA2328" s="91">
        <v>800</v>
      </c>
      <c r="AB2328" s="46">
        <f>IF(H2ProjectDB689571011[[#This Row],[Dummy_1]]="Electrolysis",
AA2328/VLOOKUP(G2328,ElectrolysisConvF,3,FALSE),
AC2328*10^6/(H2dens*HoursInYear))</f>
        <v>177777.77777777778</v>
      </c>
      <c r="AC2328" s="47">
        <f t="shared" si="162"/>
        <v>138.60266666666666</v>
      </c>
      <c r="AE2328" s="46">
        <f t="shared" si="163"/>
        <v>177777.77777777778</v>
      </c>
      <c r="AG2328" s="43">
        <v>28.266656000000001</v>
      </c>
      <c r="AH2328" s="43">
        <v>-10.716837999999999</v>
      </c>
      <c r="AI2328" s="122" t="s">
        <v>7286</v>
      </c>
      <c r="AJ2328" s="41">
        <v>0.5</v>
      </c>
    </row>
    <row r="2329" spans="1:36" ht="35.1" hidden="1" customHeight="1" x14ac:dyDescent="0.25">
      <c r="A2329" s="40">
        <v>3044</v>
      </c>
      <c r="B2329" s="40" t="s">
        <v>8472</v>
      </c>
      <c r="C2329" s="40" t="s">
        <v>532</v>
      </c>
      <c r="D2329" s="44">
        <v>2029</v>
      </c>
      <c r="E2329" s="44"/>
      <c r="F2329" s="90" t="s">
        <v>2222</v>
      </c>
      <c r="G2329" s="90" t="s">
        <v>1259</v>
      </c>
      <c r="H2329" s="90" t="s">
        <v>467</v>
      </c>
      <c r="I2329" s="90" t="s">
        <v>1266</v>
      </c>
      <c r="J2329" s="90"/>
      <c r="K2329" s="90" t="s">
        <v>1242</v>
      </c>
      <c r="N2329" s="40">
        <v>1</v>
      </c>
      <c r="Z2329" s="40" t="s">
        <v>8474</v>
      </c>
      <c r="AA2329" s="47">
        <f>IF(H2ProjectDB689571011[[#This Row],[Dummy_1]]="Electrolysis",
AB2329*VLOOKUP(G2329,ElectrolysisConvF,3,FALSE),
"")</f>
        <v>132.5183161459135</v>
      </c>
      <c r="AB2329" s="46">
        <f>AC2329/(H2dens*HoursInYear/10^6)</f>
        <v>29448.514699091891</v>
      </c>
      <c r="AC2329" s="92">
        <f>120*0.191327</f>
        <v>22.959240000000001</v>
      </c>
      <c r="AE2329" s="46">
        <f t="shared" si="163"/>
        <v>29448.514699091891</v>
      </c>
      <c r="AF2329" s="93" t="s">
        <v>6307</v>
      </c>
      <c r="AG2329" s="43">
        <v>63.858773805971403</v>
      </c>
      <c r="AH2329" s="43">
        <v>23.030635253632202</v>
      </c>
      <c r="AI2329" s="122" t="s">
        <v>7286</v>
      </c>
      <c r="AJ2329" s="41">
        <v>0.56999999999999995</v>
      </c>
    </row>
    <row r="2330" spans="1:36" ht="37.5" customHeight="1" x14ac:dyDescent="0.25">
      <c r="A2330" s="40">
        <v>3045</v>
      </c>
      <c r="B2330" s="40" t="s">
        <v>8476</v>
      </c>
      <c r="C2330" s="40" t="s">
        <v>1052</v>
      </c>
      <c r="D2330" s="44">
        <v>2032</v>
      </c>
      <c r="E2330" s="44"/>
      <c r="F2330" s="40" t="s">
        <v>2222</v>
      </c>
      <c r="G2330" s="40" t="s">
        <v>1259</v>
      </c>
      <c r="H2330" s="40" t="s">
        <v>467</v>
      </c>
      <c r="I2330" s="40" t="s">
        <v>5700</v>
      </c>
      <c r="K2330" s="40" t="s">
        <v>1243</v>
      </c>
      <c r="M2330" s="40">
        <v>1</v>
      </c>
      <c r="Z2330" s="40" t="s">
        <v>3233</v>
      </c>
      <c r="AA2330" s="45">
        <f>2000-AA2190</f>
        <v>1000</v>
      </c>
      <c r="AB2330" s="46">
        <f>IF(H2ProjectDB689571011[[#This Row],[Dummy_1]]="Electrolysis",
AA2330/VLOOKUP(G2330,ElectrolysisConvF,3,FALSE),
AC2330*10^6/(H2dens*HoursInYear))</f>
        <v>222222.22222222225</v>
      </c>
      <c r="AC2330" s="47">
        <f t="shared" ref="AC2330:AC2349" si="164">AB2330*H2dens*HoursInYear/10^6</f>
        <v>173.25333333333333</v>
      </c>
      <c r="AE2330" s="46">
        <f t="shared" si="163"/>
        <v>222222.22222222225</v>
      </c>
      <c r="AG2330" s="43">
        <v>-3.53092803394662</v>
      </c>
      <c r="AH2330" s="43">
        <v>-38.792377458297302</v>
      </c>
      <c r="AI2330" s="122" t="s">
        <v>7286</v>
      </c>
      <c r="AJ2330" s="41">
        <v>0.7</v>
      </c>
    </row>
    <row r="2331" spans="1:36" ht="37.5" hidden="1" customHeight="1" x14ac:dyDescent="0.25">
      <c r="A2331" s="40">
        <v>3046</v>
      </c>
      <c r="B2331" s="40" t="s">
        <v>8478</v>
      </c>
      <c r="C2331" s="40" t="s">
        <v>531</v>
      </c>
      <c r="D2331" s="44">
        <v>2029</v>
      </c>
      <c r="E2331" s="44"/>
      <c r="F2331" s="90" t="s">
        <v>2222</v>
      </c>
      <c r="G2331" s="90" t="s">
        <v>1259</v>
      </c>
      <c r="H2331" s="40" t="s">
        <v>467</v>
      </c>
      <c r="I2331" s="40" t="s">
        <v>5700</v>
      </c>
      <c r="J2331" s="90" t="s">
        <v>581</v>
      </c>
      <c r="K2331" s="40" t="s">
        <v>1243</v>
      </c>
      <c r="Z2331" s="40" t="s">
        <v>8479</v>
      </c>
      <c r="AA2331" s="91">
        <f>600-250</f>
        <v>350</v>
      </c>
      <c r="AB2331" s="46">
        <f>IF(H2ProjectDB689571011[[#This Row],[Dummy_1]]="Electrolysis",
AA2331/VLOOKUP(G2331,ElectrolysisConvF,3,FALSE),
AC2331*10^6/(H2dens*HoursInYear))</f>
        <v>77777.777777777781</v>
      </c>
      <c r="AC2331" s="47">
        <f t="shared" si="164"/>
        <v>60.638666666666673</v>
      </c>
      <c r="AE2331" s="46">
        <f t="shared" si="163"/>
        <v>77777.777777777781</v>
      </c>
      <c r="AG2331" s="43">
        <v>68.439028458493496</v>
      </c>
      <c r="AH2331" s="43">
        <v>17.4231920549209</v>
      </c>
      <c r="AI2331" s="122" t="s">
        <v>7286</v>
      </c>
      <c r="AJ2331" s="41">
        <v>0.7</v>
      </c>
    </row>
    <row r="2332" spans="1:36" ht="37.5" hidden="1" customHeight="1" x14ac:dyDescent="0.25">
      <c r="A2332" s="40">
        <v>3047</v>
      </c>
      <c r="B2332" s="40" t="s">
        <v>8480</v>
      </c>
      <c r="C2332" s="40" t="s">
        <v>540</v>
      </c>
      <c r="D2332" s="44">
        <v>2025</v>
      </c>
      <c r="E2332" s="44"/>
      <c r="F2332" s="40" t="s">
        <v>5701</v>
      </c>
      <c r="G2332" s="40" t="s">
        <v>455</v>
      </c>
      <c r="I2332" s="40" t="s">
        <v>1257</v>
      </c>
      <c r="K2332" s="40" t="s">
        <v>578</v>
      </c>
      <c r="R2332" s="40">
        <v>1</v>
      </c>
      <c r="Z2332" s="40" t="s">
        <v>1368</v>
      </c>
      <c r="AA2332" s="91">
        <v>2</v>
      </c>
      <c r="AB2332" s="46">
        <f>IF(H2ProjectDB689571011[[#This Row],[Dummy_1]]="Electrolysis",
AA2332/VLOOKUP(G2332,ElectrolysisConvF,3,FALSE),
AC2332*10^6/(H2dens*HoursInYear))</f>
        <v>384.61538461538464</v>
      </c>
      <c r="AC2332" s="47">
        <f t="shared" si="164"/>
        <v>0.29986153846153851</v>
      </c>
      <c r="AE2332" s="46">
        <f t="shared" si="163"/>
        <v>384.61538461538464</v>
      </c>
      <c r="AG2332" s="43">
        <v>47.396244884006101</v>
      </c>
      <c r="AH2332" s="43">
        <v>11.7797860313073</v>
      </c>
      <c r="AI2332" s="122" t="s">
        <v>7286</v>
      </c>
      <c r="AJ2332" s="41">
        <v>0.56999999999999995</v>
      </c>
    </row>
    <row r="2333" spans="1:36" ht="37.5" hidden="1" customHeight="1" x14ac:dyDescent="0.25">
      <c r="A2333" s="40">
        <v>3048</v>
      </c>
      <c r="B2333" s="40" t="s">
        <v>8482</v>
      </c>
      <c r="C2333" s="40" t="s">
        <v>542</v>
      </c>
      <c r="D2333" s="44">
        <v>2028</v>
      </c>
      <c r="E2333" s="44"/>
      <c r="F2333" s="40" t="s">
        <v>2222</v>
      </c>
      <c r="G2333" s="40" t="s">
        <v>1259</v>
      </c>
      <c r="H2333" s="40" t="s">
        <v>467</v>
      </c>
      <c r="I2333" s="40" t="s">
        <v>1257</v>
      </c>
      <c r="K2333" s="40" t="s">
        <v>578</v>
      </c>
      <c r="Z2333" s="40" t="s">
        <v>1344</v>
      </c>
      <c r="AA2333" s="91">
        <v>20</v>
      </c>
      <c r="AB2333" s="46">
        <f>IF(H2ProjectDB689571011[[#This Row],[Dummy_1]]="Electrolysis",
AA2333/VLOOKUP(G2333,ElectrolysisConvF,3,FALSE),
AC2333*10^6/(H2dens*HoursInYear))</f>
        <v>4444.4444444444443</v>
      </c>
      <c r="AC2333" s="47">
        <f t="shared" si="164"/>
        <v>3.4650666666666665</v>
      </c>
      <c r="AE2333" s="46">
        <f t="shared" si="163"/>
        <v>4444.4444444444443</v>
      </c>
      <c r="AG2333" s="43">
        <v>55.4242923997855</v>
      </c>
      <c r="AH2333" s="43">
        <v>-5.6123197875192403</v>
      </c>
      <c r="AI2333" s="122" t="s">
        <v>7286</v>
      </c>
      <c r="AJ2333" s="41">
        <v>0.56999999999999995</v>
      </c>
    </row>
    <row r="2334" spans="1:36" ht="37.5" hidden="1" customHeight="1" x14ac:dyDescent="0.25">
      <c r="A2334" s="40">
        <v>3049</v>
      </c>
      <c r="B2334" s="40" t="s">
        <v>8484</v>
      </c>
      <c r="C2334" s="40" t="s">
        <v>542</v>
      </c>
      <c r="D2334" s="44">
        <v>2030</v>
      </c>
      <c r="E2334" s="44"/>
      <c r="F2334" s="90" t="s">
        <v>2222</v>
      </c>
      <c r="G2334" s="90" t="s">
        <v>1259</v>
      </c>
      <c r="H2334" s="90" t="s">
        <v>467</v>
      </c>
      <c r="I2334" s="90" t="s">
        <v>1269</v>
      </c>
      <c r="J2334" s="90" t="s">
        <v>581</v>
      </c>
      <c r="K2334" s="90" t="s">
        <v>578</v>
      </c>
      <c r="P2334" s="40">
        <v>1</v>
      </c>
      <c r="Q2334" s="40">
        <v>1</v>
      </c>
      <c r="Z2334" s="40" t="s">
        <v>8486</v>
      </c>
      <c r="AA2334" s="47">
        <f>280.6-AA1628</f>
        <v>270</v>
      </c>
      <c r="AB2334" s="46">
        <f>IF(H2ProjectDB689571011[[#This Row],[Dummy_1]]="Electrolysis",
AA2334/VLOOKUP(G2334,ElectrolysisConvF,3,FALSE),
AC2334*10^6/(H2dens*HoursInYear))</f>
        <v>60000.000000000007</v>
      </c>
      <c r="AC2334" s="47">
        <f t="shared" si="164"/>
        <v>46.778399999999998</v>
      </c>
      <c r="AE2334" s="46">
        <f t="shared" si="163"/>
        <v>60000.000000000007</v>
      </c>
      <c r="AG2334" s="43">
        <v>57.682156449099097</v>
      </c>
      <c r="AH2334" s="43">
        <v>-4.0336844164554204</v>
      </c>
      <c r="AI2334" s="122" t="s">
        <v>7286</v>
      </c>
      <c r="AJ2334" s="41">
        <v>0.5</v>
      </c>
    </row>
    <row r="2335" spans="1:36" ht="37.5" hidden="1" customHeight="1" x14ac:dyDescent="0.25">
      <c r="A2335" s="40">
        <v>3050</v>
      </c>
      <c r="B2335" s="40" t="s">
        <v>8487</v>
      </c>
      <c r="C2335" s="40" t="s">
        <v>542</v>
      </c>
      <c r="D2335" s="44">
        <v>2028</v>
      </c>
      <c r="E2335" s="44"/>
      <c r="F2335" s="40" t="s">
        <v>5701</v>
      </c>
      <c r="G2335" s="40" t="s">
        <v>457</v>
      </c>
      <c r="I2335" s="40" t="s">
        <v>2022</v>
      </c>
      <c r="K2335" s="40" t="s">
        <v>578</v>
      </c>
      <c r="R2335" s="40">
        <v>1</v>
      </c>
      <c r="Z2335" s="40" t="s">
        <v>1333</v>
      </c>
      <c r="AA2335" s="45">
        <v>10</v>
      </c>
      <c r="AB2335" s="46">
        <f>IF(H2ProjectDB689571011[[#This Row],[Dummy_1]]="Electrolysis",
AA2335/VLOOKUP(G2335,ElectrolysisConvF,3,FALSE),
AC2335*10^6/(H2dens*HoursInYear))</f>
        <v>2173.913043478261</v>
      </c>
      <c r="AC2335" s="47">
        <f t="shared" si="164"/>
        <v>1.6948695652173913</v>
      </c>
      <c r="AE2335" s="46">
        <f t="shared" si="163"/>
        <v>2173.913043478261</v>
      </c>
      <c r="AG2335" s="43">
        <v>51.616424930774798</v>
      </c>
      <c r="AH2335" s="43">
        <v>-1.2499113724324999</v>
      </c>
      <c r="AI2335" s="122" t="s">
        <v>7286</v>
      </c>
      <c r="AJ2335" s="41">
        <v>0.56999999999999995</v>
      </c>
    </row>
    <row r="2336" spans="1:36" ht="37.5" hidden="1" customHeight="1" x14ac:dyDescent="0.25">
      <c r="A2336" s="40">
        <v>3051</v>
      </c>
      <c r="B2336" s="40" t="s">
        <v>8488</v>
      </c>
      <c r="C2336" s="40" t="s">
        <v>542</v>
      </c>
      <c r="D2336" s="44">
        <v>2028</v>
      </c>
      <c r="E2336" s="44"/>
      <c r="F2336" s="40" t="s">
        <v>1331</v>
      </c>
      <c r="G2336" s="40" t="s">
        <v>1259</v>
      </c>
      <c r="H2336" s="40" t="s">
        <v>467</v>
      </c>
      <c r="I2336" s="40" t="s">
        <v>1257</v>
      </c>
      <c r="K2336" s="40" t="s">
        <v>578</v>
      </c>
      <c r="U2336" s="40">
        <v>1</v>
      </c>
      <c r="Z2336" s="40" t="s">
        <v>1485</v>
      </c>
      <c r="AA2336" s="45">
        <v>100</v>
      </c>
      <c r="AB2336" s="46">
        <f>IF(H2ProjectDB689571011[[#This Row],[Dummy_1]]="Electrolysis",
AA2336/VLOOKUP(G2336,ElectrolysisConvF,3,FALSE),
AC2336*10^6/(H2dens*HoursInYear))</f>
        <v>22222.222222222223</v>
      </c>
      <c r="AC2336" s="47">
        <f t="shared" si="164"/>
        <v>17.325333333333333</v>
      </c>
      <c r="AE2336" s="46">
        <f t="shared" si="163"/>
        <v>22222.222222222223</v>
      </c>
      <c r="AG2336" s="43">
        <v>56.206908131846198</v>
      </c>
      <c r="AH2336" s="43">
        <v>-3.1701612044009102</v>
      </c>
      <c r="AI2336" s="122" t="s">
        <v>7286</v>
      </c>
      <c r="AJ2336" s="41">
        <v>0.56999999999999995</v>
      </c>
    </row>
    <row r="2337" spans="1:36" ht="37.5" hidden="1" customHeight="1" x14ac:dyDescent="0.25">
      <c r="A2337" s="40">
        <v>3052</v>
      </c>
      <c r="B2337" s="40" t="s">
        <v>8489</v>
      </c>
      <c r="C2337" s="40" t="s">
        <v>542</v>
      </c>
      <c r="D2337" s="44">
        <v>2028</v>
      </c>
      <c r="E2337" s="44"/>
      <c r="F2337" s="40" t="s">
        <v>2222</v>
      </c>
      <c r="G2337" s="40" t="s">
        <v>1259</v>
      </c>
      <c r="H2337" s="40" t="s">
        <v>467</v>
      </c>
      <c r="I2337" s="40" t="s">
        <v>1257</v>
      </c>
      <c r="J2337" s="40" t="str">
        <f>IF(I2337&lt;&gt;"Dedicated renewable","N/A",)</f>
        <v>N/A</v>
      </c>
      <c r="K2337" s="40" t="s">
        <v>578</v>
      </c>
      <c r="Z2337" s="40" t="s">
        <v>1344</v>
      </c>
      <c r="AA2337" s="91">
        <v>20</v>
      </c>
      <c r="AB2337" s="46">
        <f>IF(H2ProjectDB689571011[[#This Row],[Dummy_1]]="Electrolysis",
AA2337/VLOOKUP(G2337,ElectrolysisConvF,3,FALSE),
AC2337*10^6/(H2dens*HoursInYear))</f>
        <v>4444.4444444444443</v>
      </c>
      <c r="AC2337" s="47">
        <f t="shared" si="164"/>
        <v>3.4650666666666665</v>
      </c>
      <c r="AE2337" s="46">
        <f t="shared" si="163"/>
        <v>4444.4444444444443</v>
      </c>
      <c r="AG2337" s="43">
        <v>0</v>
      </c>
      <c r="AH2337" s="43">
        <v>0</v>
      </c>
      <c r="AI2337" s="122" t="s">
        <v>7286</v>
      </c>
      <c r="AJ2337" s="41">
        <v>0.56999999999999995</v>
      </c>
    </row>
    <row r="2338" spans="1:36" ht="36.6" hidden="1" customHeight="1" x14ac:dyDescent="0.25">
      <c r="A2338" s="40">
        <v>3053</v>
      </c>
      <c r="B2338" s="40" t="s">
        <v>8491</v>
      </c>
      <c r="C2338" s="40" t="s">
        <v>542</v>
      </c>
      <c r="D2338" s="44">
        <v>2030</v>
      </c>
      <c r="E2338" s="44"/>
      <c r="F2338" s="90" t="s">
        <v>1331</v>
      </c>
      <c r="G2338" s="90" t="s">
        <v>1259</v>
      </c>
      <c r="H2338" s="90" t="s">
        <v>467</v>
      </c>
      <c r="I2338" s="90" t="s">
        <v>1266</v>
      </c>
      <c r="K2338" s="40" t="s">
        <v>578</v>
      </c>
      <c r="Z2338" s="40" t="s">
        <v>8301</v>
      </c>
      <c r="AA2338" s="91">
        <f>310-AA1003</f>
        <v>200</v>
      </c>
      <c r="AB2338" s="46">
        <f>IF(H2ProjectDB689571011[[#This Row],[Dummy_1]]="Electrolysis",
AA2338/VLOOKUP(G2338,ElectrolysisConvF,3,FALSE),
AC2338*10^6/(H2dens*HoursInYear))</f>
        <v>44444.444444444445</v>
      </c>
      <c r="AC2338" s="92">
        <f t="shared" si="164"/>
        <v>34.650666666666666</v>
      </c>
      <c r="AE2338" s="46">
        <f t="shared" si="163"/>
        <v>44444.444444444445</v>
      </c>
      <c r="AG2338" s="43">
        <v>51.6845551518729</v>
      </c>
      <c r="AH2338" s="43">
        <v>-4.9824728448295703</v>
      </c>
      <c r="AI2338" s="122" t="s">
        <v>7286</v>
      </c>
      <c r="AJ2338" s="41">
        <v>0.56999999999999995</v>
      </c>
    </row>
    <row r="2339" spans="1:36" ht="37.5" hidden="1" customHeight="1" x14ac:dyDescent="0.25">
      <c r="A2339" s="40">
        <v>3054</v>
      </c>
      <c r="B2339" s="40" t="s">
        <v>8492</v>
      </c>
      <c r="C2339" s="40" t="s">
        <v>542</v>
      </c>
      <c r="D2339" s="44">
        <v>2030</v>
      </c>
      <c r="E2339" s="44"/>
      <c r="F2339" s="40" t="s">
        <v>1331</v>
      </c>
      <c r="G2339" s="40" t="s">
        <v>1259</v>
      </c>
      <c r="H2339" s="40" t="s">
        <v>467</v>
      </c>
      <c r="I2339" s="40" t="s">
        <v>1257</v>
      </c>
      <c r="K2339" s="40" t="s">
        <v>578</v>
      </c>
      <c r="Z2339" s="40" t="s">
        <v>1333</v>
      </c>
      <c r="AA2339" s="45">
        <v>10</v>
      </c>
      <c r="AB2339" s="46">
        <f>IF(H2ProjectDB689571011[[#This Row],[Dummy_1]]="Electrolysis",
AA2339/VLOOKUP(G2339,ElectrolysisConvF,3,FALSE),
AC2339*10^6/(H2dens*HoursInYear))</f>
        <v>2222.2222222222222</v>
      </c>
      <c r="AC2339" s="47">
        <f t="shared" si="164"/>
        <v>1.7325333333333333</v>
      </c>
      <c r="AE2339" s="46">
        <f t="shared" si="163"/>
        <v>2222.2222222222222</v>
      </c>
      <c r="AG2339" s="43">
        <v>51.459277329711</v>
      </c>
      <c r="AH2339" s="43">
        <v>0.34629699504904099</v>
      </c>
      <c r="AI2339" s="122" t="s">
        <v>7286</v>
      </c>
      <c r="AJ2339" s="41">
        <v>0.56999999999999995</v>
      </c>
    </row>
    <row r="2340" spans="1:36" ht="36" hidden="1" customHeight="1" x14ac:dyDescent="0.25">
      <c r="A2340" s="40">
        <v>3055</v>
      </c>
      <c r="B2340" s="40" t="s">
        <v>8493</v>
      </c>
      <c r="C2340" s="40" t="s">
        <v>542</v>
      </c>
      <c r="D2340" s="44"/>
      <c r="E2340" s="44"/>
      <c r="F2340" s="40" t="s">
        <v>2222</v>
      </c>
      <c r="G2340" s="40" t="s">
        <v>1259</v>
      </c>
      <c r="H2340" s="40" t="s">
        <v>467</v>
      </c>
      <c r="I2340" s="40" t="s">
        <v>1257</v>
      </c>
      <c r="K2340" s="40" t="s">
        <v>578</v>
      </c>
      <c r="Z2340" s="40" t="s">
        <v>1485</v>
      </c>
      <c r="AA2340" s="45">
        <f>100-AA2339</f>
        <v>90</v>
      </c>
      <c r="AB2340" s="46">
        <f>IF(H2ProjectDB689571011[[#This Row],[Dummy_1]]="Electrolysis",
AA2340/VLOOKUP(G2340,ElectrolysisConvF,3,FALSE),
AC2340*10^6/(H2dens*HoursInYear))</f>
        <v>20000</v>
      </c>
      <c r="AC2340" s="47">
        <f t="shared" si="164"/>
        <v>15.5928</v>
      </c>
      <c r="AE2340" s="46">
        <f t="shared" si="163"/>
        <v>20000</v>
      </c>
      <c r="AG2340" s="43">
        <v>51.459277329711</v>
      </c>
      <c r="AH2340" s="43">
        <v>0.34629699504904099</v>
      </c>
      <c r="AI2340" s="122" t="s">
        <v>7286</v>
      </c>
      <c r="AJ2340" s="41">
        <v>0.56999999999999995</v>
      </c>
    </row>
    <row r="2341" spans="1:36" ht="36" hidden="1" customHeight="1" x14ac:dyDescent="0.25">
      <c r="A2341" s="40">
        <v>3056</v>
      </c>
      <c r="B2341" s="40" t="s">
        <v>8494</v>
      </c>
      <c r="C2341" s="40" t="s">
        <v>542</v>
      </c>
      <c r="D2341" s="44">
        <v>2029</v>
      </c>
      <c r="E2341" s="44"/>
      <c r="F2341" s="40" t="s">
        <v>1331</v>
      </c>
      <c r="G2341" s="40" t="s">
        <v>1259</v>
      </c>
      <c r="H2341" s="40" t="s">
        <v>467</v>
      </c>
      <c r="I2341" s="40" t="s">
        <v>1257</v>
      </c>
      <c r="K2341" s="40" t="s">
        <v>578</v>
      </c>
      <c r="L2341" s="40">
        <v>1</v>
      </c>
      <c r="P2341" s="40">
        <v>1</v>
      </c>
      <c r="Z2341" s="40" t="s">
        <v>1574</v>
      </c>
      <c r="AA2341" s="45">
        <v>200</v>
      </c>
      <c r="AB2341" s="46">
        <f>IF(H2ProjectDB689571011[[#This Row],[Dummy_1]]="Electrolysis",
AA2341/VLOOKUP(G2341,ElectrolysisConvF,3,FALSE),
AC2341*10^6/(H2dens*HoursInYear))</f>
        <v>44444.444444444445</v>
      </c>
      <c r="AC2341" s="47">
        <f t="shared" si="164"/>
        <v>34.650666666666666</v>
      </c>
      <c r="AE2341" s="46">
        <f t="shared" si="163"/>
        <v>44444.444444444445</v>
      </c>
      <c r="AF2341" s="43" t="s">
        <v>8498</v>
      </c>
      <c r="AG2341" s="43">
        <v>56.022473399973101</v>
      </c>
      <c r="AH2341" s="43">
        <v>-3.7072495845918998</v>
      </c>
      <c r="AI2341" s="122" t="s">
        <v>7286</v>
      </c>
      <c r="AJ2341" s="41">
        <v>0.56999999999999995</v>
      </c>
    </row>
    <row r="2342" spans="1:36" ht="36" hidden="1" customHeight="1" x14ac:dyDescent="0.25">
      <c r="A2342" s="40">
        <v>3057</v>
      </c>
      <c r="B2342" s="40" t="s">
        <v>8495</v>
      </c>
      <c r="C2342" s="40" t="s">
        <v>542</v>
      </c>
      <c r="D2342" s="44">
        <v>2028</v>
      </c>
      <c r="E2342" s="44"/>
      <c r="F2342" s="40" t="s">
        <v>2222</v>
      </c>
      <c r="G2342" s="40" t="s">
        <v>1259</v>
      </c>
      <c r="H2342" s="40" t="s">
        <v>467</v>
      </c>
      <c r="I2342" s="40" t="s">
        <v>1257</v>
      </c>
      <c r="K2342" s="40" t="s">
        <v>578</v>
      </c>
      <c r="Z2342" s="40" t="s">
        <v>1344</v>
      </c>
      <c r="AA2342" s="91">
        <v>20</v>
      </c>
      <c r="AB2342" s="46">
        <f>IF(H2ProjectDB689571011[[#This Row],[Dummy_1]]="Electrolysis",
AA2342/VLOOKUP(G2342,ElectrolysisConvF,3,FALSE),
AC2342*10^6/(H2dens*HoursInYear))</f>
        <v>4444.4444444444443</v>
      </c>
      <c r="AC2342" s="47">
        <f t="shared" si="164"/>
        <v>3.4650666666666665</v>
      </c>
      <c r="AE2342" s="46">
        <f t="shared" si="163"/>
        <v>4444.4444444444443</v>
      </c>
      <c r="AG2342" s="43">
        <v>58.209443745164002</v>
      </c>
      <c r="AH2342" s="43">
        <v>-6.3749795972114098</v>
      </c>
      <c r="AI2342" s="122" t="s">
        <v>7286</v>
      </c>
      <c r="AJ2342" s="41">
        <v>0.56999999999999995</v>
      </c>
    </row>
    <row r="2343" spans="1:36" ht="36" hidden="1" customHeight="1" x14ac:dyDescent="0.25">
      <c r="A2343" s="40">
        <v>3058</v>
      </c>
      <c r="B2343" s="40" t="s">
        <v>8496</v>
      </c>
      <c r="C2343" s="40" t="s">
        <v>542</v>
      </c>
      <c r="D2343" s="44">
        <v>2028</v>
      </c>
      <c r="E2343" s="44"/>
      <c r="F2343" s="40" t="s">
        <v>2222</v>
      </c>
      <c r="G2343" s="40" t="s">
        <v>1259</v>
      </c>
      <c r="H2343" s="40" t="s">
        <v>467</v>
      </c>
      <c r="I2343" s="40" t="s">
        <v>1257</v>
      </c>
      <c r="K2343" s="40" t="s">
        <v>578</v>
      </c>
      <c r="Z2343" s="40" t="s">
        <v>1344</v>
      </c>
      <c r="AA2343" s="91">
        <v>20</v>
      </c>
      <c r="AB2343" s="46">
        <f>IF(H2ProjectDB689571011[[#This Row],[Dummy_1]]="Electrolysis",
AA2343/VLOOKUP(G2343,ElectrolysisConvF,3,FALSE),
AC2343*10^6/(H2dens*HoursInYear))</f>
        <v>4444.4444444444443</v>
      </c>
      <c r="AC2343" s="47">
        <f t="shared" si="164"/>
        <v>3.4650666666666665</v>
      </c>
      <c r="AE2343" s="46">
        <f t="shared" si="163"/>
        <v>4444.4444444444443</v>
      </c>
      <c r="AG2343" s="43">
        <v>58.209443745164002</v>
      </c>
      <c r="AH2343" s="43">
        <v>-6.3749795972114098</v>
      </c>
      <c r="AI2343" s="122" t="s">
        <v>7286</v>
      </c>
      <c r="AJ2343" s="41">
        <v>0.56999999999999995</v>
      </c>
    </row>
    <row r="2344" spans="1:36" ht="36" hidden="1" customHeight="1" x14ac:dyDescent="0.25">
      <c r="A2344" s="40">
        <v>3059</v>
      </c>
      <c r="B2344" s="40" t="s">
        <v>8497</v>
      </c>
      <c r="C2344" s="40" t="s">
        <v>542</v>
      </c>
      <c r="D2344" s="44">
        <v>2028</v>
      </c>
      <c r="E2344" s="44"/>
      <c r="F2344" s="40" t="s">
        <v>2222</v>
      </c>
      <c r="G2344" s="40" t="s">
        <v>1259</v>
      </c>
      <c r="H2344" s="40" t="s">
        <v>467</v>
      </c>
      <c r="I2344" s="40" t="s">
        <v>1257</v>
      </c>
      <c r="K2344" s="40" t="s">
        <v>578</v>
      </c>
      <c r="Z2344" s="40" t="s">
        <v>1344</v>
      </c>
      <c r="AA2344" s="91">
        <v>20</v>
      </c>
      <c r="AB2344" s="46">
        <f>IF(H2ProjectDB689571011[[#This Row],[Dummy_1]]="Electrolysis",
AA2344/VLOOKUP(G2344,ElectrolysisConvF,3,FALSE),
AC2344*10^6/(H2dens*HoursInYear))</f>
        <v>4444.4444444444443</v>
      </c>
      <c r="AC2344" s="47">
        <f t="shared" si="164"/>
        <v>3.4650666666666665</v>
      </c>
      <c r="AE2344" s="46">
        <f t="shared" si="163"/>
        <v>4444.4444444444443</v>
      </c>
      <c r="AG2344" s="43">
        <v>58.4343059099618</v>
      </c>
      <c r="AH2344" s="43">
        <v>-3.09907292026725</v>
      </c>
      <c r="AI2344" s="122" t="s">
        <v>7286</v>
      </c>
      <c r="AJ2344" s="41">
        <v>0.56999999999999995</v>
      </c>
    </row>
    <row r="2345" spans="1:36" ht="36" hidden="1" customHeight="1" x14ac:dyDescent="0.25">
      <c r="A2345" s="40">
        <v>3060</v>
      </c>
      <c r="B2345" s="40" t="s">
        <v>8500</v>
      </c>
      <c r="C2345" s="40" t="s">
        <v>542</v>
      </c>
      <c r="D2345" s="44">
        <v>2034</v>
      </c>
      <c r="E2345" s="44"/>
      <c r="F2345" s="40" t="s">
        <v>2222</v>
      </c>
      <c r="G2345" s="40" t="s">
        <v>1259</v>
      </c>
      <c r="H2345" s="40" t="s">
        <v>467</v>
      </c>
      <c r="I2345" s="40" t="s">
        <v>1269</v>
      </c>
      <c r="J2345" s="40" t="s">
        <v>1393</v>
      </c>
      <c r="K2345" s="40" t="s">
        <v>578</v>
      </c>
      <c r="Z2345" s="40" t="s">
        <v>8501</v>
      </c>
      <c r="AA2345" s="45">
        <f>4000-AA645-AA644</f>
        <v>3900</v>
      </c>
      <c r="AB2345" s="46">
        <f>IF(H2ProjectDB689571011[[#This Row],[Dummy_1]]="Electrolysis",
AA2345/VLOOKUP(G2345,ElectrolysisConvF,3,FALSE),
AC2345*10^6/(H2dens*HoursInYear))</f>
        <v>866666.66666666674</v>
      </c>
      <c r="AC2345" s="47">
        <f t="shared" si="164"/>
        <v>675.6880000000001</v>
      </c>
      <c r="AE2345" s="46">
        <f t="shared" si="163"/>
        <v>866666.66666666674</v>
      </c>
      <c r="AG2345" s="43">
        <v>57.065208310523403</v>
      </c>
      <c r="AH2345" s="43">
        <v>-1.8982876299373499</v>
      </c>
      <c r="AI2345" s="122" t="s">
        <v>7286</v>
      </c>
      <c r="AJ2345" s="41">
        <v>0.55000000000000004</v>
      </c>
    </row>
    <row r="2346" spans="1:36" ht="36" hidden="1" customHeight="1" x14ac:dyDescent="0.25">
      <c r="A2346" s="40">
        <v>3061</v>
      </c>
      <c r="B2346" s="40" t="s">
        <v>8504</v>
      </c>
      <c r="C2346" s="40" t="s">
        <v>542</v>
      </c>
      <c r="D2346" s="44">
        <v>2025</v>
      </c>
      <c r="E2346" s="44"/>
      <c r="F2346" s="90" t="s">
        <v>5701</v>
      </c>
      <c r="G2346" s="90" t="s">
        <v>1259</v>
      </c>
      <c r="H2346" s="40" t="s">
        <v>467</v>
      </c>
      <c r="I2346" s="90" t="s">
        <v>1269</v>
      </c>
      <c r="J2346" s="90" t="s">
        <v>581</v>
      </c>
      <c r="K2346" s="40" t="s">
        <v>578</v>
      </c>
      <c r="Q2346" s="40">
        <v>1</v>
      </c>
      <c r="Z2346" s="40" t="s">
        <v>3158</v>
      </c>
      <c r="AA2346" s="91">
        <v>15</v>
      </c>
      <c r="AB2346" s="46">
        <f>IF(H2ProjectDB689571011[[#This Row],[Dummy_1]]="Electrolysis",
AA2346/VLOOKUP(G2346,ElectrolysisConvF,3,FALSE),
AC2346*10^6/(H2dens*HoursInYear))</f>
        <v>3333.3333333333335</v>
      </c>
      <c r="AC2346" s="47">
        <f t="shared" si="164"/>
        <v>2.5988000000000002</v>
      </c>
      <c r="AE2346" s="46">
        <f t="shared" si="163"/>
        <v>3333.3333333333335</v>
      </c>
      <c r="AG2346" s="43">
        <v>55.6703523182466</v>
      </c>
      <c r="AH2346" s="43">
        <v>-3.78202922197223</v>
      </c>
      <c r="AI2346" s="122" t="s">
        <v>7286</v>
      </c>
      <c r="AJ2346" s="41">
        <v>0.5</v>
      </c>
    </row>
    <row r="2347" spans="1:36" ht="36" hidden="1" customHeight="1" x14ac:dyDescent="0.25">
      <c r="A2347" s="40">
        <v>3062</v>
      </c>
      <c r="B2347" s="40" t="s">
        <v>8505</v>
      </c>
      <c r="C2347" s="40" t="s">
        <v>542</v>
      </c>
      <c r="D2347" s="44">
        <v>2026</v>
      </c>
      <c r="E2347" s="44"/>
      <c r="F2347" s="90" t="s">
        <v>1331</v>
      </c>
      <c r="G2347" s="90" t="s">
        <v>1259</v>
      </c>
      <c r="H2347" s="40" t="s">
        <v>467</v>
      </c>
      <c r="I2347" s="90" t="s">
        <v>1269</v>
      </c>
      <c r="J2347" s="90" t="s">
        <v>581</v>
      </c>
      <c r="K2347" s="40" t="s">
        <v>578</v>
      </c>
      <c r="P2347" s="40">
        <v>1</v>
      </c>
      <c r="Z2347" s="40" t="s">
        <v>8506</v>
      </c>
      <c r="AA2347" s="91">
        <v>11</v>
      </c>
      <c r="AB2347" s="46">
        <f>IF(H2ProjectDB689571011[[#This Row],[Dummy_1]]="Electrolysis",
AA2347/VLOOKUP(G2347,ElectrolysisConvF,3,FALSE),
AC2347*10^6/(H2dens*HoursInYear))</f>
        <v>2444.4444444444448</v>
      </c>
      <c r="AC2347" s="47">
        <f t="shared" si="164"/>
        <v>1.9057866666666667</v>
      </c>
      <c r="AE2347" s="46">
        <f t="shared" si="163"/>
        <v>2444.4444444444448</v>
      </c>
      <c r="AG2347" s="43">
        <v>53.243336056415103</v>
      </c>
      <c r="AH2347" s="43">
        <v>-3.1491343874673499</v>
      </c>
      <c r="AI2347" s="122" t="s">
        <v>7286</v>
      </c>
      <c r="AJ2347" s="41">
        <v>0.5</v>
      </c>
    </row>
    <row r="2348" spans="1:36" ht="36" hidden="1" customHeight="1" x14ac:dyDescent="0.25">
      <c r="A2348" s="40">
        <v>3063</v>
      </c>
      <c r="B2348" s="40" t="s">
        <v>8509</v>
      </c>
      <c r="C2348" s="40" t="s">
        <v>542</v>
      </c>
      <c r="D2348" s="44">
        <v>2028</v>
      </c>
      <c r="E2348" s="44"/>
      <c r="F2348" s="40" t="s">
        <v>1331</v>
      </c>
      <c r="G2348" s="40" t="s">
        <v>455</v>
      </c>
      <c r="I2348" s="40" t="s">
        <v>5700</v>
      </c>
      <c r="J2348" s="40" t="s">
        <v>1392</v>
      </c>
      <c r="K2348" s="40" t="s">
        <v>578</v>
      </c>
      <c r="Q2348" s="40">
        <v>1</v>
      </c>
      <c r="Z2348" s="40" t="s">
        <v>8597</v>
      </c>
      <c r="AA2348" s="45">
        <f>20.1-AA246</f>
        <v>13.000000000000002</v>
      </c>
      <c r="AB2348" s="46">
        <f>IF(H2ProjectDB689571011[[#This Row],[Dummy_1]]="Electrolysis",
AA2348/VLOOKUP(G2348,ElectrolysisConvF,3,FALSE),
AC2348*10^6/(H2dens*HoursInYear))</f>
        <v>2500.0000000000005</v>
      </c>
      <c r="AC2348" s="47">
        <f t="shared" si="164"/>
        <v>1.9491000000000003</v>
      </c>
      <c r="AE2348" s="46">
        <f t="shared" si="163"/>
        <v>2500.0000000000005</v>
      </c>
      <c r="AG2348" s="43">
        <v>55.712491555895802</v>
      </c>
      <c r="AH2348" s="43">
        <v>-4.34173242427328</v>
      </c>
      <c r="AI2348" s="122" t="s">
        <v>7286</v>
      </c>
      <c r="AJ2348" s="41">
        <v>0.7</v>
      </c>
    </row>
    <row r="2349" spans="1:36" ht="36" hidden="1" customHeight="1" x14ac:dyDescent="0.25">
      <c r="A2349" s="40">
        <v>3064</v>
      </c>
      <c r="B2349" s="40" t="s">
        <v>8510</v>
      </c>
      <c r="C2349" s="40" t="s">
        <v>542</v>
      </c>
      <c r="D2349" s="44">
        <v>2026</v>
      </c>
      <c r="E2349" s="44"/>
      <c r="F2349" s="40" t="s">
        <v>5701</v>
      </c>
      <c r="G2349" s="40" t="s">
        <v>455</v>
      </c>
      <c r="I2349" s="40" t="s">
        <v>1257</v>
      </c>
      <c r="K2349" s="40" t="s">
        <v>578</v>
      </c>
      <c r="P2349" s="40">
        <v>1</v>
      </c>
      <c r="Z2349" s="40" t="s">
        <v>2705</v>
      </c>
      <c r="AA2349" s="91">
        <v>7.5</v>
      </c>
      <c r="AB2349" s="46">
        <f>IF(H2ProjectDB689571011[[#This Row],[Dummy_1]]="Electrolysis",
AA2349/VLOOKUP(G2349,ElectrolysisConvF,3,FALSE),
AC2349*10^6/(H2dens*HoursInYear))</f>
        <v>1442.3076923076924</v>
      </c>
      <c r="AC2349" s="47">
        <f t="shared" si="164"/>
        <v>1.1244807692307692</v>
      </c>
      <c r="AE2349" s="46">
        <f t="shared" si="163"/>
        <v>1442.3076923076924</v>
      </c>
      <c r="AF2349" s="43" t="s">
        <v>8517</v>
      </c>
      <c r="AG2349" s="43">
        <v>53.188095334226198</v>
      </c>
      <c r="AH2349" s="43">
        <v>-2.4431168749666998</v>
      </c>
      <c r="AI2349" s="122" t="s">
        <v>7286</v>
      </c>
      <c r="AJ2349" s="41">
        <v>0.56999999999999995</v>
      </c>
    </row>
    <row r="2350" spans="1:36" ht="36" hidden="1" customHeight="1" x14ac:dyDescent="0.25">
      <c r="A2350" s="40">
        <v>3065</v>
      </c>
      <c r="B2350" s="40" t="s">
        <v>8511</v>
      </c>
      <c r="C2350" s="40" t="s">
        <v>542</v>
      </c>
      <c r="D2350" s="44">
        <v>2028</v>
      </c>
      <c r="E2350" s="44"/>
      <c r="F2350" s="40" t="s">
        <v>5701</v>
      </c>
      <c r="G2350" s="40" t="s">
        <v>455</v>
      </c>
      <c r="I2350" s="40" t="s">
        <v>1257</v>
      </c>
      <c r="K2350" s="40" t="s">
        <v>578</v>
      </c>
      <c r="AA2350" s="47">
        <f>IF(OR(G2350="ALK",G2350="PEM",G2350="SOEC",G2350="Other Electrolysis"),
AB2350*VLOOKUP(G2350,ElectrolysisConvF,3,FALSE),
"")</f>
        <v>0</v>
      </c>
      <c r="AE2350" s="46">
        <f t="shared" si="163"/>
        <v>0</v>
      </c>
      <c r="AF2350" s="43" t="s">
        <v>8517</v>
      </c>
      <c r="AG2350" s="43">
        <v>53.351875067108999</v>
      </c>
      <c r="AH2350" s="43">
        <v>-2.8531979734720001</v>
      </c>
      <c r="AI2350" s="122" t="s">
        <v>7286</v>
      </c>
      <c r="AJ2350" s="41">
        <v>0.56999999999999995</v>
      </c>
    </row>
    <row r="2351" spans="1:36" ht="36" hidden="1" customHeight="1" x14ac:dyDescent="0.25">
      <c r="A2351" s="40">
        <v>3066</v>
      </c>
      <c r="B2351" s="40" t="s">
        <v>8512</v>
      </c>
      <c r="C2351" s="40" t="s">
        <v>542</v>
      </c>
      <c r="D2351" s="44">
        <v>2026</v>
      </c>
      <c r="E2351" s="44"/>
      <c r="F2351" s="40" t="s">
        <v>5701</v>
      </c>
      <c r="G2351" s="40" t="s">
        <v>455</v>
      </c>
      <c r="I2351" s="40" t="s">
        <v>1257</v>
      </c>
      <c r="K2351" s="40" t="s">
        <v>578</v>
      </c>
      <c r="P2351" s="40">
        <v>1</v>
      </c>
      <c r="Z2351" s="40" t="s">
        <v>2705</v>
      </c>
      <c r="AA2351" s="91">
        <v>7.5</v>
      </c>
      <c r="AB2351" s="46">
        <f>IF(H2ProjectDB689571011[[#This Row],[Dummy_1]]="Electrolysis",
AA2351/VLOOKUP(G2351,ElectrolysisConvF,3,FALSE),
AC2351*10^6/(H2dens*HoursInYear))</f>
        <v>1442.3076923076924</v>
      </c>
      <c r="AC2351" s="47">
        <f>AB2351*H2dens*HoursInYear/10^6</f>
        <v>1.1244807692307692</v>
      </c>
      <c r="AE2351" s="46">
        <f t="shared" si="163"/>
        <v>1442.3076923076924</v>
      </c>
      <c r="AF2351" s="43" t="s">
        <v>8517</v>
      </c>
      <c r="AG2351" s="43">
        <v>53.456769711117303</v>
      </c>
      <c r="AH2351" s="43">
        <v>-2.7056387129323101</v>
      </c>
      <c r="AI2351" s="122" t="s">
        <v>7286</v>
      </c>
      <c r="AJ2351" s="41">
        <v>0.56999999999999995</v>
      </c>
    </row>
    <row r="2352" spans="1:36" ht="36" hidden="1" customHeight="1" x14ac:dyDescent="0.25">
      <c r="A2352" s="40">
        <v>3067</v>
      </c>
      <c r="B2352" s="40" t="s">
        <v>8513</v>
      </c>
      <c r="C2352" s="40" t="s">
        <v>542</v>
      </c>
      <c r="D2352" s="44">
        <v>2026</v>
      </c>
      <c r="E2352" s="44"/>
      <c r="F2352" s="40" t="s">
        <v>5701</v>
      </c>
      <c r="G2352" s="40" t="s">
        <v>455</v>
      </c>
      <c r="I2352" s="40" t="s">
        <v>1257</v>
      </c>
      <c r="K2352" s="40" t="s">
        <v>578</v>
      </c>
      <c r="Z2352" s="40" t="s">
        <v>2705</v>
      </c>
      <c r="AA2352" s="91">
        <v>7.5</v>
      </c>
      <c r="AB2352" s="46">
        <f>IF(H2ProjectDB689571011[[#This Row],[Dummy_1]]="Electrolysis",
AA2352/VLOOKUP(G2352,ElectrolysisConvF,3,FALSE),
AC2352*10^6/(H2dens*HoursInYear))</f>
        <v>1442.3076923076924</v>
      </c>
      <c r="AC2352" s="47">
        <f>AB2352*H2dens*HoursInYear/10^6</f>
        <v>1.1244807692307692</v>
      </c>
      <c r="AE2352" s="46">
        <f t="shared" si="163"/>
        <v>1442.3076923076924</v>
      </c>
      <c r="AF2352" s="43" t="s">
        <v>8517</v>
      </c>
      <c r="AG2352" s="43">
        <v>53.449654579772798</v>
      </c>
      <c r="AH2352" s="43">
        <v>-2.3119109085840202</v>
      </c>
      <c r="AI2352" s="122" t="s">
        <v>7286</v>
      </c>
      <c r="AJ2352" s="41">
        <v>0.56999999999999995</v>
      </c>
    </row>
    <row r="2353" spans="1:36" ht="36" hidden="1" customHeight="1" x14ac:dyDescent="0.25">
      <c r="A2353" s="40">
        <v>3068</v>
      </c>
      <c r="B2353" s="40" t="s">
        <v>8514</v>
      </c>
      <c r="C2353" s="40" t="s">
        <v>542</v>
      </c>
      <c r="D2353" s="44">
        <v>2026</v>
      </c>
      <c r="E2353" s="44"/>
      <c r="F2353" s="40" t="s">
        <v>5701</v>
      </c>
      <c r="G2353" s="40" t="s">
        <v>455</v>
      </c>
      <c r="I2353" s="40" t="s">
        <v>1257</v>
      </c>
      <c r="K2353" s="40" t="s">
        <v>578</v>
      </c>
      <c r="P2353" s="40">
        <v>1</v>
      </c>
      <c r="Z2353" s="40" t="s">
        <v>2705</v>
      </c>
      <c r="AA2353" s="91">
        <v>7.5</v>
      </c>
      <c r="AB2353" s="46">
        <f>IF(H2ProjectDB689571011[[#This Row],[Dummy_1]]="Electrolysis",
AA2353/VLOOKUP(G2353,ElectrolysisConvF,3,FALSE),
AC2353*10^6/(H2dens*HoursInYear))</f>
        <v>1442.3076923076924</v>
      </c>
      <c r="AC2353" s="47">
        <f>AB2353*H2dens*HoursInYear/10^6</f>
        <v>1.1244807692307692</v>
      </c>
      <c r="AE2353" s="46">
        <f t="shared" si="163"/>
        <v>1442.3076923076924</v>
      </c>
      <c r="AF2353" s="43" t="s">
        <v>8517</v>
      </c>
      <c r="AG2353" s="43">
        <v>53.265300344688399</v>
      </c>
      <c r="AH2353" s="43">
        <v>-2.5312980276574399</v>
      </c>
      <c r="AI2353" s="122" t="s">
        <v>7286</v>
      </c>
      <c r="AJ2353" s="41">
        <v>0.56999999999999995</v>
      </c>
    </row>
    <row r="2354" spans="1:36" ht="36" hidden="1" customHeight="1" x14ac:dyDescent="0.25">
      <c r="A2354" s="40">
        <v>3069</v>
      </c>
      <c r="B2354" s="40" t="s">
        <v>8515</v>
      </c>
      <c r="C2354" s="40" t="s">
        <v>542</v>
      </c>
      <c r="D2354" s="44">
        <v>2030</v>
      </c>
      <c r="E2354" s="44"/>
      <c r="F2354" s="40" t="s">
        <v>5701</v>
      </c>
      <c r="G2354" s="40" t="s">
        <v>455</v>
      </c>
      <c r="I2354" s="40" t="s">
        <v>1257</v>
      </c>
      <c r="K2354" s="40" t="s">
        <v>578</v>
      </c>
      <c r="AA2354" s="47">
        <f>IF(OR(G2354="ALK",G2354="PEM",G2354="SOEC",G2354="Other Electrolysis"),
AB2354*VLOOKUP(G2354,ElectrolysisConvF,3,FALSE),
"")</f>
        <v>0</v>
      </c>
      <c r="AE2354" s="46">
        <f t="shared" si="163"/>
        <v>0</v>
      </c>
      <c r="AF2354" s="43" t="s">
        <v>8517</v>
      </c>
      <c r="AG2354" s="43">
        <v>53.040327589318203</v>
      </c>
      <c r="AH2354" s="43">
        <v>-3.0110028170584902</v>
      </c>
      <c r="AI2354" s="122" t="s">
        <v>7286</v>
      </c>
      <c r="AJ2354" s="41">
        <v>0.56999999999999995</v>
      </c>
    </row>
    <row r="2355" spans="1:36" ht="36" hidden="1" customHeight="1" x14ac:dyDescent="0.25">
      <c r="A2355" s="40">
        <v>3070</v>
      </c>
      <c r="B2355" s="157" t="s">
        <v>8518</v>
      </c>
      <c r="C2355" s="40" t="s">
        <v>542</v>
      </c>
      <c r="D2355" s="44">
        <v>2028</v>
      </c>
      <c r="E2355" s="44"/>
      <c r="F2355" s="40" t="s">
        <v>1331</v>
      </c>
      <c r="G2355" s="40" t="s">
        <v>1259</v>
      </c>
      <c r="H2355" s="40" t="s">
        <v>467</v>
      </c>
      <c r="I2355" s="40" t="s">
        <v>5700</v>
      </c>
      <c r="J2355" s="157"/>
      <c r="K2355" s="157" t="s">
        <v>578</v>
      </c>
      <c r="L2355" s="157"/>
      <c r="M2355" s="157"/>
      <c r="N2355" s="157"/>
      <c r="O2355" s="157"/>
      <c r="P2355" s="157"/>
      <c r="Q2355" s="157"/>
      <c r="R2355" s="157"/>
      <c r="S2355" s="157"/>
      <c r="T2355" s="157"/>
      <c r="U2355" s="157"/>
      <c r="V2355" s="157"/>
      <c r="W2355" s="157">
        <v>1</v>
      </c>
      <c r="X2355" s="157"/>
      <c r="Y2355" s="157"/>
      <c r="Z2355" s="40" t="s">
        <v>1482</v>
      </c>
      <c r="AA2355" s="91">
        <v>1000</v>
      </c>
      <c r="AB2355" s="46">
        <f>IF(H2ProjectDB689571011[[#This Row],[Dummy_1]]="Electrolysis",
AA2355/VLOOKUP(G2355,ElectrolysisConvF,3,FALSE),
AC2355*10^6/(H2dens*HoursInYear))</f>
        <v>222222.22222222225</v>
      </c>
      <c r="AC2355" s="47">
        <f t="shared" ref="AC2355:AC2405" si="165">AB2355*H2dens*HoursInYear/10^6</f>
        <v>173.25333333333333</v>
      </c>
      <c r="AD2355" s="159"/>
      <c r="AE2355" s="159">
        <f t="shared" si="163"/>
        <v>222222.22222222225</v>
      </c>
      <c r="AF2355" s="160" t="s">
        <v>7598</v>
      </c>
      <c r="AG2355" s="43">
        <v>54.781731232572199</v>
      </c>
      <c r="AH2355" s="43">
        <v>-1.3541293769135101</v>
      </c>
      <c r="AI2355" s="122" t="s">
        <v>7286</v>
      </c>
      <c r="AJ2355" s="41">
        <v>0.7</v>
      </c>
    </row>
    <row r="2356" spans="1:36" ht="36" hidden="1" customHeight="1" x14ac:dyDescent="0.25">
      <c r="A2356" s="40">
        <v>3071</v>
      </c>
      <c r="B2356" s="157" t="s">
        <v>8521</v>
      </c>
      <c r="C2356" s="40" t="s">
        <v>542</v>
      </c>
      <c r="D2356" s="44">
        <v>2029</v>
      </c>
      <c r="E2356" s="44"/>
      <c r="F2356" s="40" t="s">
        <v>2222</v>
      </c>
      <c r="G2356" s="40" t="s">
        <v>1259</v>
      </c>
      <c r="H2356" s="40" t="s">
        <v>467</v>
      </c>
      <c r="I2356" s="40" t="s">
        <v>5700</v>
      </c>
      <c r="J2356" s="157"/>
      <c r="K2356" s="157" t="s">
        <v>578</v>
      </c>
      <c r="L2356" s="157">
        <v>1</v>
      </c>
      <c r="M2356" s="157"/>
      <c r="N2356" s="157"/>
      <c r="O2356" s="157"/>
      <c r="P2356" s="157"/>
      <c r="Q2356" s="157"/>
      <c r="R2356" s="157"/>
      <c r="S2356" s="157"/>
      <c r="T2356" s="157"/>
      <c r="U2356" s="157"/>
      <c r="V2356" s="157"/>
      <c r="W2356" s="157"/>
      <c r="X2356" s="157"/>
      <c r="Y2356" s="157"/>
      <c r="Z2356" s="40" t="s">
        <v>1527</v>
      </c>
      <c r="AA2356" s="91">
        <v>120</v>
      </c>
      <c r="AB2356" s="46">
        <f>IF(H2ProjectDB689571011[[#This Row],[Dummy_1]]="Electrolysis",
AA2356/VLOOKUP(G2356,ElectrolysisConvF,3,FALSE),
AC2356*10^6/(H2dens*HoursInYear))</f>
        <v>26666.666666666668</v>
      </c>
      <c r="AC2356" s="47">
        <f t="shared" si="165"/>
        <v>20.790400000000002</v>
      </c>
      <c r="AD2356" s="159"/>
      <c r="AE2356" s="159">
        <f t="shared" si="163"/>
        <v>26666.666666666668</v>
      </c>
      <c r="AF2356" s="43" t="s">
        <v>8520</v>
      </c>
      <c r="AG2356" s="43">
        <v>53.653267274037702</v>
      </c>
      <c r="AH2356" s="43">
        <v>-0.22854117060467499</v>
      </c>
      <c r="AI2356" s="122" t="s">
        <v>7286</v>
      </c>
      <c r="AJ2356" s="41">
        <v>0.7</v>
      </c>
    </row>
    <row r="2357" spans="1:36" ht="36" hidden="1" customHeight="1" x14ac:dyDescent="0.25">
      <c r="A2357" s="40">
        <v>3072</v>
      </c>
      <c r="B2357" s="40" t="s">
        <v>8523</v>
      </c>
      <c r="C2357" s="40" t="s">
        <v>542</v>
      </c>
      <c r="D2357" s="44">
        <v>2026</v>
      </c>
      <c r="E2357" s="44"/>
      <c r="F2357" s="40" t="s">
        <v>5701</v>
      </c>
      <c r="G2357" s="40" t="s">
        <v>1259</v>
      </c>
      <c r="H2357" s="40" t="s">
        <v>467</v>
      </c>
      <c r="I2357" s="40" t="s">
        <v>1257</v>
      </c>
      <c r="J2357" s="157"/>
      <c r="K2357" s="157" t="s">
        <v>578</v>
      </c>
      <c r="L2357" s="157"/>
      <c r="M2357" s="157"/>
      <c r="N2357" s="157"/>
      <c r="O2357" s="157"/>
      <c r="P2357" s="157"/>
      <c r="Q2357" s="157">
        <v>1</v>
      </c>
      <c r="R2357" s="157"/>
      <c r="S2357" s="157"/>
      <c r="T2357" s="157"/>
      <c r="U2357" s="157"/>
      <c r="V2357" s="157"/>
      <c r="W2357" s="157"/>
      <c r="X2357" s="157"/>
      <c r="Y2357" s="157"/>
      <c r="Z2357" s="40" t="s">
        <v>8524</v>
      </c>
      <c r="AA2357" s="91">
        <v>9.3000000000000007</v>
      </c>
      <c r="AB2357" s="46">
        <f>IF(H2ProjectDB689571011[[#This Row],[Dummy_1]]="Electrolysis",
AA2357/VLOOKUP(G2357,ElectrolysisConvF,3,FALSE),
AC2357*10^6/(H2dens*HoursInYear))</f>
        <v>2066.666666666667</v>
      </c>
      <c r="AC2357" s="47">
        <f t="shared" si="165"/>
        <v>1.6112560000000002</v>
      </c>
      <c r="AD2357" s="159"/>
      <c r="AE2357" s="159">
        <f t="shared" si="163"/>
        <v>2066.666666666667</v>
      </c>
      <c r="AF2357" s="160"/>
      <c r="AG2357" s="43">
        <v>53.0787214741014</v>
      </c>
      <c r="AH2357" s="43">
        <v>-0.79135868932610098</v>
      </c>
      <c r="AI2357" s="122" t="s">
        <v>7286</v>
      </c>
      <c r="AJ2357" s="41">
        <v>0.56999999999999995</v>
      </c>
    </row>
    <row r="2358" spans="1:36" ht="36" hidden="1" customHeight="1" x14ac:dyDescent="0.25">
      <c r="A2358" s="40">
        <v>3073</v>
      </c>
      <c r="B2358" s="40" t="s">
        <v>8526</v>
      </c>
      <c r="C2358" s="40" t="s">
        <v>542</v>
      </c>
      <c r="D2358" s="44">
        <v>2030</v>
      </c>
      <c r="E2358" s="44"/>
      <c r="F2358" s="157" t="s">
        <v>2222</v>
      </c>
      <c r="G2358" s="157" t="s">
        <v>457</v>
      </c>
      <c r="H2358" s="157"/>
      <c r="I2358" s="157" t="s">
        <v>1257</v>
      </c>
      <c r="J2358" s="157"/>
      <c r="K2358" s="157" t="s">
        <v>578</v>
      </c>
      <c r="L2358" s="157"/>
      <c r="M2358" s="157"/>
      <c r="N2358" s="157"/>
      <c r="O2358" s="157"/>
      <c r="P2358" s="157"/>
      <c r="Q2358" s="157">
        <v>1</v>
      </c>
      <c r="R2358" s="157"/>
      <c r="S2358" s="157"/>
      <c r="T2358" s="157"/>
      <c r="U2358" s="157"/>
      <c r="V2358" s="157"/>
      <c r="W2358" s="157"/>
      <c r="X2358" s="157"/>
      <c r="Y2358" s="157"/>
      <c r="Z2358" s="40" t="s">
        <v>3821</v>
      </c>
      <c r="AA2358" s="45">
        <f>24-AA1320</f>
        <v>18</v>
      </c>
      <c r="AB2358" s="46">
        <f>IF(H2ProjectDB689571011[[#This Row],[Dummy_1]]="Electrolysis",
AA2358/VLOOKUP(G2358,ElectrolysisConvF,3,FALSE),
AC2358*10^6/(H2dens*HoursInYear))</f>
        <v>3913.0434782608695</v>
      </c>
      <c r="AC2358" s="47">
        <f t="shared" si="165"/>
        <v>3.0507652173913042</v>
      </c>
      <c r="AD2358" s="159"/>
      <c r="AE2358" s="159">
        <f t="shared" si="163"/>
        <v>3913.0434782608695</v>
      </c>
      <c r="AF2358" s="160"/>
      <c r="AG2358" s="43">
        <v>57.477772000000002</v>
      </c>
      <c r="AH2358" s="43">
        <v>-4.2247209999999997</v>
      </c>
      <c r="AI2358" s="122" t="s">
        <v>7286</v>
      </c>
      <c r="AJ2358" s="41">
        <v>0.56999999999999995</v>
      </c>
    </row>
    <row r="2359" spans="1:36" ht="36" hidden="1" customHeight="1" x14ac:dyDescent="0.25">
      <c r="A2359" s="40">
        <v>3074</v>
      </c>
      <c r="B2359" s="157" t="s">
        <v>8529</v>
      </c>
      <c r="C2359" s="40" t="s">
        <v>542</v>
      </c>
      <c r="D2359" s="44">
        <v>2025</v>
      </c>
      <c r="E2359" s="44"/>
      <c r="F2359" s="40" t="s">
        <v>5701</v>
      </c>
      <c r="G2359" s="40" t="s">
        <v>1259</v>
      </c>
      <c r="H2359" s="40" t="s">
        <v>467</v>
      </c>
      <c r="I2359" s="40" t="s">
        <v>1269</v>
      </c>
      <c r="J2359" s="157" t="s">
        <v>1393</v>
      </c>
      <c r="K2359" s="157" t="s">
        <v>578</v>
      </c>
      <c r="L2359" s="157"/>
      <c r="M2359" s="157"/>
      <c r="N2359" s="157"/>
      <c r="O2359" s="157"/>
      <c r="P2359" s="157"/>
      <c r="Q2359" s="157"/>
      <c r="R2359" s="157"/>
      <c r="S2359" s="157"/>
      <c r="T2359" s="157"/>
      <c r="U2359" s="157"/>
      <c r="V2359" s="157"/>
      <c r="W2359" s="157"/>
      <c r="X2359" s="157"/>
      <c r="Y2359" s="157"/>
      <c r="Z2359" s="40" t="s">
        <v>8530</v>
      </c>
      <c r="AA2359" s="91">
        <v>2</v>
      </c>
      <c r="AB2359" s="46">
        <f>IF(H2ProjectDB689571011[[#This Row],[Dummy_1]]="Electrolysis",
AA2359/VLOOKUP(G2359,ElectrolysisConvF,3,FALSE),
AC2359*10^6/(H2dens*HoursInYear))</f>
        <v>444.44444444444446</v>
      </c>
      <c r="AC2359" s="47">
        <f t="shared" si="165"/>
        <v>0.34650666666666669</v>
      </c>
      <c r="AD2359" s="159"/>
      <c r="AE2359" s="159">
        <f t="shared" si="163"/>
        <v>444.44444444444446</v>
      </c>
      <c r="AF2359" s="160"/>
      <c r="AG2359" s="43">
        <v>52.474341946208803</v>
      </c>
      <c r="AH2359" s="43">
        <v>1.75848016837078</v>
      </c>
      <c r="AI2359" s="122" t="s">
        <v>7286</v>
      </c>
      <c r="AJ2359" s="41">
        <v>0.55000000000000004</v>
      </c>
    </row>
    <row r="2360" spans="1:36" ht="36.75" hidden="1" customHeight="1" x14ac:dyDescent="0.25">
      <c r="A2360" s="40">
        <v>3075</v>
      </c>
      <c r="B2360" s="157" t="s">
        <v>8557</v>
      </c>
      <c r="C2360" s="40" t="s">
        <v>542</v>
      </c>
      <c r="D2360" s="44">
        <v>2026</v>
      </c>
      <c r="E2360" s="44"/>
      <c r="F2360" s="40" t="s">
        <v>1331</v>
      </c>
      <c r="G2360" s="40" t="s">
        <v>1259</v>
      </c>
      <c r="H2360" s="40" t="s">
        <v>467</v>
      </c>
      <c r="I2360" s="40" t="s">
        <v>5700</v>
      </c>
      <c r="J2360" s="157"/>
      <c r="K2360" s="157" t="s">
        <v>578</v>
      </c>
      <c r="L2360" s="157"/>
      <c r="M2360" s="157"/>
      <c r="N2360" s="157"/>
      <c r="O2360" s="157"/>
      <c r="P2360" s="157">
        <v>1</v>
      </c>
      <c r="Q2360" s="157">
        <v>1</v>
      </c>
      <c r="R2360" s="157"/>
      <c r="S2360" s="157"/>
      <c r="T2360" s="157"/>
      <c r="U2360" s="157"/>
      <c r="V2360" s="157"/>
      <c r="W2360" s="157"/>
      <c r="X2360" s="157"/>
      <c r="Y2360" s="157"/>
      <c r="Z2360" s="40" t="s">
        <v>8531</v>
      </c>
      <c r="AA2360" s="91">
        <v>5</v>
      </c>
      <c r="AB2360" s="46">
        <f>IF(H2ProjectDB689571011[[#This Row],[Dummy_1]]="Electrolysis",
AA2360/VLOOKUP(G2360,ElectrolysisConvF,3,FALSE),
AC2360*10^6/(H2dens*HoursInYear))</f>
        <v>1111.1111111111111</v>
      </c>
      <c r="AC2360" s="47">
        <f t="shared" si="165"/>
        <v>0.86626666666666663</v>
      </c>
      <c r="AD2360" s="159"/>
      <c r="AE2360" s="159">
        <f t="shared" si="163"/>
        <v>1111.1111111111111</v>
      </c>
      <c r="AF2360" s="160" t="s">
        <v>8533</v>
      </c>
      <c r="AG2360" s="43">
        <v>54.141891505801503</v>
      </c>
      <c r="AH2360" s="43">
        <v>-7.58792519655979</v>
      </c>
      <c r="AI2360" s="122" t="s">
        <v>7286</v>
      </c>
      <c r="AJ2360" s="41">
        <v>0.7</v>
      </c>
    </row>
    <row r="2361" spans="1:36" ht="36.75" hidden="1" customHeight="1" x14ac:dyDescent="0.25">
      <c r="A2361" s="40">
        <v>3076</v>
      </c>
      <c r="B2361" s="157" t="s">
        <v>8534</v>
      </c>
      <c r="C2361" s="40" t="s">
        <v>542</v>
      </c>
      <c r="D2361" s="44">
        <v>2028</v>
      </c>
      <c r="E2361" s="44"/>
      <c r="F2361" s="40" t="s">
        <v>1331</v>
      </c>
      <c r="G2361" s="40" t="s">
        <v>1259</v>
      </c>
      <c r="H2361" s="40" t="s">
        <v>467</v>
      </c>
      <c r="I2361" s="40" t="s">
        <v>1257</v>
      </c>
      <c r="J2361" s="157"/>
      <c r="K2361" s="157" t="s">
        <v>578</v>
      </c>
      <c r="L2361" s="157"/>
      <c r="M2361" s="157"/>
      <c r="N2361" s="157"/>
      <c r="O2361" s="157"/>
      <c r="P2361" s="157">
        <v>1</v>
      </c>
      <c r="Q2361" s="157">
        <v>1</v>
      </c>
      <c r="R2361" s="157"/>
      <c r="S2361" s="157"/>
      <c r="T2361" s="157"/>
      <c r="U2361" s="157"/>
      <c r="V2361" s="157"/>
      <c r="W2361" s="157"/>
      <c r="X2361" s="157"/>
      <c r="Y2361" s="157"/>
      <c r="Z2361" s="40" t="s">
        <v>8535</v>
      </c>
      <c r="AA2361" s="91">
        <v>100</v>
      </c>
      <c r="AB2361" s="46">
        <f>IF(H2ProjectDB689571011[[#This Row],[Dummy_1]]="Electrolysis",
AA2361/VLOOKUP(G2361,ElectrolysisConvF,3,FALSE),
AC2361*10^6/(H2dens*HoursInYear))</f>
        <v>22222.222222222223</v>
      </c>
      <c r="AC2361" s="47">
        <f t="shared" si="165"/>
        <v>17.325333333333333</v>
      </c>
      <c r="AD2361" s="159"/>
      <c r="AE2361" s="159">
        <f t="shared" si="163"/>
        <v>22222.222222222223</v>
      </c>
      <c r="AF2361" s="160" t="s">
        <v>8537</v>
      </c>
      <c r="AG2361" s="43">
        <v>53.768807222823099</v>
      </c>
      <c r="AH2361" s="43">
        <v>-0.32657470780237702</v>
      </c>
      <c r="AI2361" s="122" t="s">
        <v>7286</v>
      </c>
      <c r="AJ2361" s="41">
        <v>0.56999999999999995</v>
      </c>
    </row>
    <row r="2362" spans="1:36" ht="36.75" hidden="1" customHeight="1" x14ac:dyDescent="0.25">
      <c r="A2362" s="40">
        <v>3077</v>
      </c>
      <c r="B2362" s="157" t="s">
        <v>8538</v>
      </c>
      <c r="C2362" s="40" t="s">
        <v>542</v>
      </c>
      <c r="D2362" s="44">
        <v>2025</v>
      </c>
      <c r="E2362" s="44"/>
      <c r="F2362" s="40" t="s">
        <v>5701</v>
      </c>
      <c r="G2362" s="40" t="s">
        <v>1259</v>
      </c>
      <c r="H2362" s="40" t="s">
        <v>467</v>
      </c>
      <c r="I2362" s="40" t="s">
        <v>1257</v>
      </c>
      <c r="J2362" s="157"/>
      <c r="K2362" s="157" t="s">
        <v>578</v>
      </c>
      <c r="L2362" s="157"/>
      <c r="M2362" s="157"/>
      <c r="N2362" s="157"/>
      <c r="O2362" s="157"/>
      <c r="P2362" s="157"/>
      <c r="Q2362" s="157"/>
      <c r="R2362" s="157"/>
      <c r="S2362" s="157"/>
      <c r="T2362" s="157"/>
      <c r="U2362" s="157"/>
      <c r="V2362" s="157"/>
      <c r="W2362" s="157"/>
      <c r="X2362" s="157"/>
      <c r="Y2362" s="157"/>
      <c r="Z2362" s="40" t="s">
        <v>8539</v>
      </c>
      <c r="AA2362" s="91">
        <v>50</v>
      </c>
      <c r="AB2362" s="46">
        <f>IF(H2ProjectDB689571011[[#This Row],[Dummy_1]]="Electrolysis",
AA2362/VLOOKUP(G2362,ElectrolysisConvF,3,FALSE),
AC2362*10^6/(H2dens*HoursInYear))</f>
        <v>11111.111111111111</v>
      </c>
      <c r="AC2362" s="47">
        <f t="shared" si="165"/>
        <v>8.6626666666666665</v>
      </c>
      <c r="AD2362" s="159"/>
      <c r="AE2362" s="159">
        <f t="shared" si="163"/>
        <v>11111.111111111111</v>
      </c>
      <c r="AF2362" s="160"/>
      <c r="AG2362" s="43">
        <v>58.211854865897699</v>
      </c>
      <c r="AH2362" s="43">
        <v>-6.3807407462737897</v>
      </c>
      <c r="AI2362" s="122" t="s">
        <v>7286</v>
      </c>
      <c r="AJ2362" s="41">
        <v>0.56999999999999995</v>
      </c>
    </row>
    <row r="2363" spans="1:36" ht="36.75" hidden="1" customHeight="1" x14ac:dyDescent="0.25">
      <c r="A2363" s="40">
        <v>3078</v>
      </c>
      <c r="B2363" s="40" t="s">
        <v>8541</v>
      </c>
      <c r="C2363" s="40" t="s">
        <v>542</v>
      </c>
      <c r="D2363" s="44">
        <v>2025</v>
      </c>
      <c r="E2363" s="44"/>
      <c r="F2363" s="40" t="s">
        <v>5701</v>
      </c>
      <c r="G2363" s="40" t="s">
        <v>1259</v>
      </c>
      <c r="H2363" s="40" t="s">
        <v>467</v>
      </c>
      <c r="I2363" s="40" t="s">
        <v>1269</v>
      </c>
      <c r="J2363" s="40" t="s">
        <v>581</v>
      </c>
      <c r="K2363" s="40" t="s">
        <v>578</v>
      </c>
      <c r="L2363" s="157"/>
      <c r="M2363" s="157"/>
      <c r="N2363" s="157"/>
      <c r="O2363" s="157"/>
      <c r="P2363" s="157">
        <v>1</v>
      </c>
      <c r="Q2363" s="157"/>
      <c r="R2363" s="157"/>
      <c r="S2363" s="157"/>
      <c r="T2363" s="157"/>
      <c r="U2363" s="157"/>
      <c r="V2363" s="157"/>
      <c r="W2363" s="157"/>
      <c r="X2363" s="157"/>
      <c r="Y2363" s="157"/>
      <c r="Z2363" s="157" t="s">
        <v>8542</v>
      </c>
      <c r="AA2363" s="45">
        <v>17.2</v>
      </c>
      <c r="AB2363" s="46">
        <f>IF(H2ProjectDB689571011[[#This Row],[Dummy_1]]="Electrolysis",
AA2363/VLOOKUP(G2363,ElectrolysisConvF,3,FALSE),
AC2363*10^6/(H2dens*HoursInYear))</f>
        <v>3822.2222222222222</v>
      </c>
      <c r="AC2363" s="47">
        <f t="shared" si="165"/>
        <v>2.9799573333333331</v>
      </c>
      <c r="AD2363" s="159"/>
      <c r="AE2363" s="159">
        <f t="shared" si="163"/>
        <v>3822.2222222222222</v>
      </c>
      <c r="AF2363" s="160"/>
      <c r="AG2363" s="43">
        <v>54.586749866330898</v>
      </c>
      <c r="AH2363" s="43">
        <v>-1.2287466464821899</v>
      </c>
      <c r="AI2363" s="122" t="s">
        <v>7286</v>
      </c>
      <c r="AJ2363" s="41">
        <v>0.5</v>
      </c>
    </row>
    <row r="2364" spans="1:36" ht="36.75" hidden="1" customHeight="1" x14ac:dyDescent="0.25">
      <c r="A2364" s="40">
        <v>3079</v>
      </c>
      <c r="B2364" s="157" t="s">
        <v>8544</v>
      </c>
      <c r="C2364" s="40" t="s">
        <v>542</v>
      </c>
      <c r="D2364" s="44">
        <v>2024</v>
      </c>
      <c r="E2364" s="44"/>
      <c r="F2364" s="40" t="s">
        <v>5701</v>
      </c>
      <c r="G2364" s="40" t="s">
        <v>455</v>
      </c>
      <c r="I2364" s="40" t="s">
        <v>1269</v>
      </c>
      <c r="J2364" s="40" t="s">
        <v>581</v>
      </c>
      <c r="K2364" s="40" t="s">
        <v>578</v>
      </c>
      <c r="L2364" s="157"/>
      <c r="M2364" s="157"/>
      <c r="N2364" s="157"/>
      <c r="O2364" s="157"/>
      <c r="P2364" s="157"/>
      <c r="Q2364" s="157">
        <v>1</v>
      </c>
      <c r="R2364" s="157"/>
      <c r="S2364" s="157"/>
      <c r="T2364" s="157"/>
      <c r="U2364" s="157"/>
      <c r="V2364" s="157"/>
      <c r="W2364" s="157"/>
      <c r="X2364" s="157"/>
      <c r="Y2364" s="157"/>
      <c r="Z2364" s="157" t="s">
        <v>1345</v>
      </c>
      <c r="AA2364" s="45">
        <v>2.5</v>
      </c>
      <c r="AB2364" s="46">
        <f>IF(H2ProjectDB689571011[[#This Row],[Dummy_1]]="Electrolysis",
AA2364/VLOOKUP(G2364,ElectrolysisConvF,3,FALSE),
AC2364*10^6/(H2dens*HoursInYear))</f>
        <v>480.76923076923077</v>
      </c>
      <c r="AC2364" s="47">
        <f t="shared" si="165"/>
        <v>0.37482692307692306</v>
      </c>
      <c r="AD2364" s="159"/>
      <c r="AE2364" s="159">
        <f t="shared" si="163"/>
        <v>480.76923076923077</v>
      </c>
      <c r="AF2364" s="160" t="s">
        <v>8546</v>
      </c>
      <c r="AG2364" s="43">
        <v>51.5930417525773</v>
      </c>
      <c r="AH2364" s="43">
        <v>-3.3365018152077002</v>
      </c>
      <c r="AI2364" s="122" t="s">
        <v>7286</v>
      </c>
      <c r="AJ2364" s="41">
        <v>0.5</v>
      </c>
    </row>
    <row r="2365" spans="1:36" ht="36.75" hidden="1" customHeight="1" x14ac:dyDescent="0.25">
      <c r="A2365" s="40">
        <v>3080</v>
      </c>
      <c r="B2365" s="157" t="s">
        <v>8548</v>
      </c>
      <c r="C2365" s="40" t="s">
        <v>542</v>
      </c>
      <c r="D2365" s="44">
        <v>2030</v>
      </c>
      <c r="E2365" s="44"/>
      <c r="F2365" s="40" t="s">
        <v>1331</v>
      </c>
      <c r="G2365" s="40" t="s">
        <v>1259</v>
      </c>
      <c r="H2365" s="40" t="s">
        <v>467</v>
      </c>
      <c r="I2365" s="40" t="s">
        <v>1266</v>
      </c>
      <c r="J2365" s="157"/>
      <c r="K2365" s="157" t="s">
        <v>1242</v>
      </c>
      <c r="L2365" s="157"/>
      <c r="M2365" s="157"/>
      <c r="N2365" s="157"/>
      <c r="O2365" s="157"/>
      <c r="P2365" s="157"/>
      <c r="Q2365" s="157">
        <v>1</v>
      </c>
      <c r="R2365" s="157"/>
      <c r="S2365" s="157"/>
      <c r="T2365" s="157"/>
      <c r="U2365" s="157"/>
      <c r="V2365" s="157"/>
      <c r="W2365" s="157"/>
      <c r="X2365" s="157"/>
      <c r="Y2365" s="157"/>
      <c r="Z2365" s="40" t="s">
        <v>8549</v>
      </c>
      <c r="AA2365" s="91">
        <v>200</v>
      </c>
      <c r="AB2365" s="46">
        <f>IF(H2ProjectDB689571011[[#This Row],[Dummy_1]]="Electrolysis",
AA2365/VLOOKUP(G2365,ElectrolysisConvF,3,FALSE),
AC2365*10^6/(H2dens*HoursInYear))</f>
        <v>44444.444444444445</v>
      </c>
      <c r="AC2365" s="47">
        <f t="shared" si="165"/>
        <v>34.650666666666666</v>
      </c>
      <c r="AD2365" s="159"/>
      <c r="AE2365" s="159">
        <f t="shared" si="163"/>
        <v>44444.444444444445</v>
      </c>
      <c r="AF2365" s="160" t="s">
        <v>8551</v>
      </c>
      <c r="AG2365" s="43">
        <v>54.612132848530898</v>
      </c>
      <c r="AH2365" s="43">
        <v>-1.1470656633626699</v>
      </c>
      <c r="AI2365" s="122" t="s">
        <v>7286</v>
      </c>
      <c r="AJ2365" s="41">
        <v>0.56999999999999995</v>
      </c>
    </row>
    <row r="2366" spans="1:36" ht="36.75" hidden="1" customHeight="1" x14ac:dyDescent="0.25">
      <c r="A2366" s="40">
        <v>3081</v>
      </c>
      <c r="B2366" s="157" t="s">
        <v>8552</v>
      </c>
      <c r="C2366" s="40" t="s">
        <v>542</v>
      </c>
      <c r="D2366" s="44">
        <v>2030</v>
      </c>
      <c r="E2366" s="44"/>
      <c r="F2366" s="40" t="s">
        <v>1331</v>
      </c>
      <c r="G2366" s="40" t="s">
        <v>1259</v>
      </c>
      <c r="H2366" s="40" t="s">
        <v>467</v>
      </c>
      <c r="I2366" s="157" t="s">
        <v>1257</v>
      </c>
      <c r="J2366" s="157"/>
      <c r="K2366" s="157" t="s">
        <v>578</v>
      </c>
      <c r="L2366" s="157"/>
      <c r="M2366" s="157"/>
      <c r="N2366" s="157"/>
      <c r="O2366" s="157"/>
      <c r="P2366" s="157"/>
      <c r="Q2366" s="157">
        <v>1</v>
      </c>
      <c r="R2366" s="157"/>
      <c r="S2366" s="157"/>
      <c r="T2366" s="157"/>
      <c r="U2366" s="157"/>
      <c r="V2366" s="157"/>
      <c r="W2366" s="157"/>
      <c r="X2366" s="157"/>
      <c r="Y2366" s="157"/>
      <c r="Z2366" s="40" t="s">
        <v>8553</v>
      </c>
      <c r="AA2366" s="91">
        <v>10</v>
      </c>
      <c r="AB2366" s="46">
        <f>IF(H2ProjectDB689571011[[#This Row],[Dummy_1]]="Electrolysis",
AA2366/VLOOKUP(G2366,ElectrolysisConvF,3,FALSE),
AC2366*10^6/(H2dens*HoursInYear))</f>
        <v>2222.2222222222222</v>
      </c>
      <c r="AC2366" s="47">
        <f t="shared" si="165"/>
        <v>1.7325333333333333</v>
      </c>
      <c r="AD2366" s="159"/>
      <c r="AE2366" s="159">
        <f t="shared" si="163"/>
        <v>2222.2222222222222</v>
      </c>
      <c r="AF2366" s="160"/>
      <c r="AG2366" s="43">
        <v>52.212724986176603</v>
      </c>
      <c r="AH2366" s="43">
        <v>1.6195398750286001</v>
      </c>
      <c r="AI2366" s="122" t="s">
        <v>7286</v>
      </c>
      <c r="AJ2366" s="41">
        <v>0.56999999999999995</v>
      </c>
    </row>
    <row r="2367" spans="1:36" ht="36.75" hidden="1" customHeight="1" x14ac:dyDescent="0.25">
      <c r="A2367" s="40">
        <v>3082</v>
      </c>
      <c r="B2367" s="157" t="s">
        <v>8554</v>
      </c>
      <c r="C2367" s="40" t="s">
        <v>542</v>
      </c>
      <c r="D2367" s="44">
        <v>2028</v>
      </c>
      <c r="E2367" s="44"/>
      <c r="F2367" s="40" t="s">
        <v>5701</v>
      </c>
      <c r="G2367" s="40" t="s">
        <v>1259</v>
      </c>
      <c r="H2367" s="40" t="s">
        <v>467</v>
      </c>
      <c r="I2367" s="157" t="s">
        <v>1269</v>
      </c>
      <c r="J2367" s="157" t="s">
        <v>1395</v>
      </c>
      <c r="K2367" s="157" t="s">
        <v>578</v>
      </c>
      <c r="L2367" s="157"/>
      <c r="M2367" s="157"/>
      <c r="N2367" s="157"/>
      <c r="O2367" s="157"/>
      <c r="P2367" s="157"/>
      <c r="Q2367" s="157"/>
      <c r="R2367" s="157"/>
      <c r="S2367" s="157"/>
      <c r="T2367" s="157"/>
      <c r="U2367" s="157"/>
      <c r="V2367" s="157"/>
      <c r="W2367" s="157"/>
      <c r="X2367" s="157"/>
      <c r="Y2367" s="157"/>
      <c r="Z2367" s="157" t="s">
        <v>3853</v>
      </c>
      <c r="AA2367" s="91">
        <v>50</v>
      </c>
      <c r="AB2367" s="46">
        <f>IF(H2ProjectDB689571011[[#This Row],[Dummy_1]]="Electrolysis",
AA2367/VLOOKUP(G2367,ElectrolysisConvF,3,FALSE),
AC2367*10^6/(H2dens*HoursInYear))</f>
        <v>11111.111111111111</v>
      </c>
      <c r="AC2367" s="47">
        <f t="shared" si="165"/>
        <v>8.6626666666666665</v>
      </c>
      <c r="AD2367" s="159"/>
      <c r="AE2367" s="159">
        <f t="shared" si="163"/>
        <v>11111.111111111111</v>
      </c>
      <c r="AF2367" s="160"/>
      <c r="AG2367" s="43">
        <v>60.4411724381022</v>
      </c>
      <c r="AH2367" s="43">
        <v>-1.35320540601787</v>
      </c>
      <c r="AI2367" s="122" t="s">
        <v>7286</v>
      </c>
      <c r="AJ2367" s="41">
        <v>0.5</v>
      </c>
    </row>
    <row r="2368" spans="1:36" ht="36.75" hidden="1" customHeight="1" x14ac:dyDescent="0.25">
      <c r="A2368" s="40">
        <v>3083</v>
      </c>
      <c r="B2368" s="157" t="s">
        <v>8555</v>
      </c>
      <c r="C2368" s="40" t="s">
        <v>542</v>
      </c>
      <c r="D2368" s="44">
        <v>2032</v>
      </c>
      <c r="E2368" s="44"/>
      <c r="F2368" s="40" t="s">
        <v>2222</v>
      </c>
      <c r="G2368" s="40" t="s">
        <v>1259</v>
      </c>
      <c r="H2368" s="40" t="s">
        <v>467</v>
      </c>
      <c r="I2368" s="157" t="s">
        <v>1269</v>
      </c>
      <c r="J2368" s="157" t="s">
        <v>1395</v>
      </c>
      <c r="K2368" s="157" t="s">
        <v>578</v>
      </c>
      <c r="L2368" s="157"/>
      <c r="M2368" s="157"/>
      <c r="N2368" s="157"/>
      <c r="O2368" s="157"/>
      <c r="P2368" s="157"/>
      <c r="Q2368" s="157"/>
      <c r="R2368" s="157"/>
      <c r="S2368" s="157"/>
      <c r="T2368" s="157"/>
      <c r="U2368" s="157"/>
      <c r="V2368" s="157"/>
      <c r="W2368" s="157"/>
      <c r="X2368" s="157"/>
      <c r="Y2368" s="157"/>
      <c r="Z2368" s="157" t="s">
        <v>2773</v>
      </c>
      <c r="AA2368" s="45">
        <f>300-AA2367</f>
        <v>250</v>
      </c>
      <c r="AB2368" s="46">
        <f>IF(H2ProjectDB689571011[[#This Row],[Dummy_1]]="Electrolysis",
AA2368/VLOOKUP(G2368,ElectrolysisConvF,3,FALSE),
AC2368*10^6/(H2dens*HoursInYear))</f>
        <v>55555.555555555562</v>
      </c>
      <c r="AC2368" s="47">
        <f t="shared" si="165"/>
        <v>43.313333333333333</v>
      </c>
      <c r="AD2368" s="159"/>
      <c r="AE2368" s="159">
        <f t="shared" si="163"/>
        <v>55555.555555555562</v>
      </c>
      <c r="AF2368" s="160"/>
      <c r="AG2368" s="43">
        <v>60.4411724381022</v>
      </c>
      <c r="AH2368" s="43">
        <v>-1.35320540601787</v>
      </c>
      <c r="AI2368" s="122" t="s">
        <v>7286</v>
      </c>
      <c r="AJ2368" s="41">
        <v>0.5</v>
      </c>
    </row>
    <row r="2369" spans="1:36" ht="36.75" hidden="1" customHeight="1" x14ac:dyDescent="0.25">
      <c r="A2369" s="40">
        <v>3084</v>
      </c>
      <c r="B2369" s="157" t="s">
        <v>8556</v>
      </c>
      <c r="C2369" s="40" t="s">
        <v>542</v>
      </c>
      <c r="D2369" s="44">
        <v>2026</v>
      </c>
      <c r="E2369" s="44"/>
      <c r="F2369" s="40" t="s">
        <v>5701</v>
      </c>
      <c r="G2369" s="40" t="s">
        <v>1259</v>
      </c>
      <c r="H2369" s="40" t="s">
        <v>467</v>
      </c>
      <c r="I2369" s="157" t="s">
        <v>1257</v>
      </c>
      <c r="J2369" s="157"/>
      <c r="K2369" s="157" t="s">
        <v>578</v>
      </c>
      <c r="L2369" s="157"/>
      <c r="M2369" s="157"/>
      <c r="N2369" s="157"/>
      <c r="O2369" s="157"/>
      <c r="P2369" s="157"/>
      <c r="Q2369" s="157">
        <v>1</v>
      </c>
      <c r="R2369" s="157"/>
      <c r="S2369" s="157"/>
      <c r="T2369" s="157"/>
      <c r="U2369" s="157"/>
      <c r="V2369" s="157"/>
      <c r="W2369" s="157"/>
      <c r="X2369" s="157"/>
      <c r="Y2369" s="157"/>
      <c r="Z2369" s="40" t="s">
        <v>8531</v>
      </c>
      <c r="AA2369" s="91">
        <v>5</v>
      </c>
      <c r="AB2369" s="46">
        <f>IF(H2ProjectDB689571011[[#This Row],[Dummy_1]]="Electrolysis",
AA2369/VLOOKUP(G2369,ElectrolysisConvF,3,FALSE),
AC2369*10^6/(H2dens*HoursInYear))</f>
        <v>1111.1111111111111</v>
      </c>
      <c r="AC2369" s="47">
        <f t="shared" si="165"/>
        <v>0.86626666666666663</v>
      </c>
      <c r="AD2369" s="159"/>
      <c r="AE2369" s="159">
        <f t="shared" si="163"/>
        <v>1111.1111111111111</v>
      </c>
      <c r="AF2369" s="160"/>
      <c r="AG2369" s="43">
        <v>56.004846118604299</v>
      </c>
      <c r="AH2369" s="43">
        <v>-3.7409745952135798</v>
      </c>
      <c r="AI2369" s="122" t="s">
        <v>7286</v>
      </c>
      <c r="AJ2369" s="41">
        <v>0.56999999999999995</v>
      </c>
    </row>
    <row r="2370" spans="1:36" ht="36.75" hidden="1" customHeight="1" x14ac:dyDescent="0.25">
      <c r="A2370" s="40">
        <v>3085</v>
      </c>
      <c r="B2370" s="157" t="s">
        <v>8558</v>
      </c>
      <c r="C2370" s="40" t="s">
        <v>542</v>
      </c>
      <c r="D2370" s="44">
        <v>2026</v>
      </c>
      <c r="E2370" s="44"/>
      <c r="F2370" s="40" t="s">
        <v>1331</v>
      </c>
      <c r="G2370" s="40" t="s">
        <v>1259</v>
      </c>
      <c r="H2370" s="40" t="s">
        <v>467</v>
      </c>
      <c r="I2370" s="157" t="s">
        <v>1257</v>
      </c>
      <c r="J2370" s="157"/>
      <c r="K2370" s="157" t="s">
        <v>578</v>
      </c>
      <c r="L2370" s="157"/>
      <c r="M2370" s="157"/>
      <c r="N2370" s="157"/>
      <c r="O2370" s="157"/>
      <c r="P2370" s="157"/>
      <c r="Q2370" s="157">
        <v>1</v>
      </c>
      <c r="R2370" s="157"/>
      <c r="S2370" s="157"/>
      <c r="T2370" s="157"/>
      <c r="U2370" s="157"/>
      <c r="V2370" s="157"/>
      <c r="W2370" s="157"/>
      <c r="X2370" s="157"/>
      <c r="Y2370" s="157"/>
      <c r="Z2370" s="40" t="s">
        <v>8559</v>
      </c>
      <c r="AA2370" s="91">
        <v>26</v>
      </c>
      <c r="AB2370" s="46">
        <f>IF(H2ProjectDB689571011[[#This Row],[Dummy_1]]="Electrolysis",
AA2370/VLOOKUP(G2370,ElectrolysisConvF,3,FALSE),
AC2370*10^6/(H2dens*HoursInYear))</f>
        <v>5777.7777777777783</v>
      </c>
      <c r="AC2370" s="47">
        <f t="shared" si="165"/>
        <v>4.5045866666666674</v>
      </c>
      <c r="AD2370" s="159"/>
      <c r="AE2370" s="159">
        <f t="shared" si="163"/>
        <v>5777.7777777777783</v>
      </c>
      <c r="AF2370" s="160"/>
      <c r="AG2370" s="43">
        <v>54.612132848530898</v>
      </c>
      <c r="AH2370" s="43">
        <v>-1.1470656633626699</v>
      </c>
      <c r="AI2370" s="122" t="s">
        <v>7286</v>
      </c>
      <c r="AJ2370" s="41">
        <v>0.56999999999999995</v>
      </c>
    </row>
    <row r="2371" spans="1:36" ht="36.75" hidden="1" customHeight="1" x14ac:dyDescent="0.25">
      <c r="A2371" s="40">
        <v>3086</v>
      </c>
      <c r="B2371" s="40" t="s">
        <v>8570</v>
      </c>
      <c r="C2371" s="40" t="s">
        <v>531</v>
      </c>
      <c r="D2371" s="44">
        <v>2029</v>
      </c>
      <c r="E2371" s="44"/>
      <c r="F2371" s="40" t="s">
        <v>2222</v>
      </c>
      <c r="G2371" s="40" t="s">
        <v>1259</v>
      </c>
      <c r="H2371" s="40" t="s">
        <v>467</v>
      </c>
      <c r="I2371" s="157" t="s">
        <v>1257</v>
      </c>
      <c r="J2371" s="157"/>
      <c r="K2371" s="157" t="s">
        <v>1243</v>
      </c>
      <c r="L2371" s="157"/>
      <c r="M2371" s="157"/>
      <c r="N2371" s="157"/>
      <c r="O2371" s="157"/>
      <c r="P2371" s="157">
        <v>1</v>
      </c>
      <c r="Q2371" s="157"/>
      <c r="R2371" s="157"/>
      <c r="S2371" s="157"/>
      <c r="T2371" s="157"/>
      <c r="U2371" s="157"/>
      <c r="V2371" s="157"/>
      <c r="W2371" s="157"/>
      <c r="X2371" s="157"/>
      <c r="Y2371" s="157"/>
      <c r="Z2371" s="40" t="s">
        <v>8479</v>
      </c>
      <c r="AA2371" s="91">
        <v>600</v>
      </c>
      <c r="AB2371" s="46">
        <f>IF(H2ProjectDB689571011[[#This Row],[Dummy_1]]="Electrolysis",
AA2371/VLOOKUP(G2371,ElectrolysisConvF,3,FALSE),
AC2371*10^6/(H2dens*HoursInYear))</f>
        <v>133333.33333333334</v>
      </c>
      <c r="AC2371" s="47">
        <f t="shared" si="165"/>
        <v>103.952</v>
      </c>
      <c r="AD2371" s="159"/>
      <c r="AE2371" s="159">
        <f t="shared" si="163"/>
        <v>133333.33333333334</v>
      </c>
      <c r="AF2371" s="160"/>
      <c r="AG2371" s="43">
        <v>58.274539724668003</v>
      </c>
      <c r="AH2371" s="43">
        <v>6.8755755032752397</v>
      </c>
      <c r="AI2371" s="122" t="s">
        <v>7286</v>
      </c>
      <c r="AJ2371" s="41">
        <v>0.56999999999999995</v>
      </c>
    </row>
    <row r="2372" spans="1:36" ht="36.75" hidden="1" customHeight="1" x14ac:dyDescent="0.25">
      <c r="A2372" s="40">
        <v>3087</v>
      </c>
      <c r="B2372" s="40" t="s">
        <v>8572</v>
      </c>
      <c r="C2372" s="40" t="s">
        <v>1761</v>
      </c>
      <c r="D2372" s="44">
        <v>2027</v>
      </c>
      <c r="E2372" s="44"/>
      <c r="F2372" s="40" t="s">
        <v>2222</v>
      </c>
      <c r="G2372" s="40" t="s">
        <v>1259</v>
      </c>
      <c r="H2372" s="40" t="s">
        <v>467</v>
      </c>
      <c r="I2372" s="40" t="s">
        <v>1269</v>
      </c>
      <c r="J2372" s="40" t="s">
        <v>1391</v>
      </c>
      <c r="K2372" s="40" t="s">
        <v>578</v>
      </c>
      <c r="L2372" s="157"/>
      <c r="M2372" s="157"/>
      <c r="N2372" s="157"/>
      <c r="O2372" s="157"/>
      <c r="P2372" s="157"/>
      <c r="Q2372" s="157"/>
      <c r="R2372" s="157"/>
      <c r="S2372" s="157"/>
      <c r="T2372" s="157"/>
      <c r="U2372" s="157"/>
      <c r="V2372" s="157"/>
      <c r="W2372" s="157"/>
      <c r="X2372" s="157"/>
      <c r="Y2372" s="157"/>
      <c r="Z2372" s="40" t="s">
        <v>5623</v>
      </c>
      <c r="AA2372" s="91">
        <f>150-AA1153</f>
        <v>100</v>
      </c>
      <c r="AB2372" s="46">
        <f>IF(H2ProjectDB689571011[[#This Row],[Dummy_1]]="Electrolysis",
AA2372/VLOOKUP(G2372,ElectrolysisConvF,3,FALSE),
AC2372*10^6/(H2dens*HoursInYear))</f>
        <v>22222.222222222223</v>
      </c>
      <c r="AC2372" s="47">
        <f t="shared" si="165"/>
        <v>17.325333333333333</v>
      </c>
      <c r="AD2372" s="159"/>
      <c r="AE2372" s="159">
        <f t="shared" si="163"/>
        <v>22222.222222222223</v>
      </c>
      <c r="AF2372" s="160"/>
      <c r="AG2372" s="43">
        <v>38.708759000000001</v>
      </c>
      <c r="AH2372" s="43">
        <v>-7.4007820000000004</v>
      </c>
      <c r="AI2372" s="122" t="s">
        <v>7286</v>
      </c>
      <c r="AJ2372" s="41">
        <v>0.3</v>
      </c>
    </row>
    <row r="2373" spans="1:36" ht="36.75" hidden="1" customHeight="1" x14ac:dyDescent="0.25">
      <c r="A2373" s="40">
        <v>3088</v>
      </c>
      <c r="B2373" s="40" t="s">
        <v>8573</v>
      </c>
      <c r="C2373" s="40" t="s">
        <v>1761</v>
      </c>
      <c r="D2373" s="44">
        <v>2030</v>
      </c>
      <c r="E2373" s="44"/>
      <c r="F2373" s="40" t="s">
        <v>2222</v>
      </c>
      <c r="G2373" s="40" t="s">
        <v>1259</v>
      </c>
      <c r="H2373" s="40" t="s">
        <v>467</v>
      </c>
      <c r="I2373" s="40" t="s">
        <v>1269</v>
      </c>
      <c r="J2373" s="40" t="s">
        <v>1391</v>
      </c>
      <c r="K2373" s="40" t="s">
        <v>578</v>
      </c>
      <c r="L2373" s="157"/>
      <c r="M2373" s="157"/>
      <c r="N2373" s="157"/>
      <c r="O2373" s="157"/>
      <c r="P2373" s="157"/>
      <c r="Q2373" s="157"/>
      <c r="R2373" s="157"/>
      <c r="S2373" s="157"/>
      <c r="T2373" s="157"/>
      <c r="U2373" s="157"/>
      <c r="V2373" s="157"/>
      <c r="W2373" s="157"/>
      <c r="X2373" s="157"/>
      <c r="Y2373" s="157"/>
      <c r="Z2373" s="40" t="s">
        <v>3919</v>
      </c>
      <c r="AA2373" s="158">
        <f>250-AA2372-AA1153</f>
        <v>100</v>
      </c>
      <c r="AB2373" s="46">
        <f>IF(H2ProjectDB689571011[[#This Row],[Dummy_1]]="Electrolysis",
AA2373/VLOOKUP(G2373,ElectrolysisConvF,3,FALSE),
AC2373*10^6/(H2dens*HoursInYear))</f>
        <v>22222.222222222223</v>
      </c>
      <c r="AC2373" s="47">
        <f t="shared" si="165"/>
        <v>17.325333333333333</v>
      </c>
      <c r="AD2373" s="159"/>
      <c r="AE2373" s="159">
        <f t="shared" si="163"/>
        <v>22222.222222222223</v>
      </c>
      <c r="AF2373" s="160"/>
      <c r="AG2373" s="43">
        <v>38.708759000000001</v>
      </c>
      <c r="AH2373" s="43">
        <v>-7.4007820000000004</v>
      </c>
      <c r="AI2373" s="122" t="s">
        <v>7286</v>
      </c>
      <c r="AJ2373" s="41">
        <v>0.3</v>
      </c>
    </row>
    <row r="2374" spans="1:36" ht="36.75" hidden="1" customHeight="1" x14ac:dyDescent="0.25">
      <c r="A2374" s="40">
        <v>3089</v>
      </c>
      <c r="B2374" s="157" t="s">
        <v>8581</v>
      </c>
      <c r="C2374" s="40" t="s">
        <v>1761</v>
      </c>
      <c r="D2374" s="44">
        <v>2025</v>
      </c>
      <c r="E2374" s="44"/>
      <c r="F2374" s="157" t="s">
        <v>5701</v>
      </c>
      <c r="G2374" s="157" t="s">
        <v>455</v>
      </c>
      <c r="H2374" s="157"/>
      <c r="I2374" s="157" t="s">
        <v>1257</v>
      </c>
      <c r="J2374" s="157"/>
      <c r="K2374" s="157" t="s">
        <v>578</v>
      </c>
      <c r="L2374" s="157"/>
      <c r="M2374" s="157"/>
      <c r="N2374" s="157"/>
      <c r="O2374" s="157"/>
      <c r="P2374" s="157"/>
      <c r="Q2374" s="157"/>
      <c r="R2374" s="157">
        <v>1</v>
      </c>
      <c r="S2374" s="157"/>
      <c r="T2374" s="157"/>
      <c r="U2374" s="157"/>
      <c r="V2374" s="157"/>
      <c r="W2374" s="157"/>
      <c r="X2374" s="157"/>
      <c r="Y2374" s="157"/>
      <c r="Z2374" s="40" t="s">
        <v>1436</v>
      </c>
      <c r="AA2374" s="45">
        <v>5</v>
      </c>
      <c r="AB2374" s="46">
        <f>IF(H2ProjectDB689571011[[#This Row],[Dummy_1]]="Electrolysis",
AA2374/VLOOKUP(G2374,ElectrolysisConvF,3,FALSE),
AC2374*10^6/(H2dens*HoursInYear))</f>
        <v>961.53846153846155</v>
      </c>
      <c r="AC2374" s="47">
        <f t="shared" si="165"/>
        <v>0.74965384615384612</v>
      </c>
      <c r="AD2374" s="159"/>
      <c r="AE2374" s="159">
        <f t="shared" si="163"/>
        <v>961.53846153846155</v>
      </c>
      <c r="AF2374" s="160"/>
      <c r="AG2374" s="43">
        <v>39.027642797607903</v>
      </c>
      <c r="AH2374" s="43">
        <v>-8.95072745128153</v>
      </c>
      <c r="AI2374" s="122" t="s">
        <v>7286</v>
      </c>
      <c r="AJ2374" s="41">
        <v>0.56999999999999995</v>
      </c>
    </row>
    <row r="2375" spans="1:36" ht="36.75" hidden="1" customHeight="1" x14ac:dyDescent="0.25">
      <c r="A2375" s="40">
        <v>3090</v>
      </c>
      <c r="B2375" s="157" t="s">
        <v>8582</v>
      </c>
      <c r="C2375" s="40" t="s">
        <v>531</v>
      </c>
      <c r="D2375" s="44">
        <v>2025</v>
      </c>
      <c r="E2375" s="44"/>
      <c r="F2375" s="40" t="s">
        <v>1331</v>
      </c>
      <c r="G2375" s="40" t="s">
        <v>1259</v>
      </c>
      <c r="H2375" s="40" t="s">
        <v>467</v>
      </c>
      <c r="I2375" s="157" t="s">
        <v>1257</v>
      </c>
      <c r="J2375" s="157"/>
      <c r="K2375" s="157" t="s">
        <v>578</v>
      </c>
      <c r="L2375" s="157"/>
      <c r="M2375" s="157"/>
      <c r="N2375" s="157"/>
      <c r="O2375" s="157"/>
      <c r="P2375" s="157"/>
      <c r="Q2375" s="157">
        <v>1</v>
      </c>
      <c r="R2375" s="157"/>
      <c r="S2375" s="157"/>
      <c r="T2375" s="157"/>
      <c r="U2375" s="157"/>
      <c r="V2375" s="157"/>
      <c r="W2375" s="157"/>
      <c r="X2375" s="157"/>
      <c r="Y2375" s="157"/>
      <c r="Z2375" s="40" t="s">
        <v>1436</v>
      </c>
      <c r="AA2375" s="45">
        <v>5</v>
      </c>
      <c r="AB2375" s="46">
        <f>IF(H2ProjectDB689571011[[#This Row],[Dummy_1]]="Electrolysis",
AA2375/VLOOKUP(G2375,ElectrolysisConvF,3,FALSE),
AC2375*10^6/(H2dens*HoursInYear))</f>
        <v>1111.1111111111111</v>
      </c>
      <c r="AC2375" s="47">
        <f t="shared" si="165"/>
        <v>0.86626666666666663</v>
      </c>
      <c r="AD2375" s="159"/>
      <c r="AE2375" s="159">
        <f t="shared" si="163"/>
        <v>1111.1111111111111</v>
      </c>
      <c r="AF2375" s="160"/>
      <c r="AG2375" s="43">
        <v>58.258189007335901</v>
      </c>
      <c r="AH2375" s="43">
        <v>8.3688557785730406</v>
      </c>
      <c r="AI2375" s="122" t="s">
        <v>7286</v>
      </c>
      <c r="AJ2375" s="41">
        <v>0.56999999999999995</v>
      </c>
    </row>
    <row r="2376" spans="1:36" ht="36.75" hidden="1" customHeight="1" x14ac:dyDescent="0.25">
      <c r="A2376" s="40">
        <v>3091</v>
      </c>
      <c r="B2376" s="40" t="s">
        <v>8585</v>
      </c>
      <c r="C2376" s="40" t="s">
        <v>532</v>
      </c>
      <c r="D2376" s="44">
        <v>2030</v>
      </c>
      <c r="E2376" s="44"/>
      <c r="F2376" s="40" t="s">
        <v>2222</v>
      </c>
      <c r="G2376" s="40" t="s">
        <v>1259</v>
      </c>
      <c r="H2376" s="40" t="s">
        <v>467</v>
      </c>
      <c r="I2376" s="157" t="s">
        <v>1269</v>
      </c>
      <c r="J2376" s="157" t="s">
        <v>1392</v>
      </c>
      <c r="K2376" s="157" t="s">
        <v>1242</v>
      </c>
      <c r="L2376" s="157"/>
      <c r="M2376" s="157"/>
      <c r="N2376" s="157"/>
      <c r="O2376" s="157"/>
      <c r="P2376" s="157"/>
      <c r="Q2376" s="157">
        <v>1</v>
      </c>
      <c r="R2376" s="157"/>
      <c r="S2376" s="157"/>
      <c r="T2376" s="157"/>
      <c r="U2376" s="157"/>
      <c r="V2376" s="157"/>
      <c r="W2376" s="157"/>
      <c r="X2376" s="157"/>
      <c r="Y2376" s="157"/>
      <c r="Z2376" s="40" t="s">
        <v>4656</v>
      </c>
      <c r="AA2376" s="45">
        <v>350</v>
      </c>
      <c r="AB2376" s="46">
        <f>IF(H2ProjectDB689571011[[#This Row],[Dummy_1]]="Electrolysis",
AA2376/VLOOKUP(G2376,ElectrolysisConvF,3,FALSE),
AC2376*10^6/(H2dens*HoursInYear))</f>
        <v>77777.777777777781</v>
      </c>
      <c r="AC2376" s="47">
        <f t="shared" si="165"/>
        <v>60.638666666666673</v>
      </c>
      <c r="AD2376" s="159"/>
      <c r="AE2376" s="159">
        <f t="shared" si="163"/>
        <v>77777.777777777781</v>
      </c>
      <c r="AF2376" s="43" t="s">
        <v>8587</v>
      </c>
      <c r="AG2376" s="43">
        <v>65.928166623593299</v>
      </c>
      <c r="AH2376" s="43">
        <v>26.515955377931199</v>
      </c>
      <c r="AI2376" s="122" t="s">
        <v>7286</v>
      </c>
      <c r="AJ2376" s="41">
        <v>0.4</v>
      </c>
    </row>
    <row r="2377" spans="1:36" ht="36.75" hidden="1" customHeight="1" x14ac:dyDescent="0.25">
      <c r="A2377" s="40">
        <v>3092</v>
      </c>
      <c r="B2377" s="157" t="s">
        <v>8588</v>
      </c>
      <c r="C2377" s="40" t="s">
        <v>1761</v>
      </c>
      <c r="D2377" s="44">
        <v>2025</v>
      </c>
      <c r="E2377" s="44"/>
      <c r="F2377" s="40" t="s">
        <v>5701</v>
      </c>
      <c r="G2377" s="40" t="s">
        <v>1259</v>
      </c>
      <c r="H2377" s="40" t="s">
        <v>467</v>
      </c>
      <c r="I2377" s="157" t="s">
        <v>1257</v>
      </c>
      <c r="J2377" s="157"/>
      <c r="K2377" s="157" t="s">
        <v>578</v>
      </c>
      <c r="L2377" s="157"/>
      <c r="M2377" s="157"/>
      <c r="N2377" s="157"/>
      <c r="O2377" s="157"/>
      <c r="P2377" s="157"/>
      <c r="Q2377" s="157"/>
      <c r="R2377" s="157"/>
      <c r="S2377" s="157">
        <v>1</v>
      </c>
      <c r="T2377" s="157"/>
      <c r="U2377" s="157"/>
      <c r="V2377" s="157"/>
      <c r="W2377" s="157"/>
      <c r="X2377" s="157"/>
      <c r="Y2377" s="157"/>
      <c r="Z2377" s="40" t="s">
        <v>1377</v>
      </c>
      <c r="AA2377" s="45">
        <v>4</v>
      </c>
      <c r="AB2377" s="46">
        <f>IF(H2ProjectDB689571011[[#This Row],[Dummy_1]]="Electrolysis",
AA2377/VLOOKUP(G2377,ElectrolysisConvF,3,FALSE),
AC2377*10^6/(H2dens*HoursInYear))</f>
        <v>888.88888888888891</v>
      </c>
      <c r="AC2377" s="47">
        <f t="shared" si="165"/>
        <v>0.69301333333333337</v>
      </c>
      <c r="AD2377" s="159"/>
      <c r="AE2377" s="159">
        <f t="shared" si="163"/>
        <v>888.88888888888891</v>
      </c>
      <c r="AF2377" s="160"/>
      <c r="AG2377" s="43">
        <v>39.839361628242798</v>
      </c>
      <c r="AH2377" s="43">
        <v>-7.4785761585788597</v>
      </c>
      <c r="AI2377" s="122" t="s">
        <v>7286</v>
      </c>
      <c r="AJ2377" s="41">
        <v>0.56999999999999995</v>
      </c>
    </row>
    <row r="2378" spans="1:36" ht="34.5" hidden="1" customHeight="1" x14ac:dyDescent="0.25">
      <c r="A2378" s="40">
        <v>3093</v>
      </c>
      <c r="B2378" s="40" t="s">
        <v>8594</v>
      </c>
      <c r="C2378" s="40" t="s">
        <v>1756</v>
      </c>
      <c r="D2378" s="44">
        <v>2026</v>
      </c>
      <c r="E2378" s="44"/>
      <c r="F2378" s="40" t="s">
        <v>5701</v>
      </c>
      <c r="G2378" s="40" t="s">
        <v>1259</v>
      </c>
      <c r="H2378" s="40" t="s">
        <v>467</v>
      </c>
      <c r="I2378" s="157" t="s">
        <v>1257</v>
      </c>
      <c r="K2378" s="40" t="s">
        <v>578</v>
      </c>
      <c r="P2378" s="40">
        <v>1</v>
      </c>
      <c r="Q2378" s="40">
        <v>1</v>
      </c>
      <c r="Z2378" s="40" t="s">
        <v>1433</v>
      </c>
      <c r="AA2378" s="91">
        <v>1.2</v>
      </c>
      <c r="AB2378" s="46">
        <f>IF(H2ProjectDB689571011[[#This Row],[Dummy_1]]="Electrolysis",
AA2378/VLOOKUP(G2378,ElectrolysisConvF,3,FALSE),
AC2378*10^6/(H2dens*HoursInYear))</f>
        <v>266.66666666666669</v>
      </c>
      <c r="AC2378" s="47">
        <f t="shared" si="165"/>
        <v>0.20790400000000001</v>
      </c>
      <c r="AE2378" s="46">
        <f t="shared" si="163"/>
        <v>266.66666666666669</v>
      </c>
      <c r="AG2378" s="43">
        <v>53.293550327572603</v>
      </c>
      <c r="AH2378" s="43">
        <v>-9.0508070403353003</v>
      </c>
      <c r="AI2378" s="122" t="s">
        <v>7286</v>
      </c>
      <c r="AJ2378" s="41">
        <v>0.56999999999999995</v>
      </c>
    </row>
    <row r="2379" spans="1:36" ht="34.5" hidden="1" customHeight="1" x14ac:dyDescent="0.25">
      <c r="A2379" s="40">
        <v>3094</v>
      </c>
      <c r="B2379" s="40" t="s">
        <v>8602</v>
      </c>
      <c r="C2379" s="40" t="s">
        <v>531</v>
      </c>
      <c r="D2379" s="44">
        <v>2027</v>
      </c>
      <c r="E2379" s="44"/>
      <c r="F2379" s="40" t="s">
        <v>1331</v>
      </c>
      <c r="G2379" s="40" t="s">
        <v>1259</v>
      </c>
      <c r="H2379" s="40" t="s">
        <v>467</v>
      </c>
      <c r="I2379" s="157" t="s">
        <v>1269</v>
      </c>
      <c r="J2379" s="40" t="s">
        <v>1394</v>
      </c>
      <c r="K2379" s="40" t="s">
        <v>1243</v>
      </c>
      <c r="M2379" s="40">
        <v>1</v>
      </c>
      <c r="Z2379" s="40" t="s">
        <v>3275</v>
      </c>
      <c r="AA2379" s="47">
        <v>260</v>
      </c>
      <c r="AB2379" s="46">
        <f>IF(H2ProjectDB689571011[[#This Row],[Dummy_1]]="Electrolysis",
AA2379/VLOOKUP(G2379,ElectrolysisConvF,3,FALSE),
AC2379*10^6/(H2dens*HoursInYear))</f>
        <v>57777.777777777781</v>
      </c>
      <c r="AC2379" s="47">
        <f t="shared" si="165"/>
        <v>45.045866666666669</v>
      </c>
      <c r="AE2379" s="46">
        <f t="shared" si="163"/>
        <v>57777.777777777781</v>
      </c>
      <c r="AF2379" s="43" t="s">
        <v>8626</v>
      </c>
      <c r="AG2379" s="43">
        <v>66.076790697504094</v>
      </c>
      <c r="AH2379" s="43">
        <v>13.8180892549231</v>
      </c>
      <c r="AI2379" s="122" t="s">
        <v>7286</v>
      </c>
      <c r="AJ2379" s="41">
        <v>0.8</v>
      </c>
    </row>
    <row r="2380" spans="1:36" ht="34.5" hidden="1" customHeight="1" x14ac:dyDescent="0.25">
      <c r="A2380" s="40">
        <v>3095</v>
      </c>
      <c r="B2380" s="40" t="s">
        <v>8603</v>
      </c>
      <c r="C2380" s="40" t="s">
        <v>532</v>
      </c>
      <c r="D2380" s="44">
        <v>2027</v>
      </c>
      <c r="E2380" s="44"/>
      <c r="F2380" s="40" t="s">
        <v>1331</v>
      </c>
      <c r="G2380" s="40" t="s">
        <v>1259</v>
      </c>
      <c r="H2380" s="40" t="s">
        <v>467</v>
      </c>
      <c r="I2380" s="40" t="s">
        <v>1257</v>
      </c>
      <c r="K2380" s="40" t="s">
        <v>1243</v>
      </c>
      <c r="M2380" s="40">
        <v>1</v>
      </c>
      <c r="P2380" s="40">
        <v>1</v>
      </c>
      <c r="Z2380" s="40" t="s">
        <v>5166</v>
      </c>
      <c r="AA2380" s="47">
        <v>280</v>
      </c>
      <c r="AB2380" s="46">
        <f>IF(H2ProjectDB689571011[[#This Row],[Dummy_1]]="Electrolysis",
AA2380/VLOOKUP(G2380,ElectrolysisConvF,3,FALSE),
AC2380*10^6/(H2dens*HoursInYear))</f>
        <v>62222.222222222226</v>
      </c>
      <c r="AC2380" s="47">
        <f t="shared" si="165"/>
        <v>48.510933333333334</v>
      </c>
      <c r="AE2380" s="46">
        <f t="shared" si="163"/>
        <v>62222.222222222226</v>
      </c>
      <c r="AF2380" s="43" t="s">
        <v>8695</v>
      </c>
      <c r="AG2380" s="43">
        <v>60.4195283240131</v>
      </c>
      <c r="AH2380" s="43">
        <v>21.893682163934798</v>
      </c>
      <c r="AI2380" s="122" t="s">
        <v>7286</v>
      </c>
      <c r="AJ2380" s="41">
        <v>0.56999999999999995</v>
      </c>
    </row>
    <row r="2381" spans="1:36" ht="34.5" hidden="1" customHeight="1" x14ac:dyDescent="0.25">
      <c r="A2381" s="40">
        <v>3096</v>
      </c>
      <c r="B2381" s="40" t="s">
        <v>8604</v>
      </c>
      <c r="C2381" s="40" t="s">
        <v>532</v>
      </c>
      <c r="D2381" s="44">
        <v>2030</v>
      </c>
      <c r="E2381" s="44"/>
      <c r="F2381" s="40" t="s">
        <v>1331</v>
      </c>
      <c r="G2381" s="40" t="s">
        <v>1259</v>
      </c>
      <c r="H2381" s="40" t="s">
        <v>467</v>
      </c>
      <c r="I2381" s="40" t="s">
        <v>1269</v>
      </c>
      <c r="J2381" s="40" t="s">
        <v>1393</v>
      </c>
      <c r="K2381" s="40" t="s">
        <v>1243</v>
      </c>
      <c r="M2381" s="40">
        <v>1</v>
      </c>
      <c r="P2381" s="40">
        <v>1</v>
      </c>
      <c r="Z2381" s="40" t="s">
        <v>5166</v>
      </c>
      <c r="AA2381" s="47">
        <v>280</v>
      </c>
      <c r="AB2381" s="46">
        <f>IF(H2ProjectDB689571011[[#This Row],[Dummy_1]]="Electrolysis",
AA2381/VLOOKUP(G2381,ElectrolysisConvF,3,FALSE),
AC2381*10^6/(H2dens*HoursInYear))</f>
        <v>62222.222222222226</v>
      </c>
      <c r="AC2381" s="47">
        <f t="shared" si="165"/>
        <v>48.510933333333334</v>
      </c>
      <c r="AE2381" s="46">
        <f t="shared" si="163"/>
        <v>62222.222222222226</v>
      </c>
      <c r="AF2381" s="43" t="s">
        <v>8629</v>
      </c>
      <c r="AG2381" s="43">
        <v>61.481541071437803</v>
      </c>
      <c r="AH2381" s="43">
        <v>21.8214197222701</v>
      </c>
      <c r="AI2381" s="122" t="s">
        <v>7286</v>
      </c>
      <c r="AJ2381" s="41">
        <v>0.55000000000000004</v>
      </c>
    </row>
    <row r="2382" spans="1:36" ht="34.5" hidden="1" customHeight="1" x14ac:dyDescent="0.25">
      <c r="A2382" s="40">
        <v>3097</v>
      </c>
      <c r="B2382" s="40" t="s">
        <v>8605</v>
      </c>
      <c r="C2382" s="40" t="s">
        <v>531</v>
      </c>
      <c r="D2382" s="44">
        <v>2026</v>
      </c>
      <c r="E2382" s="44"/>
      <c r="F2382" s="40" t="s">
        <v>1331</v>
      </c>
      <c r="G2382" s="40" t="s">
        <v>1259</v>
      </c>
      <c r="H2382" s="40" t="s">
        <v>467</v>
      </c>
      <c r="I2382" s="40" t="s">
        <v>1257</v>
      </c>
      <c r="K2382" s="40" t="s">
        <v>578</v>
      </c>
      <c r="Q2382" s="40">
        <v>1</v>
      </c>
      <c r="U2382" s="40">
        <v>1</v>
      </c>
      <c r="Z2382" s="40" t="s">
        <v>1582</v>
      </c>
      <c r="AA2382" s="47">
        <v>15</v>
      </c>
      <c r="AB2382" s="46">
        <f>IF(H2ProjectDB689571011[[#This Row],[Dummy_1]]="Electrolysis",
AA2382/VLOOKUP(G2382,ElectrolysisConvF,3,FALSE),
AC2382*10^6/(H2dens*HoursInYear))</f>
        <v>3333.3333333333335</v>
      </c>
      <c r="AC2382" s="47">
        <f t="shared" si="165"/>
        <v>2.5988000000000002</v>
      </c>
      <c r="AE2382" s="46">
        <f t="shared" si="163"/>
        <v>3333.3333333333335</v>
      </c>
      <c r="AF2382" s="43" t="s">
        <v>8633</v>
      </c>
      <c r="AG2382" s="43">
        <v>67.268248653011597</v>
      </c>
      <c r="AH2382" s="43">
        <v>14.334384101179101</v>
      </c>
      <c r="AI2382" s="122" t="s">
        <v>7286</v>
      </c>
      <c r="AJ2382" s="41">
        <v>0.56999999999999995</v>
      </c>
    </row>
    <row r="2383" spans="1:36" ht="34.5" hidden="1" customHeight="1" x14ac:dyDescent="0.25">
      <c r="A2383" s="40">
        <v>3098</v>
      </c>
      <c r="B2383" s="40" t="s">
        <v>8606</v>
      </c>
      <c r="C2383" s="40" t="s">
        <v>531</v>
      </c>
      <c r="D2383" s="44">
        <v>2026</v>
      </c>
      <c r="E2383" s="44"/>
      <c r="F2383" s="40" t="s">
        <v>1331</v>
      </c>
      <c r="G2383" s="40" t="s">
        <v>457</v>
      </c>
      <c r="I2383" s="40" t="s">
        <v>1257</v>
      </c>
      <c r="K2383" s="40" t="s">
        <v>578</v>
      </c>
      <c r="Q2383" s="40">
        <v>1</v>
      </c>
      <c r="Z2383" s="40" t="s">
        <v>2110</v>
      </c>
      <c r="AA2383" s="47">
        <v>24</v>
      </c>
      <c r="AB2383" s="46">
        <f>IF(H2ProjectDB689571011[[#This Row],[Dummy_1]]="Electrolysis",
AA2383/VLOOKUP(G2383,ElectrolysisConvF,3,FALSE),
AC2383*10^6/(H2dens*HoursInYear))</f>
        <v>5217.391304347826</v>
      </c>
      <c r="AC2383" s="47">
        <f t="shared" si="165"/>
        <v>4.0676869565217384</v>
      </c>
      <c r="AE2383" s="46">
        <f t="shared" si="163"/>
        <v>5217.391304347826</v>
      </c>
      <c r="AF2383" s="43" t="s">
        <v>8635</v>
      </c>
      <c r="AG2383" s="43">
        <v>63.110553993977902</v>
      </c>
      <c r="AH2383" s="43">
        <v>7.7345935025247199</v>
      </c>
      <c r="AI2383" s="122" t="s">
        <v>7286</v>
      </c>
      <c r="AJ2383" s="41">
        <v>0.56999999999999995</v>
      </c>
    </row>
    <row r="2384" spans="1:36" ht="34.5" hidden="1" customHeight="1" x14ac:dyDescent="0.25">
      <c r="A2384" s="40">
        <v>3099</v>
      </c>
      <c r="B2384" s="40" t="s">
        <v>8607</v>
      </c>
      <c r="C2384" s="40" t="s">
        <v>531</v>
      </c>
      <c r="D2384" s="44">
        <v>2027</v>
      </c>
      <c r="E2384" s="44"/>
      <c r="F2384" s="40" t="s">
        <v>1331</v>
      </c>
      <c r="G2384" s="40" t="s">
        <v>1259</v>
      </c>
      <c r="H2384" s="40" t="s">
        <v>467</v>
      </c>
      <c r="I2384" s="40" t="s">
        <v>1257</v>
      </c>
      <c r="K2384" s="40" t="s">
        <v>578</v>
      </c>
      <c r="P2384" s="40">
        <v>1</v>
      </c>
      <c r="Q2384" s="40">
        <v>1</v>
      </c>
      <c r="U2384" s="40">
        <v>1</v>
      </c>
      <c r="Z2384" s="40" t="s">
        <v>1495</v>
      </c>
      <c r="AA2384" s="47">
        <v>20</v>
      </c>
      <c r="AB2384" s="46">
        <f>IF(H2ProjectDB689571011[[#This Row],[Dummy_1]]="Electrolysis",
AA2384/VLOOKUP(G2384,ElectrolysisConvF,3,FALSE),
AC2384*10^6/(H2dens*HoursInYear))</f>
        <v>4444.4444444444443</v>
      </c>
      <c r="AC2384" s="47">
        <f t="shared" si="165"/>
        <v>3.4650666666666665</v>
      </c>
      <c r="AE2384" s="46">
        <f t="shared" ref="AE2384:AE2443" si="166">IF(AND(G2384&lt;&gt;"NG w CCUS",G2384&lt;&gt;"Oil w CCUS",G2384&lt;&gt;"Coal w CCUS"),AB2384,AD2384*10^3/(HoursInYear*IF(G2384="NG w CCUS",0.9105,1.9075)))</f>
        <v>4444.4444444444443</v>
      </c>
      <c r="AF2384" s="43" t="s">
        <v>8638</v>
      </c>
      <c r="AG2384" s="43">
        <v>66.021653702026995</v>
      </c>
      <c r="AH2384" s="43">
        <v>12.630598624256599</v>
      </c>
      <c r="AI2384" s="122" t="s">
        <v>7286</v>
      </c>
      <c r="AJ2384" s="41">
        <v>0.56999999999999995</v>
      </c>
    </row>
    <row r="2385" spans="1:36" ht="34.5" hidden="1" customHeight="1" x14ac:dyDescent="0.25">
      <c r="A2385" s="40">
        <v>3100</v>
      </c>
      <c r="B2385" s="40" t="s">
        <v>8608</v>
      </c>
      <c r="C2385" s="40" t="s">
        <v>1761</v>
      </c>
      <c r="D2385" s="44">
        <v>2025</v>
      </c>
      <c r="E2385" s="44"/>
      <c r="F2385" s="40" t="s">
        <v>5701</v>
      </c>
      <c r="G2385" s="40" t="s">
        <v>1259</v>
      </c>
      <c r="H2385" s="40" t="s">
        <v>467</v>
      </c>
      <c r="I2385" s="40" t="s">
        <v>1257</v>
      </c>
      <c r="K2385" s="40" t="s">
        <v>578</v>
      </c>
      <c r="Q2385" s="40">
        <v>1</v>
      </c>
      <c r="S2385" s="40">
        <v>1</v>
      </c>
      <c r="U2385" s="40">
        <v>1</v>
      </c>
      <c r="Z2385" s="40" t="s">
        <v>1510</v>
      </c>
      <c r="AA2385" s="47">
        <v>30</v>
      </c>
      <c r="AB2385" s="46">
        <f>IF(H2ProjectDB689571011[[#This Row],[Dummy_1]]="Electrolysis",
AA2385/VLOOKUP(G2385,ElectrolysisConvF,3,FALSE),
AC2385*10^6/(H2dens*HoursInYear))</f>
        <v>6666.666666666667</v>
      </c>
      <c r="AC2385" s="47">
        <f t="shared" si="165"/>
        <v>5.1976000000000004</v>
      </c>
      <c r="AE2385" s="46">
        <f t="shared" si="166"/>
        <v>6666.666666666667</v>
      </c>
      <c r="AF2385" s="43" t="s">
        <v>8642</v>
      </c>
      <c r="AG2385" s="43">
        <v>39.654364631634301</v>
      </c>
      <c r="AH2385" s="43">
        <v>-7.6688140360677703</v>
      </c>
      <c r="AI2385" s="122" t="s">
        <v>7286</v>
      </c>
      <c r="AJ2385" s="41">
        <v>0.56999999999999995</v>
      </c>
    </row>
    <row r="2386" spans="1:36" ht="34.5" hidden="1" customHeight="1" x14ac:dyDescent="0.25">
      <c r="A2386" s="40">
        <v>3101</v>
      </c>
      <c r="B2386" s="40" t="s">
        <v>8609</v>
      </c>
      <c r="C2386" s="40" t="s">
        <v>1761</v>
      </c>
      <c r="D2386" s="44">
        <v>2030</v>
      </c>
      <c r="E2386" s="44"/>
      <c r="F2386" s="40" t="s">
        <v>2222</v>
      </c>
      <c r="G2386" s="40" t="s">
        <v>1259</v>
      </c>
      <c r="H2386" s="40" t="s">
        <v>467</v>
      </c>
      <c r="I2386" s="40" t="s">
        <v>1269</v>
      </c>
      <c r="J2386" s="90" t="s">
        <v>581</v>
      </c>
      <c r="K2386" s="90" t="s">
        <v>1243</v>
      </c>
      <c r="L2386" s="90"/>
      <c r="M2386" s="90">
        <v>1</v>
      </c>
      <c r="P2386" s="40">
        <v>1</v>
      </c>
      <c r="Z2386" s="40" t="s">
        <v>8302</v>
      </c>
      <c r="AA2386" s="47">
        <v>470</v>
      </c>
      <c r="AB2386" s="46">
        <f>IF(H2ProjectDB689571011[[#This Row],[Dummy_1]]="Electrolysis",
AA2386/VLOOKUP(G2386,ElectrolysisConvF,3,FALSE),
AC2386*10^6/(H2dens*HoursInYear))</f>
        <v>104444.44444444445</v>
      </c>
      <c r="AC2386" s="47">
        <f t="shared" si="165"/>
        <v>81.429066666666671</v>
      </c>
      <c r="AE2386" s="46">
        <f t="shared" si="166"/>
        <v>104444.44444444445</v>
      </c>
      <c r="AF2386" s="43" t="s">
        <v>8649</v>
      </c>
      <c r="AG2386" s="43">
        <v>40.759733629346499</v>
      </c>
      <c r="AH2386" s="43">
        <v>-8.5732669846510898</v>
      </c>
      <c r="AI2386" s="122" t="s">
        <v>7286</v>
      </c>
      <c r="AJ2386" s="41">
        <v>0.5</v>
      </c>
    </row>
    <row r="2387" spans="1:36" ht="34.5" hidden="1" customHeight="1" x14ac:dyDescent="0.25">
      <c r="A2387" s="40">
        <v>3102</v>
      </c>
      <c r="B2387" s="40" t="s">
        <v>8610</v>
      </c>
      <c r="C2387" s="40" t="s">
        <v>1761</v>
      </c>
      <c r="D2387" s="44">
        <v>2035</v>
      </c>
      <c r="E2387" s="44"/>
      <c r="F2387" s="40" t="s">
        <v>2222</v>
      </c>
      <c r="G2387" s="40" t="s">
        <v>1259</v>
      </c>
      <c r="H2387" s="40" t="s">
        <v>467</v>
      </c>
      <c r="I2387" s="40" t="s">
        <v>1269</v>
      </c>
      <c r="J2387" s="90" t="s">
        <v>581</v>
      </c>
      <c r="K2387" s="90" t="s">
        <v>1243</v>
      </c>
      <c r="L2387" s="90"/>
      <c r="M2387" s="90">
        <v>1</v>
      </c>
      <c r="Z2387" s="40" t="s">
        <v>8646</v>
      </c>
      <c r="AA2387" s="47">
        <v>400</v>
      </c>
      <c r="AB2387" s="46">
        <f>IF(H2ProjectDB689571011[[#This Row],[Dummy_1]]="Electrolysis",
AA2387/VLOOKUP(G2387,ElectrolysisConvF,3,FALSE),
AC2387*10^6/(H2dens*HoursInYear))</f>
        <v>88888.888888888891</v>
      </c>
      <c r="AC2387" s="47">
        <f t="shared" si="165"/>
        <v>69.301333333333332</v>
      </c>
      <c r="AE2387" s="46">
        <f t="shared" si="166"/>
        <v>88888.888888888891</v>
      </c>
      <c r="AF2387" s="43" t="s">
        <v>8649</v>
      </c>
      <c r="AG2387" s="43">
        <v>40.759733629346499</v>
      </c>
      <c r="AH2387" s="43">
        <v>-8.5732669846510898</v>
      </c>
      <c r="AI2387" s="122" t="s">
        <v>7286</v>
      </c>
      <c r="AJ2387" s="41">
        <v>0.5</v>
      </c>
    </row>
    <row r="2388" spans="1:36" ht="34.5" hidden="1" customHeight="1" x14ac:dyDescent="0.25">
      <c r="A2388" s="40">
        <v>3103</v>
      </c>
      <c r="B2388" s="40" t="s">
        <v>8611</v>
      </c>
      <c r="C2388" s="40" t="s">
        <v>1761</v>
      </c>
      <c r="D2388" s="44">
        <v>2040</v>
      </c>
      <c r="E2388" s="44"/>
      <c r="F2388" s="40" t="s">
        <v>2222</v>
      </c>
      <c r="G2388" s="40" t="s">
        <v>1259</v>
      </c>
      <c r="H2388" s="40" t="s">
        <v>467</v>
      </c>
      <c r="I2388" s="40" t="s">
        <v>1269</v>
      </c>
      <c r="J2388" s="90" t="s">
        <v>581</v>
      </c>
      <c r="K2388" s="90" t="s">
        <v>1243</v>
      </c>
      <c r="L2388" s="90"/>
      <c r="M2388" s="90">
        <v>1</v>
      </c>
      <c r="Z2388" s="40" t="s">
        <v>8647</v>
      </c>
      <c r="AA2388" s="47">
        <v>600</v>
      </c>
      <c r="AB2388" s="46">
        <f>IF(H2ProjectDB689571011[[#This Row],[Dummy_1]]="Electrolysis",
AA2388/VLOOKUP(G2388,ElectrolysisConvF,3,FALSE),
AC2388*10^6/(H2dens*HoursInYear))</f>
        <v>133333.33333333334</v>
      </c>
      <c r="AC2388" s="47">
        <f t="shared" si="165"/>
        <v>103.952</v>
      </c>
      <c r="AE2388" s="46">
        <f t="shared" si="166"/>
        <v>133333.33333333334</v>
      </c>
      <c r="AF2388" s="43" t="s">
        <v>8649</v>
      </c>
      <c r="AG2388" s="43">
        <v>40.759733629346499</v>
      </c>
      <c r="AH2388" s="43">
        <v>-8.5732669846510898</v>
      </c>
      <c r="AI2388" s="122" t="s">
        <v>7286</v>
      </c>
      <c r="AJ2388" s="41">
        <v>0.5</v>
      </c>
    </row>
    <row r="2389" spans="1:36" ht="34.5" hidden="1" customHeight="1" x14ac:dyDescent="0.25">
      <c r="A2389" s="40">
        <v>3104</v>
      </c>
      <c r="B2389" s="40" t="s">
        <v>8612</v>
      </c>
      <c r="C2389" s="40" t="s">
        <v>1761</v>
      </c>
      <c r="D2389" s="44">
        <v>2025</v>
      </c>
      <c r="E2389" s="44"/>
      <c r="F2389" s="40" t="s">
        <v>1331</v>
      </c>
      <c r="G2389" s="40" t="s">
        <v>457</v>
      </c>
      <c r="I2389" s="40" t="s">
        <v>1269</v>
      </c>
      <c r="J2389" s="40" t="s">
        <v>1391</v>
      </c>
      <c r="K2389" s="40" t="s">
        <v>578</v>
      </c>
      <c r="P2389" s="40">
        <v>1</v>
      </c>
      <c r="S2389" s="40">
        <v>1</v>
      </c>
      <c r="Z2389" s="40" t="s">
        <v>1348</v>
      </c>
      <c r="AA2389" s="47">
        <v>10</v>
      </c>
      <c r="AB2389" s="46">
        <f>IF(H2ProjectDB689571011[[#This Row],[Dummy_1]]="Electrolysis",
AA2389/VLOOKUP(G2389,ElectrolysisConvF,3,FALSE),
AC2389*10^6/(H2dens*HoursInYear))</f>
        <v>2173.913043478261</v>
      </c>
      <c r="AC2389" s="47">
        <f t="shared" si="165"/>
        <v>1.6948695652173913</v>
      </c>
      <c r="AE2389" s="46">
        <f t="shared" si="166"/>
        <v>2173.913043478261</v>
      </c>
      <c r="AF2389" s="43" t="s">
        <v>8655</v>
      </c>
      <c r="AG2389" s="43">
        <v>38.950505505877501</v>
      </c>
      <c r="AH2389" s="43">
        <v>-8.99068505926226</v>
      </c>
      <c r="AI2389" s="122" t="s">
        <v>7286</v>
      </c>
      <c r="AJ2389" s="41">
        <v>0.3</v>
      </c>
    </row>
    <row r="2390" spans="1:36" ht="34.5" hidden="1" customHeight="1" x14ac:dyDescent="0.25">
      <c r="A2390" s="40">
        <v>3105</v>
      </c>
      <c r="B2390" s="40" t="s">
        <v>8656</v>
      </c>
      <c r="C2390" s="40" t="s">
        <v>531</v>
      </c>
      <c r="D2390" s="44">
        <v>2030</v>
      </c>
      <c r="E2390" s="44"/>
      <c r="F2390" s="40" t="s">
        <v>1331</v>
      </c>
      <c r="G2390" s="40" t="s">
        <v>1259</v>
      </c>
      <c r="H2390" s="40" t="s">
        <v>467</v>
      </c>
      <c r="I2390" s="40" t="s">
        <v>1257</v>
      </c>
      <c r="K2390" s="40" t="s">
        <v>578</v>
      </c>
      <c r="P2390" s="40">
        <v>1</v>
      </c>
      <c r="Z2390" s="40" t="s">
        <v>3786</v>
      </c>
      <c r="AA2390" s="47">
        <v>75</v>
      </c>
      <c r="AB2390" s="46">
        <f>IF(H2ProjectDB689571011[[#This Row],[Dummy_1]]="Electrolysis",
AA2390/VLOOKUP(G2390,ElectrolysisConvF,3,FALSE),
AC2390*10^6/(H2dens*HoursInYear))</f>
        <v>16666.666666666668</v>
      </c>
      <c r="AC2390" s="47">
        <f t="shared" si="165"/>
        <v>12.994</v>
      </c>
      <c r="AE2390" s="46">
        <f t="shared" si="166"/>
        <v>16666.666666666668</v>
      </c>
      <c r="AF2390" s="43" t="s">
        <v>8658</v>
      </c>
      <c r="AG2390" s="43">
        <v>60.116839338312502</v>
      </c>
      <c r="AH2390" s="43">
        <v>6.5607690810797603</v>
      </c>
      <c r="AI2390" s="122" t="s">
        <v>7286</v>
      </c>
      <c r="AJ2390" s="41">
        <v>0.56999999999999995</v>
      </c>
    </row>
    <row r="2391" spans="1:36" ht="34.5" hidden="1" customHeight="1" x14ac:dyDescent="0.25">
      <c r="A2391" s="40">
        <v>3106</v>
      </c>
      <c r="B2391" s="40" t="s">
        <v>8613</v>
      </c>
      <c r="C2391" s="40" t="s">
        <v>531</v>
      </c>
      <c r="D2391" s="44">
        <v>2028</v>
      </c>
      <c r="E2391" s="44"/>
      <c r="F2391" s="40" t="s">
        <v>1331</v>
      </c>
      <c r="G2391" s="40" t="s">
        <v>1259</v>
      </c>
      <c r="H2391" s="40" t="s">
        <v>467</v>
      </c>
      <c r="I2391" s="40" t="s">
        <v>1257</v>
      </c>
      <c r="K2391" s="40" t="s">
        <v>1243</v>
      </c>
      <c r="M2391" s="40">
        <v>1</v>
      </c>
      <c r="Q2391" s="40">
        <v>1</v>
      </c>
      <c r="Z2391" s="40" t="s">
        <v>2773</v>
      </c>
      <c r="AA2391" s="47">
        <v>300</v>
      </c>
      <c r="AB2391" s="46">
        <f>IF(H2ProjectDB689571011[[#This Row],[Dummy_1]]="Electrolysis",
AA2391/VLOOKUP(G2391,ElectrolysisConvF,3,FALSE),
AC2391*10^6/(H2dens*HoursInYear))</f>
        <v>66666.666666666672</v>
      </c>
      <c r="AC2391" s="47">
        <f t="shared" si="165"/>
        <v>51.975999999999999</v>
      </c>
      <c r="AE2391" s="46">
        <f t="shared" si="166"/>
        <v>66666.666666666672</v>
      </c>
      <c r="AF2391" s="43" t="s">
        <v>8662</v>
      </c>
      <c r="AG2391" s="43">
        <v>59.720779371222498</v>
      </c>
      <c r="AH2391" s="43">
        <v>11.455346069670201</v>
      </c>
      <c r="AI2391" s="122" t="s">
        <v>7286</v>
      </c>
      <c r="AJ2391" s="41">
        <v>0.56999999999999995</v>
      </c>
    </row>
    <row r="2392" spans="1:36" ht="34.5" hidden="1" customHeight="1" x14ac:dyDescent="0.25">
      <c r="A2392" s="40">
        <v>3107</v>
      </c>
      <c r="B2392" s="40" t="s">
        <v>8614</v>
      </c>
      <c r="C2392" s="40" t="s">
        <v>1761</v>
      </c>
      <c r="D2392" s="44">
        <v>2025</v>
      </c>
      <c r="E2392" s="44"/>
      <c r="F2392" s="40" t="s">
        <v>1331</v>
      </c>
      <c r="G2392" s="40" t="s">
        <v>455</v>
      </c>
      <c r="I2392" s="40" t="s">
        <v>1269</v>
      </c>
      <c r="J2392" s="40" t="s">
        <v>1391</v>
      </c>
      <c r="K2392" s="40" t="s">
        <v>1268</v>
      </c>
      <c r="P2392" s="40">
        <v>1</v>
      </c>
      <c r="S2392" s="40">
        <v>1</v>
      </c>
      <c r="Z2392" s="40" t="s">
        <v>1333</v>
      </c>
      <c r="AA2392" s="47">
        <v>10</v>
      </c>
      <c r="AB2392" s="46">
        <f>IF(H2ProjectDB689571011[[#This Row],[Dummy_1]]="Electrolysis",
AA2392/VLOOKUP(G2392,ElectrolysisConvF,3,FALSE),
AC2392*10^6/(H2dens*HoursInYear))</f>
        <v>1923.0769230769231</v>
      </c>
      <c r="AC2392" s="47">
        <f t="shared" si="165"/>
        <v>1.4993076923076922</v>
      </c>
      <c r="AE2392" s="46">
        <f t="shared" si="166"/>
        <v>1923.0769230769231</v>
      </c>
      <c r="AF2392" s="43" t="s">
        <v>8666</v>
      </c>
      <c r="AG2392" s="43">
        <v>37.95961407835</v>
      </c>
      <c r="AH2392" s="43">
        <v>-8.8585863990486402</v>
      </c>
      <c r="AI2392" s="122" t="s">
        <v>7286</v>
      </c>
      <c r="AJ2392" s="41">
        <v>0.3</v>
      </c>
    </row>
    <row r="2393" spans="1:36" ht="34.5" hidden="1" customHeight="1" x14ac:dyDescent="0.25">
      <c r="A2393" s="40">
        <v>3108</v>
      </c>
      <c r="B2393" s="40" t="s">
        <v>8615</v>
      </c>
      <c r="C2393" s="40" t="s">
        <v>1761</v>
      </c>
      <c r="D2393" s="44">
        <v>2028</v>
      </c>
      <c r="E2393" s="44"/>
      <c r="F2393" s="40" t="s">
        <v>2222</v>
      </c>
      <c r="G2393" s="40" t="s">
        <v>455</v>
      </c>
      <c r="I2393" s="40" t="s">
        <v>1269</v>
      </c>
      <c r="J2393" s="40" t="s">
        <v>1391</v>
      </c>
      <c r="K2393" s="40" t="s">
        <v>1268</v>
      </c>
      <c r="Z2393" s="40" t="s">
        <v>8669</v>
      </c>
      <c r="AA2393" s="47">
        <v>530</v>
      </c>
      <c r="AB2393" s="46">
        <f>IF(H2ProjectDB689571011[[#This Row],[Dummy_1]]="Electrolysis",
AA2393/VLOOKUP(G2393,ElectrolysisConvF,3,FALSE),
AC2393*10^6/(H2dens*HoursInYear))</f>
        <v>101923.07692307692</v>
      </c>
      <c r="AC2393" s="47">
        <f t="shared" si="165"/>
        <v>79.463307692307694</v>
      </c>
      <c r="AE2393" s="46">
        <f t="shared" si="166"/>
        <v>101923.07692307692</v>
      </c>
      <c r="AF2393" s="43" t="s">
        <v>8666</v>
      </c>
      <c r="AG2393" s="43">
        <v>37.95961407835</v>
      </c>
      <c r="AH2393" s="43">
        <v>-8.8585863990486402</v>
      </c>
      <c r="AI2393" s="122" t="s">
        <v>7286</v>
      </c>
      <c r="AJ2393" s="41">
        <v>0.3</v>
      </c>
    </row>
    <row r="2394" spans="1:36" ht="34.5" hidden="1" customHeight="1" x14ac:dyDescent="0.25">
      <c r="A2394" s="40">
        <v>3109</v>
      </c>
      <c r="B2394" s="40" t="s">
        <v>8616</v>
      </c>
      <c r="C2394" s="40" t="s">
        <v>531</v>
      </c>
      <c r="D2394" s="44">
        <v>2028</v>
      </c>
      <c r="E2394" s="44"/>
      <c r="F2394" s="40" t="s">
        <v>2222</v>
      </c>
      <c r="G2394" s="40" t="s">
        <v>1259</v>
      </c>
      <c r="H2394" s="40" t="s">
        <v>467</v>
      </c>
      <c r="I2394" s="40" t="s">
        <v>1257</v>
      </c>
      <c r="K2394" s="40" t="s">
        <v>1267</v>
      </c>
      <c r="W2394" s="40">
        <v>1</v>
      </c>
      <c r="Z2394" s="40" t="s">
        <v>1344</v>
      </c>
      <c r="AA2394" s="47">
        <v>20</v>
      </c>
      <c r="AB2394" s="46">
        <f>IF(H2ProjectDB689571011[[#This Row],[Dummy_1]]="Electrolysis",
AA2394/VLOOKUP(G2394,ElectrolysisConvF,3,FALSE),
AC2394*10^6/(H2dens*HoursInYear))</f>
        <v>4444.4444444444443</v>
      </c>
      <c r="AC2394" s="47">
        <f t="shared" si="165"/>
        <v>3.4650666666666665</v>
      </c>
      <c r="AE2394" s="46">
        <f t="shared" si="166"/>
        <v>4444.4444444444443</v>
      </c>
      <c r="AF2394" s="43" t="s">
        <v>8671</v>
      </c>
      <c r="AG2394" s="43">
        <v>61.256429394888599</v>
      </c>
      <c r="AH2394" s="43">
        <v>4.9640492030161703</v>
      </c>
      <c r="AI2394" s="122" t="s">
        <v>7286</v>
      </c>
      <c r="AJ2394" s="41">
        <v>0.56999999999999995</v>
      </c>
    </row>
    <row r="2395" spans="1:36" ht="34.5" hidden="1" customHeight="1" x14ac:dyDescent="0.25">
      <c r="A2395" s="40">
        <v>3110</v>
      </c>
      <c r="B2395" s="40" t="s">
        <v>8617</v>
      </c>
      <c r="C2395" s="40" t="s">
        <v>531</v>
      </c>
      <c r="D2395" s="44">
        <v>2027</v>
      </c>
      <c r="E2395" s="44"/>
      <c r="F2395" s="40" t="s">
        <v>1331</v>
      </c>
      <c r="G2395" s="40" t="s">
        <v>1259</v>
      </c>
      <c r="H2395" s="40" t="s">
        <v>467</v>
      </c>
      <c r="I2395" s="40" t="s">
        <v>1257</v>
      </c>
      <c r="K2395" s="40" t="s">
        <v>578</v>
      </c>
      <c r="Q2395" s="40">
        <v>1</v>
      </c>
      <c r="Z2395" s="40" t="s">
        <v>1344</v>
      </c>
      <c r="AA2395" s="47">
        <v>20</v>
      </c>
      <c r="AB2395" s="46">
        <f>IF(H2ProjectDB689571011[[#This Row],[Dummy_1]]="Electrolysis",
AA2395/VLOOKUP(G2395,ElectrolysisConvF,3,FALSE),
AC2395*10^6/(H2dens*HoursInYear))</f>
        <v>4444.4444444444443</v>
      </c>
      <c r="AC2395" s="47">
        <f t="shared" si="165"/>
        <v>3.4650666666666665</v>
      </c>
      <c r="AE2395" s="46">
        <f t="shared" si="166"/>
        <v>4444.4444444444443</v>
      </c>
      <c r="AF2395" s="43" t="s">
        <v>8674</v>
      </c>
      <c r="AG2395" s="43">
        <v>61.599688402829898</v>
      </c>
      <c r="AH2395" s="43">
        <v>5.0347803116652203</v>
      </c>
      <c r="AI2395" s="122" t="s">
        <v>7286</v>
      </c>
      <c r="AJ2395" s="41">
        <v>0.56999999999999995</v>
      </c>
    </row>
    <row r="2396" spans="1:36" ht="34.5" hidden="1" customHeight="1" x14ac:dyDescent="0.25">
      <c r="A2396" s="40">
        <v>3111</v>
      </c>
      <c r="B2396" s="40" t="s">
        <v>8618</v>
      </c>
      <c r="C2396" s="40" t="s">
        <v>531</v>
      </c>
      <c r="D2396" s="44">
        <v>2024</v>
      </c>
      <c r="E2396" s="44"/>
      <c r="F2396" s="40" t="s">
        <v>5701</v>
      </c>
      <c r="G2396" s="40" t="s">
        <v>457</v>
      </c>
      <c r="I2396" s="40" t="s">
        <v>1257</v>
      </c>
      <c r="K2396" s="40" t="s">
        <v>578</v>
      </c>
      <c r="O2396" s="40">
        <v>1</v>
      </c>
      <c r="Z2396" s="40" t="s">
        <v>3922</v>
      </c>
      <c r="AA2396" s="47">
        <v>40</v>
      </c>
      <c r="AB2396" s="46">
        <f>IF(H2ProjectDB689571011[[#This Row],[Dummy_1]]="Electrolysis",
AA2396/VLOOKUP(G2396,ElectrolysisConvF,3,FALSE),
AC2396*10^6/(H2dens*HoursInYear))</f>
        <v>8695.652173913044</v>
      </c>
      <c r="AC2396" s="47">
        <f t="shared" si="165"/>
        <v>6.7794782608695652</v>
      </c>
      <c r="AE2396" s="46">
        <f t="shared" si="166"/>
        <v>8695.652173913044</v>
      </c>
      <c r="AF2396" s="43" t="s">
        <v>8678</v>
      </c>
      <c r="AG2396" s="43">
        <v>66.313793619818796</v>
      </c>
      <c r="AH2396" s="43">
        <v>14.143608462490899</v>
      </c>
      <c r="AI2396" s="122" t="s">
        <v>7286</v>
      </c>
      <c r="AJ2396" s="41">
        <v>0.56999999999999995</v>
      </c>
    </row>
    <row r="2397" spans="1:36" ht="34.5" hidden="1" customHeight="1" x14ac:dyDescent="0.25">
      <c r="A2397" s="40">
        <v>3112</v>
      </c>
      <c r="B2397" s="40" t="s">
        <v>8619</v>
      </c>
      <c r="C2397" s="40" t="s">
        <v>531</v>
      </c>
      <c r="D2397" s="44">
        <v>2028</v>
      </c>
      <c r="E2397" s="44"/>
      <c r="F2397" s="40" t="s">
        <v>1331</v>
      </c>
      <c r="G2397" s="40" t="s">
        <v>457</v>
      </c>
      <c r="I2397" s="40" t="s">
        <v>1269</v>
      </c>
      <c r="J2397" s="40" t="s">
        <v>1395</v>
      </c>
      <c r="K2397" s="40" t="s">
        <v>1243</v>
      </c>
      <c r="M2397" s="40">
        <v>1</v>
      </c>
      <c r="Z2397" s="40" t="s">
        <v>8339</v>
      </c>
      <c r="AA2397" s="47">
        <v>500</v>
      </c>
      <c r="AB2397" s="46">
        <f>IF(H2ProjectDB689571011[[#This Row],[Dummy_1]]="Electrolysis",
AA2397/VLOOKUP(G2397,ElectrolysisConvF,3,FALSE),
AC2397*10^6/(H2dens*HoursInYear))</f>
        <v>108695.65217391304</v>
      </c>
      <c r="AC2397" s="47">
        <f t="shared" si="165"/>
        <v>84.743478260869566</v>
      </c>
      <c r="AE2397" s="46">
        <f t="shared" si="166"/>
        <v>108695.65217391304</v>
      </c>
      <c r="AF2397" s="43" t="s">
        <v>8680</v>
      </c>
      <c r="AG2397" s="43">
        <v>58.3215303694938</v>
      </c>
      <c r="AH2397" s="43">
        <v>6.9689457360300899</v>
      </c>
      <c r="AI2397" s="122" t="s">
        <v>7286</v>
      </c>
      <c r="AJ2397" s="41">
        <v>0.5</v>
      </c>
    </row>
    <row r="2398" spans="1:36" ht="34.5" hidden="1" customHeight="1" x14ac:dyDescent="0.25">
      <c r="A2398" s="40">
        <v>3113</v>
      </c>
      <c r="B2398" s="40" t="s">
        <v>8620</v>
      </c>
      <c r="C2398" s="40" t="s">
        <v>550</v>
      </c>
      <c r="D2398" s="44">
        <v>2025</v>
      </c>
      <c r="E2398" s="44"/>
      <c r="F2398" s="40" t="s">
        <v>2222</v>
      </c>
      <c r="G2398" s="40" t="s">
        <v>1259</v>
      </c>
      <c r="H2398" s="40" t="s">
        <v>467</v>
      </c>
      <c r="I2398" s="40" t="s">
        <v>1257</v>
      </c>
      <c r="K2398" s="40" t="s">
        <v>578</v>
      </c>
      <c r="Q2398" s="40">
        <v>1</v>
      </c>
      <c r="Z2398" s="40" t="s">
        <v>1348</v>
      </c>
      <c r="AA2398" s="47">
        <v>10</v>
      </c>
      <c r="AB2398" s="46">
        <f>IF(H2ProjectDB689571011[[#This Row],[Dummy_1]]="Electrolysis",
AA2398/VLOOKUP(G2398,ElectrolysisConvF,3,FALSE),
AC2398*10^6/(H2dens*HoursInYear))</f>
        <v>2222.2222222222222</v>
      </c>
      <c r="AC2398" s="47">
        <f t="shared" si="165"/>
        <v>1.7325333333333333</v>
      </c>
      <c r="AE2398" s="46">
        <f t="shared" si="166"/>
        <v>2222.2222222222222</v>
      </c>
      <c r="AF2398" s="43" t="s">
        <v>8682</v>
      </c>
      <c r="AG2398" s="43">
        <v>64.094150440750795</v>
      </c>
      <c r="AH2398" s="43">
        <v>-21.0098678566473</v>
      </c>
      <c r="AI2398" s="122" t="s">
        <v>7286</v>
      </c>
      <c r="AJ2398" s="41">
        <v>0.56999999999999995</v>
      </c>
    </row>
    <row r="2399" spans="1:36" ht="34.5" hidden="1" customHeight="1" x14ac:dyDescent="0.25">
      <c r="A2399" s="40">
        <v>3114</v>
      </c>
      <c r="B2399" s="40" t="s">
        <v>8621</v>
      </c>
      <c r="C2399" s="40" t="s">
        <v>531</v>
      </c>
      <c r="D2399" s="44">
        <v>2028</v>
      </c>
      <c r="E2399" s="44"/>
      <c r="F2399" s="40" t="s">
        <v>5701</v>
      </c>
      <c r="G2399" s="40" t="s">
        <v>1259</v>
      </c>
      <c r="H2399" s="40" t="s">
        <v>467</v>
      </c>
      <c r="I2399" s="40" t="s">
        <v>1269</v>
      </c>
      <c r="J2399" s="40" t="s">
        <v>1395</v>
      </c>
      <c r="K2399" s="40" t="s">
        <v>1243</v>
      </c>
      <c r="M2399" s="40">
        <v>1</v>
      </c>
      <c r="Z2399" s="40" t="s">
        <v>4030</v>
      </c>
      <c r="AA2399" s="47">
        <v>70</v>
      </c>
      <c r="AB2399" s="46">
        <f>IF(H2ProjectDB689571011[[#This Row],[Dummy_1]]="Electrolysis",
AA2399/VLOOKUP(G2399,ElectrolysisConvF,3,FALSE),
AC2399*10^6/(H2dens*HoursInYear))</f>
        <v>15555.555555555557</v>
      </c>
      <c r="AC2399" s="47">
        <f t="shared" si="165"/>
        <v>12.127733333333333</v>
      </c>
      <c r="AE2399" s="46">
        <f t="shared" si="166"/>
        <v>15555.555555555557</v>
      </c>
      <c r="AF2399" s="43" t="s">
        <v>8685</v>
      </c>
      <c r="AG2399" s="43">
        <v>69.683774801812703</v>
      </c>
      <c r="AH2399" s="43">
        <v>18.942733318055001</v>
      </c>
      <c r="AI2399" s="122" t="s">
        <v>7286</v>
      </c>
      <c r="AJ2399" s="41">
        <v>0.5</v>
      </c>
    </row>
    <row r="2400" spans="1:36" ht="34.5" hidden="1" customHeight="1" x14ac:dyDescent="0.25">
      <c r="A2400" s="40">
        <v>3115</v>
      </c>
      <c r="B2400" s="40" t="s">
        <v>8622</v>
      </c>
      <c r="C2400" s="40" t="s">
        <v>531</v>
      </c>
      <c r="D2400" s="44">
        <v>2027</v>
      </c>
      <c r="E2400" s="44"/>
      <c r="F2400" s="40" t="s">
        <v>1331</v>
      </c>
      <c r="G2400" s="40" t="s">
        <v>457</v>
      </c>
      <c r="I2400" s="40" t="s">
        <v>1269</v>
      </c>
      <c r="J2400" s="90" t="s">
        <v>581</v>
      </c>
      <c r="K2400" s="40" t="s">
        <v>1267</v>
      </c>
      <c r="W2400" s="40">
        <v>1</v>
      </c>
      <c r="Z2400" s="90" t="s">
        <v>1485</v>
      </c>
      <c r="AA2400" s="91">
        <v>100</v>
      </c>
      <c r="AB2400" s="46">
        <f>IF(H2ProjectDB689571011[[#This Row],[Dummy_1]]="Electrolysis",
AA2400/VLOOKUP(G2400,ElectrolysisConvF,3,FALSE),
AC2400*10^6/(H2dens*HoursInYear))</f>
        <v>21739.130434782608</v>
      </c>
      <c r="AC2400" s="47">
        <f t="shared" si="165"/>
        <v>16.94869565217391</v>
      </c>
      <c r="AE2400" s="46">
        <f t="shared" si="166"/>
        <v>21739.130434782608</v>
      </c>
      <c r="AF2400" s="43" t="s">
        <v>8686</v>
      </c>
      <c r="AG2400" s="43">
        <v>65.836629682191202</v>
      </c>
      <c r="AH2400" s="43">
        <v>13.1928629066478</v>
      </c>
      <c r="AI2400" s="122" t="s">
        <v>7286</v>
      </c>
      <c r="AJ2400" s="41">
        <v>0.5</v>
      </c>
    </row>
    <row r="2401" spans="1:36" ht="34.5" hidden="1" customHeight="1" x14ac:dyDescent="0.25">
      <c r="A2401" s="40">
        <v>3116</v>
      </c>
      <c r="B2401" s="40" t="s">
        <v>8623</v>
      </c>
      <c r="C2401" s="40" t="s">
        <v>531</v>
      </c>
      <c r="D2401" s="44">
        <v>2026</v>
      </c>
      <c r="E2401" s="44"/>
      <c r="F2401" s="40" t="s">
        <v>5701</v>
      </c>
      <c r="G2401" s="40" t="s">
        <v>1259</v>
      </c>
      <c r="H2401" s="40" t="s">
        <v>467</v>
      </c>
      <c r="I2401" s="40" t="s">
        <v>1257</v>
      </c>
      <c r="K2401" s="40" t="s">
        <v>578</v>
      </c>
      <c r="Q2401" s="40">
        <v>1</v>
      </c>
      <c r="Z2401" s="40" t="s">
        <v>1348</v>
      </c>
      <c r="AA2401" s="47">
        <v>10</v>
      </c>
      <c r="AB2401" s="46">
        <f>IF(H2ProjectDB689571011[[#This Row],[Dummy_1]]="Electrolysis",
AA2401/VLOOKUP(G2401,ElectrolysisConvF,3,FALSE),
AC2401*10^6/(H2dens*HoursInYear))</f>
        <v>2222.2222222222222</v>
      </c>
      <c r="AC2401" s="47">
        <f t="shared" si="165"/>
        <v>1.7325333333333333</v>
      </c>
      <c r="AE2401" s="46">
        <f t="shared" si="166"/>
        <v>2222.2222222222222</v>
      </c>
      <c r="AF2401" s="43" t="s">
        <v>8687</v>
      </c>
      <c r="AG2401" s="43">
        <v>59.064698433341199</v>
      </c>
      <c r="AH2401" s="43">
        <v>5.9229766139057798</v>
      </c>
      <c r="AI2401" s="122" t="s">
        <v>7286</v>
      </c>
      <c r="AJ2401" s="41">
        <v>0.56999999999999995</v>
      </c>
    </row>
    <row r="2402" spans="1:36" ht="34.5" hidden="1" customHeight="1" x14ac:dyDescent="0.25">
      <c r="A2402" s="40">
        <v>3117</v>
      </c>
      <c r="B2402" s="40" t="s">
        <v>8692</v>
      </c>
      <c r="C2402" s="40" t="s">
        <v>531</v>
      </c>
      <c r="D2402" s="44">
        <v>2027</v>
      </c>
      <c r="E2402" s="44"/>
      <c r="F2402" s="40" t="s">
        <v>5701</v>
      </c>
      <c r="G2402" s="40" t="s">
        <v>1259</v>
      </c>
      <c r="H2402" s="40" t="s">
        <v>467</v>
      </c>
      <c r="I2402" s="40" t="s">
        <v>1257</v>
      </c>
      <c r="K2402" s="40" t="s">
        <v>578</v>
      </c>
      <c r="Q2402" s="40">
        <v>1</v>
      </c>
      <c r="Z2402" s="40" t="s">
        <v>1344</v>
      </c>
      <c r="AA2402" s="47">
        <v>20</v>
      </c>
      <c r="AB2402" s="46">
        <f>IF(H2ProjectDB689571011[[#This Row],[Dummy_1]]="Electrolysis",
AA2402/VLOOKUP(G2402,ElectrolysisConvF,3,FALSE),
AC2402*10^6/(H2dens*HoursInYear))</f>
        <v>4444.4444444444443</v>
      </c>
      <c r="AC2402" s="47">
        <f t="shared" si="165"/>
        <v>3.4650666666666665</v>
      </c>
      <c r="AE2402" s="46">
        <f t="shared" si="166"/>
        <v>4444.4444444444443</v>
      </c>
      <c r="AG2402" s="43">
        <v>64.888375316493594</v>
      </c>
      <c r="AH2402" s="43">
        <v>11.3001687488317</v>
      </c>
      <c r="AI2402" s="122" t="s">
        <v>7286</v>
      </c>
      <c r="AJ2402" s="41">
        <v>0.56999999999999995</v>
      </c>
    </row>
    <row r="2403" spans="1:36" ht="34.5" hidden="1" customHeight="1" x14ac:dyDescent="0.25">
      <c r="A2403" s="40">
        <v>3118</v>
      </c>
      <c r="B2403" s="40" t="s">
        <v>8624</v>
      </c>
      <c r="C2403" s="40" t="s">
        <v>1761</v>
      </c>
      <c r="D2403" s="44">
        <v>2030</v>
      </c>
      <c r="E2403" s="44"/>
      <c r="F2403" s="40" t="s">
        <v>2222</v>
      </c>
      <c r="G2403" s="40" t="s">
        <v>1259</v>
      </c>
      <c r="H2403" s="40" t="s">
        <v>467</v>
      </c>
      <c r="I2403" s="40" t="s">
        <v>1257</v>
      </c>
      <c r="K2403" s="40" t="s">
        <v>578</v>
      </c>
      <c r="Z2403" s="40" t="s">
        <v>8691</v>
      </c>
      <c r="AA2403" s="47">
        <v>160</v>
      </c>
      <c r="AB2403" s="46">
        <f>IF(H2ProjectDB689571011[[#This Row],[Dummy_1]]="Electrolysis",
AA2403/VLOOKUP(G2403,ElectrolysisConvF,3,FALSE),
AC2403*10^6/(H2dens*HoursInYear))</f>
        <v>35555.555555555555</v>
      </c>
      <c r="AC2403" s="47">
        <f t="shared" si="165"/>
        <v>27.720533333333332</v>
      </c>
      <c r="AE2403" s="46">
        <f t="shared" si="166"/>
        <v>35555.555555555555</v>
      </c>
      <c r="AF2403" s="43" t="s">
        <v>8688</v>
      </c>
      <c r="AG2403" s="43">
        <v>37.95961407835</v>
      </c>
      <c r="AH2403" s="43">
        <v>-8.8585863990486402</v>
      </c>
      <c r="AI2403" s="122" t="s">
        <v>7286</v>
      </c>
      <c r="AJ2403" s="41">
        <v>0.56999999999999995</v>
      </c>
    </row>
    <row r="2404" spans="1:36" ht="34.5" hidden="1" customHeight="1" x14ac:dyDescent="0.25">
      <c r="A2404" s="40">
        <v>3119</v>
      </c>
      <c r="B2404" s="40" t="s">
        <v>8630</v>
      </c>
      <c r="C2404" s="40" t="s">
        <v>1083</v>
      </c>
      <c r="D2404" s="44">
        <v>2032</v>
      </c>
      <c r="E2404" s="44"/>
      <c r="F2404" s="40" t="s">
        <v>1331</v>
      </c>
      <c r="G2404" s="40" t="s">
        <v>455</v>
      </c>
      <c r="I2404" s="40" t="s">
        <v>1269</v>
      </c>
      <c r="J2404" s="40" t="s">
        <v>1395</v>
      </c>
      <c r="K2404" s="40" t="s">
        <v>1243</v>
      </c>
      <c r="Z2404" s="40" t="s">
        <v>8631</v>
      </c>
      <c r="AA2404" s="47">
        <v>1400</v>
      </c>
      <c r="AB2404" s="46">
        <f>IF(H2ProjectDB689571011[[#This Row],[Dummy_1]]="Electrolysis",
AA2404/VLOOKUP(G2404,ElectrolysisConvF,3,FALSE),
AC2404*10^6/(H2dens*HoursInYear))</f>
        <v>269230.76923076925</v>
      </c>
      <c r="AC2404" s="161">
        <f t="shared" si="165"/>
        <v>209.90307692307692</v>
      </c>
      <c r="AE2404" s="46">
        <f t="shared" si="166"/>
        <v>269230.76923076925</v>
      </c>
      <c r="AG2404" s="43">
        <v>11.713629394654401</v>
      </c>
      <c r="AH2404" s="43">
        <v>-72.262314116682006</v>
      </c>
      <c r="AI2404" s="122" t="s">
        <v>7286</v>
      </c>
      <c r="AJ2404" s="41">
        <v>0.5</v>
      </c>
    </row>
    <row r="2405" spans="1:36" ht="34.5" hidden="1" customHeight="1" x14ac:dyDescent="0.25">
      <c r="A2405" s="40">
        <v>3120</v>
      </c>
      <c r="B2405" s="40" t="s">
        <v>8636</v>
      </c>
      <c r="C2405" s="40" t="s">
        <v>1083</v>
      </c>
      <c r="D2405" s="44">
        <v>2027</v>
      </c>
      <c r="E2405" s="44"/>
      <c r="F2405" s="40" t="s">
        <v>1331</v>
      </c>
      <c r="G2405" s="40" t="s">
        <v>1259</v>
      </c>
      <c r="H2405" s="40" t="s">
        <v>467</v>
      </c>
      <c r="I2405" s="40" t="s">
        <v>5700</v>
      </c>
      <c r="K2405" s="40" t="s">
        <v>578</v>
      </c>
      <c r="P2405" s="40">
        <v>1</v>
      </c>
      <c r="Z2405" s="40" t="s">
        <v>3819</v>
      </c>
      <c r="AA2405" s="47">
        <v>30</v>
      </c>
      <c r="AB2405" s="46">
        <f>IF(H2ProjectDB689571011[[#This Row],[Dummy_1]]="Electrolysis",
AA2405/VLOOKUP(G2405,ElectrolysisConvF,3,FALSE),
AC2405*10^6/(H2dens*HoursInYear))</f>
        <v>6666.666666666667</v>
      </c>
      <c r="AC2405" s="161">
        <f t="shared" si="165"/>
        <v>5.1976000000000004</v>
      </c>
      <c r="AE2405" s="46">
        <f t="shared" si="166"/>
        <v>6666.666666666667</v>
      </c>
      <c r="AG2405" s="43">
        <v>11.015375177500999</v>
      </c>
      <c r="AH2405" s="43">
        <v>-74.831044430473696</v>
      </c>
      <c r="AI2405" s="122" t="s">
        <v>7286</v>
      </c>
      <c r="AJ2405" s="41">
        <v>0.7</v>
      </c>
    </row>
    <row r="2406" spans="1:36" ht="34.5" hidden="1" customHeight="1" x14ac:dyDescent="0.25">
      <c r="A2406" s="40">
        <v>3121</v>
      </c>
      <c r="B2406" s="40" t="s">
        <v>8639</v>
      </c>
      <c r="C2406" s="40" t="s">
        <v>1083</v>
      </c>
      <c r="D2406" s="44">
        <v>2030</v>
      </c>
      <c r="E2406" s="44"/>
      <c r="F2406" s="40" t="s">
        <v>1331</v>
      </c>
      <c r="G2406" s="40" t="s">
        <v>455</v>
      </c>
      <c r="I2406" s="40" t="s">
        <v>5700</v>
      </c>
      <c r="K2406" s="40" t="s">
        <v>1243</v>
      </c>
      <c r="P2406" s="40">
        <v>1</v>
      </c>
      <c r="Z2406" s="40" t="s">
        <v>8640</v>
      </c>
      <c r="AA2406" s="47">
        <f>IF(H2ProjectDB689571011[[#This Row],[Dummy_1]]="Electrolysis",
AB2406*VLOOKUP(G2406,ElectrolysisConvF,3,FALSE),
"")</f>
        <v>396.3413901808222</v>
      </c>
      <c r="AB2406" s="46">
        <f>AC2406/(H2dens*HoursInYear/10^6)</f>
        <v>76219.498111696579</v>
      </c>
      <c r="AC2406" s="162">
        <f>330*3/17/0.98</f>
        <v>59.423769507803122</v>
      </c>
      <c r="AE2406" s="46">
        <f t="shared" si="166"/>
        <v>76219.498111696579</v>
      </c>
      <c r="AG2406" s="43">
        <v>10.415053786923201</v>
      </c>
      <c r="AH2406" s="43">
        <v>-75.469559250155797</v>
      </c>
      <c r="AI2406" s="122" t="s">
        <v>7286</v>
      </c>
      <c r="AJ2406" s="41">
        <v>0.7</v>
      </c>
    </row>
    <row r="2407" spans="1:36" ht="34.5" hidden="1" customHeight="1" x14ac:dyDescent="0.25">
      <c r="A2407" s="40">
        <v>3122</v>
      </c>
      <c r="B2407" s="40" t="s">
        <v>8644</v>
      </c>
      <c r="C2407" s="40" t="s">
        <v>1083</v>
      </c>
      <c r="D2407" s="44">
        <v>2032</v>
      </c>
      <c r="E2407" s="44"/>
      <c r="F2407" s="40" t="s">
        <v>1331</v>
      </c>
      <c r="G2407" s="40" t="s">
        <v>1259</v>
      </c>
      <c r="H2407" s="40" t="s">
        <v>467</v>
      </c>
      <c r="I2407" s="40" t="s">
        <v>5700</v>
      </c>
      <c r="K2407" s="40" t="s">
        <v>1267</v>
      </c>
      <c r="Q2407" s="40">
        <v>1</v>
      </c>
      <c r="W2407" s="40">
        <v>1</v>
      </c>
      <c r="Z2407" s="40" t="s">
        <v>8650</v>
      </c>
      <c r="AA2407" s="47">
        <v>100</v>
      </c>
      <c r="AB2407" s="46">
        <f>IF(H2ProjectDB689571011[[#This Row],[Dummy_1]]="Electrolysis",
AA2407/VLOOKUP(G2407,ElectrolysisConvF,3,FALSE),
AC2407*10^6/(H2dens*HoursInYear))</f>
        <v>22222.222222222223</v>
      </c>
      <c r="AC2407" s="161">
        <f>AB2407*H2dens*HoursInYear/10^6</f>
        <v>17.325333333333333</v>
      </c>
      <c r="AE2407" s="46">
        <f t="shared" si="166"/>
        <v>22222.222222222223</v>
      </c>
      <c r="AG2407" s="43">
        <v>4.72492559644739</v>
      </c>
      <c r="AH2407" s="43">
        <v>-74.063876816400807</v>
      </c>
      <c r="AI2407" s="122" t="s">
        <v>7286</v>
      </c>
      <c r="AJ2407" s="41">
        <v>0.7</v>
      </c>
    </row>
    <row r="2408" spans="1:36" ht="34.5" hidden="1" customHeight="1" x14ac:dyDescent="0.25">
      <c r="A2408" s="40">
        <v>3123</v>
      </c>
      <c r="B2408" s="40" t="s">
        <v>8645</v>
      </c>
      <c r="C2408" s="40" t="s">
        <v>1083</v>
      </c>
      <c r="D2408" s="44">
        <v>2032</v>
      </c>
      <c r="E2408" s="44"/>
      <c r="F2408" s="40" t="s">
        <v>1331</v>
      </c>
      <c r="G2408" s="40" t="s">
        <v>1259</v>
      </c>
      <c r="H2408" s="40" t="s">
        <v>467</v>
      </c>
      <c r="I2408" s="40" t="s">
        <v>5700</v>
      </c>
      <c r="K2408" s="40" t="s">
        <v>1267</v>
      </c>
      <c r="Q2408" s="40">
        <v>1</v>
      </c>
      <c r="W2408" s="40">
        <v>1</v>
      </c>
      <c r="Z2408" s="40" t="s">
        <v>8651</v>
      </c>
      <c r="AA2408" s="47">
        <v>45</v>
      </c>
      <c r="AB2408" s="46">
        <f>IF(H2ProjectDB689571011[[#This Row],[Dummy_1]]="Electrolysis",
AA2408/VLOOKUP(G2408,ElectrolysisConvF,3,FALSE),
AC2408*10^6/(H2dens*HoursInYear))</f>
        <v>10000</v>
      </c>
      <c r="AC2408" s="161">
        <f>AB2408*H2dens*HoursInYear/10^6</f>
        <v>7.7964000000000002</v>
      </c>
      <c r="AE2408" s="46">
        <f t="shared" si="166"/>
        <v>10000</v>
      </c>
      <c r="AG2408" s="43">
        <v>10.415053786923201</v>
      </c>
      <c r="AH2408" s="43">
        <v>-75.469559250155797</v>
      </c>
      <c r="AI2408" s="122" t="s">
        <v>7286</v>
      </c>
      <c r="AJ2408" s="41">
        <v>0.7</v>
      </c>
    </row>
    <row r="2409" spans="1:36" ht="34.5" hidden="1" customHeight="1" x14ac:dyDescent="0.25">
      <c r="A2409" s="40">
        <v>3124</v>
      </c>
      <c r="B2409" s="40" t="s">
        <v>8652</v>
      </c>
      <c r="C2409" s="40" t="s">
        <v>1083</v>
      </c>
      <c r="D2409" s="44">
        <v>2030</v>
      </c>
      <c r="E2409" s="44"/>
      <c r="F2409" s="40" t="s">
        <v>1331</v>
      </c>
      <c r="G2409" s="40" t="s">
        <v>1259</v>
      </c>
      <c r="H2409" s="40" t="s">
        <v>467</v>
      </c>
      <c r="I2409" s="40" t="s">
        <v>5700</v>
      </c>
      <c r="K2409" s="40" t="s">
        <v>1242</v>
      </c>
      <c r="N2409" s="40">
        <v>1</v>
      </c>
      <c r="P2409" s="40">
        <v>1</v>
      </c>
      <c r="V2409" s="40">
        <v>1</v>
      </c>
      <c r="Z2409" s="40" t="s">
        <v>8653</v>
      </c>
      <c r="AA2409" s="47">
        <v>28</v>
      </c>
      <c r="AB2409" s="46">
        <f>IF(H2ProjectDB689571011[[#This Row],[Dummy_1]]="Electrolysis",
AA2409/VLOOKUP(G2409,ElectrolysisConvF,3,FALSE),
AC2409*10^6/(H2dens*HoursInYear))</f>
        <v>6222.2222222222226</v>
      </c>
      <c r="AC2409" s="161">
        <f>AB2409*H2dens*HoursInYear/10^6</f>
        <v>4.8510933333333339</v>
      </c>
      <c r="AE2409" s="46">
        <f t="shared" si="166"/>
        <v>6222.2222222222226</v>
      </c>
      <c r="AG2409" s="43">
        <v>3.5996581061734001</v>
      </c>
      <c r="AH2409" s="43">
        <v>-76.398609009924797</v>
      </c>
      <c r="AI2409" s="122" t="s">
        <v>7286</v>
      </c>
      <c r="AJ2409" s="41">
        <v>0.7</v>
      </c>
    </row>
    <row r="2410" spans="1:36" ht="34.5" hidden="1" customHeight="1" x14ac:dyDescent="0.25">
      <c r="A2410" s="40">
        <v>3125</v>
      </c>
      <c r="B2410" s="40" t="s">
        <v>8672</v>
      </c>
      <c r="C2410" s="40" t="s">
        <v>1305</v>
      </c>
      <c r="D2410" s="44">
        <v>2029</v>
      </c>
      <c r="E2410" s="44"/>
      <c r="F2410" s="40" t="s">
        <v>2222</v>
      </c>
      <c r="G2410" s="40" t="s">
        <v>1259</v>
      </c>
      <c r="H2410" s="40" t="s">
        <v>467</v>
      </c>
      <c r="I2410" s="40" t="s">
        <v>5700</v>
      </c>
      <c r="K2410" s="40" t="s">
        <v>578</v>
      </c>
      <c r="S2410" s="40">
        <v>1</v>
      </c>
      <c r="Z2410" s="40" t="s">
        <v>8575</v>
      </c>
      <c r="AA2410" s="47">
        <v>800</v>
      </c>
      <c r="AB2410" s="46">
        <f>IF(H2ProjectDB689571011[[#This Row],[Dummy_1]]="Electrolysis",
AA2410/VLOOKUP(G2410,ElectrolysisConvF,3,FALSE),
AC2410*10^6/(H2dens*HoursInYear))</f>
        <v>177777.77777777778</v>
      </c>
      <c r="AC2410" s="161">
        <f>AB2410*H2dens*HoursInYear/10^6</f>
        <v>138.60266666666666</v>
      </c>
      <c r="AE2410" s="46">
        <f t="shared" si="166"/>
        <v>177777.77777777778</v>
      </c>
      <c r="AF2410" s="43" t="s">
        <v>8676</v>
      </c>
      <c r="AG2410" s="43">
        <v>45.309147681162102</v>
      </c>
      <c r="AH2410" s="43">
        <v>5.9065121939537804</v>
      </c>
      <c r="AI2410" s="122" t="s">
        <v>7286</v>
      </c>
      <c r="AJ2410" s="41">
        <v>0.7</v>
      </c>
    </row>
    <row r="2411" spans="1:36" ht="34.5" hidden="1" customHeight="1" x14ac:dyDescent="0.25">
      <c r="A2411" s="40">
        <v>3126</v>
      </c>
      <c r="B2411" s="40" t="s">
        <v>8713</v>
      </c>
      <c r="C2411" s="40" t="s">
        <v>532</v>
      </c>
      <c r="D2411" s="44"/>
      <c r="E2411" s="44"/>
      <c r="F2411" s="40" t="s">
        <v>2222</v>
      </c>
      <c r="G2411" s="40" t="s">
        <v>1259</v>
      </c>
      <c r="H2411" s="40" t="s">
        <v>467</v>
      </c>
      <c r="I2411" s="40" t="s">
        <v>1269</v>
      </c>
      <c r="J2411" s="40" t="s">
        <v>1392</v>
      </c>
      <c r="K2411" s="40" t="s">
        <v>1267</v>
      </c>
      <c r="Z2411" s="40" t="s">
        <v>7174</v>
      </c>
      <c r="AA2411" s="47">
        <f>IF(H2ProjectDB689571011[[#This Row],[Dummy_1]]="Electrolysis",
AB2411*VLOOKUP(G2411,ElectrolysisConvF,3,FALSE),
"")</f>
        <v>192.72593673370852</v>
      </c>
      <c r="AB2411" s="92">
        <f>AC2411/(H2dens*HoursInYear/10^6)</f>
        <v>42827.985940824117</v>
      </c>
      <c r="AC2411" s="47">
        <f>(65*0.045/0.73/0.12)</f>
        <v>33.390410958904113</v>
      </c>
      <c r="AE2411" s="46">
        <f t="shared" si="166"/>
        <v>42827.985940824117</v>
      </c>
      <c r="AF2411" s="43" t="s">
        <v>8715</v>
      </c>
      <c r="AG2411" s="43">
        <v>64.148134046575507</v>
      </c>
      <c r="AH2411" s="43">
        <v>25.352603062265199</v>
      </c>
      <c r="AI2411" s="122" t="s">
        <v>7286</v>
      </c>
      <c r="AJ2411" s="41">
        <v>0.4</v>
      </c>
    </row>
    <row r="2412" spans="1:36" ht="34.5" hidden="1" customHeight="1" x14ac:dyDescent="0.25">
      <c r="A2412" s="40">
        <v>3127</v>
      </c>
      <c r="B2412" s="40" t="s">
        <v>8700</v>
      </c>
      <c r="C2412" s="40" t="s">
        <v>1764</v>
      </c>
      <c r="D2412" s="44"/>
      <c r="E2412" s="44"/>
      <c r="F2412" s="40" t="s">
        <v>2222</v>
      </c>
      <c r="G2412" s="40" t="s">
        <v>1259</v>
      </c>
      <c r="H2412" s="40" t="s">
        <v>467</v>
      </c>
      <c r="I2412" s="40" t="s">
        <v>1269</v>
      </c>
      <c r="J2412" s="164" t="s">
        <v>1391</v>
      </c>
      <c r="K2412" s="40" t="s">
        <v>578</v>
      </c>
      <c r="P2412" s="40">
        <v>1</v>
      </c>
      <c r="Q2412" s="40">
        <v>1</v>
      </c>
      <c r="V2412" s="40">
        <v>1</v>
      </c>
      <c r="Z2412" s="40" t="s">
        <v>8701</v>
      </c>
      <c r="AA2412" s="47">
        <v>9.1</v>
      </c>
      <c r="AB2412" s="46">
        <f>IF(H2ProjectDB689571011[[#This Row],[Dummy_1]]="Electrolysis",
AA2412/VLOOKUP(G2412,ElectrolysisConvF,3,FALSE),
AC2412*10^6/(H2dens*HoursInYear))</f>
        <v>2022.2222222222224</v>
      </c>
      <c r="AC2412" s="161">
        <f>AB2412*H2dens*HoursInYear/10^6</f>
        <v>1.5766053333333334</v>
      </c>
      <c r="AE2412" s="46">
        <f t="shared" si="166"/>
        <v>2022.2222222222224</v>
      </c>
      <c r="AF2412" s="43" t="s">
        <v>7645</v>
      </c>
      <c r="AG2412" s="43">
        <v>37.389181532419897</v>
      </c>
      <c r="AH2412" s="43">
        <v>-5.9832393666922101</v>
      </c>
      <c r="AI2412" s="122" t="s">
        <v>7286</v>
      </c>
      <c r="AJ2412" s="41">
        <v>0.3</v>
      </c>
    </row>
    <row r="2413" spans="1:36" ht="34.5" hidden="1" customHeight="1" x14ac:dyDescent="0.25">
      <c r="A2413" s="40">
        <v>3128</v>
      </c>
      <c r="B2413" s="40" t="s">
        <v>8702</v>
      </c>
      <c r="C2413" s="40" t="s">
        <v>1761</v>
      </c>
      <c r="D2413" s="44">
        <v>2025</v>
      </c>
      <c r="E2413" s="44"/>
      <c r="F2413" s="40" t="s">
        <v>1331</v>
      </c>
      <c r="G2413" s="40" t="s">
        <v>1259</v>
      </c>
      <c r="H2413" s="40" t="s">
        <v>467</v>
      </c>
      <c r="I2413" s="40" t="s">
        <v>1269</v>
      </c>
      <c r="J2413" s="164" t="s">
        <v>1391</v>
      </c>
      <c r="K2413" s="164" t="s">
        <v>578</v>
      </c>
      <c r="P2413" s="40">
        <v>1</v>
      </c>
      <c r="Q2413" s="40">
        <v>1</v>
      </c>
      <c r="Z2413" s="40" t="s">
        <v>1333</v>
      </c>
      <c r="AA2413" s="165">
        <v>10</v>
      </c>
      <c r="AB2413" s="46">
        <f>IF(H2ProjectDB689571011[[#This Row],[Dummy_1]]="Electrolysis",
AA2413/VLOOKUP(G2413,ElectrolysisConvF,3,FALSE),
AC2413*10^6/(H2dens*HoursInYear))</f>
        <v>2222.2222222222222</v>
      </c>
      <c r="AC2413" s="166">
        <f>AB2413*H2dens*HoursInYear/10^6</f>
        <v>1.7325333333333333</v>
      </c>
      <c r="AE2413" s="46">
        <f t="shared" si="166"/>
        <v>2222.2222222222222</v>
      </c>
      <c r="AF2413" s="43" t="s">
        <v>8707</v>
      </c>
      <c r="AG2413" s="43">
        <v>38.569406540783</v>
      </c>
      <c r="AH2413" s="43">
        <v>-8.9000662978021499</v>
      </c>
      <c r="AI2413" s="122" t="s">
        <v>7286</v>
      </c>
      <c r="AJ2413" s="41">
        <v>0.3</v>
      </c>
    </row>
    <row r="2414" spans="1:36" ht="34.5" hidden="1" customHeight="1" x14ac:dyDescent="0.25">
      <c r="A2414" s="40">
        <v>3129</v>
      </c>
      <c r="B2414" s="40" t="s">
        <v>8717</v>
      </c>
      <c r="C2414" s="40" t="s">
        <v>1995</v>
      </c>
      <c r="D2414" s="44"/>
      <c r="E2414" s="44"/>
      <c r="F2414" s="40" t="s">
        <v>2222</v>
      </c>
      <c r="G2414" s="40" t="s">
        <v>1259</v>
      </c>
      <c r="H2414" s="40" t="s">
        <v>467</v>
      </c>
      <c r="I2414" s="40" t="s">
        <v>1257</v>
      </c>
      <c r="K2414" s="40" t="s">
        <v>578</v>
      </c>
      <c r="Z2414" s="40" t="s">
        <v>5862</v>
      </c>
      <c r="AA2414" s="165">
        <v>3000</v>
      </c>
      <c r="AB2414" s="46">
        <f>IF(H2ProjectDB689571011[[#This Row],[Dummy_1]]="Electrolysis",
AA2414/VLOOKUP(G2414,ElectrolysisConvF,3,FALSE),
AC2414*10^6/(H2dens*HoursInYear))</f>
        <v>666666.66666666674</v>
      </c>
      <c r="AC2414" s="166">
        <f>AB2414*H2dens*HoursInYear/10^6</f>
        <v>519.76</v>
      </c>
      <c r="AE2414" s="46">
        <f t="shared" si="166"/>
        <v>666666.66666666674</v>
      </c>
      <c r="AF2414" s="43" t="s">
        <v>8719</v>
      </c>
      <c r="AG2414" s="43">
        <v>0</v>
      </c>
      <c r="AH2414" s="43">
        <v>0</v>
      </c>
      <c r="AI2414" s="122" t="s">
        <v>7286</v>
      </c>
      <c r="AJ2414" s="41">
        <v>0.56999999999999995</v>
      </c>
    </row>
    <row r="2415" spans="1:36" ht="34.5" hidden="1" customHeight="1" x14ac:dyDescent="0.25">
      <c r="A2415" s="40">
        <v>3130</v>
      </c>
      <c r="B2415" s="40" t="s">
        <v>8723</v>
      </c>
      <c r="C2415" s="40" t="s">
        <v>535</v>
      </c>
      <c r="D2415" s="44"/>
      <c r="E2415" s="44"/>
      <c r="F2415" s="40" t="s">
        <v>2222</v>
      </c>
      <c r="G2415" s="40" t="s">
        <v>1259</v>
      </c>
      <c r="H2415" s="40" t="s">
        <v>467</v>
      </c>
      <c r="I2415" s="40" t="s">
        <v>1269</v>
      </c>
      <c r="J2415" s="40" t="s">
        <v>1391</v>
      </c>
      <c r="K2415" s="40" t="s">
        <v>578</v>
      </c>
      <c r="M2415" s="40">
        <v>1</v>
      </c>
      <c r="N2415" s="40">
        <v>1</v>
      </c>
      <c r="Q2415" s="40">
        <v>1</v>
      </c>
      <c r="Z2415" s="40" t="s">
        <v>8406</v>
      </c>
      <c r="AA2415" s="47">
        <f>IF(H2ProjectDB689571011[[#This Row],[Dummy_1]]="Electrolysis",
AB2415*VLOOKUP(G2415,ElectrolysisConvF,3,FALSE),
"")</f>
        <v>2885.9473603201477</v>
      </c>
      <c r="AB2415" s="46">
        <f>AC2415/(H2dens*HoursInYear/10^6)</f>
        <v>641321.63562669954</v>
      </c>
      <c r="AC2415" s="92">
        <f>500</f>
        <v>500</v>
      </c>
      <c r="AE2415" s="46">
        <f t="shared" si="166"/>
        <v>641321.63562669954</v>
      </c>
      <c r="AF2415" s="43" t="s">
        <v>8725</v>
      </c>
      <c r="AG2415" s="43">
        <v>-19.672379520498399</v>
      </c>
      <c r="AH2415" s="43">
        <v>134.187485346123</v>
      </c>
      <c r="AI2415" s="122" t="s">
        <v>7286</v>
      </c>
      <c r="AJ2415" s="41">
        <v>0.3</v>
      </c>
    </row>
    <row r="2416" spans="1:36" ht="34.5" hidden="1" customHeight="1" x14ac:dyDescent="0.25">
      <c r="A2416" s="40">
        <v>3131</v>
      </c>
      <c r="B2416" s="40" t="s">
        <v>8724</v>
      </c>
      <c r="C2416" s="40" t="s">
        <v>531</v>
      </c>
      <c r="D2416" s="44">
        <v>2025</v>
      </c>
      <c r="E2416" s="44"/>
      <c r="F2416" s="40" t="s">
        <v>5701</v>
      </c>
      <c r="G2416" s="40" t="s">
        <v>455</v>
      </c>
      <c r="I2416" s="40" t="s">
        <v>1269</v>
      </c>
      <c r="J2416" s="40" t="s">
        <v>1394</v>
      </c>
      <c r="K2416" s="40" t="s">
        <v>578</v>
      </c>
      <c r="P2416" s="40">
        <v>1</v>
      </c>
      <c r="Z2416" s="40" t="s">
        <v>1436</v>
      </c>
      <c r="AA2416" s="47">
        <v>5</v>
      </c>
      <c r="AB2416" s="46">
        <f>IF(H2ProjectDB689571011[[#This Row],[Dummy_1]]="Electrolysis",
AA2416/VLOOKUP(G2416,ElectrolysisConvF,3,FALSE),
AC2416*10^6/(H2dens*HoursInYear))</f>
        <v>961.53846153846155</v>
      </c>
      <c r="AC2416" s="166">
        <f>AB2416*H2dens*HoursInYear/10^6</f>
        <v>0.74965384615384612</v>
      </c>
      <c r="AE2416" s="46">
        <f t="shared" si="166"/>
        <v>961.53846153846155</v>
      </c>
      <c r="AF2416" s="43" t="s">
        <v>8725</v>
      </c>
      <c r="AG2416" s="43">
        <v>61.220252906363697</v>
      </c>
      <c r="AH2416" s="43">
        <v>6.0753551182573</v>
      </c>
      <c r="AI2416" s="122" t="s">
        <v>7286</v>
      </c>
      <c r="AJ2416" s="41">
        <v>0.8</v>
      </c>
    </row>
    <row r="2417" spans="1:36" ht="34.5" hidden="1" customHeight="1" x14ac:dyDescent="0.25">
      <c r="A2417" s="40">
        <v>3132</v>
      </c>
      <c r="B2417" s="40" t="s">
        <v>8727</v>
      </c>
      <c r="C2417" s="40" t="s">
        <v>546</v>
      </c>
      <c r="D2417" s="44">
        <v>2027</v>
      </c>
      <c r="E2417" s="44"/>
      <c r="F2417" s="40" t="s">
        <v>2222</v>
      </c>
      <c r="G2417" s="40" t="s">
        <v>1259</v>
      </c>
      <c r="H2417" s="40" t="s">
        <v>467</v>
      </c>
      <c r="I2417" s="40" t="s">
        <v>1269</v>
      </c>
      <c r="J2417" s="40" t="s">
        <v>1393</v>
      </c>
      <c r="K2417" s="40" t="s">
        <v>578</v>
      </c>
      <c r="S2417" s="40">
        <v>1</v>
      </c>
      <c r="Z2417" s="40" t="s">
        <v>8729</v>
      </c>
      <c r="AA2417" s="47">
        <v>100</v>
      </c>
      <c r="AB2417" s="46">
        <f>IF(H2ProjectDB689571011[[#This Row],[Dummy_1]]="Electrolysis",
AA2417/VLOOKUP(G2417,ElectrolysisConvF,3,FALSE),
AC2417*10^6/(H2dens*HoursInYear))</f>
        <v>22222.222222222223</v>
      </c>
      <c r="AC2417" s="166">
        <f>AB2417*H2dens*HoursInYear/10^6</f>
        <v>17.325333333333333</v>
      </c>
      <c r="AE2417" s="46">
        <f t="shared" si="166"/>
        <v>22222.222222222223</v>
      </c>
      <c r="AF2417" s="43" t="s">
        <v>8731</v>
      </c>
      <c r="AG2417" s="43">
        <v>53.7736178010991</v>
      </c>
      <c r="AH2417" s="43">
        <v>5.44323000358954</v>
      </c>
      <c r="AI2417" s="122" t="s">
        <v>7286</v>
      </c>
      <c r="AJ2417" s="41">
        <v>0.55000000000000004</v>
      </c>
    </row>
    <row r="2418" spans="1:36" ht="34.5" hidden="1" customHeight="1" x14ac:dyDescent="0.25">
      <c r="A2418" s="40">
        <v>3133</v>
      </c>
      <c r="B2418" s="40" t="s">
        <v>8728</v>
      </c>
      <c r="C2418" s="40" t="s">
        <v>546</v>
      </c>
      <c r="D2418" s="44">
        <v>2031</v>
      </c>
      <c r="E2418" s="44"/>
      <c r="F2418" s="40" t="s">
        <v>2222</v>
      </c>
      <c r="G2418" s="40" t="s">
        <v>1259</v>
      </c>
      <c r="H2418" s="40" t="s">
        <v>467</v>
      </c>
      <c r="I2418" s="40" t="s">
        <v>1269</v>
      </c>
      <c r="J2418" s="40" t="s">
        <v>1393</v>
      </c>
      <c r="K2418" s="40" t="s">
        <v>578</v>
      </c>
      <c r="Z2418" s="40" t="s">
        <v>8339</v>
      </c>
      <c r="AA2418" s="47">
        <v>500</v>
      </c>
      <c r="AB2418" s="46">
        <f>IF(H2ProjectDB689571011[[#This Row],[Dummy_1]]="Electrolysis",
AA2418/VLOOKUP(G2418,ElectrolysisConvF,3,FALSE),
AC2418*10^6/(H2dens*HoursInYear))</f>
        <v>111111.11111111112</v>
      </c>
      <c r="AC2418" s="166">
        <f>AB2418*H2dens*HoursInYear/10^6</f>
        <v>86.626666666666665</v>
      </c>
      <c r="AE2418" s="46">
        <f t="shared" si="166"/>
        <v>111111.11111111112</v>
      </c>
      <c r="AF2418" s="43" t="s">
        <v>8731</v>
      </c>
      <c r="AG2418" s="43">
        <v>53.7736178010991</v>
      </c>
      <c r="AH2418" s="43">
        <v>5.44323000358954</v>
      </c>
      <c r="AI2418" s="122" t="s">
        <v>7286</v>
      </c>
      <c r="AJ2418" s="41">
        <v>0.55000000000000004</v>
      </c>
    </row>
    <row r="2419" spans="1:36" ht="34.5" hidden="1" customHeight="1" x14ac:dyDescent="0.25">
      <c r="A2419" s="40">
        <v>3134</v>
      </c>
      <c r="B2419" s="40" t="s">
        <v>8732</v>
      </c>
      <c r="C2419" s="40" t="s">
        <v>543</v>
      </c>
      <c r="D2419" s="44"/>
      <c r="E2419" s="44"/>
      <c r="F2419" s="40" t="s">
        <v>2222</v>
      </c>
      <c r="G2419" s="40" t="s">
        <v>455</v>
      </c>
      <c r="I2419" s="40" t="s">
        <v>1257</v>
      </c>
      <c r="K2419" s="40" t="s">
        <v>578</v>
      </c>
      <c r="O2419" s="40">
        <v>1</v>
      </c>
      <c r="AA2419" s="47"/>
      <c r="AE2419" s="46">
        <f t="shared" si="166"/>
        <v>0</v>
      </c>
      <c r="AF2419" s="43" t="s">
        <v>8734</v>
      </c>
      <c r="AG2419" s="43">
        <v>0</v>
      </c>
      <c r="AH2419" s="43">
        <v>0</v>
      </c>
      <c r="AI2419" s="122" t="s">
        <v>7286</v>
      </c>
      <c r="AJ2419" s="41">
        <v>0.56999999999999995</v>
      </c>
    </row>
    <row r="2420" spans="1:36" ht="34.5" hidden="1" customHeight="1" x14ac:dyDescent="0.25">
      <c r="A2420" s="40">
        <v>3135</v>
      </c>
      <c r="B2420" s="40" t="s">
        <v>8735</v>
      </c>
      <c r="C2420" s="40" t="s">
        <v>543</v>
      </c>
      <c r="D2420" s="44"/>
      <c r="E2420" s="44"/>
      <c r="F2420" s="40" t="s">
        <v>2222</v>
      </c>
      <c r="G2420" s="40" t="s">
        <v>1259</v>
      </c>
      <c r="H2420" s="40" t="s">
        <v>467</v>
      </c>
      <c r="I2420" s="40" t="s">
        <v>1257</v>
      </c>
      <c r="K2420" s="40" t="s">
        <v>578</v>
      </c>
      <c r="O2420" s="40">
        <v>1</v>
      </c>
      <c r="AA2420" s="47"/>
      <c r="AE2420" s="46">
        <f t="shared" si="166"/>
        <v>0</v>
      </c>
      <c r="AF2420" s="43" t="s">
        <v>8734</v>
      </c>
      <c r="AG2420" s="43">
        <v>24.728852628411399</v>
      </c>
      <c r="AH2420" s="43">
        <v>54.746670954847502</v>
      </c>
      <c r="AI2420" s="122" t="s">
        <v>7286</v>
      </c>
      <c r="AJ2420" s="41">
        <v>0.56999999999999995</v>
      </c>
    </row>
    <row r="2421" spans="1:36" ht="34.5" hidden="1" customHeight="1" x14ac:dyDescent="0.25">
      <c r="A2421" s="40">
        <v>3136</v>
      </c>
      <c r="B2421" s="40" t="s">
        <v>8736</v>
      </c>
      <c r="C2421" s="40" t="s">
        <v>531</v>
      </c>
      <c r="D2421" s="44">
        <v>2027</v>
      </c>
      <c r="E2421" s="44"/>
      <c r="F2421" s="40" t="s">
        <v>1331</v>
      </c>
      <c r="G2421" s="40" t="s">
        <v>457</v>
      </c>
      <c r="I2421" s="40" t="s">
        <v>1257</v>
      </c>
      <c r="K2421" s="40" t="s">
        <v>578</v>
      </c>
      <c r="Z2421" s="40" t="s">
        <v>1376</v>
      </c>
      <c r="AA2421" s="47">
        <v>6</v>
      </c>
      <c r="AB2421" s="46">
        <f>IF(H2ProjectDB689571011[[#This Row],[Dummy_1]]="Electrolysis",
AA2421/VLOOKUP(G2421,ElectrolysisConvF,3,FALSE),
AC2421*10^6/(H2dens*HoursInYear))</f>
        <v>1304.3478260869565</v>
      </c>
      <c r="AC2421" s="166">
        <f>AB2421*H2dens*HoursInYear/10^6</f>
        <v>1.0169217391304346</v>
      </c>
      <c r="AE2421" s="46">
        <f t="shared" si="166"/>
        <v>1304.3478260869565</v>
      </c>
      <c r="AF2421" s="43" t="s">
        <v>8687</v>
      </c>
      <c r="AG2421" s="43">
        <v>63.4140145735037</v>
      </c>
      <c r="AH2421" s="43">
        <v>11.7444076660571</v>
      </c>
      <c r="AI2421" s="122" t="s">
        <v>7286</v>
      </c>
      <c r="AJ2421" s="41">
        <v>0.56999999999999995</v>
      </c>
    </row>
    <row r="2422" spans="1:36" ht="34.5" hidden="1" customHeight="1" x14ac:dyDescent="0.25">
      <c r="A2422" s="40">
        <v>3137</v>
      </c>
      <c r="B2422" s="40" t="s">
        <v>8737</v>
      </c>
      <c r="C2422" s="40" t="s">
        <v>1764</v>
      </c>
      <c r="D2422" s="44">
        <v>2030</v>
      </c>
      <c r="E2422" s="44"/>
      <c r="F2422" s="40" t="s">
        <v>2222</v>
      </c>
      <c r="G2422" s="40" t="s">
        <v>1259</v>
      </c>
      <c r="H2422" s="40" t="s">
        <v>467</v>
      </c>
      <c r="I2422" s="40" t="s">
        <v>1257</v>
      </c>
      <c r="K2422" s="40" t="s">
        <v>578</v>
      </c>
      <c r="AA2422" s="47"/>
      <c r="AE2422" s="46">
        <f t="shared" si="166"/>
        <v>0</v>
      </c>
      <c r="AF2422" s="43" t="s">
        <v>8734</v>
      </c>
      <c r="AG2422" s="43">
        <v>39.419713107879303</v>
      </c>
      <c r="AH2422" s="43">
        <v>-2.7362500204848401</v>
      </c>
      <c r="AI2422" s="122" t="s">
        <v>7286</v>
      </c>
      <c r="AJ2422" s="41">
        <v>0.56999999999999995</v>
      </c>
    </row>
    <row r="2423" spans="1:36" ht="34.5" hidden="1" customHeight="1" x14ac:dyDescent="0.25">
      <c r="A2423" s="40">
        <v>3138</v>
      </c>
      <c r="B2423" s="40" t="s">
        <v>8738</v>
      </c>
      <c r="C2423" s="40" t="s">
        <v>531</v>
      </c>
      <c r="D2423" s="44">
        <v>2030</v>
      </c>
      <c r="E2423" s="44"/>
      <c r="F2423" s="40" t="s">
        <v>2222</v>
      </c>
      <c r="G2423" s="40" t="s">
        <v>1259</v>
      </c>
      <c r="H2423" s="40" t="s">
        <v>467</v>
      </c>
      <c r="I2423" s="40" t="s">
        <v>1257</v>
      </c>
      <c r="K2423" s="40" t="s">
        <v>578</v>
      </c>
      <c r="Q2423" s="40">
        <v>1</v>
      </c>
      <c r="Z2423" s="40" t="s">
        <v>1436</v>
      </c>
      <c r="AA2423" s="47">
        <v>5</v>
      </c>
      <c r="AB2423" s="46">
        <f>IF(H2ProjectDB689571011[[#This Row],[Dummy_1]]="Electrolysis",
AA2423/VLOOKUP(G2423,ElectrolysisConvF,3,FALSE),
AC2423*10^6/(H2dens*HoursInYear))</f>
        <v>1111.1111111111111</v>
      </c>
      <c r="AC2423" s="166">
        <f>AB2423*H2dens*HoursInYear/10^6</f>
        <v>0.86626666666666663</v>
      </c>
      <c r="AE2423" s="46">
        <f t="shared" si="166"/>
        <v>1111.1111111111111</v>
      </c>
      <c r="AF2423" s="43" t="s">
        <v>8740</v>
      </c>
      <c r="AG2423" s="43">
        <v>59.220894649970397</v>
      </c>
      <c r="AH2423" s="43">
        <v>10.9283040927471</v>
      </c>
      <c r="AI2423" s="122" t="s">
        <v>7286</v>
      </c>
      <c r="AJ2423" s="41">
        <v>0.56999999999999995</v>
      </c>
    </row>
    <row r="2424" spans="1:36" ht="34.5" hidden="1" customHeight="1" x14ac:dyDescent="0.25">
      <c r="A2424" s="40">
        <v>3139</v>
      </c>
      <c r="B2424" s="40" t="s">
        <v>8743</v>
      </c>
      <c r="C2424" s="40" t="s">
        <v>532</v>
      </c>
      <c r="D2424" s="44">
        <v>2025</v>
      </c>
      <c r="E2424" s="44"/>
      <c r="F2424" s="40" t="s">
        <v>1331</v>
      </c>
      <c r="G2424" s="40" t="s">
        <v>1259</v>
      </c>
      <c r="H2424" s="40" t="s">
        <v>467</v>
      </c>
      <c r="I2424" s="40" t="s">
        <v>1269</v>
      </c>
      <c r="J2424" s="40" t="s">
        <v>1395</v>
      </c>
      <c r="K2424" s="40" t="s">
        <v>578</v>
      </c>
      <c r="P2424" s="40">
        <v>1</v>
      </c>
      <c r="U2424" s="40">
        <v>1</v>
      </c>
      <c r="Z2424" s="40" t="s">
        <v>8747</v>
      </c>
      <c r="AA2424" s="47">
        <v>5.7</v>
      </c>
      <c r="AB2424" s="46">
        <f>IF(H2ProjectDB689571011[[#This Row],[Dummy_1]]="Electrolysis",
AA2424/VLOOKUP(G2424,ElectrolysisConvF,3,FALSE),
AC2424*10^6/(H2dens*HoursInYear))</f>
        <v>1266.6666666666667</v>
      </c>
      <c r="AC2424" s="47">
        <f>AB2424*H2dens*HoursInYear/10^6</f>
        <v>0.98754399999999998</v>
      </c>
      <c r="AE2424" s="46">
        <f t="shared" si="166"/>
        <v>1266.6666666666667</v>
      </c>
      <c r="AF2424" s="43" t="s">
        <v>8742</v>
      </c>
      <c r="AG2424" s="43">
        <v>63.841330804818902</v>
      </c>
      <c r="AH2424" s="43">
        <v>23.1276471272785</v>
      </c>
      <c r="AI2424" s="122" t="s">
        <v>7286</v>
      </c>
      <c r="AJ2424" s="41">
        <v>0.5</v>
      </c>
    </row>
    <row r="2425" spans="1:36" ht="34.5" hidden="1" customHeight="1" x14ac:dyDescent="0.25">
      <c r="A2425" s="40">
        <v>3140</v>
      </c>
      <c r="B2425" s="40" t="s">
        <v>8744</v>
      </c>
      <c r="C2425" s="40" t="s">
        <v>1767</v>
      </c>
      <c r="D2425" s="44">
        <v>2025</v>
      </c>
      <c r="E2425" s="44"/>
      <c r="F2425" s="40" t="s">
        <v>2222</v>
      </c>
      <c r="G2425" s="40" t="s">
        <v>1259</v>
      </c>
      <c r="H2425" s="40" t="s">
        <v>467</v>
      </c>
      <c r="I2425" s="40" t="s">
        <v>1257</v>
      </c>
      <c r="K2425" s="40" t="s">
        <v>578</v>
      </c>
      <c r="Z2425" s="40" t="s">
        <v>1368</v>
      </c>
      <c r="AA2425" s="47">
        <v>2</v>
      </c>
      <c r="AB2425" s="46">
        <f>IF(H2ProjectDB689571011[[#This Row],[Dummy_1]]="Electrolysis",
AA2425/VLOOKUP(G2425,ElectrolysisConvF,3,FALSE),
AC2425*10^6/(H2dens*HoursInYear))</f>
        <v>444.44444444444446</v>
      </c>
      <c r="AC2425" s="166">
        <f>AB2425*H2dens*HoursInYear/10^6</f>
        <v>0.34650666666666669</v>
      </c>
      <c r="AE2425" s="46">
        <f t="shared" si="166"/>
        <v>444.44444444444446</v>
      </c>
      <c r="AF2425" s="43" t="s">
        <v>8746</v>
      </c>
      <c r="AG2425" s="43">
        <v>34.980442686033399</v>
      </c>
      <c r="AH2425" s="43">
        <v>33.323315736632701</v>
      </c>
      <c r="AI2425" s="122" t="s">
        <v>7286</v>
      </c>
      <c r="AJ2425" s="41">
        <v>0.56999999999999995</v>
      </c>
    </row>
    <row r="2426" spans="1:36" ht="34.5" hidden="1" customHeight="1" x14ac:dyDescent="0.25">
      <c r="A2426" s="40">
        <v>3141</v>
      </c>
      <c r="B2426" s="40" t="s">
        <v>8749</v>
      </c>
      <c r="C2426" s="40" t="s">
        <v>532</v>
      </c>
      <c r="D2426" s="44">
        <v>2028</v>
      </c>
      <c r="E2426" s="44"/>
      <c r="F2426" s="40" t="s">
        <v>2222</v>
      </c>
      <c r="G2426" s="40" t="s">
        <v>1259</v>
      </c>
      <c r="H2426" s="40" t="s">
        <v>467</v>
      </c>
      <c r="I2426" s="40" t="s">
        <v>1269</v>
      </c>
      <c r="J2426" s="40" t="s">
        <v>1392</v>
      </c>
      <c r="K2426" s="40" t="s">
        <v>578</v>
      </c>
      <c r="P2426" s="40">
        <v>1</v>
      </c>
      <c r="Z2426" s="40" t="s">
        <v>8747</v>
      </c>
      <c r="AA2426" s="47">
        <v>5.7</v>
      </c>
      <c r="AB2426" s="46">
        <f>IF(H2ProjectDB689571011[[#This Row],[Dummy_1]]="Electrolysis",
AA2426/VLOOKUP(G2426,ElectrolysisConvF,3,FALSE),
AC2426*10^6/(H2dens*HoursInYear))</f>
        <v>1266.6666666666667</v>
      </c>
      <c r="AC2426" s="47">
        <f>AB2426*H2dens*HoursInYear/10^6</f>
        <v>0.98754399999999998</v>
      </c>
      <c r="AE2426" s="46">
        <f t="shared" si="166"/>
        <v>1266.6666666666667</v>
      </c>
      <c r="AF2426" s="43" t="s">
        <v>8751</v>
      </c>
      <c r="AG2426" s="43">
        <v>60.860137735981901</v>
      </c>
      <c r="AH2426" s="43">
        <v>26.746171136986</v>
      </c>
      <c r="AI2426" s="122" t="s">
        <v>7286</v>
      </c>
      <c r="AJ2426" s="41">
        <v>0.4</v>
      </c>
    </row>
    <row r="2427" spans="1:36" ht="29.45" hidden="1" customHeight="1" x14ac:dyDescent="0.25">
      <c r="A2427" s="40">
        <v>3142</v>
      </c>
      <c r="B2427" s="40" t="s">
        <v>8750</v>
      </c>
      <c r="C2427" s="40" t="s">
        <v>543</v>
      </c>
      <c r="D2427" s="44"/>
      <c r="E2427" s="44"/>
      <c r="F2427" s="40" t="s">
        <v>2222</v>
      </c>
      <c r="G2427" s="40" t="s">
        <v>1259</v>
      </c>
      <c r="H2427" s="40" t="s">
        <v>467</v>
      </c>
      <c r="I2427" s="40" t="s">
        <v>1269</v>
      </c>
      <c r="J2427" s="40" t="s">
        <v>1391</v>
      </c>
      <c r="K2427" s="40" t="s">
        <v>578</v>
      </c>
      <c r="M2427" s="40">
        <v>1</v>
      </c>
      <c r="Z2427" s="40" t="s">
        <v>8779</v>
      </c>
      <c r="AA2427" s="47">
        <f>IF(H2ProjectDB689571011[[#This Row],[Dummy_1]]="Electrolysis",
AB2427*VLOOKUP(G2427,ElectrolysisConvF,3,FALSE),
"")</f>
        <v>259.83919810805651</v>
      </c>
      <c r="AB2427" s="46">
        <f>AC2427/(H2dens*HoursInYear/10^6)</f>
        <v>57742.044024012561</v>
      </c>
      <c r="AC2427" s="162">
        <f>(250*3/17/0.98)</f>
        <v>45.018007202881151</v>
      </c>
      <c r="AE2427" s="46">
        <f t="shared" si="166"/>
        <v>57742.044024012561</v>
      </c>
      <c r="AF2427" s="43" t="s">
        <v>8753</v>
      </c>
      <c r="AG2427" s="43">
        <v>24.549723676746801</v>
      </c>
      <c r="AH2427" s="43">
        <v>54.469029909817401</v>
      </c>
      <c r="AI2427" s="122" t="s">
        <v>7286</v>
      </c>
      <c r="AJ2427" s="41">
        <v>0.3</v>
      </c>
    </row>
    <row r="2428" spans="1:36" ht="29.45" hidden="1" customHeight="1" x14ac:dyDescent="0.25">
      <c r="A2428" s="40">
        <v>3143</v>
      </c>
      <c r="B2428" s="40" t="s">
        <v>8756</v>
      </c>
      <c r="C2428" s="40" t="s">
        <v>532</v>
      </c>
      <c r="D2428" s="44">
        <v>2026</v>
      </c>
      <c r="E2428" s="44"/>
      <c r="F2428" s="40" t="s">
        <v>1331</v>
      </c>
      <c r="G2428" s="40" t="s">
        <v>455</v>
      </c>
      <c r="I2428" s="40" t="s">
        <v>1269</v>
      </c>
      <c r="J2428" s="40" t="s">
        <v>1391</v>
      </c>
      <c r="K2428" s="40" t="s">
        <v>578</v>
      </c>
      <c r="P2428" s="40">
        <v>1</v>
      </c>
      <c r="Z2428" s="40" t="s">
        <v>1377</v>
      </c>
      <c r="AA2428" s="47">
        <v>4</v>
      </c>
      <c r="AB2428" s="46">
        <f>IF(H2ProjectDB689571011[[#This Row],[Dummy_1]]="Electrolysis",
AA2428/VLOOKUP(G2428,ElectrolysisConvF,3,FALSE),
AC2428*10^6/(H2dens*HoursInYear))</f>
        <v>769.23076923076928</v>
      </c>
      <c r="AC2428" s="47">
        <f>AB2428*H2dens*HoursInYear/10^6</f>
        <v>0.59972307692307703</v>
      </c>
      <c r="AE2428" s="46">
        <f t="shared" si="166"/>
        <v>769.23076923076928</v>
      </c>
      <c r="AF2428" s="43" t="s">
        <v>8755</v>
      </c>
      <c r="AG2428" s="43">
        <v>50.349257411793403</v>
      </c>
      <c r="AH2428" s="43">
        <v>13.5739494442726</v>
      </c>
      <c r="AI2428" s="122" t="s">
        <v>7286</v>
      </c>
      <c r="AJ2428" s="41">
        <v>0.3</v>
      </c>
    </row>
    <row r="2429" spans="1:36" ht="29.45" hidden="1" customHeight="1" x14ac:dyDescent="0.25">
      <c r="A2429" s="40">
        <v>3144</v>
      </c>
      <c r="B2429" s="40" t="s">
        <v>8767</v>
      </c>
      <c r="C2429" s="40" t="s">
        <v>546</v>
      </c>
      <c r="D2429" s="44">
        <v>2028</v>
      </c>
      <c r="E2429" s="44"/>
      <c r="F2429" s="40" t="s">
        <v>2222</v>
      </c>
      <c r="G2429" s="40" t="s">
        <v>1259</v>
      </c>
      <c r="H2429" s="40" t="s">
        <v>467</v>
      </c>
      <c r="I2429" s="40" t="s">
        <v>1257</v>
      </c>
      <c r="K2429" s="40" t="s">
        <v>578</v>
      </c>
      <c r="Z2429" s="40" t="s">
        <v>1368</v>
      </c>
      <c r="AA2429" s="47">
        <v>2</v>
      </c>
      <c r="AB2429" s="46">
        <f>IF(H2ProjectDB689571011[[#This Row],[Dummy_1]]="Electrolysis",
AA2429/VLOOKUP(G2429,ElectrolysisConvF,3,FALSE),
AC2429*10^6/(H2dens*HoursInYear))</f>
        <v>444.44444444444446</v>
      </c>
      <c r="AC2429" s="47">
        <f>AB2429*H2dens*HoursInYear/10^6</f>
        <v>0.34650666666666669</v>
      </c>
      <c r="AE2429" s="46">
        <f t="shared" si="166"/>
        <v>444.44444444444446</v>
      </c>
      <c r="AF2429" s="43" t="s">
        <v>8769</v>
      </c>
      <c r="AG2429" s="43">
        <v>52.959031339800099</v>
      </c>
      <c r="AH2429" s="43">
        <v>4.77520884229238</v>
      </c>
      <c r="AI2429" s="122" t="s">
        <v>7286</v>
      </c>
      <c r="AJ2429" s="41">
        <v>0.56999999999999995</v>
      </c>
    </row>
    <row r="2430" spans="1:36" ht="29.45" hidden="1" customHeight="1" x14ac:dyDescent="0.25">
      <c r="A2430" s="40">
        <v>3145</v>
      </c>
      <c r="B2430" s="40" t="s">
        <v>8762</v>
      </c>
      <c r="C2430" s="40" t="s">
        <v>539</v>
      </c>
      <c r="D2430" s="44">
        <v>2027</v>
      </c>
      <c r="E2430" s="44"/>
      <c r="F2430" s="40" t="s">
        <v>2222</v>
      </c>
      <c r="G2430" s="40" t="s">
        <v>1259</v>
      </c>
      <c r="H2430" s="40" t="s">
        <v>467</v>
      </c>
      <c r="I2430" s="40" t="s">
        <v>1257</v>
      </c>
      <c r="K2430" s="40" t="s">
        <v>1243</v>
      </c>
      <c r="M2430" s="40">
        <v>1</v>
      </c>
      <c r="Z2430" s="40" t="s">
        <v>5011</v>
      </c>
      <c r="AA2430" s="47">
        <f>IF(H2ProjectDB689571011[[#This Row],[Dummy_1]]="Electrolysis",
AB2430*VLOOKUP(G2430,ElectrolysisConvF,3,FALSE),
"")</f>
        <v>182.34329691793442</v>
      </c>
      <c r="AB2430" s="46">
        <f>AC2430/(H2dens*HoursInYear/10^6)</f>
        <v>40520.732648429876</v>
      </c>
      <c r="AC2430" s="171">
        <f>(100*3/17/0.98/H2ProjectDB689571011[[#This Row],[LOWE_CF]])</f>
        <v>31.591584002021868</v>
      </c>
      <c r="AE2430" s="46">
        <f t="shared" si="166"/>
        <v>40520.732648429876</v>
      </c>
      <c r="AF2430" s="43" t="s">
        <v>8766</v>
      </c>
      <c r="AG2430" s="43">
        <v>24.309018525918901</v>
      </c>
      <c r="AH2430" s="43">
        <v>72.352040990335198</v>
      </c>
      <c r="AI2430" s="122" t="s">
        <v>7286</v>
      </c>
      <c r="AJ2430" s="41">
        <v>0.56999999999999995</v>
      </c>
    </row>
    <row r="2431" spans="1:36" ht="29.45" hidden="1" customHeight="1" x14ac:dyDescent="0.25">
      <c r="A2431" s="40">
        <v>3146</v>
      </c>
      <c r="B2431" s="40" t="s">
        <v>8775</v>
      </c>
      <c r="C2431" s="40" t="s">
        <v>546</v>
      </c>
      <c r="D2431" s="44">
        <v>2028</v>
      </c>
      <c r="E2431" s="44"/>
      <c r="F2431" s="40" t="s">
        <v>1331</v>
      </c>
      <c r="G2431" s="40" t="s">
        <v>1261</v>
      </c>
      <c r="K2431" s="40" t="s">
        <v>578</v>
      </c>
      <c r="S2431" s="40">
        <v>1</v>
      </c>
      <c r="Z2431" s="40" t="s">
        <v>8776</v>
      </c>
      <c r="AA2431" s="47" t="str">
        <f>IF(H2ProjectDB689571011[[#This Row],[Dummy_1]]="Electrolysis",
AB2431*VLOOKUP(G2431,ElectrolysisConvF,3,FALSE),
"")</f>
        <v/>
      </c>
      <c r="AB2431" s="46">
        <f>AC2431/(H2dens*HoursInYear/10^6)</f>
        <v>269355.08696321381</v>
      </c>
      <c r="AC2431" s="92">
        <v>210</v>
      </c>
      <c r="AE2431" s="46">
        <f t="shared" si="166"/>
        <v>0</v>
      </c>
      <c r="AF2431" s="43" t="s">
        <v>8778</v>
      </c>
      <c r="AG2431" s="43">
        <v>52.118029271813803</v>
      </c>
      <c r="AH2431" s="43">
        <v>4.24063074491582</v>
      </c>
      <c r="AI2431" s="122" t="s">
        <v>7287</v>
      </c>
      <c r="AJ2431" s="41">
        <v>0.9</v>
      </c>
    </row>
    <row r="2432" spans="1:36" ht="29.45" hidden="1" customHeight="1" x14ac:dyDescent="0.25">
      <c r="A2432" s="40">
        <v>3147</v>
      </c>
      <c r="B2432" s="40" t="s">
        <v>8782</v>
      </c>
      <c r="C2432" s="40" t="s">
        <v>1769</v>
      </c>
      <c r="D2432" s="44">
        <v>2030</v>
      </c>
      <c r="E2432" s="44"/>
      <c r="F2432" s="40" t="s">
        <v>2222</v>
      </c>
      <c r="G2432" s="40" t="s">
        <v>1259</v>
      </c>
      <c r="H2432" s="40" t="s">
        <v>467</v>
      </c>
      <c r="I2432" s="40" t="s">
        <v>1269</v>
      </c>
      <c r="J2432" s="40" t="s">
        <v>1392</v>
      </c>
      <c r="K2432" s="40" t="s">
        <v>578</v>
      </c>
      <c r="Z2432" s="40" t="s">
        <v>1334</v>
      </c>
      <c r="AA2432" s="47">
        <v>1000</v>
      </c>
      <c r="AB2432" s="46">
        <f>IF(H2ProjectDB689571011[[#This Row],[Dummy_1]]="Electrolysis",
AA2432/VLOOKUP(G2432,ElectrolysisConvF,3,FALSE),
AC2432*10^6/(H2dens*HoursInYear))</f>
        <v>222222.22222222225</v>
      </c>
      <c r="AC2432" s="47">
        <f>AB2432*H2dens*HoursInYear/10^6</f>
        <v>173.25333333333333</v>
      </c>
      <c r="AE2432" s="46">
        <f t="shared" si="166"/>
        <v>222222.22222222225</v>
      </c>
      <c r="AF2432" s="43" t="s">
        <v>8784</v>
      </c>
      <c r="AG2432" s="43">
        <v>56.520198367885797</v>
      </c>
      <c r="AH2432" s="43">
        <v>21.014923312502699</v>
      </c>
      <c r="AI2432" s="122" t="s">
        <v>7286</v>
      </c>
      <c r="AJ2432" s="41">
        <v>0.4</v>
      </c>
    </row>
    <row r="2433" spans="1:36" ht="29.45" hidden="1" customHeight="1" x14ac:dyDescent="0.25">
      <c r="A2433" s="40">
        <v>3148</v>
      </c>
      <c r="B2433" s="40" t="s">
        <v>8787</v>
      </c>
      <c r="C2433" s="40" t="s">
        <v>530</v>
      </c>
      <c r="D2433" s="44">
        <v>2030</v>
      </c>
      <c r="E2433" s="44"/>
      <c r="F2433" s="40" t="s">
        <v>2222</v>
      </c>
      <c r="G2433" s="40" t="s">
        <v>1259</v>
      </c>
      <c r="H2433" s="40" t="s">
        <v>467</v>
      </c>
      <c r="I2433" s="40" t="s">
        <v>1257</v>
      </c>
      <c r="K2433" s="40" t="s">
        <v>1267</v>
      </c>
      <c r="W2433" s="40">
        <v>1</v>
      </c>
      <c r="Z2433" s="40" t="s">
        <v>2024</v>
      </c>
      <c r="AA2433" s="47">
        <v>300</v>
      </c>
      <c r="AB2433" s="46">
        <f>IF(H2ProjectDB689571011[[#This Row],[Dummy_1]]="Electrolysis",
AA2433/VLOOKUP(G2433,ElectrolysisConvF,3,FALSE),
AC2433*10^6/(H2dens*HoursInYear))</f>
        <v>66666.666666666672</v>
      </c>
      <c r="AC2433" s="47">
        <f>AB2433*H2dens*HoursInYear/10^6</f>
        <v>51.975999999999999</v>
      </c>
      <c r="AE2433" s="46">
        <f t="shared" si="166"/>
        <v>66666.666666666672</v>
      </c>
      <c r="AF2433" s="43" t="s">
        <v>8786</v>
      </c>
      <c r="AG2433" s="43">
        <v>49.495942749599401</v>
      </c>
      <c r="AH2433" s="43">
        <v>0.102074897612526</v>
      </c>
      <c r="AI2433" s="122" t="s">
        <v>7286</v>
      </c>
      <c r="AJ2433" s="41">
        <v>0.56999999999999995</v>
      </c>
    </row>
    <row r="2434" spans="1:36" ht="29.45" hidden="1" customHeight="1" x14ac:dyDescent="0.25">
      <c r="A2434" s="168">
        <v>3149</v>
      </c>
      <c r="B2434" s="40" t="s">
        <v>8788</v>
      </c>
      <c r="C2434" s="168" t="s">
        <v>1305</v>
      </c>
      <c r="D2434" s="44">
        <v>2028</v>
      </c>
      <c r="E2434" s="44"/>
      <c r="F2434" s="40" t="s">
        <v>2222</v>
      </c>
      <c r="G2434" s="40" t="s">
        <v>1259</v>
      </c>
      <c r="H2434" s="40" t="s">
        <v>467</v>
      </c>
      <c r="I2434" s="40" t="s">
        <v>1257</v>
      </c>
      <c r="K2434" s="168" t="s">
        <v>578</v>
      </c>
      <c r="L2434" s="168"/>
      <c r="M2434" s="168"/>
      <c r="N2434" s="168"/>
      <c r="O2434" s="168"/>
      <c r="P2434" s="168"/>
      <c r="Q2434" s="168"/>
      <c r="R2434" s="168"/>
      <c r="S2434" s="168"/>
      <c r="T2434" s="168"/>
      <c r="U2434" s="168"/>
      <c r="V2434" s="168"/>
      <c r="W2434" s="168"/>
      <c r="X2434" s="168"/>
      <c r="Y2434" s="168"/>
      <c r="Z2434" s="40" t="s">
        <v>1483</v>
      </c>
      <c r="AA2434" s="170">
        <v>50</v>
      </c>
      <c r="AB2434" s="46">
        <f>IF(H2ProjectDB689571011[[#This Row],[Dummy_1]]="Electrolysis",
AA2434/VLOOKUP(G2434,ElectrolysisConvF,3,FALSE),
AC2434*10^6/(H2dens*HoursInYear))</f>
        <v>11111.111111111111</v>
      </c>
      <c r="AC2434" s="47">
        <f>AB2434*H2dens*HoursInYear/10^6</f>
        <v>8.6626666666666665</v>
      </c>
      <c r="AD2434" s="171"/>
      <c r="AE2434" s="171">
        <f t="shared" si="166"/>
        <v>11111.111111111111</v>
      </c>
      <c r="AF2434" s="43" t="s">
        <v>8789</v>
      </c>
      <c r="AG2434" s="43">
        <v>51.938569808244402</v>
      </c>
      <c r="AH2434" s="43">
        <v>7.1720877104018603</v>
      </c>
      <c r="AI2434" s="172" t="s">
        <v>7286</v>
      </c>
      <c r="AJ2434" s="169">
        <v>0.56999999999999995</v>
      </c>
    </row>
    <row r="2435" spans="1:36" ht="29.45" hidden="1" customHeight="1" x14ac:dyDescent="0.25">
      <c r="A2435" s="40">
        <v>3150</v>
      </c>
      <c r="B2435" s="40" t="s">
        <v>8791</v>
      </c>
      <c r="C2435" s="40" t="s">
        <v>536</v>
      </c>
      <c r="D2435" s="44">
        <v>2025</v>
      </c>
      <c r="E2435" s="44"/>
      <c r="F2435" s="40" t="s">
        <v>2222</v>
      </c>
      <c r="G2435" s="40" t="s">
        <v>1259</v>
      </c>
      <c r="H2435" s="40" t="s">
        <v>467</v>
      </c>
      <c r="I2435" s="40" t="s">
        <v>1257</v>
      </c>
      <c r="K2435" s="168" t="s">
        <v>578</v>
      </c>
      <c r="Z2435" s="40" t="s">
        <v>1495</v>
      </c>
      <c r="AA2435" s="47">
        <v>20</v>
      </c>
      <c r="AB2435" s="46">
        <f>IF(H2ProjectDB689571011[[#This Row],[Dummy_1]]="Electrolysis",
AA2435/VLOOKUP(G2435,ElectrolysisConvF,3,FALSE),
AC2435*10^6/(H2dens*HoursInYear))</f>
        <v>4444.4444444444443</v>
      </c>
      <c r="AC2435" s="47">
        <f>AB2435*H2dens*HoursInYear/10^6</f>
        <v>3.4650666666666665</v>
      </c>
      <c r="AE2435" s="46">
        <f t="shared" si="166"/>
        <v>4444.4444444444443</v>
      </c>
      <c r="AF2435" s="43" t="s">
        <v>8793</v>
      </c>
      <c r="AG2435" s="43">
        <v>29.729292468365401</v>
      </c>
      <c r="AH2435" s="43">
        <v>-95.387608658162804</v>
      </c>
      <c r="AI2435" s="122" t="s">
        <v>7286</v>
      </c>
      <c r="AJ2435" s="41">
        <v>0.56999999999999995</v>
      </c>
    </row>
    <row r="2436" spans="1:36" ht="29.45" hidden="1" customHeight="1" x14ac:dyDescent="0.25">
      <c r="A2436" s="40">
        <v>3151</v>
      </c>
      <c r="B2436" s="40" t="s">
        <v>8794</v>
      </c>
      <c r="C2436" s="40" t="s">
        <v>674</v>
      </c>
      <c r="D2436" s="44"/>
      <c r="E2436" s="44"/>
      <c r="F2436" s="40" t="s">
        <v>1540</v>
      </c>
      <c r="G2436" s="40" t="s">
        <v>1259</v>
      </c>
      <c r="H2436" s="40" t="s">
        <v>467</v>
      </c>
      <c r="I2436" s="40" t="s">
        <v>1257</v>
      </c>
      <c r="K2436" s="40" t="s">
        <v>612</v>
      </c>
      <c r="X2436" s="40">
        <v>1</v>
      </c>
      <c r="Z2436" s="40" t="s">
        <v>8795</v>
      </c>
      <c r="AA2436" s="47">
        <f>IF(H2ProjectDB689571011[[#This Row],[Dummy_1]]="Electrolysis",
AB2436*VLOOKUP(G2436,ElectrolysisConvF,3,FALSE),
"")</f>
        <v>41.036261832638495</v>
      </c>
      <c r="AB2436" s="46">
        <f>AC2436/(H2dens*HoursInYear/10^6)</f>
        <v>9119.1692961418885</v>
      </c>
      <c r="AC2436" s="46">
        <f>(7.1*50/120/0.73)/H2ProjectDB689571011[[#This Row],[LOWE_CF]]</f>
        <v>7.1096691500440619</v>
      </c>
      <c r="AE2436" s="46">
        <f t="shared" si="166"/>
        <v>9119.1692961418885</v>
      </c>
      <c r="AF2436" s="43" t="s">
        <v>8797</v>
      </c>
      <c r="AG2436" s="43">
        <v>23.227352161829501</v>
      </c>
      <c r="AH2436" s="43">
        <v>56.780535885863898</v>
      </c>
      <c r="AI2436" s="122" t="s">
        <v>7286</v>
      </c>
      <c r="AJ2436" s="41">
        <v>0.56999999999999995</v>
      </c>
    </row>
    <row r="2437" spans="1:36" ht="29.45" hidden="1" customHeight="1" x14ac:dyDescent="0.25">
      <c r="A2437" s="40">
        <v>3152</v>
      </c>
      <c r="B2437" s="40" t="s">
        <v>8801</v>
      </c>
      <c r="C2437" s="40" t="s">
        <v>536</v>
      </c>
      <c r="D2437" s="44">
        <v>2030</v>
      </c>
      <c r="E2437" s="44"/>
      <c r="F2437" s="90" t="s">
        <v>2222</v>
      </c>
      <c r="G2437" s="90" t="s">
        <v>1261</v>
      </c>
      <c r="H2437" s="40" t="s">
        <v>4057</v>
      </c>
      <c r="I2437" s="90"/>
      <c r="J2437" s="90"/>
      <c r="K2437" s="90" t="s">
        <v>578</v>
      </c>
      <c r="Z2437" s="40" t="s">
        <v>8802</v>
      </c>
      <c r="AA2437" s="47"/>
      <c r="AB2437" s="47">
        <f>AC2437/(H2dens*HoursInYear/10^6)</f>
        <v>313535.02186194196</v>
      </c>
      <c r="AC2437" s="92">
        <f>220/H2ProjectDB689571011[[#This Row],[LOWE_CF]]</f>
        <v>244.44444444444443</v>
      </c>
      <c r="AE2437" s="46">
        <f t="shared" si="166"/>
        <v>0</v>
      </c>
      <c r="AF2437" s="43" t="s">
        <v>8804</v>
      </c>
      <c r="AG2437" s="43">
        <v>29.663396927590099</v>
      </c>
      <c r="AH2437" s="43">
        <v>-92.464652710068407</v>
      </c>
      <c r="AI2437" s="122" t="s">
        <v>7287</v>
      </c>
      <c r="AJ2437" s="41">
        <v>0.9</v>
      </c>
    </row>
    <row r="2438" spans="1:36" ht="29.45" hidden="1" customHeight="1" x14ac:dyDescent="0.25">
      <c r="A2438" s="40">
        <v>3153</v>
      </c>
      <c r="B2438" s="40" t="s">
        <v>8798</v>
      </c>
      <c r="C2438" s="40" t="s">
        <v>1046</v>
      </c>
      <c r="D2438" s="44"/>
      <c r="E2438" s="44"/>
      <c r="F2438" s="40" t="s">
        <v>2222</v>
      </c>
      <c r="G2438" s="40" t="s">
        <v>1261</v>
      </c>
      <c r="H2438" s="40" t="s">
        <v>5709</v>
      </c>
      <c r="K2438" s="40" t="s">
        <v>578</v>
      </c>
      <c r="P2438" s="40">
        <v>1</v>
      </c>
      <c r="Q2438" s="40">
        <v>1</v>
      </c>
      <c r="AA2438" s="47"/>
      <c r="AE2438" s="46">
        <f t="shared" si="166"/>
        <v>0</v>
      </c>
      <c r="AF2438" s="43" t="s">
        <v>8800</v>
      </c>
      <c r="AG2438" s="43">
        <v>51.030937534016601</v>
      </c>
      <c r="AH2438" s="43">
        <v>143.00647994428201</v>
      </c>
      <c r="AI2438" s="122" t="s">
        <v>7287</v>
      </c>
      <c r="AJ2438" s="41">
        <v>0.9</v>
      </c>
    </row>
    <row r="2439" spans="1:36" ht="29.45" hidden="1" customHeight="1" x14ac:dyDescent="0.25">
      <c r="A2439" s="40">
        <v>3154</v>
      </c>
      <c r="B2439" s="40" t="s">
        <v>8805</v>
      </c>
      <c r="C2439" s="40" t="s">
        <v>539</v>
      </c>
      <c r="D2439" s="44">
        <v>2029</v>
      </c>
      <c r="E2439" s="44"/>
      <c r="F2439" s="40" t="s">
        <v>2222</v>
      </c>
      <c r="G2439" s="40" t="s">
        <v>1259</v>
      </c>
      <c r="H2439" s="40" t="s">
        <v>467</v>
      </c>
      <c r="I2439" s="40" t="s">
        <v>1257</v>
      </c>
      <c r="K2439" s="40" t="s">
        <v>578</v>
      </c>
      <c r="Z2439" s="40" t="s">
        <v>8806</v>
      </c>
      <c r="AA2439" s="47">
        <f>IF(H2ProjectDB689571011[[#This Row],[Dummy_1]]="Electrolysis",
AB2439*VLOOKUP(G2439,ElectrolysisConvF,3,FALSE),
"")</f>
        <v>1721.4422851032459</v>
      </c>
      <c r="AB2439" s="173">
        <f>AC2439/(H2dens*HoursInYear/10^6)</f>
        <v>382542.73002294358</v>
      </c>
      <c r="AC2439" s="46">
        <f>170/H2ProjectDB689571011[[#This Row],[LOWE_CF]]</f>
        <v>298.24561403508773</v>
      </c>
      <c r="AE2439" s="46">
        <f t="shared" si="166"/>
        <v>382542.73002294358</v>
      </c>
      <c r="AF2439" s="43" t="s">
        <v>8808</v>
      </c>
      <c r="AG2439" s="43">
        <v>23.606543323378499</v>
      </c>
      <c r="AH2439" s="43">
        <v>69.805088952193699</v>
      </c>
      <c r="AI2439" s="122" t="s">
        <v>7286</v>
      </c>
      <c r="AJ2439" s="41">
        <v>0.56999999999999995</v>
      </c>
    </row>
    <row r="2440" spans="1:36" ht="29.45" hidden="1" customHeight="1" x14ac:dyDescent="0.25">
      <c r="A2440" s="40">
        <v>3155</v>
      </c>
      <c r="B2440" s="40" t="s">
        <v>8809</v>
      </c>
      <c r="C2440" s="40" t="s">
        <v>536</v>
      </c>
      <c r="D2440" s="44">
        <v>2028</v>
      </c>
      <c r="E2440" s="44"/>
      <c r="F2440" s="90" t="s">
        <v>2222</v>
      </c>
      <c r="G2440" s="90" t="s">
        <v>1261</v>
      </c>
      <c r="H2440" s="90" t="s">
        <v>1665</v>
      </c>
      <c r="I2440" s="90"/>
      <c r="J2440" s="90"/>
      <c r="K2440" s="90" t="s">
        <v>1243</v>
      </c>
      <c r="M2440" s="40">
        <v>1</v>
      </c>
      <c r="Z2440" s="40" t="s">
        <v>5019</v>
      </c>
      <c r="AA2440" s="47"/>
      <c r="AB2440" s="46">
        <f>IF(H2ProjectDB689571011[[#This Row],[Dummy_1]]="Electrolysis",
AA2440/VLOOKUP(G2440,ElectrolysisConvF,3,FALSE),
AC2440*10^6/(H2dens*HoursInYear))</f>
        <v>115484.08804802512</v>
      </c>
      <c r="AC2440" s="92">
        <f>500*3/17/0.98</f>
        <v>90.036014405762302</v>
      </c>
      <c r="AE2440" s="46">
        <f t="shared" si="166"/>
        <v>0</v>
      </c>
      <c r="AF2440" s="43" t="s">
        <v>8811</v>
      </c>
      <c r="AG2440" s="43">
        <v>30.769031546237699</v>
      </c>
      <c r="AH2440" s="43">
        <v>-91.724449587438002</v>
      </c>
      <c r="AI2440" s="122" t="s">
        <v>7287</v>
      </c>
      <c r="AJ2440" s="41">
        <v>0.9</v>
      </c>
    </row>
    <row r="2441" spans="1:36" ht="29.45" hidden="1" customHeight="1" x14ac:dyDescent="0.25">
      <c r="A2441" s="40">
        <v>3156</v>
      </c>
      <c r="B2441" s="40" t="s">
        <v>8812</v>
      </c>
      <c r="C2441" s="40" t="s">
        <v>536</v>
      </c>
      <c r="D2441" s="44">
        <v>2028</v>
      </c>
      <c r="E2441" s="44"/>
      <c r="F2441" s="90" t="s">
        <v>2222</v>
      </c>
      <c r="G2441" s="90" t="s">
        <v>1261</v>
      </c>
      <c r="H2441" s="90" t="s">
        <v>1665</v>
      </c>
      <c r="I2441" s="90"/>
      <c r="J2441" s="90"/>
      <c r="K2441" s="90" t="s">
        <v>1243</v>
      </c>
      <c r="M2441" s="40">
        <v>1</v>
      </c>
      <c r="Z2441" s="40" t="s">
        <v>8813</v>
      </c>
      <c r="AA2441" s="47"/>
      <c r="AB2441" s="46">
        <f>IF(H2ProjectDB689571011[[#This Row],[Dummy_1]]="Electrolysis",
AA2441/VLOOKUP(G2441,ElectrolysisConvF,3,FALSE),
AC2441*10^6/(H2dens*HoursInYear))</f>
        <v>230968.17609605024</v>
      </c>
      <c r="AC2441" s="92">
        <f>1000*3/17/0.98</f>
        <v>180.0720288115246</v>
      </c>
      <c r="AE2441" s="46">
        <f t="shared" si="166"/>
        <v>0</v>
      </c>
      <c r="AF2441" s="43" t="s">
        <v>8815</v>
      </c>
      <c r="AG2441" s="43">
        <v>29.755984245011</v>
      </c>
      <c r="AH2441" s="43">
        <v>-95.3656615823773</v>
      </c>
      <c r="AI2441" s="122" t="s">
        <v>7287</v>
      </c>
      <c r="AJ2441" s="41">
        <v>0.9</v>
      </c>
    </row>
    <row r="2442" spans="1:36" ht="29.45" hidden="1" customHeight="1" x14ac:dyDescent="0.25">
      <c r="A2442" s="40">
        <v>3157</v>
      </c>
      <c r="B2442" s="40" t="s">
        <v>8819</v>
      </c>
      <c r="C2442" s="40" t="s">
        <v>558</v>
      </c>
      <c r="D2442" s="44">
        <v>2025</v>
      </c>
      <c r="E2442" s="44"/>
      <c r="F2442" s="40" t="s">
        <v>1540</v>
      </c>
      <c r="G2442" s="40" t="s">
        <v>1259</v>
      </c>
      <c r="H2442" s="40" t="s">
        <v>467</v>
      </c>
      <c r="I2442" s="40" t="s">
        <v>1528</v>
      </c>
      <c r="K2442" s="40" t="s">
        <v>1267</v>
      </c>
      <c r="W2442" s="40">
        <v>1</v>
      </c>
      <c r="Z2442" s="40" t="s">
        <v>8820</v>
      </c>
      <c r="AA2442" s="96">
        <f>IF(H2ProjectDB689571011[[#This Row],[Dummy_1]]="Electrolysis",
AB2442*VLOOKUP(G2442,ElectrolysisConvF,3,FALSE),
"")</f>
        <v>2.1067415730337078E-2</v>
      </c>
      <c r="AB2442" s="46">
        <f>AC2442/(H2dens*HoursInYear/10^6)</f>
        <v>4.6816479400749067</v>
      </c>
      <c r="AC2442" s="46">
        <f>10*365/10^6</f>
        <v>3.65E-3</v>
      </c>
      <c r="AE2442" s="46">
        <f t="shared" si="166"/>
        <v>4.6816479400749067</v>
      </c>
      <c r="AF2442" s="43" t="s">
        <v>8822</v>
      </c>
      <c r="AG2442" s="43">
        <v>1.2783036208195799</v>
      </c>
      <c r="AH2442" s="43">
        <v>103.78588518044501</v>
      </c>
      <c r="AI2442" s="122" t="s">
        <v>7286</v>
      </c>
      <c r="AJ2442" s="41">
        <v>0.56999999999999995</v>
      </c>
    </row>
    <row r="2443" spans="1:36" ht="29.45" hidden="1" customHeight="1" x14ac:dyDescent="0.25">
      <c r="A2443" s="40">
        <v>3158</v>
      </c>
      <c r="B2443" s="40" t="s">
        <v>8823</v>
      </c>
      <c r="C2443" s="40" t="s">
        <v>534</v>
      </c>
      <c r="D2443" s="44"/>
      <c r="E2443" s="44"/>
      <c r="F2443" s="40" t="s">
        <v>2222</v>
      </c>
      <c r="G2443" s="40" t="s">
        <v>1259</v>
      </c>
      <c r="H2443" s="40" t="s">
        <v>467</v>
      </c>
      <c r="I2443" s="40" t="s">
        <v>1257</v>
      </c>
      <c r="J2443" s="40" t="str">
        <f>IF(I2443&lt;&gt;"Dedicated renewable","N/A",)</f>
        <v>N/A</v>
      </c>
      <c r="K2443" s="90" t="s">
        <v>1243</v>
      </c>
      <c r="L2443" s="90"/>
      <c r="M2443" s="90">
        <v>1</v>
      </c>
      <c r="AA2443" s="47"/>
      <c r="AE2443" s="46">
        <f t="shared" si="166"/>
        <v>0</v>
      </c>
      <c r="AF2443" s="43" t="s">
        <v>8825</v>
      </c>
      <c r="AG2443" s="43">
        <v>3.16772922820277</v>
      </c>
      <c r="AH2443" s="43">
        <v>113.003279715861</v>
      </c>
      <c r="AI2443" s="122" t="s">
        <v>7286</v>
      </c>
      <c r="AJ2443" s="41">
        <v>0.56999999999999995</v>
      </c>
    </row>
    <row r="2444" spans="1:36" ht="29.45" hidden="1" customHeight="1" x14ac:dyDescent="0.25">
      <c r="A2444" s="40">
        <v>3159</v>
      </c>
      <c r="B2444" s="40" t="s">
        <v>8832</v>
      </c>
      <c r="C2444" s="40" t="s">
        <v>533</v>
      </c>
      <c r="D2444" s="44">
        <v>2030</v>
      </c>
      <c r="E2444" s="44"/>
      <c r="F2444" s="176" t="s">
        <v>2222</v>
      </c>
      <c r="G2444" s="176" t="s">
        <v>1259</v>
      </c>
      <c r="H2444" s="40" t="s">
        <v>467</v>
      </c>
      <c r="I2444" s="176" t="s">
        <v>1269</v>
      </c>
      <c r="J2444" s="40" t="s">
        <v>1392</v>
      </c>
      <c r="K2444" s="176" t="s">
        <v>578</v>
      </c>
      <c r="L2444" s="176"/>
      <c r="M2444" s="40">
        <v>1</v>
      </c>
      <c r="R2444" s="40">
        <v>1</v>
      </c>
      <c r="S2444" s="40">
        <v>1</v>
      </c>
      <c r="Z2444" s="40" t="s">
        <v>8833</v>
      </c>
      <c r="AA2444" s="174">
        <v>650</v>
      </c>
      <c r="AB2444" s="46">
        <f>IF(H2ProjectDB689571011[[#This Row],[Dummy_1]]="Electrolysis",
AA2444/VLOOKUP(G2444,ElectrolysisConvF,3,FALSE),
AC2444*10^6/(H2dens*HoursInYear))</f>
        <v>144444.44444444447</v>
      </c>
      <c r="AC2444" s="175">
        <f>AB2444*H2dens*HoursInYear/10^6</f>
        <v>112.61466666666666</v>
      </c>
      <c r="AE2444" s="46">
        <f>IF(AND(G2444&lt;&gt;"NG w CCUS",G2444&lt;&gt;"Oil w CCUS",G2444&lt;&gt;"Coal w CCUS"),AB1040,AD2444*10^3/(HoursInYear*IF(G2444="NG w CCUS",0.9105,1.9075)))</f>
        <v>109024.67805653892</v>
      </c>
      <c r="AF2444" s="43" t="s">
        <v>8835</v>
      </c>
      <c r="AG2444" s="43">
        <v>48.522395884275099</v>
      </c>
      <c r="AH2444" s="43">
        <v>-58.434725275561902</v>
      </c>
      <c r="AI2444" s="122" t="s">
        <v>7286</v>
      </c>
      <c r="AJ2444" s="41">
        <v>0.4</v>
      </c>
    </row>
    <row r="2445" spans="1:36" ht="29.45" hidden="1" customHeight="1" x14ac:dyDescent="0.25">
      <c r="A2445" s="40">
        <v>3160</v>
      </c>
      <c r="B2445" s="40" t="s">
        <v>8834</v>
      </c>
      <c r="C2445" s="40" t="s">
        <v>1305</v>
      </c>
      <c r="D2445" s="44">
        <v>2026</v>
      </c>
      <c r="E2445" s="44"/>
      <c r="F2445" s="40" t="s">
        <v>5701</v>
      </c>
      <c r="G2445" s="40" t="s">
        <v>1259</v>
      </c>
      <c r="H2445" s="40" t="s">
        <v>467</v>
      </c>
      <c r="I2445" s="40" t="s">
        <v>1257</v>
      </c>
      <c r="J2445" s="40" t="str">
        <f>IF(I2445&lt;&gt;"Dedicated renewable","N/A",)</f>
        <v>N/A</v>
      </c>
      <c r="K2445" s="40" t="s">
        <v>578</v>
      </c>
      <c r="Z2445" s="40" t="s">
        <v>1333</v>
      </c>
      <c r="AA2445" s="47">
        <v>10</v>
      </c>
      <c r="AB2445" s="46">
        <f>IF(H2ProjectDB689571011[[#This Row],[Dummy_1]]="Electrolysis",
AA2445/VLOOKUP(G2445,ElectrolysisConvF,3,FALSE),
AC2445*10^6/(H2dens*HoursInYear))</f>
        <v>2222.2222222222222</v>
      </c>
      <c r="AC2445" s="175">
        <f>AB2445*H2dens*HoursInYear/10^6</f>
        <v>1.7325333333333333</v>
      </c>
      <c r="AE2445" s="46">
        <f>IF(AND(G2445&lt;&gt;"NG w CCUS",G2445&lt;&gt;"Oil w CCUS",G2445&lt;&gt;"Coal w CCUS"),AB2445,AD2445*10^3/(HoursInYear*IF(G2445="NG w CCUS",0.9105,1.9075)))</f>
        <v>2222.2222222222222</v>
      </c>
      <c r="AF2445" s="43" t="s">
        <v>8837</v>
      </c>
      <c r="AG2445" s="43">
        <v>48.798544221272998</v>
      </c>
      <c r="AH2445" s="43">
        <v>9.1462989684364597</v>
      </c>
      <c r="AI2445" s="122" t="s">
        <v>7286</v>
      </c>
      <c r="AJ2445" s="41">
        <v>0.56999999999999995</v>
      </c>
    </row>
    <row r="2446" spans="1:36" x14ac:dyDescent="0.25">
      <c r="A2446" s="42"/>
      <c r="B2446" s="42"/>
      <c r="C2446" s="42"/>
      <c r="D2446" s="42"/>
      <c r="E2446" s="42"/>
      <c r="F2446" s="42"/>
      <c r="G2446" s="42"/>
      <c r="H2446" s="42"/>
      <c r="I2446" s="42"/>
      <c r="J2446" s="42"/>
      <c r="K2446" s="42"/>
      <c r="L2446" s="42"/>
      <c r="M2446" s="42"/>
      <c r="N2446" s="42"/>
      <c r="O2446" s="42"/>
      <c r="P2446" s="42"/>
      <c r="Q2446" s="42"/>
      <c r="R2446" s="42"/>
      <c r="S2446" s="42"/>
      <c r="T2446" s="42"/>
      <c r="U2446" s="42"/>
      <c r="V2446" s="42"/>
      <c r="W2446" s="42"/>
      <c r="X2446" s="42"/>
      <c r="Y2446" s="42"/>
      <c r="Z2446" s="42"/>
      <c r="AA2446" s="42"/>
      <c r="AB2446" s="42"/>
      <c r="AC2446" s="42"/>
      <c r="AD2446" s="42"/>
      <c r="AE2446" s="42"/>
      <c r="AF2446" s="42"/>
      <c r="AG2446" s="42"/>
      <c r="AH2446" s="42"/>
      <c r="AI2446" s="42"/>
      <c r="AJ2446" s="42"/>
    </row>
    <row r="2447" spans="1:36" x14ac:dyDescent="0.25">
      <c r="A2447" s="42"/>
      <c r="B2447" s="42"/>
      <c r="C2447" s="42"/>
      <c r="D2447" s="42"/>
      <c r="E2447" s="42"/>
      <c r="F2447" s="42"/>
      <c r="G2447" s="42"/>
      <c r="H2447" s="42"/>
      <c r="I2447" s="42"/>
      <c r="J2447" s="42"/>
      <c r="K2447" s="42"/>
      <c r="L2447" s="42"/>
      <c r="M2447" s="42"/>
      <c r="N2447" s="42"/>
      <c r="O2447" s="42"/>
      <c r="P2447" s="42"/>
      <c r="Q2447" s="42"/>
      <c r="R2447" s="42"/>
      <c r="S2447" s="42"/>
      <c r="T2447" s="42"/>
      <c r="U2447" s="42"/>
      <c r="V2447" s="42"/>
      <c r="W2447" s="42"/>
      <c r="X2447" s="42"/>
      <c r="Y2447" s="42"/>
      <c r="Z2447" s="42"/>
      <c r="AA2447" s="42"/>
      <c r="AB2447" s="42"/>
      <c r="AC2447" s="42"/>
      <c r="AD2447" s="42"/>
      <c r="AE2447" s="42"/>
      <c r="AF2447" s="42"/>
      <c r="AG2447" s="42"/>
      <c r="AH2447" s="42"/>
      <c r="AI2447" s="42"/>
      <c r="AJ2447" s="42"/>
    </row>
    <row r="2448" spans="1:36" x14ac:dyDescent="0.25">
      <c r="A2448" s="42"/>
      <c r="B2448" s="42"/>
      <c r="C2448" s="42"/>
      <c r="D2448" s="42"/>
      <c r="E2448" s="42"/>
      <c r="F2448" s="42"/>
      <c r="G2448" s="42"/>
      <c r="H2448" s="42"/>
      <c r="I2448" s="42"/>
      <c r="J2448" s="42"/>
      <c r="K2448" s="42"/>
      <c r="L2448" s="42"/>
      <c r="M2448" s="42"/>
      <c r="N2448" s="42"/>
      <c r="O2448" s="42"/>
      <c r="P2448" s="42"/>
      <c r="Q2448" s="42"/>
      <c r="R2448" s="42"/>
      <c r="S2448" s="42"/>
      <c r="T2448" s="42"/>
      <c r="U2448" s="42"/>
      <c r="V2448" s="42"/>
      <c r="W2448" s="42"/>
      <c r="X2448" s="42"/>
      <c r="Y2448" s="42"/>
      <c r="Z2448" s="42"/>
      <c r="AA2448" s="42"/>
      <c r="AB2448" s="42"/>
      <c r="AC2448" s="42"/>
      <c r="AD2448" s="42"/>
      <c r="AE2448" s="42"/>
      <c r="AF2448" s="42"/>
      <c r="AG2448" s="42"/>
      <c r="AH2448" s="42"/>
      <c r="AI2448" s="42"/>
      <c r="AJ2448" s="42"/>
    </row>
    <row r="2449" s="42" customFormat="1" x14ac:dyDescent="0.25"/>
    <row r="2450" s="42" customFormat="1" x14ac:dyDescent="0.25"/>
    <row r="2451" s="42" customFormat="1" x14ac:dyDescent="0.25"/>
    <row r="2452" s="42" customFormat="1" x14ac:dyDescent="0.25"/>
    <row r="2453" s="42" customFormat="1" x14ac:dyDescent="0.25"/>
    <row r="2454" s="42" customFormat="1" x14ac:dyDescent="0.25"/>
    <row r="2455" s="42" customFormat="1" x14ac:dyDescent="0.25"/>
    <row r="2456" s="42" customFormat="1" x14ac:dyDescent="0.25"/>
    <row r="2457" s="42" customFormat="1" x14ac:dyDescent="0.25"/>
    <row r="2458" s="42" customFormat="1" x14ac:dyDescent="0.25"/>
    <row r="2459" s="42" customFormat="1" x14ac:dyDescent="0.25"/>
    <row r="2460" s="42" customFormat="1" x14ac:dyDescent="0.25"/>
    <row r="2461" s="42" customFormat="1" x14ac:dyDescent="0.25"/>
    <row r="2462" s="42" customFormat="1" x14ac:dyDescent="0.25"/>
    <row r="2463" s="42" customFormat="1" x14ac:dyDescent="0.25"/>
    <row r="2464" s="42" customFormat="1" x14ac:dyDescent="0.25"/>
    <row r="2465" s="42" customFormat="1" x14ac:dyDescent="0.25"/>
    <row r="2466" s="42" customFormat="1" x14ac:dyDescent="0.25"/>
    <row r="2467" s="42" customFormat="1" x14ac:dyDescent="0.25"/>
    <row r="2468" s="42" customFormat="1" x14ac:dyDescent="0.25"/>
    <row r="2469" s="42" customFormat="1" x14ac:dyDescent="0.25"/>
    <row r="2470" s="42" customFormat="1" x14ac:dyDescent="0.25"/>
    <row r="2471" s="42" customFormat="1" x14ac:dyDescent="0.25"/>
    <row r="2472" s="42" customFormat="1" x14ac:dyDescent="0.25"/>
    <row r="2473" s="42" customFormat="1" x14ac:dyDescent="0.25"/>
    <row r="2474" s="42" customFormat="1" x14ac:dyDescent="0.25"/>
    <row r="2475" s="42" customFormat="1" x14ac:dyDescent="0.25"/>
    <row r="2476" s="42" customFormat="1" x14ac:dyDescent="0.25"/>
    <row r="2477" s="42" customFormat="1" x14ac:dyDescent="0.25"/>
    <row r="2478" s="42" customFormat="1" x14ac:dyDescent="0.25"/>
    <row r="2479" s="42" customFormat="1" x14ac:dyDescent="0.25"/>
    <row r="2480" s="42" customFormat="1" x14ac:dyDescent="0.25"/>
    <row r="2481" s="42" customFormat="1" x14ac:dyDescent="0.25"/>
    <row r="2482" s="42" customFormat="1" x14ac:dyDescent="0.25"/>
    <row r="2483" s="42" customFormat="1" x14ac:dyDescent="0.25"/>
    <row r="2484" s="42" customFormat="1" x14ac:dyDescent="0.25"/>
    <row r="2485" s="42" customFormat="1" x14ac:dyDescent="0.25"/>
    <row r="2486" s="42" customFormat="1" x14ac:dyDescent="0.25"/>
    <row r="2487" s="42" customFormat="1" x14ac:dyDescent="0.25"/>
    <row r="2488" s="42" customFormat="1" x14ac:dyDescent="0.25"/>
    <row r="2489" s="42" customFormat="1" x14ac:dyDescent="0.25"/>
    <row r="2490" s="42" customFormat="1" x14ac:dyDescent="0.25"/>
    <row r="2491" s="42" customFormat="1" x14ac:dyDescent="0.25"/>
    <row r="2492" s="42" customFormat="1" x14ac:dyDescent="0.25"/>
    <row r="2493" s="42" customFormat="1" x14ac:dyDescent="0.25"/>
    <row r="2494" s="42" customFormat="1" x14ac:dyDescent="0.25"/>
    <row r="2495" s="42" customFormat="1" x14ac:dyDescent="0.25"/>
    <row r="2496" s="42" customFormat="1" x14ac:dyDescent="0.25"/>
    <row r="2497" s="42" customFormat="1" x14ac:dyDescent="0.25"/>
    <row r="2498" s="42" customFormat="1" x14ac:dyDescent="0.25"/>
    <row r="2499" s="42" customFormat="1" x14ac:dyDescent="0.25"/>
    <row r="2500" s="42" customFormat="1" x14ac:dyDescent="0.25"/>
    <row r="2501" s="42" customFormat="1" x14ac:dyDescent="0.25"/>
    <row r="2502" s="42" customFormat="1" x14ac:dyDescent="0.25"/>
    <row r="2503" s="42" customFormat="1" x14ac:dyDescent="0.25"/>
    <row r="2504" s="42" customFormat="1" x14ac:dyDescent="0.25"/>
    <row r="2505" s="42" customFormat="1" x14ac:dyDescent="0.25"/>
    <row r="2506" s="42" customFormat="1" x14ac:dyDescent="0.25"/>
    <row r="2507" s="42" customFormat="1" x14ac:dyDescent="0.25"/>
    <row r="2508" s="42" customFormat="1" x14ac:dyDescent="0.25"/>
    <row r="2509" s="42" customFormat="1" x14ac:dyDescent="0.25"/>
    <row r="2510" s="42" customFormat="1" x14ac:dyDescent="0.25"/>
    <row r="2511" s="42" customFormat="1" x14ac:dyDescent="0.25"/>
    <row r="2512" s="42" customFormat="1" x14ac:dyDescent="0.25"/>
    <row r="2513" s="42" customFormat="1" x14ac:dyDescent="0.25"/>
    <row r="2514" s="42" customFormat="1" x14ac:dyDescent="0.25"/>
    <row r="2515" s="42" customFormat="1" x14ac:dyDescent="0.25"/>
    <row r="2516" s="42" customFormat="1" x14ac:dyDescent="0.25"/>
    <row r="2517" s="42" customFormat="1" x14ac:dyDescent="0.25"/>
    <row r="2518" s="42" customFormat="1" x14ac:dyDescent="0.25"/>
    <row r="2519" s="42" customFormat="1" x14ac:dyDescent="0.25"/>
    <row r="2520" s="42" customFormat="1" x14ac:dyDescent="0.25"/>
    <row r="2521" s="42" customFormat="1" x14ac:dyDescent="0.25"/>
    <row r="2522" s="42" customFormat="1" x14ac:dyDescent="0.25"/>
    <row r="2523" s="42" customFormat="1" x14ac:dyDescent="0.25"/>
    <row r="2524" s="42" customFormat="1" x14ac:dyDescent="0.25"/>
    <row r="2525" s="42" customFormat="1" x14ac:dyDescent="0.25"/>
    <row r="2526" s="42" customFormat="1" x14ac:dyDescent="0.25"/>
    <row r="2527" s="42" customFormat="1" x14ac:dyDescent="0.25"/>
    <row r="2528" s="42" customFormat="1" x14ac:dyDescent="0.25"/>
    <row r="2529" s="42" customFormat="1" x14ac:dyDescent="0.25"/>
    <row r="2530" s="42" customFormat="1" x14ac:dyDescent="0.25"/>
    <row r="2531" s="42" customFormat="1" x14ac:dyDescent="0.25"/>
    <row r="2532" s="42" customFormat="1" x14ac:dyDescent="0.25"/>
    <row r="2533" s="42" customFormat="1" x14ac:dyDescent="0.25"/>
    <row r="2534" s="42" customFormat="1" x14ac:dyDescent="0.25"/>
    <row r="2535" s="42" customFormat="1" x14ac:dyDescent="0.25"/>
    <row r="2536" s="42" customFormat="1" x14ac:dyDescent="0.25"/>
    <row r="2537" s="42" customFormat="1" x14ac:dyDescent="0.25"/>
    <row r="2538" s="42" customFormat="1" x14ac:dyDescent="0.25"/>
    <row r="2539" s="42" customFormat="1" x14ac:dyDescent="0.25"/>
    <row r="2540" s="42" customFormat="1" x14ac:dyDescent="0.25"/>
    <row r="2541" s="42" customFormat="1" x14ac:dyDescent="0.25"/>
    <row r="2542" s="42" customFormat="1" x14ac:dyDescent="0.25"/>
    <row r="2543" s="42" customFormat="1" x14ac:dyDescent="0.25"/>
    <row r="2544" s="42" customFormat="1" x14ac:dyDescent="0.25"/>
    <row r="2545" s="42" customFormat="1" x14ac:dyDescent="0.25"/>
    <row r="2546" s="42" customFormat="1" x14ac:dyDescent="0.25"/>
    <row r="2547" s="42" customFormat="1" x14ac:dyDescent="0.25"/>
    <row r="2548" s="42" customFormat="1" x14ac:dyDescent="0.25"/>
    <row r="2549" s="42" customFormat="1" x14ac:dyDescent="0.25"/>
    <row r="2550" s="42" customFormat="1" x14ac:dyDescent="0.25"/>
    <row r="2551" s="42" customFormat="1" x14ac:dyDescent="0.25"/>
    <row r="2552" s="42" customFormat="1" x14ac:dyDescent="0.25"/>
    <row r="2553" s="42" customFormat="1" x14ac:dyDescent="0.25"/>
    <row r="2554" s="42" customFormat="1" x14ac:dyDescent="0.25"/>
    <row r="2555" s="42" customFormat="1" x14ac:dyDescent="0.25"/>
    <row r="2556" s="42" customFormat="1" x14ac:dyDescent="0.25"/>
    <row r="2557" s="42" customFormat="1" x14ac:dyDescent="0.25"/>
    <row r="2558" s="42" customFormat="1" x14ac:dyDescent="0.25"/>
    <row r="2559" s="42" customFormat="1" x14ac:dyDescent="0.25"/>
    <row r="2560" s="42" customFormat="1" x14ac:dyDescent="0.25"/>
    <row r="2561" s="42" customFormat="1" x14ac:dyDescent="0.25"/>
    <row r="2562" s="42" customFormat="1" x14ac:dyDescent="0.25"/>
    <row r="2563" s="42" customFormat="1" x14ac:dyDescent="0.25"/>
    <row r="2564" s="42" customFormat="1" x14ac:dyDescent="0.25"/>
    <row r="2565" s="42" customFormat="1" x14ac:dyDescent="0.25"/>
    <row r="2566" s="42" customFormat="1" x14ac:dyDescent="0.25"/>
    <row r="2567" s="42" customFormat="1" x14ac:dyDescent="0.25"/>
    <row r="2568" s="42" customFormat="1" x14ac:dyDescent="0.25"/>
    <row r="2569" s="42" customFormat="1" x14ac:dyDescent="0.25"/>
    <row r="2570" s="42" customFormat="1" x14ac:dyDescent="0.25"/>
    <row r="2571" s="42" customFormat="1" x14ac:dyDescent="0.25"/>
    <row r="2572" s="42" customFormat="1" x14ac:dyDescent="0.25"/>
    <row r="2573" s="42" customFormat="1" x14ac:dyDescent="0.25"/>
    <row r="2574" s="42" customFormat="1" x14ac:dyDescent="0.25"/>
    <row r="2575" s="42" customFormat="1" x14ac:dyDescent="0.25"/>
    <row r="2576" s="42" customFormat="1" x14ac:dyDescent="0.25"/>
    <row r="2577" s="42" customFormat="1" x14ac:dyDescent="0.25"/>
    <row r="2578" s="42" customFormat="1" x14ac:dyDescent="0.25"/>
    <row r="2579" s="42" customFormat="1" x14ac:dyDescent="0.25"/>
    <row r="2580" s="42" customFormat="1" x14ac:dyDescent="0.25"/>
    <row r="2581" s="42" customFormat="1" x14ac:dyDescent="0.25"/>
    <row r="2582" s="42" customFormat="1" x14ac:dyDescent="0.25"/>
    <row r="2583" s="42" customFormat="1" x14ac:dyDescent="0.25"/>
    <row r="2584" s="42" customFormat="1" x14ac:dyDescent="0.25"/>
    <row r="2585" s="42" customFormat="1" x14ac:dyDescent="0.25"/>
    <row r="2586" s="42" customFormat="1" x14ac:dyDescent="0.25"/>
    <row r="2587" s="42" customFormat="1" x14ac:dyDescent="0.25"/>
    <row r="2588" s="42" customFormat="1" x14ac:dyDescent="0.25"/>
    <row r="2589" s="42" customFormat="1" x14ac:dyDescent="0.25"/>
    <row r="2590" s="42" customFormat="1" x14ac:dyDescent="0.25"/>
    <row r="2591" s="42" customFormat="1" x14ac:dyDescent="0.25"/>
    <row r="2592" s="42" customFormat="1" x14ac:dyDescent="0.25"/>
    <row r="2593" s="42" customFormat="1" x14ac:dyDescent="0.25"/>
    <row r="2594" s="42" customFormat="1" x14ac:dyDescent="0.25"/>
    <row r="2595" s="42" customFormat="1" x14ac:dyDescent="0.25"/>
    <row r="2596" s="42" customFormat="1" x14ac:dyDescent="0.25"/>
    <row r="2597" s="42" customFormat="1" x14ac:dyDescent="0.25"/>
    <row r="2598" s="42" customFormat="1" x14ac:dyDescent="0.25"/>
    <row r="2599" s="42" customFormat="1" x14ac:dyDescent="0.25"/>
    <row r="2600" s="42" customFormat="1" x14ac:dyDescent="0.25"/>
    <row r="2601" s="42" customFormat="1" x14ac:dyDescent="0.25"/>
    <row r="2602" s="42" customFormat="1" x14ac:dyDescent="0.25"/>
    <row r="2603" s="42" customFormat="1" x14ac:dyDescent="0.25"/>
    <row r="2604" s="42" customFormat="1" x14ac:dyDescent="0.25"/>
    <row r="2605" s="42" customFormat="1" x14ac:dyDescent="0.25"/>
    <row r="2606" s="42" customFormat="1" x14ac:dyDescent="0.25"/>
    <row r="2607" s="42" customFormat="1" x14ac:dyDescent="0.25"/>
    <row r="2608" s="42" customFormat="1" x14ac:dyDescent="0.25"/>
    <row r="2609" s="42" customFormat="1" x14ac:dyDescent="0.25"/>
    <row r="2610" s="42" customFormat="1" x14ac:dyDescent="0.25"/>
    <row r="2611" s="42" customFormat="1" x14ac:dyDescent="0.25"/>
    <row r="2612" s="42" customFormat="1" x14ac:dyDescent="0.25"/>
    <row r="2613" s="42" customFormat="1" x14ac:dyDescent="0.25"/>
    <row r="2614" s="42" customFormat="1" x14ac:dyDescent="0.25"/>
    <row r="2615" s="42" customFormat="1" x14ac:dyDescent="0.25"/>
    <row r="2616" s="42" customFormat="1" x14ac:dyDescent="0.25"/>
    <row r="2617" s="42" customFormat="1" x14ac:dyDescent="0.25"/>
    <row r="2618" s="42" customFormat="1" x14ac:dyDescent="0.25"/>
    <row r="2619" s="42" customFormat="1" x14ac:dyDescent="0.25"/>
    <row r="2620" s="42" customFormat="1" x14ac:dyDescent="0.25"/>
    <row r="2621" s="42" customFormat="1" x14ac:dyDescent="0.25"/>
    <row r="2622" s="42" customFormat="1" x14ac:dyDescent="0.25"/>
    <row r="2623" s="42" customFormat="1" x14ac:dyDescent="0.25"/>
    <row r="2624" s="42" customFormat="1" x14ac:dyDescent="0.25"/>
    <row r="2625" s="42" customFormat="1" x14ac:dyDescent="0.25"/>
    <row r="2626" s="42" customFormat="1" x14ac:dyDescent="0.25"/>
    <row r="2627" s="42" customFormat="1" x14ac:dyDescent="0.25"/>
    <row r="2628" s="42" customFormat="1" x14ac:dyDescent="0.25"/>
    <row r="2629" s="42" customFormat="1" x14ac:dyDescent="0.25"/>
    <row r="2630" s="42" customFormat="1" x14ac:dyDescent="0.25"/>
    <row r="2631" s="42" customFormat="1" x14ac:dyDescent="0.25"/>
    <row r="2632" s="42" customFormat="1" x14ac:dyDescent="0.25"/>
    <row r="2633" s="42" customFormat="1" x14ac:dyDescent="0.25"/>
    <row r="2634" s="42" customFormat="1" x14ac:dyDescent="0.25"/>
    <row r="2635" s="42" customFormat="1" x14ac:dyDescent="0.25"/>
    <row r="2636" s="42" customFormat="1" x14ac:dyDescent="0.25"/>
    <row r="2637" s="42" customFormat="1" x14ac:dyDescent="0.25"/>
    <row r="2638" s="42" customFormat="1" x14ac:dyDescent="0.25"/>
    <row r="2639" s="42" customFormat="1" x14ac:dyDescent="0.25"/>
    <row r="2640" s="42" customFormat="1" x14ac:dyDescent="0.25"/>
    <row r="2641" s="42" customFormat="1" x14ac:dyDescent="0.25"/>
    <row r="2642" s="42" customFormat="1" x14ac:dyDescent="0.25"/>
    <row r="2643" s="42" customFormat="1" x14ac:dyDescent="0.25"/>
    <row r="2644" s="42" customFormat="1" x14ac:dyDescent="0.25"/>
    <row r="2645" s="42" customFormat="1" x14ac:dyDescent="0.25"/>
    <row r="2646" s="42" customFormat="1" x14ac:dyDescent="0.25"/>
    <row r="2647" s="42" customFormat="1" x14ac:dyDescent="0.25"/>
    <row r="2648" s="42" customFormat="1" x14ac:dyDescent="0.25"/>
    <row r="2649" s="42" customFormat="1" x14ac:dyDescent="0.25"/>
    <row r="2650" s="42" customFormat="1" x14ac:dyDescent="0.25"/>
    <row r="2651" s="42" customFormat="1" x14ac:dyDescent="0.25"/>
    <row r="2652" s="42" customFormat="1" x14ac:dyDescent="0.25"/>
    <row r="2653" s="42" customFormat="1" x14ac:dyDescent="0.25"/>
    <row r="2654" s="42" customFormat="1" x14ac:dyDescent="0.25"/>
    <row r="2655" s="42" customFormat="1" x14ac:dyDescent="0.25"/>
    <row r="2656" s="42" customFormat="1" x14ac:dyDescent="0.25"/>
    <row r="2657" s="42" customFormat="1" x14ac:dyDescent="0.25"/>
    <row r="2658" s="42" customFormat="1" x14ac:dyDescent="0.25"/>
    <row r="2659" s="42" customFormat="1" x14ac:dyDescent="0.25"/>
    <row r="2660" s="42" customFormat="1" x14ac:dyDescent="0.25"/>
    <row r="2661" s="42" customFormat="1" x14ac:dyDescent="0.25"/>
    <row r="2662" s="42" customFormat="1" x14ac:dyDescent="0.25"/>
    <row r="2663" s="42" customFormat="1" x14ac:dyDescent="0.25"/>
    <row r="2664" s="42" customFormat="1" x14ac:dyDescent="0.25"/>
    <row r="2665" s="42" customFormat="1" x14ac:dyDescent="0.25"/>
    <row r="2666" s="42" customFormat="1" x14ac:dyDescent="0.25"/>
    <row r="2667" s="42" customFormat="1" x14ac:dyDescent="0.25"/>
    <row r="2668" s="42" customFormat="1" x14ac:dyDescent="0.25"/>
    <row r="2669" s="42" customFormat="1" x14ac:dyDescent="0.25"/>
    <row r="2670" s="42" customFormat="1" x14ac:dyDescent="0.25"/>
    <row r="2671" s="42" customFormat="1" x14ac:dyDescent="0.25"/>
    <row r="2672" s="42" customFormat="1" x14ac:dyDescent="0.25"/>
    <row r="2673" s="42" customFormat="1" x14ac:dyDescent="0.25"/>
    <row r="2674" s="42" customFormat="1" x14ac:dyDescent="0.25"/>
    <row r="2675" s="42" customFormat="1" x14ac:dyDescent="0.25"/>
    <row r="2676" s="42" customFormat="1" x14ac:dyDescent="0.25"/>
    <row r="2677" s="42" customFormat="1" x14ac:dyDescent="0.25"/>
    <row r="2678" s="42" customFormat="1" x14ac:dyDescent="0.25"/>
    <row r="2679" s="42" customFormat="1" x14ac:dyDescent="0.25"/>
    <row r="2680" s="42" customFormat="1" x14ac:dyDescent="0.25"/>
    <row r="2681" s="42" customFormat="1" x14ac:dyDescent="0.25"/>
    <row r="2682" s="42" customFormat="1" x14ac:dyDescent="0.25"/>
    <row r="2683" s="42" customFormat="1" x14ac:dyDescent="0.25"/>
    <row r="2684" s="42" customFormat="1" x14ac:dyDescent="0.25"/>
    <row r="2685" s="42" customFormat="1" x14ac:dyDescent="0.25"/>
    <row r="2686" s="42" customFormat="1" x14ac:dyDescent="0.25"/>
    <row r="2687" s="42" customFormat="1" x14ac:dyDescent="0.25"/>
    <row r="2688" s="42" customFormat="1" x14ac:dyDescent="0.25"/>
    <row r="2689" s="42" customFormat="1" x14ac:dyDescent="0.25"/>
    <row r="2690" s="42" customFormat="1" x14ac:dyDescent="0.25"/>
    <row r="2691" s="42" customFormat="1" x14ac:dyDescent="0.25"/>
    <row r="2692" s="42" customFormat="1" x14ac:dyDescent="0.25"/>
    <row r="2693" s="42" customFormat="1" x14ac:dyDescent="0.25"/>
    <row r="2694" s="42" customFormat="1" x14ac:dyDescent="0.25"/>
    <row r="2695" s="42" customFormat="1" x14ac:dyDescent="0.25"/>
    <row r="2696" s="42" customFormat="1" x14ac:dyDescent="0.25"/>
    <row r="2697" s="42" customFormat="1" x14ac:dyDescent="0.25"/>
    <row r="2698" s="42" customFormat="1" x14ac:dyDescent="0.25"/>
    <row r="2699" s="42" customFormat="1" x14ac:dyDescent="0.25"/>
    <row r="2700" s="42" customFormat="1" x14ac:dyDescent="0.25"/>
    <row r="2701" s="42" customFormat="1" x14ac:dyDescent="0.25"/>
    <row r="2702" s="42" customFormat="1" x14ac:dyDescent="0.25"/>
    <row r="2703" s="42" customFormat="1" x14ac:dyDescent="0.25"/>
    <row r="2704" s="42" customFormat="1" x14ac:dyDescent="0.25"/>
    <row r="2705" s="42" customFormat="1" x14ac:dyDescent="0.25"/>
    <row r="2706" s="42" customFormat="1" x14ac:dyDescent="0.25"/>
    <row r="2707" s="42" customFormat="1" x14ac:dyDescent="0.25"/>
    <row r="2708" s="42" customFormat="1" x14ac:dyDescent="0.25"/>
    <row r="2709" s="42" customFormat="1" x14ac:dyDescent="0.25"/>
    <row r="2710" s="42" customFormat="1" x14ac:dyDescent="0.25"/>
    <row r="2711" s="42" customFormat="1" x14ac:dyDescent="0.25"/>
    <row r="2712" s="42" customFormat="1" x14ac:dyDescent="0.25"/>
    <row r="2713" s="42" customFormat="1" x14ac:dyDescent="0.25"/>
    <row r="2714" s="42" customFormat="1" x14ac:dyDescent="0.25"/>
    <row r="2715" s="42" customFormat="1" x14ac:dyDescent="0.25"/>
    <row r="2716" s="42" customFormat="1" x14ac:dyDescent="0.25"/>
    <row r="2717" s="42" customFormat="1" x14ac:dyDescent="0.25"/>
    <row r="2718" s="42" customFormat="1" x14ac:dyDescent="0.25"/>
    <row r="2719" s="42" customFormat="1" x14ac:dyDescent="0.25"/>
    <row r="2720" s="42" customFormat="1" x14ac:dyDescent="0.25"/>
    <row r="2721" s="42" customFormat="1" x14ac:dyDescent="0.25"/>
    <row r="2722" s="42" customFormat="1" x14ac:dyDescent="0.25"/>
    <row r="2723" s="42" customFormat="1" x14ac:dyDescent="0.25"/>
    <row r="2724" s="42" customFormat="1" x14ac:dyDescent="0.25"/>
    <row r="2725" s="42" customFormat="1" x14ac:dyDescent="0.25"/>
    <row r="2726" s="42" customFormat="1" x14ac:dyDescent="0.25"/>
    <row r="2727" s="42" customFormat="1" x14ac:dyDescent="0.25"/>
    <row r="2728" s="42" customFormat="1" x14ac:dyDescent="0.25"/>
    <row r="2729" s="42" customFormat="1" x14ac:dyDescent="0.25"/>
    <row r="2730" s="42" customFormat="1" x14ac:dyDescent="0.25"/>
    <row r="2731" s="42" customFormat="1" x14ac:dyDescent="0.25"/>
    <row r="2732" s="42" customFormat="1" x14ac:dyDescent="0.25"/>
    <row r="2733" s="42" customFormat="1" x14ac:dyDescent="0.25"/>
    <row r="2734" s="42" customFormat="1" x14ac:dyDescent="0.25"/>
    <row r="2735" s="42" customFormat="1" x14ac:dyDescent="0.25"/>
    <row r="2736" s="42" customFormat="1" x14ac:dyDescent="0.25"/>
    <row r="2737" s="42" customFormat="1" x14ac:dyDescent="0.25"/>
    <row r="2738" s="42" customFormat="1" x14ac:dyDescent="0.25"/>
    <row r="2739" s="42" customFormat="1" x14ac:dyDescent="0.25"/>
    <row r="2740" s="42" customFormat="1" x14ac:dyDescent="0.25"/>
    <row r="2741" s="42" customFormat="1" x14ac:dyDescent="0.25"/>
    <row r="2742" s="42" customFormat="1" x14ac:dyDescent="0.25"/>
    <row r="2743" s="42" customFormat="1" x14ac:dyDescent="0.25"/>
    <row r="2744" s="42" customFormat="1" x14ac:dyDescent="0.25"/>
    <row r="2745" s="42" customFormat="1" x14ac:dyDescent="0.25"/>
    <row r="2746" s="42" customFormat="1" x14ac:dyDescent="0.25"/>
    <row r="2747" s="42" customFormat="1" x14ac:dyDescent="0.25"/>
    <row r="2748" s="42" customFormat="1" x14ac:dyDescent="0.25"/>
    <row r="2749" s="42" customFormat="1" x14ac:dyDescent="0.25"/>
    <row r="2750" s="42" customFormat="1" x14ac:dyDescent="0.25"/>
    <row r="2751" s="42" customFormat="1" x14ac:dyDescent="0.25"/>
    <row r="2752" s="42" customFormat="1" x14ac:dyDescent="0.25"/>
    <row r="2753" s="42" customFormat="1" x14ac:dyDescent="0.25"/>
    <row r="2754" s="42" customFormat="1" x14ac:dyDescent="0.25"/>
    <row r="2755" s="42" customFormat="1" x14ac:dyDescent="0.25"/>
    <row r="2756" s="42" customFormat="1" x14ac:dyDescent="0.25"/>
    <row r="2757" s="42" customFormat="1" x14ac:dyDescent="0.25"/>
    <row r="2758" s="42" customFormat="1" x14ac:dyDescent="0.25"/>
    <row r="2759" s="42" customFormat="1" x14ac:dyDescent="0.25"/>
    <row r="2760" s="42" customFormat="1" x14ac:dyDescent="0.25"/>
    <row r="2761" s="42" customFormat="1" x14ac:dyDescent="0.25"/>
    <row r="2762" s="42" customFormat="1" x14ac:dyDescent="0.25"/>
    <row r="2763" s="42" customFormat="1" x14ac:dyDescent="0.25"/>
    <row r="2764" s="42" customFormat="1" x14ac:dyDescent="0.25"/>
    <row r="2765" s="42" customFormat="1" x14ac:dyDescent="0.25"/>
    <row r="2766" s="42" customFormat="1" x14ac:dyDescent="0.25"/>
    <row r="2767" s="42" customFormat="1" x14ac:dyDescent="0.25"/>
    <row r="2768" s="42" customFormat="1" x14ac:dyDescent="0.25"/>
    <row r="2769" s="42" customFormat="1" x14ac:dyDescent="0.25"/>
    <row r="2770" s="42" customFormat="1" x14ac:dyDescent="0.25"/>
    <row r="2771" s="42" customFormat="1" x14ac:dyDescent="0.25"/>
    <row r="2772" s="42" customFormat="1" x14ac:dyDescent="0.25"/>
    <row r="2773" s="42" customFormat="1" x14ac:dyDescent="0.25"/>
    <row r="2774" s="42" customFormat="1" x14ac:dyDescent="0.25"/>
    <row r="2775" s="42" customFormat="1" x14ac:dyDescent="0.25"/>
    <row r="2776" s="42" customFormat="1" x14ac:dyDescent="0.25"/>
    <row r="2777" s="42" customFormat="1" x14ac:dyDescent="0.25"/>
    <row r="2778" s="42" customFormat="1" x14ac:dyDescent="0.25"/>
    <row r="2779" s="42" customFormat="1" x14ac:dyDescent="0.25"/>
    <row r="2780" s="42" customFormat="1" x14ac:dyDescent="0.25"/>
    <row r="2781" s="42" customFormat="1" x14ac:dyDescent="0.25"/>
    <row r="2782" s="42" customFormat="1" x14ac:dyDescent="0.25"/>
    <row r="2783" s="42" customFormat="1" x14ac:dyDescent="0.25"/>
    <row r="2784" s="42" customFormat="1" x14ac:dyDescent="0.25"/>
    <row r="2785" s="42" customFormat="1" x14ac:dyDescent="0.25"/>
    <row r="2786" s="42" customFormat="1" x14ac:dyDescent="0.25"/>
    <row r="2787" s="42" customFormat="1" x14ac:dyDescent="0.25"/>
    <row r="2788" s="42" customFormat="1" x14ac:dyDescent="0.25"/>
    <row r="2789" s="42" customFormat="1" x14ac:dyDescent="0.25"/>
    <row r="2790" s="42" customFormat="1" x14ac:dyDescent="0.25"/>
    <row r="2791" s="42" customFormat="1" x14ac:dyDescent="0.25"/>
    <row r="2792" s="42" customFormat="1" x14ac:dyDescent="0.25"/>
    <row r="2793" s="42" customFormat="1" x14ac:dyDescent="0.25"/>
    <row r="2794" s="42" customFormat="1" x14ac:dyDescent="0.25"/>
    <row r="2795" s="42" customFormat="1" x14ac:dyDescent="0.25"/>
    <row r="2796" s="42" customFormat="1" x14ac:dyDescent="0.25"/>
    <row r="2797" s="42" customFormat="1" x14ac:dyDescent="0.25"/>
    <row r="2798" s="42" customFormat="1" x14ac:dyDescent="0.25"/>
    <row r="2799" s="42" customFormat="1" x14ac:dyDescent="0.25"/>
    <row r="2800" s="42" customFormat="1" x14ac:dyDescent="0.25"/>
    <row r="2801" s="42" customFormat="1" x14ac:dyDescent="0.25"/>
    <row r="2802" s="42" customFormat="1" x14ac:dyDescent="0.25"/>
    <row r="2803" s="42" customFormat="1" x14ac:dyDescent="0.25"/>
    <row r="2804" s="42" customFormat="1" x14ac:dyDescent="0.25"/>
    <row r="2805" s="42" customFormat="1" x14ac:dyDescent="0.25"/>
    <row r="2806" s="42" customFormat="1" x14ac:dyDescent="0.25"/>
    <row r="2807" s="42" customFormat="1" x14ac:dyDescent="0.25"/>
    <row r="2808" s="42" customFormat="1" x14ac:dyDescent="0.25"/>
    <row r="2809" s="42" customFormat="1" x14ac:dyDescent="0.25"/>
    <row r="2810" s="42" customFormat="1" x14ac:dyDescent="0.25"/>
    <row r="2811" s="42" customFormat="1" x14ac:dyDescent="0.25"/>
    <row r="2812" s="42" customFormat="1" x14ac:dyDescent="0.25"/>
    <row r="2813" s="42" customFormat="1" x14ac:dyDescent="0.25"/>
    <row r="2814" s="42" customFormat="1" x14ac:dyDescent="0.25"/>
    <row r="2815" s="42" customFormat="1" x14ac:dyDescent="0.25"/>
    <row r="2816" s="42" customFormat="1" x14ac:dyDescent="0.25"/>
    <row r="2817" s="42" customFormat="1" x14ac:dyDescent="0.25"/>
    <row r="2818" s="42" customFormat="1" x14ac:dyDescent="0.25"/>
    <row r="2819" s="42" customFormat="1" x14ac:dyDescent="0.25"/>
    <row r="2820" s="42" customFormat="1" x14ac:dyDescent="0.25"/>
    <row r="2821" s="42" customFormat="1" x14ac:dyDescent="0.25"/>
    <row r="2822" s="42" customFormat="1" x14ac:dyDescent="0.25"/>
    <row r="2823" s="42" customFormat="1" x14ac:dyDescent="0.25"/>
    <row r="2824" s="42" customFormat="1" x14ac:dyDescent="0.25"/>
    <row r="2825" s="42" customFormat="1" x14ac:dyDescent="0.25"/>
    <row r="2826" s="42" customFormat="1" x14ac:dyDescent="0.25"/>
    <row r="2827" s="42" customFormat="1" x14ac:dyDescent="0.25"/>
    <row r="2828" s="42" customFormat="1" x14ac:dyDescent="0.25"/>
    <row r="2829" s="42" customFormat="1" x14ac:dyDescent="0.25"/>
    <row r="2830" s="42" customFormat="1" x14ac:dyDescent="0.25"/>
    <row r="2831" s="42" customFormat="1" x14ac:dyDescent="0.25"/>
    <row r="2832" s="42" customFormat="1" x14ac:dyDescent="0.25"/>
    <row r="2833" s="42" customFormat="1" x14ac:dyDescent="0.25"/>
    <row r="2834" s="42" customFormat="1" x14ac:dyDescent="0.25"/>
    <row r="2835" s="42" customFormat="1" x14ac:dyDescent="0.25"/>
    <row r="2836" s="42" customFormat="1" x14ac:dyDescent="0.25"/>
    <row r="2837" s="42" customFormat="1" x14ac:dyDescent="0.25"/>
    <row r="2838" s="42" customFormat="1" x14ac:dyDescent="0.25"/>
    <row r="2839" s="42" customFormat="1" x14ac:dyDescent="0.25"/>
    <row r="2840" s="42" customFormat="1" x14ac:dyDescent="0.25"/>
    <row r="2841" s="42" customFormat="1" x14ac:dyDescent="0.25"/>
    <row r="2842" s="42" customFormat="1" x14ac:dyDescent="0.25"/>
    <row r="2843" s="42" customFormat="1" x14ac:dyDescent="0.25"/>
    <row r="2844" s="42" customFormat="1" x14ac:dyDescent="0.25"/>
    <row r="2845" s="42" customFormat="1" x14ac:dyDescent="0.25"/>
    <row r="2846" s="42" customFormat="1" x14ac:dyDescent="0.25"/>
    <row r="2847" s="42" customFormat="1" x14ac:dyDescent="0.25"/>
    <row r="2848" s="42" customFormat="1" x14ac:dyDescent="0.25"/>
    <row r="2849" s="42" customFormat="1" x14ac:dyDescent="0.25"/>
    <row r="2850" s="42" customFormat="1" x14ac:dyDescent="0.25"/>
    <row r="2851" s="42" customFormat="1" x14ac:dyDescent="0.25"/>
    <row r="2852" s="42" customFormat="1" x14ac:dyDescent="0.25"/>
    <row r="2853" s="42" customFormat="1" x14ac:dyDescent="0.25"/>
    <row r="2854" s="42" customFormat="1" x14ac:dyDescent="0.25"/>
    <row r="2855" s="42" customFormat="1" x14ac:dyDescent="0.25"/>
    <row r="2856" s="42" customFormat="1" x14ac:dyDescent="0.25"/>
    <row r="2857" s="42" customFormat="1" x14ac:dyDescent="0.25"/>
    <row r="2858" s="42" customFormat="1" x14ac:dyDescent="0.25"/>
    <row r="2859" s="42" customFormat="1" x14ac:dyDescent="0.25"/>
    <row r="2860" s="42" customFormat="1" x14ac:dyDescent="0.25"/>
    <row r="2861" s="42" customFormat="1" x14ac:dyDescent="0.25"/>
    <row r="2862" s="42" customFormat="1" x14ac:dyDescent="0.25"/>
    <row r="2863" s="42" customFormat="1" x14ac:dyDescent="0.25"/>
    <row r="2864" s="42" customFormat="1" x14ac:dyDescent="0.25"/>
    <row r="2865" s="42" customFormat="1" x14ac:dyDescent="0.25"/>
    <row r="2866" s="42" customFormat="1" x14ac:dyDescent="0.25"/>
    <row r="2867" s="42" customFormat="1" x14ac:dyDescent="0.25"/>
    <row r="2868" s="42" customFormat="1" x14ac:dyDescent="0.25"/>
    <row r="2869" s="42" customFormat="1" x14ac:dyDescent="0.25"/>
    <row r="2870" s="42" customFormat="1" x14ac:dyDescent="0.25"/>
    <row r="2871" s="42" customFormat="1" x14ac:dyDescent="0.25"/>
    <row r="2872" s="42" customFormat="1" x14ac:dyDescent="0.25"/>
    <row r="2873" s="42" customFormat="1" x14ac:dyDescent="0.25"/>
    <row r="2874" s="42" customFormat="1" x14ac:dyDescent="0.25"/>
    <row r="2875" s="42" customFormat="1" x14ac:dyDescent="0.25"/>
    <row r="2876" s="42" customFormat="1" x14ac:dyDescent="0.25"/>
    <row r="2877" s="42" customFormat="1" x14ac:dyDescent="0.25"/>
    <row r="2878" s="42" customFormat="1" x14ac:dyDescent="0.25"/>
    <row r="2879" s="42" customFormat="1" x14ac:dyDescent="0.25"/>
    <row r="2880" s="42" customFormat="1" x14ac:dyDescent="0.25"/>
    <row r="2881" s="42" customFormat="1" x14ac:dyDescent="0.25"/>
    <row r="2882" s="42" customFormat="1" x14ac:dyDescent="0.25"/>
    <row r="2883" s="42" customFormat="1" x14ac:dyDescent="0.25"/>
    <row r="2884" s="42" customFormat="1" x14ac:dyDescent="0.25"/>
    <row r="2885" s="42" customFormat="1" x14ac:dyDescent="0.25"/>
    <row r="2886" s="42" customFormat="1" x14ac:dyDescent="0.25"/>
    <row r="2887" s="42" customFormat="1" x14ac:dyDescent="0.25"/>
    <row r="2888" s="42" customFormat="1" x14ac:dyDescent="0.25"/>
    <row r="2889" s="42" customFormat="1" x14ac:dyDescent="0.25"/>
    <row r="2890" s="42" customFormat="1" x14ac:dyDescent="0.25"/>
    <row r="2891" s="42" customFormat="1" x14ac:dyDescent="0.25"/>
    <row r="2892" s="42" customFormat="1" x14ac:dyDescent="0.25"/>
    <row r="2893" s="42" customFormat="1" x14ac:dyDescent="0.25"/>
    <row r="2894" s="42" customFormat="1" x14ac:dyDescent="0.25"/>
    <row r="2895" s="42" customFormat="1" x14ac:dyDescent="0.25"/>
    <row r="2896" s="42" customFormat="1" x14ac:dyDescent="0.25"/>
    <row r="2897" s="42" customFormat="1" x14ac:dyDescent="0.25"/>
    <row r="2898" s="42" customFormat="1" x14ac:dyDescent="0.25"/>
    <row r="2899" s="42" customFormat="1" x14ac:dyDescent="0.25"/>
    <row r="2900" s="42" customFormat="1" x14ac:dyDescent="0.25"/>
    <row r="2901" s="42" customFormat="1" x14ac:dyDescent="0.25"/>
    <row r="2902" s="42" customFormat="1" x14ac:dyDescent="0.25"/>
    <row r="2903" s="42" customFormat="1" x14ac:dyDescent="0.25"/>
    <row r="2904" s="42" customFormat="1" x14ac:dyDescent="0.25"/>
    <row r="2905" s="42" customFormat="1" x14ac:dyDescent="0.25"/>
    <row r="2906" s="42" customFormat="1" x14ac:dyDescent="0.25"/>
    <row r="2907" s="42" customFormat="1" x14ac:dyDescent="0.25"/>
    <row r="2908" s="42" customFormat="1" x14ac:dyDescent="0.25"/>
    <row r="2909" s="42" customFormat="1" x14ac:dyDescent="0.25"/>
    <row r="2910" s="42" customFormat="1" x14ac:dyDescent="0.25"/>
    <row r="2911" s="42" customFormat="1" x14ac:dyDescent="0.25"/>
    <row r="2912" s="42" customFormat="1" x14ac:dyDescent="0.25"/>
    <row r="2913" s="42" customFormat="1" x14ac:dyDescent="0.25"/>
    <row r="2914" s="42" customFormat="1" x14ac:dyDescent="0.25"/>
    <row r="2915" s="42" customFormat="1" x14ac:dyDescent="0.25"/>
    <row r="2916" s="42" customFormat="1" x14ac:dyDescent="0.25"/>
    <row r="2917" s="42" customFormat="1" x14ac:dyDescent="0.25"/>
    <row r="2918" s="42" customFormat="1" x14ac:dyDescent="0.25"/>
    <row r="2919" s="42" customFormat="1" x14ac:dyDescent="0.25"/>
    <row r="2920" s="42" customFormat="1" x14ac:dyDescent="0.25"/>
    <row r="2921" s="42" customFormat="1" x14ac:dyDescent="0.25"/>
    <row r="2922" s="42" customFormat="1" x14ac:dyDescent="0.25"/>
    <row r="2923" s="42" customFormat="1" x14ac:dyDescent="0.25"/>
    <row r="2924" s="42" customFormat="1" x14ac:dyDescent="0.25"/>
    <row r="2925" s="42" customFormat="1" x14ac:dyDescent="0.25"/>
    <row r="2926" s="42" customFormat="1" x14ac:dyDescent="0.25"/>
    <row r="2927" s="42" customFormat="1" x14ac:dyDescent="0.25"/>
    <row r="2928" s="42" customFormat="1" x14ac:dyDescent="0.25"/>
    <row r="2929" s="42" customFormat="1" x14ac:dyDescent="0.25"/>
    <row r="2930" s="42" customFormat="1" x14ac:dyDescent="0.25"/>
    <row r="2931" s="42" customFormat="1" x14ac:dyDescent="0.25"/>
    <row r="2932" s="42" customFormat="1" x14ac:dyDescent="0.25"/>
    <row r="2933" s="42" customFormat="1" x14ac:dyDescent="0.25"/>
    <row r="2934" s="42" customFormat="1" x14ac:dyDescent="0.25"/>
    <row r="2935" s="42" customFormat="1" x14ac:dyDescent="0.25"/>
    <row r="2936" s="42" customFormat="1" x14ac:dyDescent="0.25"/>
    <row r="2937" s="42" customFormat="1" x14ac:dyDescent="0.25"/>
    <row r="2938" s="42" customFormat="1" x14ac:dyDescent="0.25"/>
    <row r="2939" s="42" customFormat="1" x14ac:dyDescent="0.25"/>
    <row r="2940" s="42" customFormat="1" x14ac:dyDescent="0.25"/>
    <row r="2941" s="42" customFormat="1" x14ac:dyDescent="0.25"/>
    <row r="2942" s="42" customFormat="1" x14ac:dyDescent="0.25"/>
    <row r="2943" s="42" customFormat="1" x14ac:dyDescent="0.25"/>
    <row r="2944" s="42" customFormat="1" x14ac:dyDescent="0.25"/>
    <row r="2945" s="42" customFormat="1" x14ac:dyDescent="0.25"/>
    <row r="2946" s="42" customFormat="1" x14ac:dyDescent="0.25"/>
    <row r="2947" s="42" customFormat="1" x14ac:dyDescent="0.25"/>
    <row r="2948" s="42" customFormat="1" x14ac:dyDescent="0.25"/>
    <row r="2949" s="42" customFormat="1" x14ac:dyDescent="0.25"/>
    <row r="2950" s="42" customFormat="1" x14ac:dyDescent="0.25"/>
    <row r="2951" s="42" customFormat="1" x14ac:dyDescent="0.25"/>
    <row r="2952" s="42" customFormat="1" x14ac:dyDescent="0.25"/>
    <row r="2953" s="42" customFormat="1" x14ac:dyDescent="0.25"/>
    <row r="2954" s="42" customFormat="1" x14ac:dyDescent="0.25"/>
    <row r="2955" s="42" customFormat="1" x14ac:dyDescent="0.25"/>
    <row r="2956" s="42" customFormat="1" x14ac:dyDescent="0.25"/>
    <row r="2957" s="42" customFormat="1" x14ac:dyDescent="0.25"/>
    <row r="2958" s="42" customFormat="1" x14ac:dyDescent="0.25"/>
    <row r="2959" s="42" customFormat="1" x14ac:dyDescent="0.25"/>
    <row r="2960" s="42" customFormat="1" x14ac:dyDescent="0.25"/>
    <row r="2961" s="42" customFormat="1" x14ac:dyDescent="0.25"/>
    <row r="2962" s="42" customFormat="1" x14ac:dyDescent="0.25"/>
    <row r="2963" s="42" customFormat="1" x14ac:dyDescent="0.25"/>
    <row r="2964" s="42" customFormat="1" x14ac:dyDescent="0.25"/>
    <row r="2965" s="42" customFormat="1" x14ac:dyDescent="0.25"/>
    <row r="2966" s="42" customFormat="1" x14ac:dyDescent="0.25"/>
    <row r="2967" s="42" customFormat="1" x14ac:dyDescent="0.25"/>
    <row r="2968" s="42" customFormat="1" x14ac:dyDescent="0.25"/>
    <row r="2969" s="42" customFormat="1" x14ac:dyDescent="0.25"/>
    <row r="2970" s="42" customFormat="1" x14ac:dyDescent="0.25"/>
    <row r="2971" s="42" customFormat="1" x14ac:dyDescent="0.25"/>
    <row r="2972" s="42" customFormat="1" x14ac:dyDescent="0.25"/>
    <row r="2973" s="42" customFormat="1" x14ac:dyDescent="0.25"/>
    <row r="2974" s="42" customFormat="1" x14ac:dyDescent="0.25"/>
    <row r="2975" s="42" customFormat="1" x14ac:dyDescent="0.25"/>
    <row r="2976" s="42" customFormat="1" x14ac:dyDescent="0.25"/>
    <row r="2977" s="42" customFormat="1" x14ac:dyDescent="0.25"/>
    <row r="2978" s="42" customFormat="1" x14ac:dyDescent="0.25"/>
    <row r="2979" s="42" customFormat="1" x14ac:dyDescent="0.25"/>
    <row r="2980" s="42" customFormat="1" x14ac:dyDescent="0.25"/>
    <row r="2981" s="42" customFormat="1" x14ac:dyDescent="0.25"/>
    <row r="2982" s="42" customFormat="1" x14ac:dyDescent="0.25"/>
    <row r="2983" s="42" customFormat="1" x14ac:dyDescent="0.25"/>
    <row r="2984" s="42" customFormat="1" x14ac:dyDescent="0.25"/>
    <row r="2985" s="42" customFormat="1" x14ac:dyDescent="0.25"/>
    <row r="2986" s="42" customFormat="1" x14ac:dyDescent="0.25"/>
    <row r="2987" s="42" customFormat="1" x14ac:dyDescent="0.25"/>
    <row r="2988" s="42" customFormat="1" x14ac:dyDescent="0.25"/>
    <row r="2989" s="42" customFormat="1" x14ac:dyDescent="0.25"/>
    <row r="2990" s="42" customFormat="1" x14ac:dyDescent="0.25"/>
    <row r="2991" s="42" customFormat="1" x14ac:dyDescent="0.25"/>
    <row r="2992" s="42" customFormat="1" x14ac:dyDescent="0.25"/>
    <row r="2993" s="42" customFormat="1" x14ac:dyDescent="0.25"/>
    <row r="2994" s="42" customFormat="1" x14ac:dyDescent="0.25"/>
    <row r="2995" s="42" customFormat="1" x14ac:dyDescent="0.25"/>
    <row r="2996" s="42" customFormat="1" x14ac:dyDescent="0.25"/>
    <row r="2997" s="42" customFormat="1" x14ac:dyDescent="0.25"/>
    <row r="2998" s="42" customFormat="1" x14ac:dyDescent="0.25"/>
    <row r="2999" s="42" customFormat="1" x14ac:dyDescent="0.25"/>
    <row r="3000" s="42" customFormat="1" x14ac:dyDescent="0.25"/>
    <row r="3001" s="42" customFormat="1" x14ac:dyDescent="0.25"/>
    <row r="3002" s="42" customFormat="1" x14ac:dyDescent="0.25"/>
    <row r="3003" s="42" customFormat="1" x14ac:dyDescent="0.25"/>
    <row r="3004" s="42" customFormat="1" x14ac:dyDescent="0.25"/>
    <row r="3005" s="42" customFormat="1" x14ac:dyDescent="0.25"/>
    <row r="3006" s="42" customFormat="1" x14ac:dyDescent="0.25"/>
    <row r="3007" s="42" customFormat="1" x14ac:dyDescent="0.25"/>
    <row r="3008" s="42" customFormat="1" x14ac:dyDescent="0.25"/>
    <row r="3009" s="42" customFormat="1" x14ac:dyDescent="0.25"/>
    <row r="3010" s="42" customFormat="1" x14ac:dyDescent="0.25"/>
    <row r="3011" s="42" customFormat="1" x14ac:dyDescent="0.25"/>
    <row r="3012" s="42" customFormat="1" x14ac:dyDescent="0.25"/>
    <row r="3013" s="42" customFormat="1" x14ac:dyDescent="0.25"/>
    <row r="3014" s="42" customFormat="1" x14ac:dyDescent="0.25"/>
    <row r="3015" s="42" customFormat="1" x14ac:dyDescent="0.25"/>
    <row r="3016" s="42" customFormat="1" x14ac:dyDescent="0.25"/>
    <row r="3017" s="42" customFormat="1" x14ac:dyDescent="0.25"/>
    <row r="3018" s="42" customFormat="1" x14ac:dyDescent="0.25"/>
    <row r="3019" s="42" customFormat="1" x14ac:dyDescent="0.25"/>
    <row r="3020" s="42" customFormat="1" x14ac:dyDescent="0.25"/>
    <row r="3021" s="42" customFormat="1" x14ac:dyDescent="0.25"/>
    <row r="3022" s="42" customFormat="1" x14ac:dyDescent="0.25"/>
    <row r="3023" s="42" customFormat="1" x14ac:dyDescent="0.25"/>
    <row r="3024" s="42" customFormat="1" x14ac:dyDescent="0.25"/>
    <row r="3025" s="42" customFormat="1" x14ac:dyDescent="0.25"/>
    <row r="3026" s="42" customFormat="1" x14ac:dyDescent="0.25"/>
    <row r="3027" s="42" customFormat="1" x14ac:dyDescent="0.25"/>
    <row r="3028" s="42" customFormat="1" x14ac:dyDescent="0.25"/>
    <row r="3029" s="42" customFormat="1" x14ac:dyDescent="0.25"/>
    <row r="3030" s="42" customFormat="1" x14ac:dyDescent="0.25"/>
    <row r="3031" s="42" customFormat="1" x14ac:dyDescent="0.25"/>
    <row r="3032" s="42" customFormat="1" x14ac:dyDescent="0.25"/>
    <row r="3033" s="42" customFormat="1" x14ac:dyDescent="0.25"/>
    <row r="3034" s="42" customFormat="1" x14ac:dyDescent="0.25"/>
    <row r="3035" s="42" customFormat="1" x14ac:dyDescent="0.25"/>
    <row r="3036" s="42" customFormat="1" x14ac:dyDescent="0.25"/>
    <row r="3037" s="42" customFormat="1" x14ac:dyDescent="0.25"/>
    <row r="3038" s="42" customFormat="1" x14ac:dyDescent="0.25"/>
    <row r="3039" s="42" customFormat="1" x14ac:dyDescent="0.25"/>
    <row r="3040" s="42" customFormat="1" x14ac:dyDescent="0.25"/>
    <row r="3041" s="42" customFormat="1" x14ac:dyDescent="0.25"/>
    <row r="3042" s="42" customFormat="1" x14ac:dyDescent="0.25"/>
    <row r="3043" s="42" customFormat="1" x14ac:dyDescent="0.25"/>
    <row r="3044" s="42" customFormat="1" x14ac:dyDescent="0.25"/>
    <row r="3045" s="42" customFormat="1" x14ac:dyDescent="0.25"/>
    <row r="3046" s="42" customFormat="1" x14ac:dyDescent="0.25"/>
    <row r="3047" s="42" customFormat="1" x14ac:dyDescent="0.25"/>
    <row r="3048" s="42" customFormat="1" x14ac:dyDescent="0.25"/>
    <row r="3049" s="42" customFormat="1" x14ac:dyDescent="0.25"/>
    <row r="3050" s="42" customFormat="1" x14ac:dyDescent="0.25"/>
    <row r="3051" s="42" customFormat="1" x14ac:dyDescent="0.25"/>
    <row r="3052" s="42" customFormat="1" x14ac:dyDescent="0.25"/>
    <row r="3053" s="42" customFormat="1" x14ac:dyDescent="0.25"/>
    <row r="3054" s="42" customFormat="1" x14ac:dyDescent="0.25"/>
    <row r="3055" s="42" customFormat="1" x14ac:dyDescent="0.25"/>
    <row r="3056" s="42" customFormat="1" x14ac:dyDescent="0.25"/>
    <row r="3057" s="42" customFormat="1" x14ac:dyDescent="0.25"/>
    <row r="3058" s="42" customFormat="1" x14ac:dyDescent="0.25"/>
    <row r="3059" s="42" customFormat="1" x14ac:dyDescent="0.25"/>
    <row r="3060" s="42" customFormat="1" x14ac:dyDescent="0.25"/>
    <row r="3061" s="42" customFormat="1" x14ac:dyDescent="0.25"/>
    <row r="3062" s="42" customFormat="1" x14ac:dyDescent="0.25"/>
    <row r="3063" s="42" customFormat="1" x14ac:dyDescent="0.25"/>
    <row r="3064" s="42" customFormat="1" x14ac:dyDescent="0.25"/>
    <row r="3065" s="42" customFormat="1" x14ac:dyDescent="0.25"/>
    <row r="3066" s="42" customFormat="1" x14ac:dyDescent="0.25"/>
    <row r="3067" s="42" customFormat="1" x14ac:dyDescent="0.25"/>
    <row r="3068" s="42" customFormat="1" x14ac:dyDescent="0.25"/>
    <row r="3069" s="42" customFormat="1" x14ac:dyDescent="0.25"/>
    <row r="3070" s="42" customFormat="1" x14ac:dyDescent="0.25"/>
    <row r="3071" s="42" customFormat="1" x14ac:dyDescent="0.25"/>
    <row r="3072" s="42" customFormat="1" x14ac:dyDescent="0.25"/>
    <row r="3073" s="42" customFormat="1" x14ac:dyDescent="0.25"/>
    <row r="3074" s="42" customFormat="1" x14ac:dyDescent="0.25"/>
    <row r="3075" s="42" customFormat="1" x14ac:dyDescent="0.25"/>
    <row r="3076" s="42" customFormat="1" x14ac:dyDescent="0.25"/>
    <row r="3077" s="42" customFormat="1" x14ac:dyDescent="0.25"/>
    <row r="3078" s="42" customFormat="1" x14ac:dyDescent="0.25"/>
    <row r="3079" s="42" customFormat="1" x14ac:dyDescent="0.25"/>
    <row r="3080" s="42" customFormat="1" x14ac:dyDescent="0.25"/>
    <row r="3081" s="42" customFormat="1" x14ac:dyDescent="0.25"/>
    <row r="3082" s="42" customFormat="1" x14ac:dyDescent="0.25"/>
    <row r="3083" s="42" customFormat="1" x14ac:dyDescent="0.25"/>
    <row r="3084" s="42" customFormat="1" x14ac:dyDescent="0.25"/>
    <row r="3085" s="42" customFormat="1" x14ac:dyDescent="0.25"/>
    <row r="3086" s="42" customFormat="1" x14ac:dyDescent="0.25"/>
    <row r="3087" s="42" customFormat="1" x14ac:dyDescent="0.25"/>
    <row r="3088" s="42" customFormat="1" x14ac:dyDescent="0.25"/>
    <row r="3089" s="42" customFormat="1" x14ac:dyDescent="0.25"/>
    <row r="3090" s="42" customFormat="1" x14ac:dyDescent="0.25"/>
    <row r="3091" s="42" customFormat="1" x14ac:dyDescent="0.25"/>
    <row r="3092" s="42" customFormat="1" x14ac:dyDescent="0.25"/>
    <row r="3093" s="42" customFormat="1" x14ac:dyDescent="0.25"/>
    <row r="3094" s="42" customFormat="1" x14ac:dyDescent="0.25"/>
    <row r="3095" s="42" customFormat="1" x14ac:dyDescent="0.25"/>
    <row r="3096" s="42" customFormat="1" x14ac:dyDescent="0.25"/>
    <row r="3097" s="42" customFormat="1" x14ac:dyDescent="0.25"/>
    <row r="3098" s="42" customFormat="1" x14ac:dyDescent="0.25"/>
    <row r="3099" s="42" customFormat="1" x14ac:dyDescent="0.25"/>
    <row r="3100" s="42" customFormat="1" x14ac:dyDescent="0.25"/>
    <row r="3101" s="42" customFormat="1" x14ac:dyDescent="0.25"/>
    <row r="3102" s="42" customFormat="1" x14ac:dyDescent="0.25"/>
    <row r="3103" s="42" customFormat="1" x14ac:dyDescent="0.25"/>
    <row r="3104" s="42" customFormat="1" x14ac:dyDescent="0.25"/>
    <row r="3105" s="42" customFormat="1" x14ac:dyDescent="0.25"/>
    <row r="3106" s="42" customFormat="1" x14ac:dyDescent="0.25"/>
    <row r="3107" s="42" customFormat="1" x14ac:dyDescent="0.25"/>
    <row r="3108" s="42" customFormat="1" x14ac:dyDescent="0.25"/>
    <row r="3109" s="42" customFormat="1" x14ac:dyDescent="0.25"/>
    <row r="3110" s="42" customFormat="1" x14ac:dyDescent="0.25"/>
    <row r="3111" s="42" customFormat="1" x14ac:dyDescent="0.25"/>
    <row r="3112" s="42" customFormat="1" x14ac:dyDescent="0.25"/>
    <row r="3113" s="42" customFormat="1" x14ac:dyDescent="0.25"/>
    <row r="3114" s="42" customFormat="1" x14ac:dyDescent="0.25"/>
    <row r="3115" s="42" customFormat="1" x14ac:dyDescent="0.25"/>
    <row r="3116" s="42" customFormat="1" x14ac:dyDescent="0.25"/>
    <row r="3117" s="42" customFormat="1" x14ac:dyDescent="0.25"/>
    <row r="3118" s="42" customFormat="1" x14ac:dyDescent="0.25"/>
    <row r="3119" s="42" customFormat="1" x14ac:dyDescent="0.25"/>
    <row r="3120" s="42" customFormat="1" x14ac:dyDescent="0.25"/>
    <row r="3121" s="42" customFormat="1" x14ac:dyDescent="0.25"/>
    <row r="3122" s="42" customFormat="1" x14ac:dyDescent="0.25"/>
    <row r="3123" s="42" customFormat="1" x14ac:dyDescent="0.25"/>
    <row r="3124" s="42" customFormat="1" x14ac:dyDescent="0.25"/>
    <row r="3125" s="42" customFormat="1" x14ac:dyDescent="0.25"/>
    <row r="3126" s="42" customFormat="1" x14ac:dyDescent="0.25"/>
    <row r="3127" s="42" customFormat="1" x14ac:dyDescent="0.25"/>
    <row r="3128" s="42" customFormat="1" x14ac:dyDescent="0.25"/>
    <row r="3129" s="42" customFormat="1" x14ac:dyDescent="0.25"/>
    <row r="3130" s="42" customFormat="1" x14ac:dyDescent="0.25"/>
    <row r="3131" s="42" customFormat="1" x14ac:dyDescent="0.25"/>
    <row r="3132" s="42" customFormat="1" x14ac:dyDescent="0.25"/>
    <row r="3133" s="42" customFormat="1" x14ac:dyDescent="0.25"/>
    <row r="3134" s="42" customFormat="1" x14ac:dyDescent="0.25"/>
    <row r="3135" s="42" customFormat="1" x14ac:dyDescent="0.25"/>
    <row r="3136" s="42" customFormat="1" x14ac:dyDescent="0.25"/>
    <row r="3137" s="42" customFormat="1" x14ac:dyDescent="0.25"/>
    <row r="3138" s="42" customFormat="1" x14ac:dyDescent="0.25"/>
    <row r="3139" s="42" customFormat="1" x14ac:dyDescent="0.25"/>
    <row r="3140" s="42" customFormat="1" x14ac:dyDescent="0.25"/>
    <row r="3141" s="42" customFormat="1" x14ac:dyDescent="0.25"/>
    <row r="3142" s="42" customFormat="1" x14ac:dyDescent="0.25"/>
    <row r="3143" s="42" customFormat="1" x14ac:dyDescent="0.25"/>
    <row r="3144" s="42" customFormat="1" x14ac:dyDescent="0.25"/>
    <row r="3145" s="42" customFormat="1" x14ac:dyDescent="0.25"/>
    <row r="3146" s="42" customFormat="1" x14ac:dyDescent="0.25"/>
    <row r="3147" s="42" customFormat="1" x14ac:dyDescent="0.25"/>
    <row r="3148" s="42" customFormat="1" x14ac:dyDescent="0.25"/>
    <row r="3149" s="42" customFormat="1" x14ac:dyDescent="0.25"/>
    <row r="3150" s="42" customFormat="1" x14ac:dyDescent="0.25"/>
    <row r="3151" s="42" customFormat="1" x14ac:dyDescent="0.25"/>
    <row r="3152" s="42" customFormat="1" x14ac:dyDescent="0.25"/>
    <row r="3153" s="42" customFormat="1" x14ac:dyDescent="0.25"/>
    <row r="3154" s="42" customFormat="1" x14ac:dyDescent="0.25"/>
    <row r="3155" s="42" customFormat="1" x14ac:dyDescent="0.25"/>
    <row r="3156" s="42" customFormat="1" x14ac:dyDescent="0.25"/>
    <row r="3157" s="42" customFormat="1" x14ac:dyDescent="0.25"/>
    <row r="3158" s="42" customFormat="1" x14ac:dyDescent="0.25"/>
    <row r="3159" s="42" customFormat="1" x14ac:dyDescent="0.25"/>
    <row r="3160" s="42" customFormat="1" x14ac:dyDescent="0.25"/>
    <row r="3161" s="42" customFormat="1" x14ac:dyDescent="0.25"/>
    <row r="3162" s="42" customFormat="1" x14ac:dyDescent="0.25"/>
    <row r="3163" s="42" customFormat="1" x14ac:dyDescent="0.25"/>
    <row r="3164" s="42" customFormat="1" x14ac:dyDescent="0.25"/>
    <row r="3165" s="42" customFormat="1" x14ac:dyDescent="0.25"/>
    <row r="3166" s="42" customFormat="1" x14ac:dyDescent="0.25"/>
    <row r="3167" s="42" customFormat="1" x14ac:dyDescent="0.25"/>
    <row r="3168" s="42" customFormat="1" x14ac:dyDescent="0.25"/>
    <row r="3169" s="42" customFormat="1" x14ac:dyDescent="0.25"/>
    <row r="3170" s="42" customFormat="1" x14ac:dyDescent="0.25"/>
    <row r="3171" s="42" customFormat="1" x14ac:dyDescent="0.25"/>
    <row r="3172" s="42" customFormat="1" x14ac:dyDescent="0.25"/>
    <row r="3173" s="42" customFormat="1" x14ac:dyDescent="0.25"/>
    <row r="3174" s="42" customFormat="1" x14ac:dyDescent="0.25"/>
    <row r="3175" s="42" customFormat="1" x14ac:dyDescent="0.25"/>
    <row r="3176" s="42" customFormat="1" x14ac:dyDescent="0.25"/>
    <row r="3177" s="42" customFormat="1" x14ac:dyDescent="0.25"/>
    <row r="3178" s="42" customFormat="1" x14ac:dyDescent="0.25"/>
    <row r="3179" s="42" customFormat="1" x14ac:dyDescent="0.25"/>
    <row r="3180" s="42" customFormat="1" x14ac:dyDescent="0.25"/>
    <row r="3181" s="42" customFormat="1" x14ac:dyDescent="0.25"/>
    <row r="3182" s="42" customFormat="1" x14ac:dyDescent="0.25"/>
    <row r="3183" s="42" customFormat="1" x14ac:dyDescent="0.25"/>
    <row r="3184" s="42" customFormat="1" x14ac:dyDescent="0.25"/>
    <row r="3185" s="42" customFormat="1" x14ac:dyDescent="0.25"/>
    <row r="3186" s="42" customFormat="1" x14ac:dyDescent="0.25"/>
    <row r="3187" s="42" customFormat="1" x14ac:dyDescent="0.25"/>
    <row r="3188" s="42" customFormat="1" x14ac:dyDescent="0.25"/>
    <row r="3189" s="42" customFormat="1" x14ac:dyDescent="0.25"/>
    <row r="3190" s="42" customFormat="1" x14ac:dyDescent="0.25"/>
    <row r="3191" s="42" customFormat="1" x14ac:dyDescent="0.25"/>
    <row r="3192" s="42" customFormat="1" x14ac:dyDescent="0.25"/>
    <row r="3193" s="42" customFormat="1" x14ac:dyDescent="0.25"/>
    <row r="3194" s="42" customFormat="1" x14ac:dyDescent="0.25"/>
    <row r="3195" s="42" customFormat="1" x14ac:dyDescent="0.25"/>
    <row r="3196" s="42" customFormat="1" x14ac:dyDescent="0.25"/>
    <row r="3197" s="42" customFormat="1" x14ac:dyDescent="0.25"/>
    <row r="3198" s="42" customFormat="1" x14ac:dyDescent="0.25"/>
    <row r="3199" s="42" customFormat="1" x14ac:dyDescent="0.25"/>
    <row r="3200" s="42" customFormat="1" x14ac:dyDescent="0.25"/>
    <row r="3201" s="42" customFormat="1" x14ac:dyDescent="0.25"/>
    <row r="3202" s="42" customFormat="1" x14ac:dyDescent="0.25"/>
    <row r="3203" s="42" customFormat="1" x14ac:dyDescent="0.25"/>
    <row r="3204" s="42" customFormat="1" x14ac:dyDescent="0.25"/>
    <row r="3205" s="42" customFormat="1" x14ac:dyDescent="0.25"/>
    <row r="3206" s="42" customFormat="1" x14ac:dyDescent="0.25"/>
    <row r="3207" s="42" customFormat="1" x14ac:dyDescent="0.25"/>
    <row r="3208" s="42" customFormat="1" x14ac:dyDescent="0.25"/>
    <row r="3209" s="42" customFormat="1" x14ac:dyDescent="0.25"/>
    <row r="3210" s="42" customFormat="1" x14ac:dyDescent="0.25"/>
    <row r="3211" s="42" customFormat="1" x14ac:dyDescent="0.25"/>
    <row r="3212" s="42" customFormat="1" x14ac:dyDescent="0.25"/>
    <row r="3213" s="42" customFormat="1" x14ac:dyDescent="0.25"/>
    <row r="3214" s="42" customFormat="1" x14ac:dyDescent="0.25"/>
    <row r="3215" s="42" customFormat="1" x14ac:dyDescent="0.25"/>
    <row r="3216" s="42" customFormat="1" x14ac:dyDescent="0.25"/>
    <row r="3217" s="42" customFormat="1" x14ac:dyDescent="0.25"/>
    <row r="3218" s="42" customFormat="1" x14ac:dyDescent="0.25"/>
    <row r="3219" s="42" customFormat="1" x14ac:dyDescent="0.25"/>
    <row r="3220" s="42" customFormat="1" x14ac:dyDescent="0.25"/>
    <row r="3221" s="42" customFormat="1" x14ac:dyDescent="0.25"/>
    <row r="3222" s="42" customFormat="1" x14ac:dyDescent="0.25"/>
    <row r="3223" s="42" customFormat="1" x14ac:dyDescent="0.25"/>
    <row r="3224" s="42" customFormat="1" x14ac:dyDescent="0.25"/>
    <row r="3225" s="42" customFormat="1" x14ac:dyDescent="0.25"/>
    <row r="3226" s="42" customFormat="1" x14ac:dyDescent="0.25"/>
    <row r="3227" s="42" customFormat="1" x14ac:dyDescent="0.25"/>
    <row r="3228" s="42" customFormat="1" x14ac:dyDescent="0.25"/>
    <row r="3229" s="42" customFormat="1" x14ac:dyDescent="0.25"/>
    <row r="3230" s="42" customFormat="1" x14ac:dyDescent="0.25"/>
    <row r="3231" s="42" customFormat="1" x14ac:dyDescent="0.25"/>
    <row r="3232" s="42" customFormat="1" x14ac:dyDescent="0.25"/>
    <row r="3233" s="42" customFormat="1" x14ac:dyDescent="0.25"/>
    <row r="3234" s="42" customFormat="1" x14ac:dyDescent="0.25"/>
    <row r="3235" s="42" customFormat="1" x14ac:dyDescent="0.25"/>
    <row r="3236" s="42" customFormat="1" x14ac:dyDescent="0.25"/>
    <row r="3237" s="42" customFormat="1" x14ac:dyDescent="0.25"/>
    <row r="3238" s="42" customFormat="1" x14ac:dyDescent="0.25"/>
    <row r="3239" s="42" customFormat="1" x14ac:dyDescent="0.25"/>
    <row r="3240" s="42" customFormat="1" x14ac:dyDescent="0.25"/>
    <row r="3241" s="42" customFormat="1" x14ac:dyDescent="0.25"/>
    <row r="3242" s="42" customFormat="1" x14ac:dyDescent="0.25"/>
    <row r="3243" s="42" customFormat="1" x14ac:dyDescent="0.25"/>
    <row r="3244" s="42" customFormat="1" x14ac:dyDescent="0.25"/>
    <row r="3245" s="42" customFormat="1" x14ac:dyDescent="0.25"/>
    <row r="3246" s="42" customFormat="1" x14ac:dyDescent="0.25"/>
    <row r="3247" s="42" customFormat="1" x14ac:dyDescent="0.25"/>
    <row r="3248" s="42" customFormat="1" x14ac:dyDescent="0.25"/>
    <row r="3249" s="42" customFormat="1" x14ac:dyDescent="0.25"/>
    <row r="3250" s="42" customFormat="1" x14ac:dyDescent="0.25"/>
    <row r="3251" s="42" customFormat="1" x14ac:dyDescent="0.25"/>
    <row r="3252" s="42" customFormat="1" x14ac:dyDescent="0.25"/>
    <row r="3253" s="42" customFormat="1" x14ac:dyDescent="0.25"/>
    <row r="3254" s="42" customFormat="1" x14ac:dyDescent="0.25"/>
    <row r="3255" s="42" customFormat="1" x14ac:dyDescent="0.25"/>
    <row r="3256" s="42" customFormat="1" x14ac:dyDescent="0.25"/>
    <row r="3257" s="42" customFormat="1" x14ac:dyDescent="0.25"/>
    <row r="3258" s="42" customFormat="1" x14ac:dyDescent="0.25"/>
    <row r="3259" s="42" customFormat="1" x14ac:dyDescent="0.25"/>
    <row r="3260" s="42" customFormat="1" x14ac:dyDescent="0.25"/>
    <row r="3261" s="42" customFormat="1" x14ac:dyDescent="0.25"/>
    <row r="3262" s="42" customFormat="1" x14ac:dyDescent="0.25"/>
    <row r="3263" s="42" customFormat="1" x14ac:dyDescent="0.25"/>
    <row r="3264" s="42" customFormat="1" x14ac:dyDescent="0.25"/>
    <row r="3265" s="42" customFormat="1" x14ac:dyDescent="0.25"/>
    <row r="3266" s="42" customFormat="1" x14ac:dyDescent="0.25"/>
    <row r="3267" s="42" customFormat="1" x14ac:dyDescent="0.25"/>
    <row r="3268" s="42" customFormat="1" x14ac:dyDescent="0.25"/>
    <row r="3269" s="42" customFormat="1" x14ac:dyDescent="0.25"/>
    <row r="3270" s="42" customFormat="1" x14ac:dyDescent="0.25"/>
    <row r="3271" s="42" customFormat="1" x14ac:dyDescent="0.25"/>
    <row r="3272" s="42" customFormat="1" x14ac:dyDescent="0.25"/>
    <row r="3273" s="42" customFormat="1" x14ac:dyDescent="0.25"/>
    <row r="3274" s="42" customFormat="1" x14ac:dyDescent="0.25"/>
    <row r="3275" s="42" customFormat="1" x14ac:dyDescent="0.25"/>
    <row r="3276" s="42" customFormat="1" x14ac:dyDescent="0.25"/>
    <row r="3277" s="42" customFormat="1" x14ac:dyDescent="0.25"/>
    <row r="3278" s="42" customFormat="1" x14ac:dyDescent="0.25"/>
    <row r="3279" s="42" customFormat="1" x14ac:dyDescent="0.25"/>
    <row r="3280" s="42" customFormat="1" x14ac:dyDescent="0.25"/>
    <row r="3281" s="42" customFormat="1" x14ac:dyDescent="0.25"/>
    <row r="3282" s="42" customFormat="1" x14ac:dyDescent="0.25"/>
    <row r="3283" s="42" customFormat="1" x14ac:dyDescent="0.25"/>
    <row r="3284" s="42" customFormat="1" x14ac:dyDescent="0.25"/>
    <row r="3285" s="42" customFormat="1" x14ac:dyDescent="0.25"/>
    <row r="3286" s="42" customFormat="1" x14ac:dyDescent="0.25"/>
    <row r="3287" s="42" customFormat="1" x14ac:dyDescent="0.25"/>
    <row r="3288" s="42" customFormat="1" x14ac:dyDescent="0.25"/>
    <row r="3289" s="42" customFormat="1" x14ac:dyDescent="0.25"/>
    <row r="3290" s="42" customFormat="1" x14ac:dyDescent="0.25"/>
    <row r="3291" s="42" customFormat="1" x14ac:dyDescent="0.25"/>
    <row r="3292" s="42" customFormat="1" x14ac:dyDescent="0.25"/>
    <row r="3293" s="42" customFormat="1" x14ac:dyDescent="0.25"/>
    <row r="3294" s="42" customFormat="1" x14ac:dyDescent="0.25"/>
    <row r="3295" s="42" customFormat="1" x14ac:dyDescent="0.25"/>
    <row r="3296" s="42" customFormat="1" x14ac:dyDescent="0.25"/>
    <row r="3297" s="42" customFormat="1" x14ac:dyDescent="0.25"/>
    <row r="3298" s="42" customFormat="1" x14ac:dyDescent="0.25"/>
    <row r="3299" s="42" customFormat="1" x14ac:dyDescent="0.25"/>
    <row r="3300" s="42" customFormat="1" x14ac:dyDescent="0.25"/>
    <row r="3301" s="42" customFormat="1" x14ac:dyDescent="0.25"/>
    <row r="3302" s="42" customFormat="1" x14ac:dyDescent="0.25"/>
    <row r="3303" s="42" customFormat="1" x14ac:dyDescent="0.25"/>
    <row r="3304" s="42" customFormat="1" x14ac:dyDescent="0.25"/>
    <row r="3305" s="42" customFormat="1" x14ac:dyDescent="0.25"/>
    <row r="3306" s="42" customFormat="1" x14ac:dyDescent="0.25"/>
    <row r="3307" s="42" customFormat="1" x14ac:dyDescent="0.25"/>
    <row r="3308" s="42" customFormat="1" x14ac:dyDescent="0.25"/>
    <row r="3309" s="42" customFormat="1" x14ac:dyDescent="0.25"/>
    <row r="3310" s="42" customFormat="1" x14ac:dyDescent="0.25"/>
    <row r="3311" s="42" customFormat="1" x14ac:dyDescent="0.25"/>
    <row r="3312" s="42" customFormat="1" x14ac:dyDescent="0.25"/>
    <row r="3313" s="42" customFormat="1" x14ac:dyDescent="0.25"/>
    <row r="3314" s="42" customFormat="1" x14ac:dyDescent="0.25"/>
    <row r="3315" s="42" customFormat="1" x14ac:dyDescent="0.25"/>
    <row r="3316" s="42" customFormat="1" x14ac:dyDescent="0.25"/>
    <row r="3317" s="42" customFormat="1" x14ac:dyDescent="0.25"/>
    <row r="3318" s="42" customFormat="1" x14ac:dyDescent="0.25"/>
    <row r="3319" s="42" customFormat="1" x14ac:dyDescent="0.25"/>
    <row r="3320" s="42" customFormat="1" x14ac:dyDescent="0.25"/>
    <row r="3321" s="42" customFormat="1" x14ac:dyDescent="0.25"/>
    <row r="3322" s="42" customFormat="1" x14ac:dyDescent="0.25"/>
    <row r="3323" s="42" customFormat="1" x14ac:dyDescent="0.25"/>
    <row r="3324" s="42" customFormat="1" x14ac:dyDescent="0.25"/>
    <row r="3325" s="42" customFormat="1" x14ac:dyDescent="0.25"/>
    <row r="3326" s="42" customFormat="1" x14ac:dyDescent="0.25"/>
    <row r="3327" s="42" customFormat="1" x14ac:dyDescent="0.25"/>
    <row r="3328" s="42" customFormat="1" x14ac:dyDescent="0.25"/>
    <row r="3329" s="42" customFormat="1" x14ac:dyDescent="0.25"/>
    <row r="3330" s="42" customFormat="1" x14ac:dyDescent="0.25"/>
    <row r="3331" s="42" customFormat="1" x14ac:dyDescent="0.25"/>
    <row r="3332" s="42" customFormat="1" x14ac:dyDescent="0.25"/>
    <row r="3333" s="42" customFormat="1" x14ac:dyDescent="0.25"/>
    <row r="3334" s="42" customFormat="1" x14ac:dyDescent="0.25"/>
    <row r="3335" s="42" customFormat="1" x14ac:dyDescent="0.25"/>
    <row r="3336" s="42" customFormat="1" x14ac:dyDescent="0.25"/>
    <row r="3337" s="42" customFormat="1" x14ac:dyDescent="0.25"/>
    <row r="3338" s="42" customFormat="1" x14ac:dyDescent="0.25"/>
    <row r="3339" s="42" customFormat="1" x14ac:dyDescent="0.25"/>
    <row r="3340" s="42" customFormat="1" x14ac:dyDescent="0.25"/>
    <row r="3341" s="42" customFormat="1" x14ac:dyDescent="0.25"/>
    <row r="3342" s="42" customFormat="1" x14ac:dyDescent="0.25"/>
    <row r="3343" s="42" customFormat="1" x14ac:dyDescent="0.25"/>
    <row r="3344" s="42" customFormat="1" x14ac:dyDescent="0.25"/>
    <row r="3345" s="42" customFormat="1" x14ac:dyDescent="0.25"/>
    <row r="3346" s="42" customFormat="1" x14ac:dyDescent="0.25"/>
    <row r="3347" s="42" customFormat="1" x14ac:dyDescent="0.25"/>
    <row r="3348" s="42" customFormat="1" x14ac:dyDescent="0.25"/>
    <row r="3349" s="42" customFormat="1" x14ac:dyDescent="0.25"/>
    <row r="3350" s="42" customFormat="1" x14ac:dyDescent="0.25"/>
    <row r="3351" s="42" customFormat="1" x14ac:dyDescent="0.25"/>
    <row r="3352" s="42" customFormat="1" x14ac:dyDescent="0.25"/>
    <row r="3353" s="42" customFormat="1" x14ac:dyDescent="0.25"/>
    <row r="3354" s="42" customFormat="1" x14ac:dyDescent="0.25"/>
    <row r="3355" s="42" customFormat="1" x14ac:dyDescent="0.25"/>
    <row r="3356" s="42" customFormat="1" x14ac:dyDescent="0.25"/>
    <row r="3357" s="42" customFormat="1" x14ac:dyDescent="0.25"/>
    <row r="3358" s="42" customFormat="1" x14ac:dyDescent="0.25"/>
    <row r="3359" s="42" customFormat="1" x14ac:dyDescent="0.25"/>
    <row r="3360" s="42" customFormat="1" x14ac:dyDescent="0.25"/>
    <row r="3361" s="42" customFormat="1" x14ac:dyDescent="0.25"/>
    <row r="3362" s="42" customFormat="1" x14ac:dyDescent="0.25"/>
    <row r="3363" s="42" customFormat="1" x14ac:dyDescent="0.25"/>
    <row r="3364" s="42" customFormat="1" x14ac:dyDescent="0.25"/>
    <row r="3365" s="42" customFormat="1" x14ac:dyDescent="0.25"/>
    <row r="3366" s="42" customFormat="1" x14ac:dyDescent="0.25"/>
    <row r="3367" s="42" customFormat="1" x14ac:dyDescent="0.25"/>
    <row r="3368" s="42" customFormat="1" x14ac:dyDescent="0.25"/>
    <row r="3369" s="42" customFormat="1" x14ac:dyDescent="0.25"/>
    <row r="3370" s="42" customFormat="1" x14ac:dyDescent="0.25"/>
    <row r="3371" s="42" customFormat="1" x14ac:dyDescent="0.25"/>
    <row r="3372" s="42" customFormat="1" x14ac:dyDescent="0.25"/>
    <row r="3373" s="42" customFormat="1" x14ac:dyDescent="0.25"/>
    <row r="3374" s="42" customFormat="1" x14ac:dyDescent="0.25"/>
    <row r="3375" s="42" customFormat="1" x14ac:dyDescent="0.25"/>
    <row r="3376" s="42" customFormat="1" x14ac:dyDescent="0.25"/>
    <row r="3377" s="42" customFormat="1" x14ac:dyDescent="0.25"/>
    <row r="3378" s="42" customFormat="1" x14ac:dyDescent="0.25"/>
    <row r="3379" s="42" customFormat="1" x14ac:dyDescent="0.25"/>
    <row r="3380" s="42" customFormat="1" x14ac:dyDescent="0.25"/>
    <row r="3381" s="42" customFormat="1" x14ac:dyDescent="0.25"/>
    <row r="3382" s="42" customFormat="1" x14ac:dyDescent="0.25"/>
    <row r="3383" s="42" customFormat="1" x14ac:dyDescent="0.25"/>
    <row r="3384" s="42" customFormat="1" x14ac:dyDescent="0.25"/>
    <row r="3385" s="42" customFormat="1" x14ac:dyDescent="0.25"/>
    <row r="3386" s="42" customFormat="1" x14ac:dyDescent="0.25"/>
    <row r="3387" s="42" customFormat="1" x14ac:dyDescent="0.25"/>
    <row r="3388" s="42" customFormat="1" x14ac:dyDescent="0.25"/>
    <row r="3389" s="42" customFormat="1" x14ac:dyDescent="0.25"/>
    <row r="3390" s="42" customFormat="1" x14ac:dyDescent="0.25"/>
    <row r="3391" s="42" customFormat="1" x14ac:dyDescent="0.25"/>
    <row r="3392" s="42" customFormat="1" x14ac:dyDescent="0.25"/>
    <row r="3393" s="42" customFormat="1" x14ac:dyDescent="0.25"/>
    <row r="3394" s="42" customFormat="1" x14ac:dyDescent="0.25"/>
    <row r="3395" s="42" customFormat="1" x14ac:dyDescent="0.25"/>
    <row r="3396" s="42" customFormat="1" x14ac:dyDescent="0.25"/>
    <row r="3397" s="42" customFormat="1" x14ac:dyDescent="0.25"/>
    <row r="3398" s="42" customFormat="1" x14ac:dyDescent="0.25"/>
    <row r="3399" s="42" customFormat="1" x14ac:dyDescent="0.25"/>
    <row r="3400" s="42" customFormat="1" x14ac:dyDescent="0.25"/>
    <row r="3401" s="42" customFormat="1" x14ac:dyDescent="0.25"/>
    <row r="3402" s="42" customFormat="1" x14ac:dyDescent="0.25"/>
    <row r="3403" s="42" customFormat="1" x14ac:dyDescent="0.25"/>
    <row r="3404" s="42" customFormat="1" x14ac:dyDescent="0.25"/>
    <row r="3405" s="42" customFormat="1" x14ac:dyDescent="0.25"/>
    <row r="3406" s="42" customFormat="1" x14ac:dyDescent="0.25"/>
    <row r="3407" s="42" customFormat="1" x14ac:dyDescent="0.25"/>
    <row r="3408" s="42" customFormat="1" x14ac:dyDescent="0.25"/>
    <row r="3409" s="42" customFormat="1" x14ac:dyDescent="0.25"/>
    <row r="3410" s="42" customFormat="1" x14ac:dyDescent="0.25"/>
    <row r="3411" s="42" customFormat="1" x14ac:dyDescent="0.25"/>
    <row r="3412" s="42" customFormat="1" x14ac:dyDescent="0.25"/>
    <row r="3413" s="42" customFormat="1" x14ac:dyDescent="0.25"/>
    <row r="3414" s="42" customFormat="1" x14ac:dyDescent="0.25"/>
    <row r="3415" s="42" customFormat="1" x14ac:dyDescent="0.25"/>
    <row r="3416" s="42" customFormat="1" x14ac:dyDescent="0.25"/>
    <row r="3417" s="42" customFormat="1" x14ac:dyDescent="0.25"/>
    <row r="3418" s="42" customFormat="1" x14ac:dyDescent="0.25"/>
    <row r="3419" s="42" customFormat="1" x14ac:dyDescent="0.25"/>
    <row r="3420" s="42" customFormat="1" x14ac:dyDescent="0.25"/>
    <row r="3421" s="42" customFormat="1" x14ac:dyDescent="0.25"/>
    <row r="3422" s="42" customFormat="1" x14ac:dyDescent="0.25"/>
    <row r="3423" s="42" customFormat="1" x14ac:dyDescent="0.25"/>
    <row r="3424" s="42" customFormat="1" x14ac:dyDescent="0.25"/>
    <row r="3425" s="42" customFormat="1" x14ac:dyDescent="0.25"/>
    <row r="3426" s="42" customFormat="1" x14ac:dyDescent="0.25"/>
    <row r="3427" s="42" customFormat="1" x14ac:dyDescent="0.25"/>
    <row r="3428" s="42" customFormat="1" x14ac:dyDescent="0.25"/>
    <row r="3429" s="42" customFormat="1" x14ac:dyDescent="0.25"/>
    <row r="3430" s="42" customFormat="1" x14ac:dyDescent="0.25"/>
    <row r="3431" s="42" customFormat="1" x14ac:dyDescent="0.25"/>
    <row r="3432" s="42" customFormat="1" x14ac:dyDescent="0.25"/>
    <row r="3433" s="42" customFormat="1" x14ac:dyDescent="0.25"/>
    <row r="3434" s="42" customFormat="1" x14ac:dyDescent="0.25"/>
    <row r="3435" s="42" customFormat="1" x14ac:dyDescent="0.25"/>
    <row r="3436" s="42" customFormat="1" x14ac:dyDescent="0.25"/>
    <row r="3437" s="42" customFormat="1" x14ac:dyDescent="0.25"/>
    <row r="3438" s="42" customFormat="1" x14ac:dyDescent="0.25"/>
    <row r="3439" s="42" customFormat="1" x14ac:dyDescent="0.25"/>
    <row r="3440" s="42" customFormat="1" x14ac:dyDescent="0.25"/>
    <row r="3441" s="42" customFormat="1" x14ac:dyDescent="0.25"/>
    <row r="3442" s="42" customFormat="1" x14ac:dyDescent="0.25"/>
    <row r="3443" s="42" customFormat="1" x14ac:dyDescent="0.25"/>
    <row r="3444" s="42" customFormat="1" x14ac:dyDescent="0.25"/>
    <row r="3445" s="42" customFormat="1" x14ac:dyDescent="0.25"/>
    <row r="3446" s="42" customFormat="1" x14ac:dyDescent="0.25"/>
    <row r="3447" s="42" customFormat="1" x14ac:dyDescent="0.25"/>
    <row r="3448" s="42" customFormat="1" x14ac:dyDescent="0.25"/>
    <row r="3449" s="42" customFormat="1" x14ac:dyDescent="0.25"/>
    <row r="3450" s="42" customFormat="1" x14ac:dyDescent="0.25"/>
    <row r="3451" s="42" customFormat="1" x14ac:dyDescent="0.25"/>
    <row r="3452" s="42" customFormat="1" x14ac:dyDescent="0.25"/>
    <row r="3453" s="42" customFormat="1" x14ac:dyDescent="0.25"/>
    <row r="3454" s="42" customFormat="1" x14ac:dyDescent="0.25"/>
    <row r="3455" s="42" customFormat="1" x14ac:dyDescent="0.25"/>
    <row r="3456" s="42" customFormat="1" x14ac:dyDescent="0.25"/>
    <row r="3457" s="42" customFormat="1" x14ac:dyDescent="0.25"/>
    <row r="3458" s="42" customFormat="1" x14ac:dyDescent="0.25"/>
    <row r="3459" s="42" customFormat="1" x14ac:dyDescent="0.25"/>
    <row r="3460" s="42" customFormat="1" x14ac:dyDescent="0.25"/>
    <row r="3461" s="42" customFormat="1" x14ac:dyDescent="0.25"/>
    <row r="3462" s="42" customFormat="1" x14ac:dyDescent="0.25"/>
    <row r="3463" s="42" customFormat="1" x14ac:dyDescent="0.25"/>
    <row r="3464" s="42" customFormat="1" x14ac:dyDescent="0.25"/>
    <row r="3465" s="42" customFormat="1" x14ac:dyDescent="0.25"/>
    <row r="3466" s="42" customFormat="1" x14ac:dyDescent="0.25"/>
    <row r="3467" s="42" customFormat="1" x14ac:dyDescent="0.25"/>
    <row r="3468" s="42" customFormat="1" x14ac:dyDescent="0.25"/>
    <row r="3469" s="42" customFormat="1" x14ac:dyDescent="0.25"/>
    <row r="3470" s="42" customFormat="1" x14ac:dyDescent="0.25"/>
    <row r="3471" s="42" customFormat="1" x14ac:dyDescent="0.25"/>
    <row r="3472" s="42" customFormat="1" x14ac:dyDescent="0.25"/>
    <row r="3473" s="42" customFormat="1" x14ac:dyDescent="0.25"/>
    <row r="3474" s="42" customFormat="1" x14ac:dyDescent="0.25"/>
    <row r="3475" s="42" customFormat="1" x14ac:dyDescent="0.25"/>
    <row r="3476" s="42" customFormat="1" x14ac:dyDescent="0.25"/>
    <row r="3477" s="42" customFormat="1" x14ac:dyDescent="0.25"/>
    <row r="3478" s="42" customFormat="1" x14ac:dyDescent="0.25"/>
    <row r="3479" s="42" customFormat="1" x14ac:dyDescent="0.25"/>
    <row r="3480" s="42" customFormat="1" x14ac:dyDescent="0.25"/>
    <row r="3481" s="42" customFormat="1" x14ac:dyDescent="0.25"/>
    <row r="3482" s="42" customFormat="1" x14ac:dyDescent="0.25"/>
    <row r="3483" s="42" customFormat="1" x14ac:dyDescent="0.25"/>
    <row r="3484" s="42" customFormat="1" x14ac:dyDescent="0.25"/>
    <row r="3485" s="42" customFormat="1" x14ac:dyDescent="0.25"/>
    <row r="3486" s="42" customFormat="1" x14ac:dyDescent="0.25"/>
    <row r="3487" s="42" customFormat="1" x14ac:dyDescent="0.25"/>
    <row r="3488" s="42" customFormat="1" x14ac:dyDescent="0.25"/>
    <row r="3489" s="42" customFormat="1" x14ac:dyDescent="0.25"/>
    <row r="3490" s="42" customFormat="1" x14ac:dyDescent="0.25"/>
    <row r="3491" s="42" customFormat="1" x14ac:dyDescent="0.25"/>
    <row r="3492" s="42" customFormat="1" x14ac:dyDescent="0.25"/>
    <row r="3493" s="42" customFormat="1" x14ac:dyDescent="0.25"/>
    <row r="3494" s="42" customFormat="1" x14ac:dyDescent="0.25"/>
    <row r="3495" s="42" customFormat="1" x14ac:dyDescent="0.25"/>
    <row r="3496" s="42" customFormat="1" x14ac:dyDescent="0.25"/>
    <row r="3497" s="42" customFormat="1" x14ac:dyDescent="0.25"/>
    <row r="3498" s="42" customFormat="1" x14ac:dyDescent="0.25"/>
    <row r="3499" s="42" customFormat="1" x14ac:dyDescent="0.25"/>
    <row r="3500" s="42" customFormat="1" x14ac:dyDescent="0.25"/>
    <row r="3501" s="42" customFormat="1" x14ac:dyDescent="0.25"/>
    <row r="3502" s="42" customFormat="1" x14ac:dyDescent="0.25"/>
    <row r="3503" s="42" customFormat="1" x14ac:dyDescent="0.25"/>
    <row r="3504" s="42" customFormat="1" x14ac:dyDescent="0.25"/>
    <row r="3505" s="42" customFormat="1" x14ac:dyDescent="0.25"/>
    <row r="3506" s="42" customFormat="1" x14ac:dyDescent="0.25"/>
    <row r="3507" s="42" customFormat="1" x14ac:dyDescent="0.25"/>
    <row r="3508" s="42" customFormat="1" x14ac:dyDescent="0.25"/>
    <row r="3509" s="42" customFormat="1" x14ac:dyDescent="0.25"/>
    <row r="3510" s="42" customFormat="1" x14ac:dyDescent="0.25"/>
    <row r="3511" s="42" customFormat="1" x14ac:dyDescent="0.25"/>
    <row r="3512" s="42" customFormat="1" x14ac:dyDescent="0.25"/>
    <row r="3513" s="42" customFormat="1" x14ac:dyDescent="0.25"/>
    <row r="3514" s="42" customFormat="1" x14ac:dyDescent="0.25"/>
    <row r="3515" s="42" customFormat="1" x14ac:dyDescent="0.25"/>
    <row r="3516" s="42" customFormat="1" x14ac:dyDescent="0.25"/>
    <row r="3517" s="42" customFormat="1" x14ac:dyDescent="0.25"/>
    <row r="3518" s="42" customFormat="1" x14ac:dyDescent="0.25"/>
    <row r="3519" s="42" customFormat="1" x14ac:dyDescent="0.25"/>
    <row r="3520" s="42" customFormat="1" x14ac:dyDescent="0.25"/>
    <row r="3521" s="42" customFormat="1" x14ac:dyDescent="0.25"/>
    <row r="3522" s="42" customFormat="1" x14ac:dyDescent="0.25"/>
    <row r="3523" s="42" customFormat="1" x14ac:dyDescent="0.25"/>
    <row r="3524" s="42" customFormat="1" x14ac:dyDescent="0.25"/>
    <row r="3525" s="42" customFormat="1" x14ac:dyDescent="0.25"/>
    <row r="3526" s="42" customFormat="1" x14ac:dyDescent="0.25"/>
    <row r="3527" s="42" customFormat="1" x14ac:dyDescent="0.25"/>
    <row r="3528" s="42" customFormat="1" x14ac:dyDescent="0.25"/>
    <row r="3529" s="42" customFormat="1" x14ac:dyDescent="0.25"/>
    <row r="3530" s="42" customFormat="1" x14ac:dyDescent="0.25"/>
    <row r="3531" s="42" customFormat="1" x14ac:dyDescent="0.25"/>
    <row r="3532" s="42" customFormat="1" x14ac:dyDescent="0.25"/>
    <row r="3533" s="42" customFormat="1" x14ac:dyDescent="0.25"/>
    <row r="3534" s="42" customFormat="1" x14ac:dyDescent="0.25"/>
    <row r="3535" s="42" customFormat="1" x14ac:dyDescent="0.25"/>
    <row r="3536" s="42" customFormat="1" x14ac:dyDescent="0.25"/>
    <row r="3537" s="42" customFormat="1" x14ac:dyDescent="0.25"/>
    <row r="3538" s="42" customFormat="1" x14ac:dyDescent="0.25"/>
    <row r="3539" s="42" customFormat="1" x14ac:dyDescent="0.25"/>
    <row r="3540" s="42" customFormat="1" x14ac:dyDescent="0.25"/>
    <row r="3541" s="42" customFormat="1" x14ac:dyDescent="0.25"/>
    <row r="3542" s="42" customFormat="1" x14ac:dyDescent="0.25"/>
    <row r="3543" s="42" customFormat="1" x14ac:dyDescent="0.25"/>
    <row r="3544" s="42" customFormat="1" x14ac:dyDescent="0.25"/>
    <row r="3545" s="42" customFormat="1" x14ac:dyDescent="0.25"/>
    <row r="3546" s="42" customFormat="1" x14ac:dyDescent="0.25"/>
    <row r="3547" s="42" customFormat="1" x14ac:dyDescent="0.25"/>
    <row r="3548" s="42" customFormat="1" x14ac:dyDescent="0.25"/>
    <row r="3549" s="42" customFormat="1" x14ac:dyDescent="0.25"/>
    <row r="3550" s="42" customFormat="1" x14ac:dyDescent="0.25"/>
    <row r="3551" s="42" customFormat="1" x14ac:dyDescent="0.25"/>
    <row r="3552" s="42" customFormat="1" x14ac:dyDescent="0.25"/>
    <row r="3553" s="42" customFormat="1" x14ac:dyDescent="0.25"/>
    <row r="3554" s="42" customFormat="1" x14ac:dyDescent="0.25"/>
    <row r="3555" s="42" customFormat="1" x14ac:dyDescent="0.25"/>
    <row r="3556" s="42" customFormat="1" x14ac:dyDescent="0.25"/>
    <row r="3557" s="42" customFormat="1" x14ac:dyDescent="0.25"/>
    <row r="3558" s="42" customFormat="1" x14ac:dyDescent="0.25"/>
    <row r="3559" s="42" customFormat="1" x14ac:dyDescent="0.25"/>
    <row r="3560" s="42" customFormat="1" x14ac:dyDescent="0.25"/>
    <row r="3561" s="42" customFormat="1" x14ac:dyDescent="0.25"/>
    <row r="3562" s="42" customFormat="1" x14ac:dyDescent="0.25"/>
    <row r="3563" s="42" customFormat="1" x14ac:dyDescent="0.25"/>
    <row r="3564" s="42" customFormat="1" x14ac:dyDescent="0.25"/>
    <row r="3565" s="42" customFormat="1" x14ac:dyDescent="0.25"/>
    <row r="3566" s="42" customFormat="1" x14ac:dyDescent="0.25"/>
    <row r="3567" s="42" customFormat="1" x14ac:dyDescent="0.25"/>
    <row r="3568" s="42" customFormat="1" x14ac:dyDescent="0.25"/>
    <row r="3569" s="42" customFormat="1" x14ac:dyDescent="0.25"/>
    <row r="3570" s="42" customFormat="1" x14ac:dyDescent="0.25"/>
    <row r="3571" s="42" customFormat="1" x14ac:dyDescent="0.25"/>
    <row r="3572" s="42" customFormat="1" x14ac:dyDescent="0.25"/>
    <row r="3573" s="42" customFormat="1" x14ac:dyDescent="0.25"/>
    <row r="3574" s="42" customFormat="1" x14ac:dyDescent="0.25"/>
    <row r="3575" s="42" customFormat="1" x14ac:dyDescent="0.25"/>
    <row r="3576" s="42" customFormat="1" x14ac:dyDescent="0.25"/>
    <row r="3577" s="42" customFormat="1" x14ac:dyDescent="0.25"/>
    <row r="3578" s="42" customFormat="1" x14ac:dyDescent="0.25"/>
    <row r="3579" s="42" customFormat="1" x14ac:dyDescent="0.25"/>
    <row r="3580" s="42" customFormat="1" x14ac:dyDescent="0.25"/>
    <row r="3581" s="42" customFormat="1" x14ac:dyDescent="0.25"/>
    <row r="3582" s="42" customFormat="1" x14ac:dyDescent="0.25"/>
    <row r="3583" s="42" customFormat="1" x14ac:dyDescent="0.25"/>
    <row r="3584" s="42" customFormat="1" x14ac:dyDescent="0.25"/>
    <row r="3585" s="42" customFormat="1" x14ac:dyDescent="0.25"/>
    <row r="3586" s="42" customFormat="1" x14ac:dyDescent="0.25"/>
    <row r="3587" s="42" customFormat="1" x14ac:dyDescent="0.25"/>
    <row r="3588" s="42" customFormat="1" x14ac:dyDescent="0.25"/>
    <row r="3589" s="42" customFormat="1" x14ac:dyDescent="0.25"/>
    <row r="3590" s="42" customFormat="1" x14ac:dyDescent="0.25"/>
    <row r="3591" s="42" customFormat="1" x14ac:dyDescent="0.25"/>
    <row r="3592" s="42" customFormat="1" x14ac:dyDescent="0.25"/>
    <row r="3593" s="42" customFormat="1" x14ac:dyDescent="0.25"/>
    <row r="3594" s="42" customFormat="1" x14ac:dyDescent="0.25"/>
    <row r="3595" s="42" customFormat="1" x14ac:dyDescent="0.25"/>
    <row r="3596" s="42" customFormat="1" x14ac:dyDescent="0.25"/>
    <row r="3597" s="42" customFormat="1" x14ac:dyDescent="0.25"/>
    <row r="3598" s="42" customFormat="1" x14ac:dyDescent="0.25"/>
    <row r="3599" s="42" customFormat="1" x14ac:dyDescent="0.25"/>
    <row r="3600" s="42" customFormat="1" x14ac:dyDescent="0.25"/>
    <row r="3601" s="42" customFormat="1" x14ac:dyDescent="0.25"/>
    <row r="3602" s="42" customFormat="1" x14ac:dyDescent="0.25"/>
    <row r="3603" s="42" customFormat="1" x14ac:dyDescent="0.25"/>
    <row r="3604" s="42" customFormat="1" x14ac:dyDescent="0.25"/>
    <row r="3605" s="42" customFormat="1" x14ac:dyDescent="0.25"/>
    <row r="3606" s="42" customFormat="1" x14ac:dyDescent="0.25"/>
    <row r="3607" s="42" customFormat="1" x14ac:dyDescent="0.25"/>
    <row r="3608" s="42" customFormat="1" x14ac:dyDescent="0.25"/>
    <row r="3609" s="42" customFormat="1" x14ac:dyDescent="0.25"/>
    <row r="3610" s="42" customFormat="1" x14ac:dyDescent="0.25"/>
    <row r="3611" s="42" customFormat="1" x14ac:dyDescent="0.25"/>
    <row r="3612" s="42" customFormat="1" x14ac:dyDescent="0.25"/>
    <row r="3613" s="42" customFormat="1" x14ac:dyDescent="0.25"/>
    <row r="3614" s="42" customFormat="1" x14ac:dyDescent="0.25"/>
    <row r="3615" s="42" customFormat="1" x14ac:dyDescent="0.25"/>
    <row r="3616" s="42" customFormat="1" x14ac:dyDescent="0.25"/>
    <row r="3617" s="42" customFormat="1" x14ac:dyDescent="0.25"/>
    <row r="3618" s="42" customFormat="1" x14ac:dyDescent="0.25"/>
    <row r="3619" s="42" customFormat="1" x14ac:dyDescent="0.25"/>
    <row r="3620" s="42" customFormat="1" x14ac:dyDescent="0.25"/>
    <row r="3621" s="42" customFormat="1" x14ac:dyDescent="0.25"/>
    <row r="3622" s="42" customFormat="1" x14ac:dyDescent="0.25"/>
    <row r="3623" s="42" customFormat="1" x14ac:dyDescent="0.25"/>
    <row r="3624" s="42" customFormat="1" x14ac:dyDescent="0.25"/>
    <row r="3625" s="42" customFormat="1" x14ac:dyDescent="0.25"/>
    <row r="3626" s="42" customFormat="1" x14ac:dyDescent="0.25"/>
    <row r="3627" s="42" customFormat="1" x14ac:dyDescent="0.25"/>
    <row r="3628" s="42" customFormat="1" x14ac:dyDescent="0.25"/>
    <row r="3629" s="42" customFormat="1" x14ac:dyDescent="0.25"/>
    <row r="3630" s="42" customFormat="1" x14ac:dyDescent="0.25"/>
    <row r="3631" s="42" customFormat="1" x14ac:dyDescent="0.25"/>
    <row r="3632" s="42" customFormat="1" x14ac:dyDescent="0.25"/>
    <row r="3633" s="42" customFormat="1" x14ac:dyDescent="0.25"/>
    <row r="3634" s="42" customFormat="1" x14ac:dyDescent="0.25"/>
    <row r="3635" s="42" customFormat="1" x14ac:dyDescent="0.25"/>
    <row r="3636" s="42" customFormat="1" x14ac:dyDescent="0.25"/>
    <row r="3637" s="42" customFormat="1" x14ac:dyDescent="0.25"/>
    <row r="3638" s="42" customFormat="1" x14ac:dyDescent="0.25"/>
    <row r="3639" s="42" customFormat="1" x14ac:dyDescent="0.25"/>
    <row r="3640" s="42" customFormat="1" x14ac:dyDescent="0.25"/>
    <row r="3641" s="42" customFormat="1" x14ac:dyDescent="0.25"/>
    <row r="3642" s="42" customFormat="1" x14ac:dyDescent="0.25"/>
    <row r="3643" s="42" customFormat="1" x14ac:dyDescent="0.25"/>
    <row r="3644" s="42" customFormat="1" x14ac:dyDescent="0.25"/>
    <row r="3645" s="42" customFormat="1" x14ac:dyDescent="0.25"/>
    <row r="3646" s="42" customFormat="1" x14ac:dyDescent="0.25"/>
    <row r="3647" s="42" customFormat="1" x14ac:dyDescent="0.25"/>
    <row r="3648" s="42" customFormat="1" x14ac:dyDescent="0.25"/>
    <row r="3649" s="42" customFormat="1" x14ac:dyDescent="0.25"/>
    <row r="3650" s="42" customFormat="1" x14ac:dyDescent="0.25"/>
    <row r="3651" s="42" customFormat="1" x14ac:dyDescent="0.25"/>
    <row r="3652" s="42" customFormat="1" x14ac:dyDescent="0.25"/>
    <row r="3653" s="42" customFormat="1" x14ac:dyDescent="0.25"/>
    <row r="3654" s="42" customFormat="1" x14ac:dyDescent="0.25"/>
    <row r="3655" s="42" customFormat="1" x14ac:dyDescent="0.25"/>
    <row r="3656" s="42" customFormat="1" x14ac:dyDescent="0.25"/>
    <row r="3657" s="42" customFormat="1" x14ac:dyDescent="0.25"/>
    <row r="3658" s="42" customFormat="1" x14ac:dyDescent="0.25"/>
    <row r="3659" s="42" customFormat="1" x14ac:dyDescent="0.25"/>
    <row r="3660" s="42" customFormat="1" x14ac:dyDescent="0.25"/>
    <row r="3661" s="42" customFormat="1" x14ac:dyDescent="0.25"/>
    <row r="3662" s="42" customFormat="1" x14ac:dyDescent="0.25"/>
    <row r="3663" s="42" customFormat="1" x14ac:dyDescent="0.25"/>
    <row r="3664" s="42" customFormat="1" x14ac:dyDescent="0.25"/>
    <row r="3665" s="42" customFormat="1" x14ac:dyDescent="0.25"/>
    <row r="3666" s="42" customFormat="1" x14ac:dyDescent="0.25"/>
    <row r="3667" s="42" customFormat="1" x14ac:dyDescent="0.25"/>
    <row r="3668" s="42" customFormat="1" x14ac:dyDescent="0.25"/>
    <row r="3669" s="42" customFormat="1" x14ac:dyDescent="0.25"/>
    <row r="3670" s="42" customFormat="1" x14ac:dyDescent="0.25"/>
    <row r="3671" s="42" customFormat="1" x14ac:dyDescent="0.25"/>
    <row r="3672" s="42" customFormat="1" x14ac:dyDescent="0.25"/>
    <row r="3673" s="42" customFormat="1" x14ac:dyDescent="0.25"/>
    <row r="3674" s="42" customFormat="1" x14ac:dyDescent="0.25"/>
    <row r="3675" s="42" customFormat="1" x14ac:dyDescent="0.25"/>
    <row r="3676" s="42" customFormat="1" x14ac:dyDescent="0.25"/>
    <row r="3677" s="42" customFormat="1" x14ac:dyDescent="0.25"/>
    <row r="3678" s="42" customFormat="1" x14ac:dyDescent="0.25"/>
    <row r="3679" s="42" customFormat="1" x14ac:dyDescent="0.25"/>
    <row r="3680" s="42" customFormat="1" x14ac:dyDescent="0.25"/>
    <row r="3681" s="42" customFormat="1" x14ac:dyDescent="0.25"/>
    <row r="3682" s="42" customFormat="1" x14ac:dyDescent="0.25"/>
    <row r="3683" s="42" customFormat="1" x14ac:dyDescent="0.25"/>
    <row r="3684" s="42" customFormat="1" x14ac:dyDescent="0.25"/>
    <row r="3685" s="42" customFormat="1" x14ac:dyDescent="0.25"/>
    <row r="3686" s="42" customFormat="1" x14ac:dyDescent="0.25"/>
    <row r="3687" s="42" customFormat="1" x14ac:dyDescent="0.25"/>
    <row r="3688" s="42" customFormat="1" x14ac:dyDescent="0.25"/>
    <row r="3689" s="42" customFormat="1" x14ac:dyDescent="0.25"/>
    <row r="3690" s="42" customFormat="1" x14ac:dyDescent="0.25"/>
    <row r="3691" s="42" customFormat="1" x14ac:dyDescent="0.25"/>
    <row r="3692" s="42" customFormat="1" x14ac:dyDescent="0.25"/>
    <row r="3693" s="42" customFormat="1" x14ac:dyDescent="0.25"/>
    <row r="3694" s="42" customFormat="1" x14ac:dyDescent="0.25"/>
    <row r="3695" s="42" customFormat="1" x14ac:dyDescent="0.25"/>
    <row r="3696" s="42" customFormat="1" x14ac:dyDescent="0.25"/>
    <row r="3697" s="42" customFormat="1" x14ac:dyDescent="0.25"/>
    <row r="3698" s="42" customFormat="1" x14ac:dyDescent="0.25"/>
    <row r="3699" s="42" customFormat="1" x14ac:dyDescent="0.25"/>
    <row r="3700" s="42" customFormat="1" x14ac:dyDescent="0.25"/>
    <row r="3701" s="42" customFormat="1" x14ac:dyDescent="0.25"/>
    <row r="3702" s="42" customFormat="1" x14ac:dyDescent="0.25"/>
    <row r="3703" s="42" customFormat="1" x14ac:dyDescent="0.25"/>
    <row r="3704" s="42" customFormat="1" x14ac:dyDescent="0.25"/>
    <row r="3705" s="42" customFormat="1" x14ac:dyDescent="0.25"/>
    <row r="3706" s="42" customFormat="1" x14ac:dyDescent="0.25"/>
    <row r="3707" s="42" customFormat="1" x14ac:dyDescent="0.25"/>
    <row r="3708" s="42" customFormat="1" x14ac:dyDescent="0.25"/>
    <row r="3709" s="42" customFormat="1" x14ac:dyDescent="0.25"/>
    <row r="3710" s="42" customFormat="1" x14ac:dyDescent="0.25"/>
    <row r="3711" s="42" customFormat="1" x14ac:dyDescent="0.25"/>
    <row r="3712" s="42" customFormat="1" x14ac:dyDescent="0.25"/>
    <row r="3713" s="42" customFormat="1" x14ac:dyDescent="0.25"/>
    <row r="3714" s="42" customFormat="1" x14ac:dyDescent="0.25"/>
    <row r="3715" s="42" customFormat="1" x14ac:dyDescent="0.25"/>
    <row r="3716" s="42" customFormat="1" x14ac:dyDescent="0.25"/>
    <row r="3717" s="42" customFormat="1" x14ac:dyDescent="0.25"/>
    <row r="3718" s="42" customFormat="1" x14ac:dyDescent="0.25"/>
    <row r="3719" s="42" customFormat="1" x14ac:dyDescent="0.25"/>
    <row r="3720" s="42" customFormat="1" x14ac:dyDescent="0.25"/>
    <row r="3721" s="42" customFormat="1" x14ac:dyDescent="0.25"/>
    <row r="3722" s="42" customFormat="1" x14ac:dyDescent="0.25"/>
    <row r="3723" s="42" customFormat="1" x14ac:dyDescent="0.25"/>
    <row r="3724" s="42" customFormat="1" x14ac:dyDescent="0.25"/>
    <row r="3725" s="42" customFormat="1" x14ac:dyDescent="0.25"/>
    <row r="3726" s="42" customFormat="1" x14ac:dyDescent="0.25"/>
    <row r="3727" s="42" customFormat="1" x14ac:dyDescent="0.25"/>
    <row r="3728" s="42" customFormat="1" x14ac:dyDescent="0.25"/>
    <row r="3729" s="42" customFormat="1" x14ac:dyDescent="0.25"/>
    <row r="3730" s="42" customFormat="1" x14ac:dyDescent="0.25"/>
    <row r="3731" s="42" customFormat="1" x14ac:dyDescent="0.25"/>
    <row r="3732" s="42" customFormat="1" x14ac:dyDescent="0.25"/>
    <row r="3733" s="42" customFormat="1" x14ac:dyDescent="0.25"/>
    <row r="3734" s="42" customFormat="1" x14ac:dyDescent="0.25"/>
    <row r="3735" s="42" customFormat="1" x14ac:dyDescent="0.25"/>
    <row r="3736" s="42" customFormat="1" x14ac:dyDescent="0.25"/>
    <row r="3737" s="42" customFormat="1" x14ac:dyDescent="0.25"/>
    <row r="3738" s="42" customFormat="1" x14ac:dyDescent="0.25"/>
    <row r="3739" s="42" customFormat="1" x14ac:dyDescent="0.25"/>
    <row r="3740" s="42" customFormat="1" x14ac:dyDescent="0.25"/>
    <row r="3741" s="42" customFormat="1" x14ac:dyDescent="0.25"/>
    <row r="3742" s="42" customFormat="1" x14ac:dyDescent="0.25"/>
    <row r="3743" s="42" customFormat="1" x14ac:dyDescent="0.25"/>
    <row r="3744" s="42" customFormat="1" x14ac:dyDescent="0.25"/>
    <row r="3745" s="42" customFormat="1" x14ac:dyDescent="0.25"/>
    <row r="3746" s="42" customFormat="1" x14ac:dyDescent="0.25"/>
    <row r="3747" s="42" customFormat="1" x14ac:dyDescent="0.25"/>
    <row r="3748" s="42" customFormat="1" x14ac:dyDescent="0.25"/>
    <row r="3749" s="42" customFormat="1" x14ac:dyDescent="0.25"/>
    <row r="3750" s="42" customFormat="1" x14ac:dyDescent="0.25"/>
    <row r="3751" s="42" customFormat="1" x14ac:dyDescent="0.25"/>
    <row r="3752" s="42" customFormat="1" x14ac:dyDescent="0.25"/>
    <row r="3753" s="42" customFormat="1" x14ac:dyDescent="0.25"/>
    <row r="3754" s="42" customFormat="1" x14ac:dyDescent="0.25"/>
    <row r="3755" s="42" customFormat="1" x14ac:dyDescent="0.25"/>
    <row r="3756" s="42" customFormat="1" x14ac:dyDescent="0.25"/>
    <row r="3757" s="42" customFormat="1" x14ac:dyDescent="0.25"/>
    <row r="3758" s="42" customFormat="1" x14ac:dyDescent="0.25"/>
    <row r="3759" s="42" customFormat="1" x14ac:dyDescent="0.25"/>
    <row r="3760" s="42" customFormat="1" x14ac:dyDescent="0.25"/>
    <row r="3761" s="42" customFormat="1" x14ac:dyDescent="0.25"/>
    <row r="3762" s="42" customFormat="1" x14ac:dyDescent="0.25"/>
    <row r="3763" s="42" customFormat="1" x14ac:dyDescent="0.25"/>
    <row r="3764" s="42" customFormat="1" x14ac:dyDescent="0.25"/>
    <row r="3765" s="42" customFormat="1" x14ac:dyDescent="0.25"/>
    <row r="3766" s="42" customFormat="1" x14ac:dyDescent="0.25"/>
    <row r="3767" s="42" customFormat="1" x14ac:dyDescent="0.25"/>
    <row r="3768" s="42" customFormat="1" x14ac:dyDescent="0.25"/>
    <row r="3769" s="42" customFormat="1" x14ac:dyDescent="0.25"/>
    <row r="3770" s="42" customFormat="1" x14ac:dyDescent="0.25"/>
    <row r="3771" s="42" customFormat="1" x14ac:dyDescent="0.25"/>
    <row r="3772" s="42" customFormat="1" x14ac:dyDescent="0.25"/>
    <row r="3773" s="42" customFormat="1" x14ac:dyDescent="0.25"/>
    <row r="3774" s="42" customFormat="1" x14ac:dyDescent="0.25"/>
    <row r="3775" s="42" customFormat="1" x14ac:dyDescent="0.25"/>
    <row r="3776" s="42" customFormat="1" x14ac:dyDescent="0.25"/>
    <row r="3777" s="42" customFormat="1" x14ac:dyDescent="0.25"/>
    <row r="3778" s="42" customFormat="1" x14ac:dyDescent="0.25"/>
    <row r="3779" s="42" customFormat="1" x14ac:dyDescent="0.25"/>
    <row r="3780" s="42" customFormat="1" x14ac:dyDescent="0.25"/>
    <row r="3781" s="42" customFormat="1" x14ac:dyDescent="0.25"/>
    <row r="3782" s="42" customFormat="1" x14ac:dyDescent="0.25"/>
    <row r="3783" s="42" customFormat="1" x14ac:dyDescent="0.25"/>
    <row r="3784" s="42" customFormat="1" x14ac:dyDescent="0.25"/>
    <row r="3785" s="42" customFormat="1" x14ac:dyDescent="0.25"/>
    <row r="3786" s="42" customFormat="1" x14ac:dyDescent="0.25"/>
    <row r="3787" s="42" customFormat="1" x14ac:dyDescent="0.25"/>
    <row r="3788" s="42" customFormat="1" x14ac:dyDescent="0.25"/>
    <row r="3789" s="42" customFormat="1" x14ac:dyDescent="0.25"/>
    <row r="3790" s="42" customFormat="1" x14ac:dyDescent="0.25"/>
    <row r="3791" s="42" customFormat="1" x14ac:dyDescent="0.25"/>
    <row r="3792" s="42" customFormat="1" x14ac:dyDescent="0.25"/>
    <row r="3793" s="42" customFormat="1" x14ac:dyDescent="0.25"/>
    <row r="3794" s="42" customFormat="1" x14ac:dyDescent="0.25"/>
    <row r="3795" s="42" customFormat="1" x14ac:dyDescent="0.25"/>
    <row r="3796" s="42" customFormat="1" x14ac:dyDescent="0.25"/>
    <row r="3797" s="42" customFormat="1" x14ac:dyDescent="0.25"/>
    <row r="3798" s="42" customFormat="1" x14ac:dyDescent="0.25"/>
    <row r="3799" s="42" customFormat="1" x14ac:dyDescent="0.25"/>
    <row r="3800" s="42" customFormat="1" x14ac:dyDescent="0.25"/>
    <row r="3801" s="42" customFormat="1" x14ac:dyDescent="0.25"/>
    <row r="3802" s="42" customFormat="1" x14ac:dyDescent="0.25"/>
    <row r="3803" s="42" customFormat="1" x14ac:dyDescent="0.25"/>
    <row r="3804" s="42" customFormat="1" x14ac:dyDescent="0.25"/>
    <row r="3805" s="42" customFormat="1" x14ac:dyDescent="0.25"/>
    <row r="3806" s="42" customFormat="1" x14ac:dyDescent="0.25"/>
    <row r="3807" s="42" customFormat="1" x14ac:dyDescent="0.25"/>
    <row r="3808" s="42" customFormat="1" x14ac:dyDescent="0.25"/>
    <row r="3809" s="42" customFormat="1" x14ac:dyDescent="0.25"/>
    <row r="3810" s="42" customFormat="1" x14ac:dyDescent="0.25"/>
    <row r="3811" s="42" customFormat="1" x14ac:dyDescent="0.25"/>
    <row r="3812" s="42" customFormat="1" x14ac:dyDescent="0.25"/>
    <row r="3813" s="42" customFormat="1" x14ac:dyDescent="0.25"/>
    <row r="3814" s="42" customFormat="1" x14ac:dyDescent="0.25"/>
    <row r="3815" s="42" customFormat="1" x14ac:dyDescent="0.25"/>
    <row r="3816" s="42" customFormat="1" x14ac:dyDescent="0.25"/>
    <row r="3817" s="42" customFormat="1" x14ac:dyDescent="0.25"/>
    <row r="3818" s="42" customFormat="1" x14ac:dyDescent="0.25"/>
    <row r="3819" s="42" customFormat="1" x14ac:dyDescent="0.25"/>
    <row r="3820" s="42" customFormat="1" x14ac:dyDescent="0.25"/>
    <row r="3821" s="42" customFormat="1" x14ac:dyDescent="0.25"/>
    <row r="3822" s="42" customFormat="1" x14ac:dyDescent="0.25"/>
    <row r="3823" s="42" customFormat="1" x14ac:dyDescent="0.25"/>
    <row r="3824" s="42" customFormat="1" x14ac:dyDescent="0.25"/>
    <row r="3825" s="42" customFormat="1" x14ac:dyDescent="0.25"/>
    <row r="3826" s="42" customFormat="1" x14ac:dyDescent="0.25"/>
    <row r="3827" s="42" customFormat="1" x14ac:dyDescent="0.25"/>
    <row r="3828" s="42" customFormat="1" x14ac:dyDescent="0.25"/>
    <row r="3829" s="42" customFormat="1" x14ac:dyDescent="0.25"/>
    <row r="3830" s="42" customFormat="1" x14ac:dyDescent="0.25"/>
    <row r="3831" s="42" customFormat="1" x14ac:dyDescent="0.25"/>
    <row r="3832" s="42" customFormat="1" x14ac:dyDescent="0.25"/>
    <row r="3833" s="42" customFormat="1" x14ac:dyDescent="0.25"/>
    <row r="3834" s="42" customFormat="1" x14ac:dyDescent="0.25"/>
    <row r="3835" s="42" customFormat="1" x14ac:dyDescent="0.25"/>
    <row r="3836" s="42" customFormat="1" x14ac:dyDescent="0.25"/>
    <row r="3837" s="42" customFormat="1" x14ac:dyDescent="0.25"/>
    <row r="3838" s="42" customFormat="1" x14ac:dyDescent="0.25"/>
    <row r="3839" s="42" customFormat="1" x14ac:dyDescent="0.25"/>
    <row r="3840" s="42" customFormat="1" x14ac:dyDescent="0.25"/>
    <row r="3841" s="42" customFormat="1" x14ac:dyDescent="0.25"/>
    <row r="3842" s="42" customFormat="1" x14ac:dyDescent="0.25"/>
    <row r="3843" s="42" customFormat="1" x14ac:dyDescent="0.25"/>
    <row r="3844" s="42" customFormat="1" x14ac:dyDescent="0.25"/>
    <row r="3845" s="42" customFormat="1" x14ac:dyDescent="0.25"/>
    <row r="3846" s="42" customFormat="1" x14ac:dyDescent="0.25"/>
    <row r="3847" s="42" customFormat="1" x14ac:dyDescent="0.25"/>
    <row r="3848" s="42" customFormat="1" x14ac:dyDescent="0.25"/>
    <row r="3849" s="42" customFormat="1" x14ac:dyDescent="0.25"/>
    <row r="3850" s="42" customFormat="1" x14ac:dyDescent="0.25"/>
    <row r="3851" s="42" customFormat="1" x14ac:dyDescent="0.25"/>
    <row r="3852" s="42" customFormat="1" x14ac:dyDescent="0.25"/>
    <row r="3853" s="42" customFormat="1" x14ac:dyDescent="0.25"/>
    <row r="3854" s="42" customFormat="1" x14ac:dyDescent="0.25"/>
    <row r="3855" s="42" customFormat="1" x14ac:dyDescent="0.25"/>
    <row r="3856" s="42" customFormat="1" x14ac:dyDescent="0.25"/>
    <row r="3857" s="42" customFormat="1" x14ac:dyDescent="0.25"/>
    <row r="3858" s="42" customFormat="1" x14ac:dyDescent="0.25"/>
    <row r="3859" s="42" customFormat="1" x14ac:dyDescent="0.25"/>
    <row r="3860" s="42" customFormat="1" x14ac:dyDescent="0.25"/>
    <row r="3861" s="42" customFormat="1" x14ac:dyDescent="0.25"/>
    <row r="3862" s="42" customFormat="1" x14ac:dyDescent="0.25"/>
    <row r="3863" s="42" customFormat="1" x14ac:dyDescent="0.25"/>
    <row r="3864" s="42" customFormat="1" x14ac:dyDescent="0.25"/>
    <row r="3865" s="42" customFormat="1" x14ac:dyDescent="0.25"/>
    <row r="3866" s="42" customFormat="1" x14ac:dyDescent="0.25"/>
    <row r="3867" s="42" customFormat="1" x14ac:dyDescent="0.25"/>
    <row r="3868" s="42" customFormat="1" x14ac:dyDescent="0.25"/>
    <row r="3869" s="42" customFormat="1" x14ac:dyDescent="0.25"/>
    <row r="3870" s="42" customFormat="1" x14ac:dyDescent="0.25"/>
    <row r="3871" s="42" customFormat="1" x14ac:dyDescent="0.25"/>
    <row r="3872" s="42" customFormat="1" x14ac:dyDescent="0.25"/>
    <row r="3873" s="42" customFormat="1" x14ac:dyDescent="0.25"/>
    <row r="3874" s="42" customFormat="1" x14ac:dyDescent="0.25"/>
    <row r="3875" s="42" customFormat="1" x14ac:dyDescent="0.25"/>
    <row r="3876" s="42" customFormat="1" x14ac:dyDescent="0.25"/>
    <row r="3877" s="42" customFormat="1" x14ac:dyDescent="0.25"/>
    <row r="3878" s="42" customFormat="1" x14ac:dyDescent="0.25"/>
    <row r="3879" s="42" customFormat="1" x14ac:dyDescent="0.25"/>
    <row r="3880" s="42" customFormat="1" x14ac:dyDescent="0.25"/>
    <row r="3881" s="42" customFormat="1" x14ac:dyDescent="0.25"/>
    <row r="3882" s="42" customFormat="1" x14ac:dyDescent="0.25"/>
    <row r="3883" s="42" customFormat="1" x14ac:dyDescent="0.25"/>
    <row r="3884" s="42" customFormat="1" x14ac:dyDescent="0.25"/>
    <row r="3885" s="42" customFormat="1" x14ac:dyDescent="0.25"/>
    <row r="3886" s="42" customFormat="1" x14ac:dyDescent="0.25"/>
    <row r="3887" s="42" customFormat="1" x14ac:dyDescent="0.25"/>
    <row r="3888" s="42" customFormat="1" x14ac:dyDescent="0.25"/>
    <row r="3889" s="42" customFormat="1" x14ac:dyDescent="0.25"/>
    <row r="3890" s="42" customFormat="1" x14ac:dyDescent="0.25"/>
    <row r="3891" s="42" customFormat="1" x14ac:dyDescent="0.25"/>
    <row r="3892" s="42" customFormat="1" x14ac:dyDescent="0.25"/>
    <row r="3893" s="42" customFormat="1" x14ac:dyDescent="0.25"/>
    <row r="3894" s="42" customFormat="1" x14ac:dyDescent="0.25"/>
    <row r="3895" s="42" customFormat="1" x14ac:dyDescent="0.25"/>
    <row r="3896" s="42" customFormat="1" x14ac:dyDescent="0.25"/>
    <row r="3897" s="42" customFormat="1" x14ac:dyDescent="0.25"/>
    <row r="3898" s="42" customFormat="1" x14ac:dyDescent="0.25"/>
    <row r="3899" s="42" customFormat="1" x14ac:dyDescent="0.25"/>
    <row r="3900" s="42" customFormat="1" x14ac:dyDescent="0.25"/>
    <row r="3901" s="42" customFormat="1" x14ac:dyDescent="0.25"/>
    <row r="3902" s="42" customFormat="1" x14ac:dyDescent="0.25"/>
    <row r="3903" s="42" customFormat="1" x14ac:dyDescent="0.25"/>
    <row r="3904" s="42" customFormat="1" x14ac:dyDescent="0.25"/>
    <row r="3905" s="42" customFormat="1" x14ac:dyDescent="0.25"/>
    <row r="3906" s="42" customFormat="1" x14ac:dyDescent="0.25"/>
    <row r="3907" s="42" customFormat="1" x14ac:dyDescent="0.25"/>
    <row r="3908" s="42" customFormat="1" x14ac:dyDescent="0.25"/>
    <row r="3909" s="42" customFormat="1" x14ac:dyDescent="0.25"/>
    <row r="3910" s="42" customFormat="1" x14ac:dyDescent="0.25"/>
    <row r="3911" s="42" customFormat="1" x14ac:dyDescent="0.25"/>
    <row r="3912" s="42" customFormat="1" x14ac:dyDescent="0.25"/>
    <row r="3913" s="42" customFormat="1" x14ac:dyDescent="0.25"/>
    <row r="3914" s="42" customFormat="1" x14ac:dyDescent="0.25"/>
    <row r="3915" s="42" customFormat="1" x14ac:dyDescent="0.25"/>
    <row r="3916" s="42" customFormat="1" x14ac:dyDescent="0.25"/>
    <row r="3917" s="42" customFormat="1" x14ac:dyDescent="0.25"/>
    <row r="3918" s="42" customFormat="1" x14ac:dyDescent="0.25"/>
    <row r="3919" s="42" customFormat="1" x14ac:dyDescent="0.25"/>
    <row r="3920" s="42" customFormat="1" x14ac:dyDescent="0.25"/>
    <row r="3921" s="42" customFormat="1" x14ac:dyDescent="0.25"/>
    <row r="3922" s="42" customFormat="1" x14ac:dyDescent="0.25"/>
    <row r="3923" s="42" customFormat="1" x14ac:dyDescent="0.25"/>
    <row r="3924" s="42" customFormat="1" x14ac:dyDescent="0.25"/>
    <row r="3925" s="42" customFormat="1" x14ac:dyDescent="0.25"/>
    <row r="3926" s="42" customFormat="1" x14ac:dyDescent="0.25"/>
    <row r="3927" s="42" customFormat="1" x14ac:dyDescent="0.25"/>
    <row r="3928" s="42" customFormat="1" x14ac:dyDescent="0.25"/>
    <row r="3929" s="42" customFormat="1" x14ac:dyDescent="0.25"/>
    <row r="3930" s="42" customFormat="1" x14ac:dyDescent="0.25"/>
    <row r="3931" s="42" customFormat="1" x14ac:dyDescent="0.25"/>
    <row r="3932" s="42" customFormat="1" x14ac:dyDescent="0.25"/>
    <row r="3933" s="42" customFormat="1" x14ac:dyDescent="0.25"/>
    <row r="3934" s="42" customFormat="1" x14ac:dyDescent="0.25"/>
    <row r="3935" s="42" customFormat="1" x14ac:dyDescent="0.25"/>
    <row r="3936" s="42" customFormat="1" x14ac:dyDescent="0.25"/>
    <row r="3937" s="42" customFormat="1" x14ac:dyDescent="0.25"/>
    <row r="3938" s="42" customFormat="1" x14ac:dyDescent="0.25"/>
    <row r="3939" s="42" customFormat="1" x14ac:dyDescent="0.25"/>
    <row r="3940" s="42" customFormat="1" x14ac:dyDescent="0.25"/>
    <row r="3941" s="42" customFormat="1" x14ac:dyDescent="0.25"/>
    <row r="3942" s="42" customFormat="1" x14ac:dyDescent="0.25"/>
    <row r="3943" s="42" customFormat="1" x14ac:dyDescent="0.25"/>
    <row r="3944" s="42" customFormat="1" x14ac:dyDescent="0.25"/>
    <row r="3945" s="42" customFormat="1" x14ac:dyDescent="0.25"/>
    <row r="3946" s="42" customFormat="1" x14ac:dyDescent="0.25"/>
    <row r="3947" s="42" customFormat="1" x14ac:dyDescent="0.25"/>
    <row r="3948" s="42" customFormat="1" x14ac:dyDescent="0.25"/>
    <row r="3949" s="42" customFormat="1" x14ac:dyDescent="0.25"/>
    <row r="3950" s="42" customFormat="1" x14ac:dyDescent="0.25"/>
    <row r="3951" s="42" customFormat="1" x14ac:dyDescent="0.25"/>
    <row r="3952" s="42" customFormat="1" x14ac:dyDescent="0.25"/>
    <row r="3953" s="42" customFormat="1" x14ac:dyDescent="0.25"/>
    <row r="3954" s="42" customFormat="1" x14ac:dyDescent="0.25"/>
    <row r="3955" s="42" customFormat="1" x14ac:dyDescent="0.25"/>
    <row r="3956" s="42" customFormat="1" x14ac:dyDescent="0.25"/>
    <row r="3957" s="42" customFormat="1" x14ac:dyDescent="0.25"/>
    <row r="3958" s="42" customFormat="1" x14ac:dyDescent="0.25"/>
    <row r="3959" s="42" customFormat="1" x14ac:dyDescent="0.25"/>
    <row r="3960" s="42" customFormat="1" x14ac:dyDescent="0.25"/>
    <row r="3961" s="42" customFormat="1" x14ac:dyDescent="0.25"/>
    <row r="3962" s="42" customFormat="1" x14ac:dyDescent="0.25"/>
    <row r="3963" s="42" customFormat="1" x14ac:dyDescent="0.25"/>
    <row r="3964" s="42" customFormat="1" x14ac:dyDescent="0.25"/>
    <row r="3965" s="42" customFormat="1" x14ac:dyDescent="0.25"/>
    <row r="3966" s="42" customFormat="1" x14ac:dyDescent="0.25"/>
    <row r="3967" s="42" customFormat="1" x14ac:dyDescent="0.25"/>
    <row r="3968" s="42" customFormat="1" x14ac:dyDescent="0.25"/>
    <row r="3969" s="42" customFormat="1" x14ac:dyDescent="0.25"/>
    <row r="3970" s="42" customFormat="1" x14ac:dyDescent="0.25"/>
    <row r="3971" s="42" customFormat="1" x14ac:dyDescent="0.25"/>
    <row r="3972" s="42" customFormat="1" x14ac:dyDescent="0.25"/>
    <row r="3973" s="42" customFormat="1" x14ac:dyDescent="0.25"/>
    <row r="3974" s="42" customFormat="1" x14ac:dyDescent="0.25"/>
    <row r="3975" s="42" customFormat="1" x14ac:dyDescent="0.25"/>
    <row r="3976" s="42" customFormat="1" x14ac:dyDescent="0.25"/>
    <row r="3977" s="42" customFormat="1" x14ac:dyDescent="0.25"/>
    <row r="3978" s="42" customFormat="1" x14ac:dyDescent="0.25"/>
    <row r="3979" s="42" customFormat="1" x14ac:dyDescent="0.25"/>
    <row r="3980" s="42" customFormat="1" x14ac:dyDescent="0.25"/>
    <row r="3981" s="42" customFormat="1" x14ac:dyDescent="0.25"/>
    <row r="3982" s="42" customFormat="1" x14ac:dyDescent="0.25"/>
    <row r="3983" s="42" customFormat="1" x14ac:dyDescent="0.25"/>
    <row r="3984" s="42" customFormat="1" x14ac:dyDescent="0.25"/>
    <row r="3985" s="42" customFormat="1" x14ac:dyDescent="0.25"/>
    <row r="3986" s="42" customFormat="1" x14ac:dyDescent="0.25"/>
    <row r="3987" s="42" customFormat="1" x14ac:dyDescent="0.25"/>
    <row r="3988" s="42" customFormat="1" x14ac:dyDescent="0.25"/>
    <row r="3989" s="42" customFormat="1" x14ac:dyDescent="0.25"/>
    <row r="3990" s="42" customFormat="1" x14ac:dyDescent="0.25"/>
    <row r="3991" s="42" customFormat="1" x14ac:dyDescent="0.25"/>
    <row r="3992" s="42" customFormat="1" x14ac:dyDescent="0.25"/>
    <row r="3993" s="42" customFormat="1" x14ac:dyDescent="0.25"/>
    <row r="3994" s="42" customFormat="1" x14ac:dyDescent="0.25"/>
    <row r="3995" s="42" customFormat="1" x14ac:dyDescent="0.25"/>
    <row r="3996" s="42" customFormat="1" x14ac:dyDescent="0.25"/>
    <row r="3997" s="42" customFormat="1" x14ac:dyDescent="0.25"/>
    <row r="3998" s="42" customFormat="1" x14ac:dyDescent="0.25"/>
    <row r="3999" s="42" customFormat="1" x14ac:dyDescent="0.25"/>
    <row r="4000" s="42" customFormat="1" x14ac:dyDescent="0.25"/>
    <row r="4001" s="42" customFormat="1" x14ac:dyDescent="0.25"/>
    <row r="4002" s="42" customFormat="1" x14ac:dyDescent="0.25"/>
    <row r="4003" s="42" customFormat="1" x14ac:dyDescent="0.25"/>
    <row r="4004" s="42" customFormat="1" x14ac:dyDescent="0.25"/>
    <row r="4005" s="42" customFormat="1" x14ac:dyDescent="0.25"/>
    <row r="4006" s="42" customFormat="1" x14ac:dyDescent="0.25"/>
    <row r="4007" s="42" customFormat="1" x14ac:dyDescent="0.25"/>
    <row r="4008" s="42" customFormat="1" x14ac:dyDescent="0.25"/>
    <row r="4009" s="42" customFormat="1" x14ac:dyDescent="0.25"/>
    <row r="4010" s="42" customFormat="1" x14ac:dyDescent="0.25"/>
    <row r="4011" s="42" customFormat="1" x14ac:dyDescent="0.25"/>
    <row r="4012" s="42" customFormat="1" x14ac:dyDescent="0.25"/>
    <row r="4013" s="42" customFormat="1" x14ac:dyDescent="0.25"/>
    <row r="4014" s="42" customFormat="1" x14ac:dyDescent="0.25"/>
    <row r="4015" s="42" customFormat="1" x14ac:dyDescent="0.25"/>
    <row r="4016" s="42" customFormat="1" x14ac:dyDescent="0.25"/>
    <row r="4017" s="42" customFormat="1" x14ac:dyDescent="0.25"/>
    <row r="4018" s="42" customFormat="1" x14ac:dyDescent="0.25"/>
    <row r="4019" s="42" customFormat="1" x14ac:dyDescent="0.25"/>
    <row r="4020" s="42" customFormat="1" x14ac:dyDescent="0.25"/>
    <row r="4021" s="42" customFormat="1" x14ac:dyDescent="0.25"/>
    <row r="4022" s="42" customFormat="1" x14ac:dyDescent="0.25"/>
    <row r="4023" s="42" customFormat="1" x14ac:dyDescent="0.25"/>
    <row r="4024" s="42" customFormat="1" x14ac:dyDescent="0.25"/>
    <row r="4025" s="42" customFormat="1" x14ac:dyDescent="0.25"/>
    <row r="4026" s="42" customFormat="1" x14ac:dyDescent="0.25"/>
    <row r="4027" s="42" customFormat="1" x14ac:dyDescent="0.25"/>
    <row r="4028" s="42" customFormat="1" x14ac:dyDescent="0.25"/>
    <row r="4029" s="42" customFormat="1" x14ac:dyDescent="0.25"/>
    <row r="4030" s="42" customFormat="1" x14ac:dyDescent="0.25"/>
    <row r="4031" s="42" customFormat="1" x14ac:dyDescent="0.25"/>
    <row r="4032" s="42" customFormat="1" x14ac:dyDescent="0.25"/>
    <row r="4033" s="42" customFormat="1" x14ac:dyDescent="0.25"/>
    <row r="4034" s="42" customFormat="1" x14ac:dyDescent="0.25"/>
    <row r="4035" s="42" customFormat="1" x14ac:dyDescent="0.25"/>
    <row r="4036" s="42" customFormat="1" x14ac:dyDescent="0.25"/>
    <row r="4037" s="42" customFormat="1" x14ac:dyDescent="0.25"/>
    <row r="4038" s="42" customFormat="1" x14ac:dyDescent="0.25"/>
    <row r="4039" s="42" customFormat="1" x14ac:dyDescent="0.25"/>
    <row r="4040" s="42" customFormat="1" x14ac:dyDescent="0.25"/>
    <row r="4041" s="42" customFormat="1" x14ac:dyDescent="0.25"/>
    <row r="4042" s="42" customFormat="1" x14ac:dyDescent="0.25"/>
    <row r="4043" s="42" customFormat="1" x14ac:dyDescent="0.25"/>
    <row r="4044" s="42" customFormat="1" x14ac:dyDescent="0.25"/>
    <row r="4045" s="42" customFormat="1" x14ac:dyDescent="0.25"/>
    <row r="4046" s="42" customFormat="1" x14ac:dyDescent="0.25"/>
    <row r="4047" s="42" customFormat="1" x14ac:dyDescent="0.25"/>
    <row r="4048" s="42" customFormat="1" x14ac:dyDescent="0.25"/>
    <row r="4049" s="42" customFormat="1" x14ac:dyDescent="0.25"/>
    <row r="4050" s="42" customFormat="1" x14ac:dyDescent="0.25"/>
    <row r="4051" s="42" customFormat="1" x14ac:dyDescent="0.25"/>
    <row r="4052" s="42" customFormat="1" x14ac:dyDescent="0.25"/>
    <row r="4053" s="42" customFormat="1" x14ac:dyDescent="0.25"/>
    <row r="4054" s="42" customFormat="1" x14ac:dyDescent="0.25"/>
    <row r="4055" s="42" customFormat="1" x14ac:dyDescent="0.25"/>
    <row r="4056" s="42" customFormat="1" x14ac:dyDescent="0.25"/>
    <row r="4057" s="42" customFormat="1" x14ac:dyDescent="0.25"/>
    <row r="4058" s="42" customFormat="1" x14ac:dyDescent="0.25"/>
    <row r="4059" s="42" customFormat="1" x14ac:dyDescent="0.25"/>
    <row r="4060" s="42" customFormat="1" x14ac:dyDescent="0.25"/>
    <row r="4061" s="42" customFormat="1" x14ac:dyDescent="0.25"/>
    <row r="4062" s="42" customFormat="1" x14ac:dyDescent="0.25"/>
    <row r="4063" s="42" customFormat="1" x14ac:dyDescent="0.25"/>
    <row r="4064" s="42" customFormat="1" x14ac:dyDescent="0.25"/>
    <row r="4065" s="42" customFormat="1" x14ac:dyDescent="0.25"/>
    <row r="4066" s="42" customFormat="1" x14ac:dyDescent="0.25"/>
    <row r="4067" s="42" customFormat="1" x14ac:dyDescent="0.25"/>
    <row r="4068" s="42" customFormat="1" x14ac:dyDescent="0.25"/>
    <row r="4069" s="42" customFormat="1" x14ac:dyDescent="0.25"/>
    <row r="4070" s="42" customFormat="1" x14ac:dyDescent="0.25"/>
    <row r="4071" s="42" customFormat="1" x14ac:dyDescent="0.25"/>
    <row r="4072" s="42" customFormat="1" x14ac:dyDescent="0.25"/>
    <row r="4073" s="42" customFormat="1" x14ac:dyDescent="0.25"/>
    <row r="4074" s="42" customFormat="1" x14ac:dyDescent="0.25"/>
    <row r="4075" s="42" customFormat="1" x14ac:dyDescent="0.25"/>
    <row r="4076" s="42" customFormat="1" x14ac:dyDescent="0.25"/>
    <row r="4077" s="42" customFormat="1" x14ac:dyDescent="0.25"/>
    <row r="4078" s="42" customFormat="1" x14ac:dyDescent="0.25"/>
    <row r="4079" s="42" customFormat="1" x14ac:dyDescent="0.25"/>
    <row r="4080" s="42" customFormat="1" x14ac:dyDescent="0.25"/>
    <row r="4081" s="42" customFormat="1" x14ac:dyDescent="0.25"/>
    <row r="4082" s="42" customFormat="1" x14ac:dyDescent="0.25"/>
    <row r="4083" s="42" customFormat="1" x14ac:dyDescent="0.25"/>
    <row r="4084" s="42" customFormat="1" x14ac:dyDescent="0.25"/>
    <row r="4085" s="42" customFormat="1" x14ac:dyDescent="0.25"/>
    <row r="4086" s="42" customFormat="1" x14ac:dyDescent="0.25"/>
    <row r="4087" s="42" customFormat="1" x14ac:dyDescent="0.25"/>
    <row r="4088" s="42" customFormat="1" x14ac:dyDescent="0.25"/>
    <row r="4089" s="42" customFormat="1" x14ac:dyDescent="0.25"/>
    <row r="4090" s="42" customFormat="1" x14ac:dyDescent="0.25"/>
    <row r="4091" s="42" customFormat="1" x14ac:dyDescent="0.25"/>
    <row r="4092" s="42" customFormat="1" x14ac:dyDescent="0.25"/>
    <row r="4093" s="42" customFormat="1" x14ac:dyDescent="0.25"/>
    <row r="4094" s="42" customFormat="1" x14ac:dyDescent="0.25"/>
    <row r="4095" s="42" customFormat="1" x14ac:dyDescent="0.25"/>
    <row r="4096" s="42" customFormat="1" x14ac:dyDescent="0.25"/>
    <row r="4097" s="42" customFormat="1" x14ac:dyDescent="0.25"/>
    <row r="4098" s="42" customFormat="1" x14ac:dyDescent="0.25"/>
    <row r="4099" s="42" customFormat="1" x14ac:dyDescent="0.25"/>
    <row r="4100" s="42" customFormat="1" x14ac:dyDescent="0.25"/>
    <row r="4101" s="42" customFormat="1" x14ac:dyDescent="0.25"/>
    <row r="4102" s="42" customFormat="1" x14ac:dyDescent="0.25"/>
    <row r="4103" s="42" customFormat="1" x14ac:dyDescent="0.25"/>
    <row r="4104" s="42" customFormat="1" x14ac:dyDescent="0.25"/>
    <row r="4105" s="42" customFormat="1" x14ac:dyDescent="0.25"/>
    <row r="4106" s="42" customFormat="1" x14ac:dyDescent="0.25"/>
    <row r="4107" s="42" customFormat="1" x14ac:dyDescent="0.25"/>
    <row r="4108" s="42" customFormat="1" x14ac:dyDescent="0.25"/>
    <row r="4109" s="42" customFormat="1" x14ac:dyDescent="0.25"/>
    <row r="4110" s="42" customFormat="1" x14ac:dyDescent="0.25"/>
    <row r="4111" s="42" customFormat="1" x14ac:dyDescent="0.25"/>
    <row r="4112" s="42" customFormat="1" x14ac:dyDescent="0.25"/>
    <row r="4113" s="42" customFormat="1" x14ac:dyDescent="0.25"/>
    <row r="4114" s="42" customFormat="1" x14ac:dyDescent="0.25"/>
    <row r="4115" s="42" customFormat="1" x14ac:dyDescent="0.25"/>
    <row r="4116" s="42" customFormat="1" x14ac:dyDescent="0.25"/>
    <row r="4117" s="42" customFormat="1" x14ac:dyDescent="0.25"/>
    <row r="4118" s="42" customFormat="1" x14ac:dyDescent="0.25"/>
    <row r="4119" s="42" customFormat="1" x14ac:dyDescent="0.25"/>
    <row r="4120" s="42" customFormat="1" x14ac:dyDescent="0.25"/>
    <row r="4121" s="42" customFormat="1" x14ac:dyDescent="0.25"/>
    <row r="4122" s="42" customFormat="1" x14ac:dyDescent="0.25"/>
    <row r="4123" s="42" customFormat="1" x14ac:dyDescent="0.25"/>
    <row r="4124" s="42" customFormat="1" x14ac:dyDescent="0.25"/>
    <row r="4125" s="42" customFormat="1" x14ac:dyDescent="0.25"/>
    <row r="4126" s="42" customFormat="1" x14ac:dyDescent="0.25"/>
    <row r="4127" s="42" customFormat="1" x14ac:dyDescent="0.25"/>
    <row r="4128" s="42" customFormat="1" x14ac:dyDescent="0.25"/>
    <row r="4129" s="42" customFormat="1" x14ac:dyDescent="0.25"/>
    <row r="4130" s="42" customFormat="1" x14ac:dyDescent="0.25"/>
    <row r="4131" s="42" customFormat="1" x14ac:dyDescent="0.25"/>
    <row r="4132" s="42" customFormat="1" x14ac:dyDescent="0.25"/>
    <row r="4133" s="42" customFormat="1" x14ac:dyDescent="0.25"/>
    <row r="4134" s="42" customFormat="1" x14ac:dyDescent="0.25"/>
    <row r="4135" s="42" customFormat="1" x14ac:dyDescent="0.25"/>
    <row r="4136" s="42" customFormat="1" x14ac:dyDescent="0.25"/>
    <row r="4137" s="42" customFormat="1" x14ac:dyDescent="0.25"/>
    <row r="4138" s="42" customFormat="1" x14ac:dyDescent="0.25"/>
    <row r="4139" s="42" customFormat="1" x14ac:dyDescent="0.25"/>
    <row r="4140" s="42" customFormat="1" x14ac:dyDescent="0.25"/>
    <row r="4141" s="42" customFormat="1" x14ac:dyDescent="0.25"/>
    <row r="4142" s="42" customFormat="1" x14ac:dyDescent="0.25"/>
    <row r="4143" s="42" customFormat="1" x14ac:dyDescent="0.25"/>
    <row r="4144" s="42" customFormat="1" x14ac:dyDescent="0.25"/>
    <row r="4145" s="42" customFormat="1" x14ac:dyDescent="0.25"/>
    <row r="4146" s="42" customFormat="1" x14ac:dyDescent="0.25"/>
    <row r="4147" s="42" customFormat="1" x14ac:dyDescent="0.25"/>
    <row r="4148" s="42" customFormat="1" x14ac:dyDescent="0.25"/>
    <row r="4149" s="42" customFormat="1" x14ac:dyDescent="0.25"/>
    <row r="4150" s="42" customFormat="1" x14ac:dyDescent="0.25"/>
    <row r="4151" s="42" customFormat="1" x14ac:dyDescent="0.25"/>
    <row r="4152" s="42" customFormat="1" x14ac:dyDescent="0.25"/>
    <row r="4153" s="42" customFormat="1" x14ac:dyDescent="0.25"/>
    <row r="4154" s="42" customFormat="1" x14ac:dyDescent="0.25"/>
    <row r="4155" s="42" customFormat="1" x14ac:dyDescent="0.25"/>
    <row r="4156" s="42" customFormat="1" x14ac:dyDescent="0.25"/>
    <row r="4157" s="42" customFormat="1" x14ac:dyDescent="0.25"/>
    <row r="4158" s="42" customFormat="1" x14ac:dyDescent="0.25"/>
    <row r="4159" s="42" customFormat="1" x14ac:dyDescent="0.25"/>
    <row r="4160" s="42" customFormat="1" x14ac:dyDescent="0.25"/>
    <row r="4161" s="42" customFormat="1" x14ac:dyDescent="0.25"/>
    <row r="4162" s="42" customFormat="1" x14ac:dyDescent="0.25"/>
    <row r="4163" s="42" customFormat="1" x14ac:dyDescent="0.25"/>
    <row r="4164" s="42" customFormat="1" x14ac:dyDescent="0.25"/>
    <row r="4165" s="42" customFormat="1" x14ac:dyDescent="0.25"/>
    <row r="4166" s="42" customFormat="1" x14ac:dyDescent="0.25"/>
    <row r="4167" s="42" customFormat="1" x14ac:dyDescent="0.25"/>
    <row r="4168" s="42" customFormat="1" x14ac:dyDescent="0.25"/>
    <row r="4169" s="42" customFormat="1" x14ac:dyDescent="0.25"/>
    <row r="4170" s="42" customFormat="1" x14ac:dyDescent="0.25"/>
    <row r="4171" s="42" customFormat="1" x14ac:dyDescent="0.25"/>
    <row r="4172" s="42" customFormat="1" x14ac:dyDescent="0.25"/>
    <row r="4173" s="42" customFormat="1" x14ac:dyDescent="0.25"/>
    <row r="4174" s="42" customFormat="1" x14ac:dyDescent="0.25"/>
    <row r="4175" s="42" customFormat="1" x14ac:dyDescent="0.25"/>
    <row r="4176" s="42" customFormat="1" x14ac:dyDescent="0.25"/>
    <row r="4177" s="42" customFormat="1" x14ac:dyDescent="0.25"/>
    <row r="4178" s="42" customFormat="1" x14ac:dyDescent="0.25"/>
    <row r="4179" s="42" customFormat="1" x14ac:dyDescent="0.25"/>
    <row r="4180" s="42" customFormat="1" x14ac:dyDescent="0.25"/>
    <row r="4181" s="42" customFormat="1" x14ac:dyDescent="0.25"/>
    <row r="4182" s="42" customFormat="1" x14ac:dyDescent="0.25"/>
    <row r="4183" s="42" customFormat="1" x14ac:dyDescent="0.25"/>
    <row r="4184" s="42" customFormat="1" x14ac:dyDescent="0.25"/>
    <row r="4185" s="42" customFormat="1" x14ac:dyDescent="0.25"/>
    <row r="4186" s="42" customFormat="1" x14ac:dyDescent="0.25"/>
    <row r="4187" s="42" customFormat="1" x14ac:dyDescent="0.25"/>
    <row r="4188" s="42" customFormat="1" x14ac:dyDescent="0.25"/>
    <row r="4189" s="42" customFormat="1" x14ac:dyDescent="0.25"/>
    <row r="4190" s="42" customFormat="1" x14ac:dyDescent="0.25"/>
    <row r="4191" s="42" customFormat="1" x14ac:dyDescent="0.25"/>
    <row r="4192" s="42" customFormat="1" x14ac:dyDescent="0.25"/>
    <row r="4193" s="42" customFormat="1" x14ac:dyDescent="0.25"/>
    <row r="4194" s="42" customFormat="1" x14ac:dyDescent="0.25"/>
    <row r="4195" s="42" customFormat="1" x14ac:dyDescent="0.25"/>
    <row r="4196" s="42" customFormat="1" x14ac:dyDescent="0.25"/>
    <row r="4197" s="42" customFormat="1" x14ac:dyDescent="0.25"/>
    <row r="4198" s="42" customFormat="1" x14ac:dyDescent="0.25"/>
    <row r="4199" s="42" customFormat="1" x14ac:dyDescent="0.25"/>
    <row r="4200" s="42" customFormat="1" x14ac:dyDescent="0.25"/>
    <row r="4201" s="42" customFormat="1" x14ac:dyDescent="0.25"/>
    <row r="4202" s="42" customFormat="1" x14ac:dyDescent="0.25"/>
    <row r="4203" s="42" customFormat="1" x14ac:dyDescent="0.25"/>
    <row r="4204" s="42" customFormat="1" x14ac:dyDescent="0.25"/>
    <row r="4205" s="42" customFormat="1" x14ac:dyDescent="0.25"/>
    <row r="4206" s="42" customFormat="1" x14ac:dyDescent="0.25"/>
    <row r="4207" s="42" customFormat="1" x14ac:dyDescent="0.25"/>
    <row r="4208" s="42" customFormat="1" x14ac:dyDescent="0.25"/>
    <row r="4209" s="42" customFormat="1" x14ac:dyDescent="0.25"/>
    <row r="4210" s="42" customFormat="1" x14ac:dyDescent="0.25"/>
    <row r="4211" s="42" customFormat="1" x14ac:dyDescent="0.25"/>
    <row r="4212" s="42" customFormat="1" x14ac:dyDescent="0.25"/>
    <row r="4213" s="42" customFormat="1" x14ac:dyDescent="0.25"/>
    <row r="4214" s="42" customFormat="1" x14ac:dyDescent="0.25"/>
    <row r="4215" s="42" customFormat="1" x14ac:dyDescent="0.25"/>
    <row r="4216" s="42" customFormat="1" x14ac:dyDescent="0.25"/>
    <row r="4217" s="42" customFormat="1" x14ac:dyDescent="0.25"/>
    <row r="4218" s="42" customFormat="1" x14ac:dyDescent="0.25"/>
    <row r="4219" s="42" customFormat="1" x14ac:dyDescent="0.25"/>
    <row r="4220" s="42" customFormat="1" x14ac:dyDescent="0.25"/>
    <row r="4221" s="42" customFormat="1" x14ac:dyDescent="0.25"/>
    <row r="4222" s="42" customFormat="1" x14ac:dyDescent="0.25"/>
    <row r="4223" s="42" customFormat="1" x14ac:dyDescent="0.25"/>
    <row r="4224" s="42" customFormat="1" x14ac:dyDescent="0.25"/>
    <row r="4225" s="42" customFormat="1" x14ac:dyDescent="0.25"/>
    <row r="4226" s="42" customFormat="1" x14ac:dyDescent="0.25"/>
    <row r="4227" s="42" customFormat="1" x14ac:dyDescent="0.25"/>
    <row r="4228" s="42" customFormat="1" x14ac:dyDescent="0.25"/>
    <row r="4229" s="42" customFormat="1" x14ac:dyDescent="0.25"/>
    <row r="4230" s="42" customFormat="1" x14ac:dyDescent="0.25"/>
    <row r="4231" s="42" customFormat="1" x14ac:dyDescent="0.25"/>
    <row r="4232" s="42" customFormat="1" x14ac:dyDescent="0.25"/>
    <row r="4233" s="42" customFormat="1" x14ac:dyDescent="0.25"/>
    <row r="4234" s="42" customFormat="1" x14ac:dyDescent="0.25"/>
    <row r="4235" s="42" customFormat="1" x14ac:dyDescent="0.25"/>
    <row r="4236" s="42" customFormat="1" x14ac:dyDescent="0.25"/>
    <row r="4237" s="42" customFormat="1" x14ac:dyDescent="0.25"/>
    <row r="4238" s="42" customFormat="1" x14ac:dyDescent="0.25"/>
    <row r="4239" s="42" customFormat="1" x14ac:dyDescent="0.25"/>
    <row r="4240" s="42" customFormat="1" x14ac:dyDescent="0.25"/>
    <row r="4241" s="42" customFormat="1" x14ac:dyDescent="0.25"/>
    <row r="4242" s="42" customFormat="1" x14ac:dyDescent="0.25"/>
    <row r="4243" s="42" customFormat="1" x14ac:dyDescent="0.25"/>
    <row r="4244" s="42" customFormat="1" x14ac:dyDescent="0.25"/>
    <row r="4245" s="42" customFormat="1" x14ac:dyDescent="0.25"/>
    <row r="4246" s="42" customFormat="1" x14ac:dyDescent="0.25"/>
    <row r="4247" s="42" customFormat="1" x14ac:dyDescent="0.25"/>
    <row r="4248" s="42" customFormat="1" x14ac:dyDescent="0.25"/>
    <row r="4249" s="42" customFormat="1" x14ac:dyDescent="0.25"/>
    <row r="4250" s="42" customFormat="1" x14ac:dyDescent="0.25"/>
    <row r="4251" s="42" customFormat="1" x14ac:dyDescent="0.25"/>
    <row r="4252" s="42" customFormat="1" x14ac:dyDescent="0.25"/>
    <row r="4253" s="42" customFormat="1" x14ac:dyDescent="0.25"/>
    <row r="4254" s="42" customFormat="1" x14ac:dyDescent="0.25"/>
    <row r="4255" s="42" customFormat="1" x14ac:dyDescent="0.25"/>
    <row r="4256" s="42" customFormat="1" x14ac:dyDescent="0.25"/>
    <row r="4257" s="42" customFormat="1" x14ac:dyDescent="0.25"/>
    <row r="4258" s="42" customFormat="1" x14ac:dyDescent="0.25"/>
    <row r="4259" s="42" customFormat="1" x14ac:dyDescent="0.25"/>
    <row r="4260" s="42" customFormat="1" x14ac:dyDescent="0.25"/>
    <row r="4261" s="42" customFormat="1" x14ac:dyDescent="0.25"/>
    <row r="4262" s="42" customFormat="1" x14ac:dyDescent="0.25"/>
    <row r="4263" s="42" customFormat="1" x14ac:dyDescent="0.25"/>
    <row r="4264" s="42" customFormat="1" x14ac:dyDescent="0.25"/>
    <row r="4265" s="42" customFormat="1" x14ac:dyDescent="0.25"/>
    <row r="4266" s="42" customFormat="1" x14ac:dyDescent="0.25"/>
    <row r="4267" s="42" customFormat="1" x14ac:dyDescent="0.25"/>
    <row r="4268" s="42" customFormat="1" x14ac:dyDescent="0.25"/>
    <row r="4269" s="42" customFormat="1" x14ac:dyDescent="0.25"/>
    <row r="4270" s="42" customFormat="1" x14ac:dyDescent="0.25"/>
    <row r="4271" s="42" customFormat="1" x14ac:dyDescent="0.25"/>
    <row r="4272" s="42" customFormat="1" x14ac:dyDescent="0.25"/>
    <row r="4273" s="42" customFormat="1" x14ac:dyDescent="0.25"/>
    <row r="4274" s="42" customFormat="1" x14ac:dyDescent="0.25"/>
    <row r="4275" s="42" customFormat="1" x14ac:dyDescent="0.25"/>
    <row r="4276" s="42" customFormat="1" x14ac:dyDescent="0.25"/>
    <row r="4277" s="42" customFormat="1" x14ac:dyDescent="0.25"/>
    <row r="4278" s="42" customFormat="1" x14ac:dyDescent="0.25"/>
    <row r="4279" s="42" customFormat="1" x14ac:dyDescent="0.25"/>
    <row r="4280" s="42" customFormat="1" x14ac:dyDescent="0.25"/>
    <row r="4281" s="42" customFormat="1" x14ac:dyDescent="0.25"/>
    <row r="4282" s="42" customFormat="1" x14ac:dyDescent="0.25"/>
    <row r="4283" s="42" customFormat="1" x14ac:dyDescent="0.25"/>
    <row r="4284" s="42" customFormat="1" x14ac:dyDescent="0.25"/>
    <row r="4285" s="42" customFormat="1" x14ac:dyDescent="0.25"/>
    <row r="4286" s="42" customFormat="1" x14ac:dyDescent="0.25"/>
    <row r="4287" s="42" customFormat="1" x14ac:dyDescent="0.25"/>
    <row r="4288" s="42" customFormat="1" x14ac:dyDescent="0.25"/>
    <row r="4289" s="42" customFormat="1" x14ac:dyDescent="0.25"/>
    <row r="4290" s="42" customFormat="1" x14ac:dyDescent="0.25"/>
    <row r="4291" s="42" customFormat="1" x14ac:dyDescent="0.25"/>
    <row r="4292" s="42" customFormat="1" x14ac:dyDescent="0.25"/>
    <row r="4293" s="42" customFormat="1" x14ac:dyDescent="0.25"/>
    <row r="4294" s="42" customFormat="1" x14ac:dyDescent="0.25"/>
    <row r="4295" s="42" customFormat="1" x14ac:dyDescent="0.25"/>
    <row r="4296" s="42" customFormat="1" x14ac:dyDescent="0.25"/>
    <row r="4297" s="42" customFormat="1" x14ac:dyDescent="0.25"/>
    <row r="4298" s="42" customFormat="1" x14ac:dyDescent="0.25"/>
    <row r="4299" s="42" customFormat="1" x14ac:dyDescent="0.25"/>
    <row r="4300" s="42" customFormat="1" x14ac:dyDescent="0.25"/>
    <row r="4301" s="42" customFormat="1" x14ac:dyDescent="0.25"/>
    <row r="4302" s="42" customFormat="1" x14ac:dyDescent="0.25"/>
    <row r="4303" s="42" customFormat="1" x14ac:dyDescent="0.25"/>
    <row r="4304" s="42" customFormat="1" x14ac:dyDescent="0.25"/>
    <row r="4305" s="42" customFormat="1" x14ac:dyDescent="0.25"/>
    <row r="4306" s="42" customFormat="1" x14ac:dyDescent="0.25"/>
    <row r="4307" s="42" customFormat="1" x14ac:dyDescent="0.25"/>
    <row r="4308" s="42" customFormat="1" x14ac:dyDescent="0.25"/>
    <row r="4309" s="42" customFormat="1" x14ac:dyDescent="0.25"/>
    <row r="4310" s="42" customFormat="1" x14ac:dyDescent="0.25"/>
    <row r="4311" s="42" customFormat="1" x14ac:dyDescent="0.25"/>
    <row r="4312" s="42" customFormat="1" x14ac:dyDescent="0.25"/>
    <row r="4313" s="42" customFormat="1" x14ac:dyDescent="0.25"/>
    <row r="4314" s="42" customFormat="1" x14ac:dyDescent="0.25"/>
    <row r="4315" s="42" customFormat="1" x14ac:dyDescent="0.25"/>
    <row r="4316" s="42" customFormat="1" x14ac:dyDescent="0.25"/>
    <row r="4317" s="42" customFormat="1" x14ac:dyDescent="0.25"/>
    <row r="4318" s="42" customFormat="1" x14ac:dyDescent="0.25"/>
    <row r="4319" s="42" customFormat="1" x14ac:dyDescent="0.25"/>
    <row r="4320" s="42" customFormat="1" x14ac:dyDescent="0.25"/>
    <row r="4321" s="42" customFormat="1" x14ac:dyDescent="0.25"/>
    <row r="4322" s="42" customFormat="1" x14ac:dyDescent="0.25"/>
    <row r="4323" s="42" customFormat="1" x14ac:dyDescent="0.25"/>
    <row r="4324" s="42" customFormat="1" x14ac:dyDescent="0.25"/>
    <row r="4325" s="42" customFormat="1" x14ac:dyDescent="0.25"/>
    <row r="4326" s="42" customFormat="1" x14ac:dyDescent="0.25"/>
    <row r="4327" s="42" customFormat="1" x14ac:dyDescent="0.25"/>
    <row r="4328" s="42" customFormat="1" x14ac:dyDescent="0.25"/>
    <row r="4329" s="42" customFormat="1" x14ac:dyDescent="0.25"/>
    <row r="4330" s="42" customFormat="1" x14ac:dyDescent="0.25"/>
    <row r="4331" s="42" customFormat="1" x14ac:dyDescent="0.25"/>
    <row r="4332" s="42" customFormat="1" x14ac:dyDescent="0.25"/>
    <row r="4333" s="42" customFormat="1" x14ac:dyDescent="0.25"/>
    <row r="4334" s="42" customFormat="1" x14ac:dyDescent="0.25"/>
    <row r="4335" s="42" customFormat="1" x14ac:dyDescent="0.25"/>
    <row r="4336" s="42" customFormat="1" x14ac:dyDescent="0.25"/>
    <row r="4337" s="42" customFormat="1" x14ac:dyDescent="0.25"/>
    <row r="4338" s="42" customFormat="1" x14ac:dyDescent="0.25"/>
    <row r="4339" s="42" customFormat="1" x14ac:dyDescent="0.25"/>
    <row r="4340" s="42" customFormat="1" x14ac:dyDescent="0.25"/>
    <row r="4341" s="42" customFormat="1" x14ac:dyDescent="0.25"/>
    <row r="4342" s="42" customFormat="1" x14ac:dyDescent="0.25"/>
    <row r="4343" s="42" customFormat="1" x14ac:dyDescent="0.25"/>
    <row r="4344" s="42" customFormat="1" x14ac:dyDescent="0.25"/>
    <row r="4345" s="42" customFormat="1" x14ac:dyDescent="0.25"/>
    <row r="4346" s="42" customFormat="1" x14ac:dyDescent="0.25"/>
    <row r="4347" s="42" customFormat="1" x14ac:dyDescent="0.25"/>
    <row r="4348" s="42" customFormat="1" x14ac:dyDescent="0.25"/>
    <row r="4349" s="42" customFormat="1" x14ac:dyDescent="0.25"/>
    <row r="4350" s="42" customFormat="1" x14ac:dyDescent="0.25"/>
    <row r="4351" s="42" customFormat="1" x14ac:dyDescent="0.25"/>
    <row r="4352" s="42" customFormat="1" x14ac:dyDescent="0.25"/>
    <row r="4353" s="42" customFormat="1" x14ac:dyDescent="0.25"/>
    <row r="4354" s="42" customFormat="1" x14ac:dyDescent="0.25"/>
    <row r="4355" s="42" customFormat="1" x14ac:dyDescent="0.25"/>
    <row r="4356" s="42" customFormat="1" x14ac:dyDescent="0.25"/>
    <row r="4357" s="42" customFormat="1" x14ac:dyDescent="0.25"/>
    <row r="4358" s="42" customFormat="1" x14ac:dyDescent="0.25"/>
    <row r="4359" s="42" customFormat="1" x14ac:dyDescent="0.25"/>
    <row r="4360" s="42" customFormat="1" x14ac:dyDescent="0.25"/>
    <row r="4361" s="42" customFormat="1" x14ac:dyDescent="0.25"/>
    <row r="4362" s="42" customFormat="1" x14ac:dyDescent="0.25"/>
    <row r="4363" s="42" customFormat="1" x14ac:dyDescent="0.25"/>
    <row r="4364" s="42" customFormat="1" x14ac:dyDescent="0.25"/>
    <row r="4365" s="42" customFormat="1" x14ac:dyDescent="0.25"/>
    <row r="4366" s="42" customFormat="1" x14ac:dyDescent="0.25"/>
    <row r="4367" s="42" customFormat="1" x14ac:dyDescent="0.25"/>
    <row r="4368" s="42" customFormat="1" x14ac:dyDescent="0.25"/>
    <row r="4369" s="42" customFormat="1" x14ac:dyDescent="0.25"/>
    <row r="4370" s="42" customFormat="1" x14ac:dyDescent="0.25"/>
    <row r="4371" s="42" customFormat="1" x14ac:dyDescent="0.25"/>
    <row r="4372" s="42" customFormat="1" x14ac:dyDescent="0.25"/>
    <row r="4373" s="42" customFormat="1" x14ac:dyDescent="0.25"/>
    <row r="4374" s="42" customFormat="1" x14ac:dyDescent="0.25"/>
    <row r="4375" s="42" customFormat="1" x14ac:dyDescent="0.25"/>
    <row r="4376" s="42" customFormat="1" x14ac:dyDescent="0.25"/>
    <row r="4377" s="42" customFormat="1" x14ac:dyDescent="0.25"/>
    <row r="4378" s="42" customFormat="1" x14ac:dyDescent="0.25"/>
    <row r="4379" s="42" customFormat="1" x14ac:dyDescent="0.25"/>
    <row r="4380" s="42" customFormat="1" x14ac:dyDescent="0.25"/>
    <row r="4381" s="42" customFormat="1" x14ac:dyDescent="0.25"/>
    <row r="4382" s="42" customFormat="1" x14ac:dyDescent="0.25"/>
    <row r="4383" s="42" customFormat="1" x14ac:dyDescent="0.25"/>
    <row r="4384" s="42" customFormat="1" x14ac:dyDescent="0.25"/>
    <row r="4385" s="42" customFormat="1" x14ac:dyDescent="0.25"/>
    <row r="4386" s="42" customFormat="1" x14ac:dyDescent="0.25"/>
    <row r="4387" s="42" customFormat="1" x14ac:dyDescent="0.25"/>
    <row r="4388" s="42" customFormat="1" x14ac:dyDescent="0.25"/>
    <row r="4389" s="42" customFormat="1" x14ac:dyDescent="0.25"/>
    <row r="4390" s="42" customFormat="1" x14ac:dyDescent="0.25"/>
    <row r="4391" s="42" customFormat="1" x14ac:dyDescent="0.25"/>
    <row r="4392" s="42" customFormat="1" x14ac:dyDescent="0.25"/>
    <row r="4393" s="42" customFormat="1" x14ac:dyDescent="0.25"/>
    <row r="4394" s="42" customFormat="1" x14ac:dyDescent="0.25"/>
    <row r="4395" s="42" customFormat="1" x14ac:dyDescent="0.25"/>
    <row r="4396" s="42" customFormat="1" x14ac:dyDescent="0.25"/>
    <row r="4397" s="42" customFormat="1" x14ac:dyDescent="0.25"/>
    <row r="4398" s="42" customFormat="1" x14ac:dyDescent="0.25"/>
    <row r="4399" s="42" customFormat="1" x14ac:dyDescent="0.25"/>
    <row r="4400" s="42" customFormat="1" x14ac:dyDescent="0.25"/>
    <row r="4401" s="42" customFormat="1" x14ac:dyDescent="0.25"/>
    <row r="4402" s="42" customFormat="1" x14ac:dyDescent="0.25"/>
    <row r="4403" s="42" customFormat="1" x14ac:dyDescent="0.25"/>
    <row r="4404" s="42" customFormat="1" x14ac:dyDescent="0.25"/>
    <row r="4405" s="42" customFormat="1" x14ac:dyDescent="0.25"/>
    <row r="4406" s="42" customFormat="1" x14ac:dyDescent="0.25"/>
    <row r="4407" s="42" customFormat="1" x14ac:dyDescent="0.25"/>
    <row r="4408" s="42" customFormat="1" x14ac:dyDescent="0.25"/>
    <row r="4409" s="42" customFormat="1" x14ac:dyDescent="0.25"/>
    <row r="4410" s="42" customFormat="1" x14ac:dyDescent="0.25"/>
    <row r="4411" s="42" customFormat="1" x14ac:dyDescent="0.25"/>
    <row r="4412" s="42" customFormat="1" x14ac:dyDescent="0.25"/>
    <row r="4413" s="42" customFormat="1" x14ac:dyDescent="0.25"/>
    <row r="4414" s="42" customFormat="1" x14ac:dyDescent="0.25"/>
    <row r="4415" s="42" customFormat="1" x14ac:dyDescent="0.25"/>
    <row r="4416" s="42" customFormat="1" x14ac:dyDescent="0.25"/>
    <row r="4417" s="42" customFormat="1" x14ac:dyDescent="0.25"/>
    <row r="4418" s="42" customFormat="1" x14ac:dyDescent="0.25"/>
    <row r="4419" s="42" customFormat="1" x14ac:dyDescent="0.25"/>
    <row r="4420" s="42" customFormat="1" x14ac:dyDescent="0.25"/>
    <row r="4421" s="42" customFormat="1" x14ac:dyDescent="0.25"/>
    <row r="4422" s="42" customFormat="1" x14ac:dyDescent="0.25"/>
    <row r="4423" s="42" customFormat="1" x14ac:dyDescent="0.25"/>
    <row r="4424" s="42" customFormat="1" x14ac:dyDescent="0.25"/>
    <row r="4425" s="42" customFormat="1" x14ac:dyDescent="0.25"/>
    <row r="4426" s="42" customFormat="1" x14ac:dyDescent="0.25"/>
    <row r="4427" s="42" customFormat="1" x14ac:dyDescent="0.25"/>
    <row r="4428" s="42" customFormat="1" x14ac:dyDescent="0.25"/>
    <row r="4429" s="42" customFormat="1" x14ac:dyDescent="0.25"/>
    <row r="4430" s="42" customFormat="1" x14ac:dyDescent="0.25"/>
    <row r="4431" s="42" customFormat="1" x14ac:dyDescent="0.25"/>
    <row r="4432" s="42" customFormat="1" x14ac:dyDescent="0.25"/>
    <row r="4433" s="42" customFormat="1" x14ac:dyDescent="0.25"/>
    <row r="4434" s="42" customFormat="1" x14ac:dyDescent="0.25"/>
    <row r="4435" s="42" customFormat="1" x14ac:dyDescent="0.25"/>
    <row r="4436" s="42" customFormat="1" x14ac:dyDescent="0.25"/>
    <row r="4437" s="42" customFormat="1" x14ac:dyDescent="0.25"/>
    <row r="4438" s="42" customFormat="1" x14ac:dyDescent="0.25"/>
    <row r="4439" s="42" customFormat="1" x14ac:dyDescent="0.25"/>
    <row r="4440" s="42" customFormat="1" x14ac:dyDescent="0.25"/>
    <row r="4441" s="42" customFormat="1" x14ac:dyDescent="0.25"/>
    <row r="4442" s="42" customFormat="1" x14ac:dyDescent="0.25"/>
    <row r="4443" s="42" customFormat="1" x14ac:dyDescent="0.25"/>
    <row r="4444" s="42" customFormat="1" x14ac:dyDescent="0.25"/>
    <row r="4445" s="42" customFormat="1" x14ac:dyDescent="0.25"/>
    <row r="4446" s="42" customFormat="1" x14ac:dyDescent="0.25"/>
    <row r="4447" s="42" customFormat="1" x14ac:dyDescent="0.25"/>
    <row r="4448" s="42" customFormat="1" x14ac:dyDescent="0.25"/>
    <row r="4449" s="42" customFormat="1" x14ac:dyDescent="0.25"/>
    <row r="4450" s="42" customFormat="1" x14ac:dyDescent="0.25"/>
    <row r="4451" s="42" customFormat="1" x14ac:dyDescent="0.25"/>
    <row r="4452" s="42" customFormat="1" x14ac:dyDescent="0.25"/>
    <row r="4453" s="42" customFormat="1" x14ac:dyDescent="0.25"/>
    <row r="4454" s="42" customFormat="1" x14ac:dyDescent="0.25"/>
    <row r="4455" s="42" customFormat="1" x14ac:dyDescent="0.25"/>
    <row r="4456" s="42" customFormat="1" x14ac:dyDescent="0.25"/>
    <row r="4457" s="42" customFormat="1" x14ac:dyDescent="0.25"/>
    <row r="4458" s="42" customFormat="1" x14ac:dyDescent="0.25"/>
    <row r="4459" s="42" customFormat="1" x14ac:dyDescent="0.25"/>
    <row r="4460" s="42" customFormat="1" x14ac:dyDescent="0.25"/>
    <row r="4461" s="42" customFormat="1" x14ac:dyDescent="0.25"/>
    <row r="4462" s="42" customFormat="1" x14ac:dyDescent="0.25"/>
    <row r="4463" s="42" customFormat="1" x14ac:dyDescent="0.25"/>
    <row r="4464" s="42" customFormat="1" x14ac:dyDescent="0.25"/>
    <row r="4465" s="42" customFormat="1" x14ac:dyDescent="0.25"/>
    <row r="4466" s="42" customFormat="1" x14ac:dyDescent="0.25"/>
    <row r="4467" s="42" customFormat="1" x14ac:dyDescent="0.25"/>
    <row r="4468" s="42" customFormat="1" x14ac:dyDescent="0.25"/>
    <row r="4469" s="42" customFormat="1" x14ac:dyDescent="0.25"/>
    <row r="4470" s="42" customFormat="1" x14ac:dyDescent="0.25"/>
    <row r="4471" s="42" customFormat="1" x14ac:dyDescent="0.25"/>
    <row r="4472" s="42" customFormat="1" x14ac:dyDescent="0.25"/>
    <row r="4473" s="42" customFormat="1" x14ac:dyDescent="0.25"/>
    <row r="4474" s="42" customFormat="1" x14ac:dyDescent="0.25"/>
    <row r="4475" s="42" customFormat="1" x14ac:dyDescent="0.25"/>
    <row r="4476" s="42" customFormat="1" x14ac:dyDescent="0.25"/>
    <row r="4477" s="42" customFormat="1" x14ac:dyDescent="0.25"/>
    <row r="4478" s="42" customFormat="1" x14ac:dyDescent="0.25"/>
    <row r="4479" s="42" customFormat="1" x14ac:dyDescent="0.25"/>
    <row r="4480" s="42" customFormat="1" x14ac:dyDescent="0.25"/>
    <row r="4481" s="42" customFormat="1" x14ac:dyDescent="0.25"/>
    <row r="4482" s="42" customFormat="1" x14ac:dyDescent="0.25"/>
    <row r="4483" s="42" customFormat="1" x14ac:dyDescent="0.25"/>
    <row r="4484" s="42" customFormat="1" x14ac:dyDescent="0.25"/>
    <row r="4485" s="42" customFormat="1" x14ac:dyDescent="0.25"/>
    <row r="4486" s="42" customFormat="1" x14ac:dyDescent="0.25"/>
    <row r="4487" s="42" customFormat="1" x14ac:dyDescent="0.25"/>
    <row r="4488" s="42" customFormat="1" x14ac:dyDescent="0.25"/>
    <row r="4489" s="42" customFormat="1" x14ac:dyDescent="0.25"/>
    <row r="4490" s="42" customFormat="1" x14ac:dyDescent="0.25"/>
    <row r="4491" s="42" customFormat="1" x14ac:dyDescent="0.25"/>
    <row r="4492" s="42" customFormat="1" x14ac:dyDescent="0.25"/>
    <row r="4493" s="42" customFormat="1" x14ac:dyDescent="0.25"/>
    <row r="4494" s="42" customFormat="1" x14ac:dyDescent="0.25"/>
    <row r="4495" s="42" customFormat="1" x14ac:dyDescent="0.25"/>
    <row r="4496" s="42" customFormat="1" x14ac:dyDescent="0.25"/>
    <row r="4497" s="42" customFormat="1" x14ac:dyDescent="0.25"/>
    <row r="4498" s="42" customFormat="1" x14ac:dyDescent="0.25"/>
    <row r="4499" s="42" customFormat="1" x14ac:dyDescent="0.25"/>
    <row r="4500" s="42" customFormat="1" x14ac:dyDescent="0.25"/>
    <row r="4501" s="42" customFormat="1" x14ac:dyDescent="0.25"/>
    <row r="4502" s="42" customFormat="1" x14ac:dyDescent="0.25"/>
    <row r="4503" s="42" customFormat="1" x14ac:dyDescent="0.25"/>
    <row r="4504" s="42" customFormat="1" x14ac:dyDescent="0.25"/>
    <row r="4505" s="42" customFormat="1" x14ac:dyDescent="0.25"/>
    <row r="4506" s="42" customFormat="1" x14ac:dyDescent="0.25"/>
    <row r="4507" s="42" customFormat="1" x14ac:dyDescent="0.25"/>
    <row r="4508" s="42" customFormat="1" x14ac:dyDescent="0.25"/>
    <row r="4509" s="42" customFormat="1" x14ac:dyDescent="0.25"/>
    <row r="4510" s="42" customFormat="1" x14ac:dyDescent="0.25"/>
    <row r="4511" s="42" customFormat="1" x14ac:dyDescent="0.25"/>
    <row r="4512" s="42" customFormat="1" x14ac:dyDescent="0.25"/>
    <row r="4513" s="42" customFormat="1" x14ac:dyDescent="0.25"/>
    <row r="4514" s="42" customFormat="1" x14ac:dyDescent="0.25"/>
    <row r="4515" s="42" customFormat="1" x14ac:dyDescent="0.25"/>
    <row r="4516" s="42" customFormat="1" x14ac:dyDescent="0.25"/>
    <row r="4517" s="42" customFormat="1" x14ac:dyDescent="0.25"/>
    <row r="4518" s="42" customFormat="1" x14ac:dyDescent="0.25"/>
    <row r="4519" s="42" customFormat="1" x14ac:dyDescent="0.25"/>
    <row r="4520" s="42" customFormat="1" x14ac:dyDescent="0.25"/>
    <row r="4521" s="42" customFormat="1" x14ac:dyDescent="0.25"/>
    <row r="4522" s="42" customFormat="1" x14ac:dyDescent="0.25"/>
    <row r="4523" s="42" customFormat="1" x14ac:dyDescent="0.25"/>
    <row r="4524" s="42" customFormat="1" x14ac:dyDescent="0.25"/>
    <row r="4525" s="42" customFormat="1" x14ac:dyDescent="0.25"/>
    <row r="4526" s="42" customFormat="1" x14ac:dyDescent="0.25"/>
    <row r="4527" s="42" customFormat="1" x14ac:dyDescent="0.25"/>
    <row r="4528" s="42" customFormat="1" x14ac:dyDescent="0.25"/>
    <row r="4529" s="42" customFormat="1" x14ac:dyDescent="0.25"/>
    <row r="4530" s="42" customFormat="1" x14ac:dyDescent="0.25"/>
    <row r="4531" s="42" customFormat="1" x14ac:dyDescent="0.25"/>
    <row r="4532" s="42" customFormat="1" x14ac:dyDescent="0.25"/>
    <row r="4533" s="42" customFormat="1" x14ac:dyDescent="0.25"/>
    <row r="4534" s="42" customFormat="1" x14ac:dyDescent="0.25"/>
    <row r="4535" s="42" customFormat="1" x14ac:dyDescent="0.25"/>
    <row r="4536" s="42" customFormat="1" x14ac:dyDescent="0.25"/>
    <row r="4537" s="42" customFormat="1" x14ac:dyDescent="0.25"/>
    <row r="4538" s="42" customFormat="1" x14ac:dyDescent="0.25"/>
    <row r="4539" s="42" customFormat="1" x14ac:dyDescent="0.25"/>
    <row r="4540" s="42" customFormat="1" x14ac:dyDescent="0.25"/>
    <row r="4541" s="42" customFormat="1" x14ac:dyDescent="0.25"/>
    <row r="4542" s="42" customFormat="1" x14ac:dyDescent="0.25"/>
    <row r="4543" s="42" customFormat="1" x14ac:dyDescent="0.25"/>
    <row r="4544" s="42" customFormat="1" x14ac:dyDescent="0.25"/>
    <row r="4545" s="42" customFormat="1" x14ac:dyDescent="0.25"/>
    <row r="4546" s="42" customFormat="1" x14ac:dyDescent="0.25"/>
    <row r="4547" s="42" customFormat="1" x14ac:dyDescent="0.25"/>
    <row r="4548" s="42" customFormat="1" x14ac:dyDescent="0.25"/>
    <row r="4549" s="42" customFormat="1" x14ac:dyDescent="0.25"/>
    <row r="4550" s="42" customFormat="1" x14ac:dyDescent="0.25"/>
    <row r="4551" s="42" customFormat="1" x14ac:dyDescent="0.25"/>
    <row r="4552" s="42" customFormat="1" x14ac:dyDescent="0.25"/>
    <row r="4553" s="42" customFormat="1" x14ac:dyDescent="0.25"/>
    <row r="4554" s="42" customFormat="1" x14ac:dyDescent="0.25"/>
    <row r="4555" s="42" customFormat="1" x14ac:dyDescent="0.25"/>
    <row r="4556" s="42" customFormat="1" x14ac:dyDescent="0.25"/>
    <row r="4557" s="42" customFormat="1" x14ac:dyDescent="0.25"/>
    <row r="4558" s="42" customFormat="1" x14ac:dyDescent="0.25"/>
    <row r="4559" s="42" customFormat="1" x14ac:dyDescent="0.25"/>
    <row r="4560" s="42" customFormat="1" x14ac:dyDescent="0.25"/>
    <row r="4561" s="42" customFormat="1" x14ac:dyDescent="0.25"/>
    <row r="4562" s="42" customFormat="1" x14ac:dyDescent="0.25"/>
    <row r="4563" s="42" customFormat="1" x14ac:dyDescent="0.25"/>
    <row r="4564" s="42" customFormat="1" x14ac:dyDescent="0.25"/>
    <row r="4565" s="42" customFormat="1" x14ac:dyDescent="0.25"/>
    <row r="4566" s="42" customFormat="1" x14ac:dyDescent="0.25"/>
    <row r="4567" s="42" customFormat="1" x14ac:dyDescent="0.25"/>
    <row r="4568" s="42" customFormat="1" x14ac:dyDescent="0.25"/>
    <row r="4569" s="42" customFormat="1" x14ac:dyDescent="0.25"/>
    <row r="4570" s="42" customFormat="1" x14ac:dyDescent="0.25"/>
    <row r="4571" s="42" customFormat="1" x14ac:dyDescent="0.25"/>
    <row r="4572" s="42" customFormat="1" x14ac:dyDescent="0.25"/>
    <row r="4573" s="42" customFormat="1" x14ac:dyDescent="0.25"/>
    <row r="4574" s="42" customFormat="1" x14ac:dyDescent="0.25"/>
    <row r="4575" s="42" customFormat="1" x14ac:dyDescent="0.25"/>
    <row r="4576" s="42" customFormat="1" x14ac:dyDescent="0.25"/>
    <row r="4577" s="42" customFormat="1" x14ac:dyDescent="0.25"/>
    <row r="4578" s="42" customFormat="1" x14ac:dyDescent="0.25"/>
    <row r="4579" s="42" customFormat="1" x14ac:dyDescent="0.25"/>
    <row r="4580" s="42" customFormat="1" x14ac:dyDescent="0.25"/>
    <row r="4581" s="42" customFormat="1" x14ac:dyDescent="0.25"/>
    <row r="4582" s="42" customFormat="1" x14ac:dyDescent="0.25"/>
    <row r="4583" s="42" customFormat="1" x14ac:dyDescent="0.25"/>
    <row r="4584" s="42" customFormat="1" x14ac:dyDescent="0.25"/>
    <row r="4585" s="42" customFormat="1" x14ac:dyDescent="0.25"/>
    <row r="4586" s="42" customFormat="1" x14ac:dyDescent="0.25"/>
    <row r="4587" s="42" customFormat="1" x14ac:dyDescent="0.25"/>
    <row r="4588" s="42" customFormat="1" x14ac:dyDescent="0.25"/>
    <row r="4589" s="42" customFormat="1" x14ac:dyDescent="0.25"/>
    <row r="4590" s="42" customFormat="1" x14ac:dyDescent="0.25"/>
    <row r="4591" s="42" customFormat="1" x14ac:dyDescent="0.25"/>
    <row r="4592" s="42" customFormat="1" x14ac:dyDescent="0.25"/>
    <row r="4593" s="42" customFormat="1" x14ac:dyDescent="0.25"/>
    <row r="4594" s="42" customFormat="1" x14ac:dyDescent="0.25"/>
    <row r="4595" s="42" customFormat="1" x14ac:dyDescent="0.25"/>
    <row r="4596" s="42" customFormat="1" x14ac:dyDescent="0.25"/>
    <row r="4597" s="42" customFormat="1" x14ac:dyDescent="0.25"/>
    <row r="4598" s="42" customFormat="1" x14ac:dyDescent="0.25"/>
    <row r="4599" s="42" customFormat="1" x14ac:dyDescent="0.25"/>
    <row r="4600" s="42" customFormat="1" x14ac:dyDescent="0.25"/>
    <row r="4601" s="42" customFormat="1" x14ac:dyDescent="0.25"/>
    <row r="4602" s="42" customFormat="1" x14ac:dyDescent="0.25"/>
    <row r="4603" s="42" customFormat="1" x14ac:dyDescent="0.25"/>
    <row r="4604" s="42" customFormat="1" x14ac:dyDescent="0.25"/>
    <row r="4605" s="42" customFormat="1" x14ac:dyDescent="0.25"/>
    <row r="4606" s="42" customFormat="1" x14ac:dyDescent="0.25"/>
    <row r="4607" s="42" customFormat="1" x14ac:dyDescent="0.25"/>
    <row r="4608" s="42" customFormat="1" x14ac:dyDescent="0.25"/>
    <row r="4609" s="42" customFormat="1" x14ac:dyDescent="0.25"/>
    <row r="4610" s="42" customFormat="1" x14ac:dyDescent="0.25"/>
    <row r="4611" s="42" customFormat="1" x14ac:dyDescent="0.25"/>
    <row r="4612" s="42" customFormat="1" x14ac:dyDescent="0.25"/>
    <row r="4613" s="42" customFormat="1" x14ac:dyDescent="0.25"/>
    <row r="4614" s="42" customFormat="1" x14ac:dyDescent="0.25"/>
    <row r="4615" s="42" customFormat="1" x14ac:dyDescent="0.25"/>
    <row r="4616" s="42" customFormat="1" x14ac:dyDescent="0.25"/>
    <row r="4617" s="42" customFormat="1" x14ac:dyDescent="0.25"/>
    <row r="4618" s="42" customFormat="1" x14ac:dyDescent="0.25"/>
    <row r="4619" s="42" customFormat="1" x14ac:dyDescent="0.25"/>
    <row r="4620" s="42" customFormat="1" x14ac:dyDescent="0.25"/>
    <row r="4621" s="42" customFormat="1" x14ac:dyDescent="0.25"/>
    <row r="4622" s="42" customFormat="1" x14ac:dyDescent="0.25"/>
    <row r="4623" s="42" customFormat="1" x14ac:dyDescent="0.25"/>
    <row r="4624" s="42" customFormat="1" x14ac:dyDescent="0.25"/>
    <row r="4625" s="42" customFormat="1" x14ac:dyDescent="0.25"/>
    <row r="4626" s="42" customFormat="1" x14ac:dyDescent="0.25"/>
    <row r="4627" s="42" customFormat="1" x14ac:dyDescent="0.25"/>
    <row r="4628" s="42" customFormat="1" x14ac:dyDescent="0.25"/>
    <row r="4629" s="42" customFormat="1" x14ac:dyDescent="0.25"/>
    <row r="4630" s="42" customFormat="1" x14ac:dyDescent="0.25"/>
    <row r="4631" s="42" customFormat="1" x14ac:dyDescent="0.25"/>
    <row r="4632" s="42" customFormat="1" x14ac:dyDescent="0.25"/>
    <row r="4633" s="42" customFormat="1" x14ac:dyDescent="0.25"/>
    <row r="4634" s="42" customFormat="1" x14ac:dyDescent="0.25"/>
    <row r="4635" s="42" customFormat="1" x14ac:dyDescent="0.25"/>
    <row r="4636" s="42" customFormat="1" x14ac:dyDescent="0.25"/>
    <row r="4637" s="42" customFormat="1" x14ac:dyDescent="0.25"/>
    <row r="4638" s="42" customFormat="1" x14ac:dyDescent="0.25"/>
    <row r="4639" s="42" customFormat="1" x14ac:dyDescent="0.25"/>
    <row r="4640" s="42" customFormat="1" x14ac:dyDescent="0.25"/>
    <row r="4641" s="42" customFormat="1" x14ac:dyDescent="0.25"/>
    <row r="4642" s="42" customFormat="1" x14ac:dyDescent="0.25"/>
    <row r="4643" s="42" customFormat="1" x14ac:dyDescent="0.25"/>
    <row r="4644" s="42" customFormat="1" x14ac:dyDescent="0.25"/>
    <row r="4645" s="42" customFormat="1" x14ac:dyDescent="0.25"/>
    <row r="4646" s="42" customFormat="1" x14ac:dyDescent="0.25"/>
    <row r="4647" s="42" customFormat="1" x14ac:dyDescent="0.25"/>
    <row r="4648" s="42" customFormat="1" x14ac:dyDescent="0.25"/>
    <row r="4649" s="42" customFormat="1" x14ac:dyDescent="0.25"/>
    <row r="4650" s="42" customFormat="1" x14ac:dyDescent="0.25"/>
    <row r="4651" s="42" customFormat="1" x14ac:dyDescent="0.25"/>
    <row r="4652" s="42" customFormat="1" x14ac:dyDescent="0.25"/>
    <row r="4653" s="42" customFormat="1" x14ac:dyDescent="0.25"/>
    <row r="4654" s="42" customFormat="1" x14ac:dyDescent="0.25"/>
    <row r="4655" s="42" customFormat="1" x14ac:dyDescent="0.25"/>
    <row r="4656" s="42" customFormat="1" x14ac:dyDescent="0.25"/>
    <row r="4657" s="42" customFormat="1" x14ac:dyDescent="0.25"/>
    <row r="4658" s="42" customFormat="1" x14ac:dyDescent="0.25"/>
    <row r="4659" s="42" customFormat="1" x14ac:dyDescent="0.25"/>
    <row r="4660" s="42" customFormat="1" x14ac:dyDescent="0.25"/>
    <row r="4661" s="42" customFormat="1" x14ac:dyDescent="0.25"/>
    <row r="4662" s="42" customFormat="1" x14ac:dyDescent="0.25"/>
    <row r="4663" s="42" customFormat="1" x14ac:dyDescent="0.25"/>
    <row r="4664" s="42" customFormat="1" x14ac:dyDescent="0.25"/>
    <row r="4665" s="42" customFormat="1" x14ac:dyDescent="0.25"/>
    <row r="4666" s="42" customFormat="1" x14ac:dyDescent="0.25"/>
    <row r="4667" s="42" customFormat="1" x14ac:dyDescent="0.25"/>
    <row r="4668" s="42" customFormat="1" x14ac:dyDescent="0.25"/>
    <row r="4669" s="42" customFormat="1" x14ac:dyDescent="0.25"/>
    <row r="4670" s="42" customFormat="1" x14ac:dyDescent="0.25"/>
    <row r="4671" s="42" customFormat="1" x14ac:dyDescent="0.25"/>
    <row r="4672" s="42" customFormat="1" x14ac:dyDescent="0.25"/>
    <row r="4673" s="42" customFormat="1" x14ac:dyDescent="0.25"/>
    <row r="4674" s="42" customFormat="1" x14ac:dyDescent="0.25"/>
    <row r="4675" s="42" customFormat="1" x14ac:dyDescent="0.25"/>
    <row r="4676" s="42" customFormat="1" x14ac:dyDescent="0.25"/>
    <row r="4677" s="42" customFormat="1" x14ac:dyDescent="0.25"/>
    <row r="4678" s="42" customFormat="1" x14ac:dyDescent="0.25"/>
    <row r="4679" s="42" customFormat="1" x14ac:dyDescent="0.25"/>
    <row r="4680" s="42" customFormat="1" x14ac:dyDescent="0.25"/>
    <row r="4681" s="42" customFormat="1" x14ac:dyDescent="0.25"/>
    <row r="4682" s="42" customFormat="1" x14ac:dyDescent="0.25"/>
    <row r="4683" s="42" customFormat="1" x14ac:dyDescent="0.25"/>
    <row r="4684" s="42" customFormat="1" x14ac:dyDescent="0.25"/>
    <row r="4685" s="42" customFormat="1" x14ac:dyDescent="0.25"/>
    <row r="4686" s="42" customFormat="1" x14ac:dyDescent="0.25"/>
    <row r="4687" s="42" customFormat="1" x14ac:dyDescent="0.25"/>
    <row r="4688" s="42" customFormat="1" x14ac:dyDescent="0.25"/>
    <row r="4689" s="42" customFormat="1" x14ac:dyDescent="0.25"/>
    <row r="4690" s="42" customFormat="1" x14ac:dyDescent="0.25"/>
    <row r="4691" s="42" customFormat="1" x14ac:dyDescent="0.25"/>
    <row r="4692" s="42" customFormat="1" x14ac:dyDescent="0.25"/>
    <row r="4693" s="42" customFormat="1" x14ac:dyDescent="0.25"/>
    <row r="4694" s="42" customFormat="1" x14ac:dyDescent="0.25"/>
    <row r="4695" s="42" customFormat="1" x14ac:dyDescent="0.25"/>
    <row r="4696" s="42" customFormat="1" x14ac:dyDescent="0.25"/>
    <row r="4697" s="42" customFormat="1" x14ac:dyDescent="0.25"/>
    <row r="4698" s="42" customFormat="1" x14ac:dyDescent="0.25"/>
    <row r="4699" s="42" customFormat="1" x14ac:dyDescent="0.25"/>
    <row r="4700" s="42" customFormat="1" x14ac:dyDescent="0.25"/>
    <row r="4701" s="42" customFormat="1" x14ac:dyDescent="0.25"/>
    <row r="4702" s="42" customFormat="1" x14ac:dyDescent="0.25"/>
    <row r="4703" s="42" customFormat="1" x14ac:dyDescent="0.25"/>
    <row r="4704" s="42" customFormat="1" x14ac:dyDescent="0.25"/>
    <row r="4705" s="42" customFormat="1" x14ac:dyDescent="0.25"/>
    <row r="4706" s="42" customFormat="1" x14ac:dyDescent="0.25"/>
    <row r="4707" s="42" customFormat="1" x14ac:dyDescent="0.25"/>
    <row r="4708" s="42" customFormat="1" x14ac:dyDescent="0.25"/>
    <row r="4709" s="42" customFormat="1" x14ac:dyDescent="0.25"/>
    <row r="4710" s="42" customFormat="1" x14ac:dyDescent="0.25"/>
    <row r="4711" s="42" customFormat="1" x14ac:dyDescent="0.25"/>
    <row r="4712" s="42" customFormat="1" x14ac:dyDescent="0.25"/>
    <row r="4713" s="42" customFormat="1" x14ac:dyDescent="0.25"/>
    <row r="4714" s="42" customFormat="1" x14ac:dyDescent="0.25"/>
    <row r="4715" s="42" customFormat="1" x14ac:dyDescent="0.25"/>
    <row r="4716" s="42" customFormat="1" x14ac:dyDescent="0.25"/>
    <row r="4717" s="42" customFormat="1" x14ac:dyDescent="0.25"/>
    <row r="4718" s="42" customFormat="1" x14ac:dyDescent="0.25"/>
    <row r="4719" s="42" customFormat="1" x14ac:dyDescent="0.25"/>
    <row r="4720" s="42" customFormat="1" x14ac:dyDescent="0.25"/>
    <row r="4721" s="42" customFormat="1" x14ac:dyDescent="0.25"/>
    <row r="4722" s="42" customFormat="1" x14ac:dyDescent="0.25"/>
    <row r="4723" s="42" customFormat="1" x14ac:dyDescent="0.25"/>
    <row r="4724" s="42" customFormat="1" x14ac:dyDescent="0.25"/>
    <row r="4725" s="42" customFormat="1" x14ac:dyDescent="0.25"/>
    <row r="4726" s="42" customFormat="1" x14ac:dyDescent="0.25"/>
    <row r="4727" s="42" customFormat="1" x14ac:dyDescent="0.25"/>
    <row r="4728" s="42" customFormat="1" x14ac:dyDescent="0.25"/>
    <row r="4729" s="42" customFormat="1" x14ac:dyDescent="0.25"/>
    <row r="4730" s="42" customFormat="1" x14ac:dyDescent="0.25"/>
    <row r="4731" s="42" customFormat="1" x14ac:dyDescent="0.25"/>
    <row r="4732" s="42" customFormat="1" x14ac:dyDescent="0.25"/>
    <row r="4733" s="42" customFormat="1" x14ac:dyDescent="0.25"/>
    <row r="4734" s="42" customFormat="1" x14ac:dyDescent="0.25"/>
    <row r="4735" s="42" customFormat="1" x14ac:dyDescent="0.25"/>
    <row r="4736" s="42" customFormat="1" x14ac:dyDescent="0.25"/>
    <row r="4737" s="42" customFormat="1" x14ac:dyDescent="0.25"/>
    <row r="4738" s="42" customFormat="1" x14ac:dyDescent="0.25"/>
    <row r="4739" s="42" customFormat="1" x14ac:dyDescent="0.25"/>
    <row r="4740" s="42" customFormat="1" x14ac:dyDescent="0.25"/>
    <row r="4741" s="42" customFormat="1" x14ac:dyDescent="0.25"/>
    <row r="4742" s="42" customFormat="1" x14ac:dyDescent="0.25"/>
    <row r="4743" s="42" customFormat="1" x14ac:dyDescent="0.25"/>
    <row r="4744" s="42" customFormat="1" x14ac:dyDescent="0.25"/>
    <row r="4745" s="42" customFormat="1" x14ac:dyDescent="0.25"/>
    <row r="4746" s="42" customFormat="1" x14ac:dyDescent="0.25"/>
    <row r="4747" s="42" customFormat="1" x14ac:dyDescent="0.25"/>
    <row r="4748" s="42" customFormat="1" x14ac:dyDescent="0.25"/>
    <row r="4749" s="42" customFormat="1" x14ac:dyDescent="0.25"/>
    <row r="4750" s="42" customFormat="1" x14ac:dyDescent="0.25"/>
    <row r="4751" s="42" customFormat="1" x14ac:dyDescent="0.25"/>
    <row r="4752" s="42" customFormat="1" x14ac:dyDescent="0.25"/>
    <row r="4753" s="42" customFormat="1" x14ac:dyDescent="0.25"/>
    <row r="4754" s="42" customFormat="1" x14ac:dyDescent="0.25"/>
    <row r="4755" s="42" customFormat="1" x14ac:dyDescent="0.25"/>
    <row r="4756" s="42" customFormat="1" x14ac:dyDescent="0.25"/>
    <row r="4757" s="42" customFormat="1" x14ac:dyDescent="0.25"/>
    <row r="4758" s="42" customFormat="1" x14ac:dyDescent="0.25"/>
    <row r="4759" s="42" customFormat="1" x14ac:dyDescent="0.25"/>
    <row r="4760" s="42" customFormat="1" x14ac:dyDescent="0.25"/>
    <row r="4761" s="42" customFormat="1" x14ac:dyDescent="0.25"/>
    <row r="4762" s="42" customFormat="1" x14ac:dyDescent="0.25"/>
    <row r="4763" s="42" customFormat="1" x14ac:dyDescent="0.25"/>
    <row r="4764" s="42" customFormat="1" x14ac:dyDescent="0.25"/>
    <row r="4765" s="42" customFormat="1" x14ac:dyDescent="0.25"/>
    <row r="4766" s="42" customFormat="1" x14ac:dyDescent="0.25"/>
    <row r="4767" s="42" customFormat="1" x14ac:dyDescent="0.25"/>
    <row r="4768" s="42" customFormat="1" x14ac:dyDescent="0.25"/>
    <row r="4769" s="42" customFormat="1" x14ac:dyDescent="0.25"/>
    <row r="4770" s="42" customFormat="1" x14ac:dyDescent="0.25"/>
    <row r="4771" s="42" customFormat="1" x14ac:dyDescent="0.25"/>
    <row r="4772" s="42" customFormat="1" x14ac:dyDescent="0.25"/>
    <row r="4773" s="42" customFormat="1" x14ac:dyDescent="0.25"/>
    <row r="4774" s="42" customFormat="1" x14ac:dyDescent="0.25"/>
    <row r="4775" s="42" customFormat="1" x14ac:dyDescent="0.25"/>
    <row r="4776" s="42" customFormat="1" x14ac:dyDescent="0.25"/>
    <row r="4777" s="42" customFormat="1" x14ac:dyDescent="0.25"/>
    <row r="4778" s="42" customFormat="1" x14ac:dyDescent="0.25"/>
    <row r="4779" s="42" customFormat="1" x14ac:dyDescent="0.25"/>
    <row r="4780" s="42" customFormat="1" x14ac:dyDescent="0.25"/>
    <row r="4781" s="42" customFormat="1" x14ac:dyDescent="0.25"/>
    <row r="4782" s="42" customFormat="1" x14ac:dyDescent="0.25"/>
    <row r="4783" s="42" customFormat="1" x14ac:dyDescent="0.25"/>
    <row r="4784" s="42" customFormat="1" x14ac:dyDescent="0.25"/>
    <row r="4785" s="42" customFormat="1" x14ac:dyDescent="0.25"/>
    <row r="4786" s="42" customFormat="1" x14ac:dyDescent="0.25"/>
    <row r="4787" s="42" customFormat="1" x14ac:dyDescent="0.25"/>
    <row r="4788" s="42" customFormat="1" x14ac:dyDescent="0.25"/>
    <row r="4789" s="42" customFormat="1" x14ac:dyDescent="0.25"/>
    <row r="4790" s="42" customFormat="1" x14ac:dyDescent="0.25"/>
    <row r="4791" s="42" customFormat="1" x14ac:dyDescent="0.25"/>
    <row r="4792" s="42" customFormat="1" x14ac:dyDescent="0.25"/>
    <row r="4793" s="42" customFormat="1" x14ac:dyDescent="0.25"/>
    <row r="4794" s="42" customFormat="1" x14ac:dyDescent="0.25"/>
    <row r="4795" s="42" customFormat="1" x14ac:dyDescent="0.25"/>
    <row r="4796" s="42" customFormat="1" x14ac:dyDescent="0.25"/>
    <row r="4797" s="42" customFormat="1" x14ac:dyDescent="0.25"/>
    <row r="4798" s="42" customFormat="1" x14ac:dyDescent="0.25"/>
    <row r="4799" s="42" customFormat="1" x14ac:dyDescent="0.25"/>
    <row r="4800" s="42" customFormat="1" x14ac:dyDescent="0.25"/>
    <row r="4801" s="42" customFormat="1" x14ac:dyDescent="0.25"/>
    <row r="4802" s="42" customFormat="1" x14ac:dyDescent="0.25"/>
    <row r="4803" s="42" customFormat="1" x14ac:dyDescent="0.25"/>
    <row r="4804" s="42" customFormat="1" x14ac:dyDescent="0.25"/>
    <row r="4805" s="42" customFormat="1" x14ac:dyDescent="0.25"/>
    <row r="4806" s="42" customFormat="1" x14ac:dyDescent="0.25"/>
    <row r="4807" s="42" customFormat="1" x14ac:dyDescent="0.25"/>
    <row r="4808" s="42" customFormat="1" x14ac:dyDescent="0.25"/>
    <row r="4809" s="42" customFormat="1" x14ac:dyDescent="0.25"/>
    <row r="4810" s="42" customFormat="1" x14ac:dyDescent="0.25"/>
    <row r="4811" s="42" customFormat="1" x14ac:dyDescent="0.25"/>
    <row r="4812" s="42" customFormat="1" x14ac:dyDescent="0.25"/>
    <row r="4813" s="42" customFormat="1" x14ac:dyDescent="0.25"/>
    <row r="4814" s="42" customFormat="1" x14ac:dyDescent="0.25"/>
    <row r="4815" s="42" customFormat="1" x14ac:dyDescent="0.25"/>
    <row r="4816" s="42" customFormat="1" x14ac:dyDescent="0.25"/>
    <row r="4817" s="42" customFormat="1" x14ac:dyDescent="0.25"/>
    <row r="4818" s="42" customFormat="1" x14ac:dyDescent="0.25"/>
    <row r="4819" s="42" customFormat="1" x14ac:dyDescent="0.25"/>
    <row r="4820" s="42" customFormat="1" x14ac:dyDescent="0.25"/>
    <row r="4821" s="42" customFormat="1" x14ac:dyDescent="0.25"/>
    <row r="4822" s="42" customFormat="1" x14ac:dyDescent="0.25"/>
    <row r="4823" s="42" customFormat="1" x14ac:dyDescent="0.25"/>
    <row r="4824" s="42" customFormat="1" x14ac:dyDescent="0.25"/>
    <row r="4825" s="42" customFormat="1" x14ac:dyDescent="0.25"/>
    <row r="4826" s="42" customFormat="1" x14ac:dyDescent="0.25"/>
    <row r="4827" s="42" customFormat="1" x14ac:dyDescent="0.25"/>
    <row r="4828" s="42" customFormat="1" x14ac:dyDescent="0.25"/>
    <row r="4829" s="42" customFormat="1" x14ac:dyDescent="0.25"/>
    <row r="4830" s="42" customFormat="1" x14ac:dyDescent="0.25"/>
    <row r="4831" s="42" customFormat="1" x14ac:dyDescent="0.25"/>
    <row r="4832" s="42" customFormat="1" x14ac:dyDescent="0.25"/>
    <row r="4833" s="42" customFormat="1" x14ac:dyDescent="0.25"/>
    <row r="4834" s="42" customFormat="1" x14ac:dyDescent="0.25"/>
    <row r="4835" s="42" customFormat="1" x14ac:dyDescent="0.25"/>
    <row r="4836" s="42" customFormat="1" x14ac:dyDescent="0.25"/>
    <row r="4837" s="42" customFormat="1" x14ac:dyDescent="0.25"/>
    <row r="4838" s="42" customFormat="1" x14ac:dyDescent="0.25"/>
    <row r="4839" s="42" customFormat="1" x14ac:dyDescent="0.25"/>
    <row r="4840" s="42" customFormat="1" x14ac:dyDescent="0.25"/>
    <row r="4841" s="42" customFormat="1" x14ac:dyDescent="0.25"/>
    <row r="4842" s="42" customFormat="1" x14ac:dyDescent="0.25"/>
    <row r="4843" s="42" customFormat="1" x14ac:dyDescent="0.25"/>
    <row r="4844" s="42" customFormat="1" x14ac:dyDescent="0.25"/>
    <row r="4845" s="42" customFormat="1" x14ac:dyDescent="0.25"/>
    <row r="4846" s="42" customFormat="1" x14ac:dyDescent="0.25"/>
    <row r="4847" s="42" customFormat="1" x14ac:dyDescent="0.25"/>
    <row r="4848" s="42" customFormat="1" x14ac:dyDescent="0.25"/>
    <row r="4849" s="42" customFormat="1" x14ac:dyDescent="0.25"/>
    <row r="4850" s="42" customFormat="1" x14ac:dyDescent="0.25"/>
    <row r="4851" s="42" customFormat="1" x14ac:dyDescent="0.25"/>
    <row r="4852" s="42" customFormat="1" x14ac:dyDescent="0.25"/>
    <row r="4853" s="42" customFormat="1" x14ac:dyDescent="0.25"/>
    <row r="4854" s="42" customFormat="1" x14ac:dyDescent="0.25"/>
    <row r="4855" s="42" customFormat="1" x14ac:dyDescent="0.25"/>
    <row r="4856" s="42" customFormat="1" x14ac:dyDescent="0.25"/>
    <row r="4857" s="42" customFormat="1" x14ac:dyDescent="0.25"/>
    <row r="4858" s="42" customFormat="1" x14ac:dyDescent="0.25"/>
    <row r="4859" s="42" customFormat="1" x14ac:dyDescent="0.25"/>
    <row r="4860" s="42" customFormat="1" x14ac:dyDescent="0.25"/>
    <row r="4861" s="42" customFormat="1" x14ac:dyDescent="0.25"/>
    <row r="4862" s="42" customFormat="1" x14ac:dyDescent="0.25"/>
    <row r="4863" s="42" customFormat="1" x14ac:dyDescent="0.25"/>
    <row r="4864" s="42" customFormat="1" x14ac:dyDescent="0.25"/>
    <row r="4865" s="42" customFormat="1" x14ac:dyDescent="0.25"/>
    <row r="4866" s="42" customFormat="1" x14ac:dyDescent="0.25"/>
    <row r="4867" s="42" customFormat="1" x14ac:dyDescent="0.25"/>
    <row r="4868" s="42" customFormat="1" x14ac:dyDescent="0.25"/>
    <row r="4869" s="42" customFormat="1" x14ac:dyDescent="0.25"/>
    <row r="4870" s="42" customFormat="1" x14ac:dyDescent="0.25"/>
    <row r="4871" s="42" customFormat="1" x14ac:dyDescent="0.25"/>
    <row r="4872" s="42" customFormat="1" x14ac:dyDescent="0.25"/>
    <row r="4873" s="42" customFormat="1" x14ac:dyDescent="0.25"/>
    <row r="4874" s="42" customFormat="1" x14ac:dyDescent="0.25"/>
    <row r="4875" s="42" customFormat="1" x14ac:dyDescent="0.25"/>
    <row r="4876" s="42" customFormat="1" x14ac:dyDescent="0.25"/>
    <row r="4877" s="42" customFormat="1" x14ac:dyDescent="0.25"/>
    <row r="4878" s="42" customFormat="1" x14ac:dyDescent="0.25"/>
    <row r="4879" s="42" customFormat="1" x14ac:dyDescent="0.25"/>
    <row r="4880" s="42" customFormat="1" x14ac:dyDescent="0.25"/>
    <row r="4881" s="42" customFormat="1" x14ac:dyDescent="0.25"/>
    <row r="4882" s="42" customFormat="1" x14ac:dyDescent="0.25"/>
    <row r="4883" s="42" customFormat="1" x14ac:dyDescent="0.25"/>
    <row r="4884" s="42" customFormat="1" x14ac:dyDescent="0.25"/>
    <row r="4885" s="42" customFormat="1" x14ac:dyDescent="0.25"/>
    <row r="4886" s="42" customFormat="1" x14ac:dyDescent="0.25"/>
    <row r="4887" s="42" customFormat="1" x14ac:dyDescent="0.25"/>
    <row r="4888" s="42" customFormat="1" x14ac:dyDescent="0.25"/>
    <row r="4889" s="42" customFormat="1" x14ac:dyDescent="0.25"/>
    <row r="4890" s="42" customFormat="1" x14ac:dyDescent="0.25"/>
    <row r="4891" s="42" customFormat="1" x14ac:dyDescent="0.25"/>
    <row r="4892" s="42" customFormat="1" x14ac:dyDescent="0.25"/>
    <row r="4893" s="42" customFormat="1" x14ac:dyDescent="0.25"/>
    <row r="4894" s="42" customFormat="1" x14ac:dyDescent="0.25"/>
    <row r="4895" s="42" customFormat="1" x14ac:dyDescent="0.25"/>
    <row r="4896" s="42" customFormat="1" x14ac:dyDescent="0.25"/>
    <row r="4897" s="42" customFormat="1" x14ac:dyDescent="0.25"/>
    <row r="4898" s="42" customFormat="1" x14ac:dyDescent="0.25"/>
    <row r="4899" s="42" customFormat="1" x14ac:dyDescent="0.25"/>
    <row r="4900" s="42" customFormat="1" x14ac:dyDescent="0.25"/>
    <row r="4901" s="42" customFormat="1" x14ac:dyDescent="0.25"/>
    <row r="4902" s="42" customFormat="1" x14ac:dyDescent="0.25"/>
    <row r="4903" s="42" customFormat="1" x14ac:dyDescent="0.25"/>
    <row r="4904" s="42" customFormat="1" x14ac:dyDescent="0.25"/>
    <row r="4905" s="42" customFormat="1" x14ac:dyDescent="0.25"/>
    <row r="4906" s="42" customFormat="1" x14ac:dyDescent="0.25"/>
    <row r="4907" s="42" customFormat="1" x14ac:dyDescent="0.25"/>
    <row r="4908" s="42" customFormat="1" x14ac:dyDescent="0.25"/>
    <row r="4909" s="42" customFormat="1" x14ac:dyDescent="0.25"/>
    <row r="4910" s="42" customFormat="1" x14ac:dyDescent="0.25"/>
    <row r="4911" s="42" customFormat="1" x14ac:dyDescent="0.25"/>
    <row r="4912" s="42" customFormat="1" x14ac:dyDescent="0.25"/>
    <row r="4913" s="42" customFormat="1" x14ac:dyDescent="0.25"/>
    <row r="4914" s="42" customFormat="1" x14ac:dyDescent="0.25"/>
    <row r="4915" s="42" customFormat="1" x14ac:dyDescent="0.25"/>
    <row r="4916" s="42" customFormat="1" x14ac:dyDescent="0.25"/>
    <row r="4917" s="42" customFormat="1" x14ac:dyDescent="0.25"/>
    <row r="4918" s="42" customFormat="1" x14ac:dyDescent="0.25"/>
    <row r="4919" s="42" customFormat="1" x14ac:dyDescent="0.25"/>
    <row r="4920" s="42" customFormat="1" x14ac:dyDescent="0.25"/>
    <row r="4921" s="42" customFormat="1" x14ac:dyDescent="0.25"/>
    <row r="4922" s="42" customFormat="1" x14ac:dyDescent="0.25"/>
    <row r="4923" s="42" customFormat="1" x14ac:dyDescent="0.25"/>
    <row r="4924" s="42" customFormat="1" x14ac:dyDescent="0.25"/>
    <row r="4925" s="42" customFormat="1" x14ac:dyDescent="0.25"/>
    <row r="4926" s="42" customFormat="1" x14ac:dyDescent="0.25"/>
    <row r="4927" s="42" customFormat="1" x14ac:dyDescent="0.25"/>
    <row r="4928" s="42" customFormat="1" x14ac:dyDescent="0.25"/>
    <row r="4929" s="42" customFormat="1" x14ac:dyDescent="0.25"/>
    <row r="4930" s="42" customFormat="1" x14ac:dyDescent="0.25"/>
    <row r="4931" s="42" customFormat="1" x14ac:dyDescent="0.25"/>
    <row r="4932" s="42" customFormat="1" x14ac:dyDescent="0.25"/>
    <row r="4933" s="42" customFormat="1" x14ac:dyDescent="0.25"/>
    <row r="4934" s="42" customFormat="1" x14ac:dyDescent="0.25"/>
    <row r="4935" s="42" customFormat="1" x14ac:dyDescent="0.25"/>
    <row r="4936" s="42" customFormat="1" x14ac:dyDescent="0.25"/>
    <row r="4937" s="42" customFormat="1" x14ac:dyDescent="0.25"/>
    <row r="4938" s="42" customFormat="1" x14ac:dyDescent="0.25"/>
    <row r="4939" s="42" customFormat="1" x14ac:dyDescent="0.25"/>
    <row r="4940" s="42" customFormat="1" x14ac:dyDescent="0.25"/>
    <row r="4941" s="42" customFormat="1" x14ac:dyDescent="0.25"/>
    <row r="4942" s="42" customFormat="1" x14ac:dyDescent="0.25"/>
    <row r="4943" s="42" customFormat="1" x14ac:dyDescent="0.25"/>
    <row r="4944" s="42" customFormat="1" x14ac:dyDescent="0.25"/>
    <row r="4945" s="42" customFormat="1" x14ac:dyDescent="0.25"/>
    <row r="4946" s="42" customFormat="1" x14ac:dyDescent="0.25"/>
    <row r="4947" s="42" customFormat="1" x14ac:dyDescent="0.25"/>
    <row r="4948" s="42" customFormat="1" x14ac:dyDescent="0.25"/>
    <row r="4949" s="42" customFormat="1" x14ac:dyDescent="0.25"/>
    <row r="4950" s="42" customFormat="1" x14ac:dyDescent="0.25"/>
    <row r="4951" s="42" customFormat="1" x14ac:dyDescent="0.25"/>
    <row r="4952" s="42" customFormat="1" x14ac:dyDescent="0.25"/>
    <row r="4953" s="42" customFormat="1" x14ac:dyDescent="0.25"/>
    <row r="4954" s="42" customFormat="1" x14ac:dyDescent="0.25"/>
    <row r="4955" s="42" customFormat="1" x14ac:dyDescent="0.25"/>
    <row r="4956" s="42" customFormat="1" x14ac:dyDescent="0.25"/>
    <row r="4957" s="42" customFormat="1" x14ac:dyDescent="0.25"/>
    <row r="4958" s="42" customFormat="1" x14ac:dyDescent="0.25"/>
    <row r="4959" s="42" customFormat="1" x14ac:dyDescent="0.25"/>
    <row r="4960" s="42" customFormat="1" x14ac:dyDescent="0.25"/>
    <row r="4961" s="42" customFormat="1" x14ac:dyDescent="0.25"/>
    <row r="4962" s="42" customFormat="1" x14ac:dyDescent="0.25"/>
    <row r="4963" s="42" customFormat="1" x14ac:dyDescent="0.25"/>
    <row r="4964" s="42" customFormat="1" x14ac:dyDescent="0.25"/>
    <row r="4965" s="42" customFormat="1" x14ac:dyDescent="0.25"/>
    <row r="4966" s="42" customFormat="1" x14ac:dyDescent="0.25"/>
    <row r="4967" s="42" customFormat="1" x14ac:dyDescent="0.25"/>
    <row r="4968" s="42" customFormat="1" x14ac:dyDescent="0.25"/>
    <row r="4969" s="42" customFormat="1" x14ac:dyDescent="0.25"/>
    <row r="4970" s="42" customFormat="1" x14ac:dyDescent="0.25"/>
    <row r="4971" s="42" customFormat="1" x14ac:dyDescent="0.25"/>
    <row r="4972" s="42" customFormat="1" x14ac:dyDescent="0.25"/>
    <row r="4973" s="42" customFormat="1" x14ac:dyDescent="0.25"/>
    <row r="4974" s="42" customFormat="1" x14ac:dyDescent="0.25"/>
    <row r="4975" s="42" customFormat="1" x14ac:dyDescent="0.25"/>
    <row r="4976" s="42" customFormat="1" x14ac:dyDescent="0.25"/>
    <row r="4977" s="42" customFormat="1" x14ac:dyDescent="0.25"/>
    <row r="4978" s="42" customFormat="1" x14ac:dyDescent="0.25"/>
    <row r="4979" s="42" customFormat="1" x14ac:dyDescent="0.25"/>
    <row r="4980" s="42" customFormat="1" x14ac:dyDescent="0.25"/>
    <row r="4981" s="42" customFormat="1" x14ac:dyDescent="0.25"/>
    <row r="4982" s="42" customFormat="1" x14ac:dyDescent="0.25"/>
    <row r="4983" s="42" customFormat="1" x14ac:dyDescent="0.25"/>
    <row r="4984" s="42" customFormat="1" x14ac:dyDescent="0.25"/>
    <row r="4985" s="42" customFormat="1" x14ac:dyDescent="0.25"/>
    <row r="4986" s="42" customFormat="1" x14ac:dyDescent="0.25"/>
    <row r="4987" s="42" customFormat="1" x14ac:dyDescent="0.25"/>
    <row r="4988" s="42" customFormat="1" x14ac:dyDescent="0.25"/>
    <row r="4989" s="42" customFormat="1" x14ac:dyDescent="0.25"/>
    <row r="4990" s="42" customFormat="1" x14ac:dyDescent="0.25"/>
    <row r="4991" s="42" customFormat="1" x14ac:dyDescent="0.25"/>
    <row r="4992" s="42" customFormat="1" x14ac:dyDescent="0.25"/>
    <row r="4993" s="42" customFormat="1" x14ac:dyDescent="0.25"/>
    <row r="4994" s="42" customFormat="1" x14ac:dyDescent="0.25"/>
    <row r="4995" s="42" customFormat="1" x14ac:dyDescent="0.25"/>
    <row r="4996" s="42" customFormat="1" x14ac:dyDescent="0.25"/>
    <row r="4997" s="42" customFormat="1" x14ac:dyDescent="0.25"/>
    <row r="4998" s="42" customFormat="1" x14ac:dyDescent="0.25"/>
    <row r="4999" s="42" customFormat="1" x14ac:dyDescent="0.25"/>
    <row r="5000" s="42" customFormat="1" x14ac:dyDescent="0.25"/>
    <row r="5001" s="42" customFormat="1" x14ac:dyDescent="0.25"/>
    <row r="5002" s="42" customFormat="1" x14ac:dyDescent="0.25"/>
    <row r="5003" s="42" customFormat="1" x14ac:dyDescent="0.25"/>
    <row r="5004" s="42" customFormat="1" x14ac:dyDescent="0.25"/>
    <row r="5005" s="42" customFormat="1" x14ac:dyDescent="0.25"/>
    <row r="5006" s="42" customFormat="1" x14ac:dyDescent="0.25"/>
    <row r="5007" s="42" customFormat="1" x14ac:dyDescent="0.25"/>
    <row r="5008" s="42" customFormat="1" x14ac:dyDescent="0.25"/>
    <row r="5009" s="42" customFormat="1" x14ac:dyDescent="0.25"/>
    <row r="5010" s="42" customFormat="1" x14ac:dyDescent="0.25"/>
    <row r="5011" s="42" customFormat="1" x14ac:dyDescent="0.25"/>
    <row r="5012" s="42" customFormat="1" x14ac:dyDescent="0.25"/>
    <row r="5013" s="42" customFormat="1" x14ac:dyDescent="0.25"/>
    <row r="5014" s="42" customFormat="1" x14ac:dyDescent="0.25"/>
    <row r="5015" s="42" customFormat="1" x14ac:dyDescent="0.25"/>
    <row r="5016" s="42" customFormat="1" x14ac:dyDescent="0.25"/>
    <row r="5017" s="42" customFormat="1" x14ac:dyDescent="0.25"/>
    <row r="5018" s="42" customFormat="1" x14ac:dyDescent="0.25"/>
    <row r="5019" s="42" customFormat="1" x14ac:dyDescent="0.25"/>
    <row r="5020" s="42" customFormat="1" x14ac:dyDescent="0.25"/>
    <row r="5021" s="42" customFormat="1" x14ac:dyDescent="0.25"/>
    <row r="5022" s="42" customFormat="1" x14ac:dyDescent="0.25"/>
    <row r="5023" s="42" customFormat="1" x14ac:dyDescent="0.25"/>
    <row r="5024" s="42" customFormat="1" x14ac:dyDescent="0.25"/>
    <row r="5025" s="42" customFormat="1" x14ac:dyDescent="0.25"/>
    <row r="5026" s="42" customFormat="1" x14ac:dyDescent="0.25"/>
    <row r="5027" s="42" customFormat="1" x14ac:dyDescent="0.25"/>
    <row r="5028" s="42" customFormat="1" x14ac:dyDescent="0.25"/>
    <row r="5029" s="42" customFormat="1" x14ac:dyDescent="0.25"/>
    <row r="5030" s="42" customFormat="1" x14ac:dyDescent="0.25"/>
    <row r="5031" s="42" customFormat="1" x14ac:dyDescent="0.25"/>
    <row r="5032" s="42" customFormat="1" x14ac:dyDescent="0.25"/>
    <row r="5033" s="42" customFormat="1" x14ac:dyDescent="0.25"/>
    <row r="5034" s="42" customFormat="1" x14ac:dyDescent="0.25"/>
    <row r="5035" s="42" customFormat="1" x14ac:dyDescent="0.25"/>
    <row r="5036" s="42" customFormat="1" x14ac:dyDescent="0.25"/>
    <row r="5037" s="42" customFormat="1" x14ac:dyDescent="0.25"/>
    <row r="5038" s="42" customFormat="1" x14ac:dyDescent="0.25"/>
    <row r="5039" s="42" customFormat="1" x14ac:dyDescent="0.25"/>
    <row r="5040" s="42" customFormat="1" x14ac:dyDescent="0.25"/>
    <row r="5041" s="42" customFormat="1" x14ac:dyDescent="0.25"/>
    <row r="5042" s="42" customFormat="1" x14ac:dyDescent="0.25"/>
    <row r="5043" s="42" customFormat="1" x14ac:dyDescent="0.25"/>
    <row r="5044" s="42" customFormat="1" x14ac:dyDescent="0.25"/>
    <row r="5045" s="42" customFormat="1" x14ac:dyDescent="0.25"/>
    <row r="5046" s="42" customFormat="1" x14ac:dyDescent="0.25"/>
    <row r="5047" s="42" customFormat="1" x14ac:dyDescent="0.25"/>
    <row r="5048" s="42" customFormat="1" x14ac:dyDescent="0.25"/>
    <row r="5049" s="42" customFormat="1" x14ac:dyDescent="0.25"/>
    <row r="5050" s="42" customFormat="1" x14ac:dyDescent="0.25"/>
    <row r="5051" s="42" customFormat="1" x14ac:dyDescent="0.25"/>
    <row r="5052" s="42" customFormat="1" x14ac:dyDescent="0.25"/>
    <row r="5053" s="42" customFormat="1" x14ac:dyDescent="0.25"/>
    <row r="5054" s="42" customFormat="1" x14ac:dyDescent="0.25"/>
    <row r="5055" s="42" customFormat="1" x14ac:dyDescent="0.25"/>
    <row r="5056" s="42" customFormat="1" x14ac:dyDescent="0.25"/>
    <row r="5057" s="42" customFormat="1" x14ac:dyDescent="0.25"/>
    <row r="5058" s="42" customFormat="1" x14ac:dyDescent="0.25"/>
    <row r="5059" s="42" customFormat="1" x14ac:dyDescent="0.25"/>
    <row r="5060" s="42" customFormat="1" x14ac:dyDescent="0.25"/>
    <row r="5061" s="42" customFormat="1" x14ac:dyDescent="0.25"/>
    <row r="5062" s="42" customFormat="1" x14ac:dyDescent="0.25"/>
    <row r="5063" s="42" customFormat="1" x14ac:dyDescent="0.25"/>
    <row r="5064" s="42" customFormat="1" x14ac:dyDescent="0.25"/>
    <row r="5065" s="42" customFormat="1" x14ac:dyDescent="0.25"/>
    <row r="5066" s="42" customFormat="1" x14ac:dyDescent="0.25"/>
    <row r="5067" s="42" customFormat="1" x14ac:dyDescent="0.25"/>
    <row r="5068" s="42" customFormat="1" x14ac:dyDescent="0.25"/>
    <row r="5069" s="42" customFormat="1" x14ac:dyDescent="0.25"/>
    <row r="5070" s="42" customFormat="1" x14ac:dyDescent="0.25"/>
    <row r="5071" s="42" customFormat="1" x14ac:dyDescent="0.25"/>
    <row r="5072" s="42" customFormat="1" x14ac:dyDescent="0.25"/>
    <row r="5073" s="42" customFormat="1" x14ac:dyDescent="0.25"/>
    <row r="5074" s="42" customFormat="1" x14ac:dyDescent="0.25"/>
    <row r="5075" s="42" customFormat="1" x14ac:dyDescent="0.25"/>
    <row r="5076" s="42" customFormat="1" x14ac:dyDescent="0.25"/>
    <row r="5077" s="42" customFormat="1" x14ac:dyDescent="0.25"/>
    <row r="5078" s="42" customFormat="1" x14ac:dyDescent="0.25"/>
    <row r="5079" s="42" customFormat="1" x14ac:dyDescent="0.25"/>
    <row r="5080" s="42" customFormat="1" x14ac:dyDescent="0.25"/>
    <row r="5081" s="42" customFormat="1" x14ac:dyDescent="0.25"/>
    <row r="5082" s="42" customFormat="1" x14ac:dyDescent="0.25"/>
    <row r="5083" s="42" customFormat="1" x14ac:dyDescent="0.25"/>
    <row r="5084" s="42" customFormat="1" x14ac:dyDescent="0.25"/>
    <row r="5085" s="42" customFormat="1" x14ac:dyDescent="0.25"/>
    <row r="5086" s="42" customFormat="1" x14ac:dyDescent="0.25"/>
    <row r="5087" s="42" customFormat="1" x14ac:dyDescent="0.25"/>
    <row r="5088" s="42" customFormat="1" x14ac:dyDescent="0.25"/>
    <row r="5089" s="42" customFormat="1" x14ac:dyDescent="0.25"/>
    <row r="5090" s="42" customFormat="1" x14ac:dyDescent="0.25"/>
    <row r="5091" s="42" customFormat="1" x14ac:dyDescent="0.25"/>
    <row r="5092" s="42" customFormat="1" x14ac:dyDescent="0.25"/>
    <row r="5093" s="42" customFormat="1" x14ac:dyDescent="0.25"/>
    <row r="5094" s="42" customFormat="1" x14ac:dyDescent="0.25"/>
    <row r="5095" s="42" customFormat="1" x14ac:dyDescent="0.25"/>
    <row r="5096" s="42" customFormat="1" x14ac:dyDescent="0.25"/>
    <row r="5097" s="42" customFormat="1" x14ac:dyDescent="0.25"/>
    <row r="5098" s="42" customFormat="1" x14ac:dyDescent="0.25"/>
    <row r="5099" s="42" customFormat="1" x14ac:dyDescent="0.25"/>
    <row r="5100" s="42" customFormat="1" x14ac:dyDescent="0.25"/>
    <row r="5101" s="42" customFormat="1" x14ac:dyDescent="0.25"/>
    <row r="5102" s="42" customFormat="1" x14ac:dyDescent="0.25"/>
    <row r="5103" s="42" customFormat="1" x14ac:dyDescent="0.25"/>
    <row r="5104" s="42" customFormat="1" x14ac:dyDescent="0.25"/>
    <row r="5105" s="42" customFormat="1" x14ac:dyDescent="0.25"/>
    <row r="5106" s="42" customFormat="1" x14ac:dyDescent="0.25"/>
    <row r="5107" s="42" customFormat="1" x14ac:dyDescent="0.25"/>
    <row r="5108" s="42" customFormat="1" x14ac:dyDescent="0.25"/>
    <row r="5109" s="42" customFormat="1" x14ac:dyDescent="0.25"/>
    <row r="5110" s="42" customFormat="1" x14ac:dyDescent="0.25"/>
    <row r="5111" s="42" customFormat="1" x14ac:dyDescent="0.25"/>
    <row r="5112" s="42" customFormat="1" x14ac:dyDescent="0.25"/>
    <row r="5113" s="42" customFormat="1" x14ac:dyDescent="0.25"/>
    <row r="5114" s="42" customFormat="1" x14ac:dyDescent="0.25"/>
    <row r="5115" s="42" customFormat="1" x14ac:dyDescent="0.25"/>
    <row r="5116" s="42" customFormat="1" x14ac:dyDescent="0.25"/>
    <row r="5117" s="42" customFormat="1" x14ac:dyDescent="0.25"/>
    <row r="5118" s="42" customFormat="1" x14ac:dyDescent="0.25"/>
    <row r="5119" s="42" customFormat="1" x14ac:dyDescent="0.25"/>
    <row r="5120" s="42" customFormat="1" x14ac:dyDescent="0.25"/>
    <row r="5121" s="42" customFormat="1" x14ac:dyDescent="0.25"/>
    <row r="5122" s="42" customFormat="1" x14ac:dyDescent="0.25"/>
    <row r="5123" s="42" customFormat="1" x14ac:dyDescent="0.25"/>
    <row r="5124" s="42" customFormat="1" x14ac:dyDescent="0.25"/>
    <row r="5125" s="42" customFormat="1" x14ac:dyDescent="0.25"/>
    <row r="5126" s="42" customFormat="1" x14ac:dyDescent="0.25"/>
    <row r="5127" s="42" customFormat="1" x14ac:dyDescent="0.25"/>
    <row r="5128" s="42" customFormat="1" x14ac:dyDescent="0.25"/>
    <row r="5129" s="42" customFormat="1" x14ac:dyDescent="0.25"/>
    <row r="5130" s="42" customFormat="1" x14ac:dyDescent="0.25"/>
    <row r="5131" s="42" customFormat="1" x14ac:dyDescent="0.25"/>
    <row r="5132" s="42" customFormat="1" x14ac:dyDescent="0.25"/>
    <row r="5133" s="42" customFormat="1" x14ac:dyDescent="0.25"/>
    <row r="5134" s="42" customFormat="1" x14ac:dyDescent="0.25"/>
    <row r="5135" s="42" customFormat="1" x14ac:dyDescent="0.25"/>
    <row r="5136" s="42" customFormat="1" x14ac:dyDescent="0.25"/>
    <row r="5137" s="42" customFormat="1" x14ac:dyDescent="0.25"/>
    <row r="5138" s="42" customFormat="1" x14ac:dyDescent="0.25"/>
    <row r="5139" s="42" customFormat="1" x14ac:dyDescent="0.25"/>
    <row r="5140" s="42" customFormat="1" x14ac:dyDescent="0.25"/>
    <row r="5141" s="42" customFormat="1" x14ac:dyDescent="0.25"/>
    <row r="5142" s="42" customFormat="1" x14ac:dyDescent="0.25"/>
    <row r="5143" s="42" customFormat="1" x14ac:dyDescent="0.25"/>
    <row r="5144" s="42" customFormat="1" x14ac:dyDescent="0.25"/>
    <row r="5145" s="42" customFormat="1" x14ac:dyDescent="0.25"/>
    <row r="5146" s="42" customFormat="1" x14ac:dyDescent="0.25"/>
    <row r="5147" s="42" customFormat="1" x14ac:dyDescent="0.25"/>
    <row r="5148" s="42" customFormat="1" x14ac:dyDescent="0.25"/>
    <row r="5149" s="42" customFormat="1" x14ac:dyDescent="0.25"/>
    <row r="5150" s="42" customFormat="1" x14ac:dyDescent="0.25"/>
    <row r="5151" s="42" customFormat="1" x14ac:dyDescent="0.25"/>
    <row r="5152" s="42" customFormat="1" x14ac:dyDescent="0.25"/>
    <row r="5153" s="42" customFormat="1" x14ac:dyDescent="0.25"/>
    <row r="5154" s="42" customFormat="1" x14ac:dyDescent="0.25"/>
    <row r="5155" s="42" customFormat="1" x14ac:dyDescent="0.25"/>
    <row r="5156" s="42" customFormat="1" x14ac:dyDescent="0.25"/>
    <row r="5157" s="42" customFormat="1" x14ac:dyDescent="0.25"/>
    <row r="5158" s="42" customFormat="1" x14ac:dyDescent="0.25"/>
    <row r="5159" s="42" customFormat="1" x14ac:dyDescent="0.25"/>
    <row r="5160" s="42" customFormat="1" x14ac:dyDescent="0.25"/>
    <row r="5161" s="42" customFormat="1" x14ac:dyDescent="0.25"/>
    <row r="5162" s="42" customFormat="1" x14ac:dyDescent="0.25"/>
    <row r="5163" s="42" customFormat="1" x14ac:dyDescent="0.25"/>
    <row r="5164" s="42" customFormat="1" x14ac:dyDescent="0.25"/>
    <row r="5165" s="42" customFormat="1" x14ac:dyDescent="0.25"/>
    <row r="5166" s="42" customFormat="1" x14ac:dyDescent="0.25"/>
    <row r="5167" s="42" customFormat="1" x14ac:dyDescent="0.25"/>
    <row r="5168" s="42" customFormat="1" x14ac:dyDescent="0.25"/>
    <row r="5169" s="42" customFormat="1" x14ac:dyDescent="0.25"/>
    <row r="5170" s="42" customFormat="1" x14ac:dyDescent="0.25"/>
    <row r="5171" s="42" customFormat="1" x14ac:dyDescent="0.25"/>
    <row r="5172" s="42" customFormat="1" x14ac:dyDescent="0.25"/>
    <row r="5173" s="42" customFormat="1" x14ac:dyDescent="0.25"/>
    <row r="5174" s="42" customFormat="1" x14ac:dyDescent="0.25"/>
    <row r="5175" s="42" customFormat="1" x14ac:dyDescent="0.25"/>
    <row r="5176" s="42" customFormat="1" x14ac:dyDescent="0.25"/>
    <row r="5177" s="42" customFormat="1" x14ac:dyDescent="0.25"/>
    <row r="5178" s="42" customFormat="1" x14ac:dyDescent="0.25"/>
    <row r="5179" s="42" customFormat="1" x14ac:dyDescent="0.25"/>
    <row r="5180" s="42" customFormat="1" x14ac:dyDescent="0.25"/>
    <row r="5181" s="42" customFormat="1" x14ac:dyDescent="0.25"/>
    <row r="5182" s="42" customFormat="1" x14ac:dyDescent="0.25"/>
    <row r="5183" s="42" customFormat="1" x14ac:dyDescent="0.25"/>
    <row r="5184" s="42" customFormat="1" x14ac:dyDescent="0.25"/>
    <row r="5185" s="42" customFormat="1" x14ac:dyDescent="0.25"/>
    <row r="5186" s="42" customFormat="1" x14ac:dyDescent="0.25"/>
    <row r="5187" s="42" customFormat="1" x14ac:dyDescent="0.25"/>
    <row r="5188" s="42" customFormat="1" x14ac:dyDescent="0.25"/>
    <row r="5189" s="42" customFormat="1" x14ac:dyDescent="0.25"/>
    <row r="5190" s="42" customFormat="1" x14ac:dyDescent="0.25"/>
    <row r="5191" s="42" customFormat="1" x14ac:dyDescent="0.25"/>
    <row r="5192" s="42" customFormat="1" x14ac:dyDescent="0.25"/>
    <row r="5193" s="42" customFormat="1" x14ac:dyDescent="0.25"/>
    <row r="5194" s="42" customFormat="1" x14ac:dyDescent="0.25"/>
    <row r="5195" s="42" customFormat="1" x14ac:dyDescent="0.25"/>
    <row r="5196" s="42" customFormat="1" x14ac:dyDescent="0.25"/>
    <row r="5197" s="42" customFormat="1" x14ac:dyDescent="0.25"/>
    <row r="5198" s="42" customFormat="1" x14ac:dyDescent="0.25"/>
    <row r="5199" s="42" customFormat="1" x14ac:dyDescent="0.25"/>
    <row r="5200" s="42" customFormat="1" x14ac:dyDescent="0.25"/>
    <row r="5201" s="42" customFormat="1" x14ac:dyDescent="0.25"/>
    <row r="5202" s="42" customFormat="1" x14ac:dyDescent="0.25"/>
    <row r="5203" s="42" customFormat="1" x14ac:dyDescent="0.25"/>
    <row r="5204" s="42" customFormat="1" x14ac:dyDescent="0.25"/>
    <row r="5205" s="42" customFormat="1" x14ac:dyDescent="0.25"/>
    <row r="5206" s="42" customFormat="1" x14ac:dyDescent="0.25"/>
    <row r="5207" s="42" customFormat="1" x14ac:dyDescent="0.25"/>
    <row r="5208" s="42" customFormat="1" x14ac:dyDescent="0.25"/>
    <row r="5209" s="42" customFormat="1" x14ac:dyDescent="0.25"/>
    <row r="5210" s="42" customFormat="1" x14ac:dyDescent="0.25"/>
    <row r="5211" s="42" customFormat="1" x14ac:dyDescent="0.25"/>
    <row r="5212" s="42" customFormat="1" x14ac:dyDescent="0.25"/>
    <row r="5213" s="42" customFormat="1" x14ac:dyDescent="0.25"/>
    <row r="5214" s="42" customFormat="1" x14ac:dyDescent="0.25"/>
    <row r="5215" s="42" customFormat="1" x14ac:dyDescent="0.25"/>
    <row r="5216" s="42" customFormat="1" x14ac:dyDescent="0.25"/>
    <row r="5217" s="42" customFormat="1" x14ac:dyDescent="0.25"/>
    <row r="5218" s="42" customFormat="1" x14ac:dyDescent="0.25"/>
    <row r="5219" s="42" customFormat="1" x14ac:dyDescent="0.25"/>
    <row r="5220" s="42" customFormat="1" x14ac:dyDescent="0.25"/>
    <row r="5221" s="42" customFormat="1" x14ac:dyDescent="0.25"/>
    <row r="5222" s="42" customFormat="1" x14ac:dyDescent="0.25"/>
    <row r="5223" s="42" customFormat="1" x14ac:dyDescent="0.25"/>
    <row r="5224" s="42" customFormat="1" x14ac:dyDescent="0.25"/>
    <row r="5225" s="42" customFormat="1" x14ac:dyDescent="0.25"/>
    <row r="5226" s="42" customFormat="1" x14ac:dyDescent="0.25"/>
    <row r="5227" s="42" customFormat="1" x14ac:dyDescent="0.25"/>
    <row r="5228" s="42" customFormat="1" x14ac:dyDescent="0.25"/>
    <row r="5229" s="42" customFormat="1" x14ac:dyDescent="0.25"/>
    <row r="5230" s="42" customFormat="1" x14ac:dyDescent="0.25"/>
    <row r="5231" s="42" customFormat="1" x14ac:dyDescent="0.25"/>
    <row r="5232" s="42" customFormat="1" x14ac:dyDescent="0.25"/>
    <row r="5233" s="42" customFormat="1" x14ac:dyDescent="0.25"/>
    <row r="5234" s="42" customFormat="1" x14ac:dyDescent="0.25"/>
    <row r="5235" s="42" customFormat="1" x14ac:dyDescent="0.25"/>
    <row r="5236" s="42" customFormat="1" x14ac:dyDescent="0.25"/>
    <row r="5237" s="42" customFormat="1" x14ac:dyDescent="0.25"/>
    <row r="5238" s="42" customFormat="1" x14ac:dyDescent="0.25"/>
    <row r="5239" s="42" customFormat="1" x14ac:dyDescent="0.25"/>
    <row r="5240" s="42" customFormat="1" x14ac:dyDescent="0.25"/>
    <row r="5241" s="42" customFormat="1" x14ac:dyDescent="0.25"/>
    <row r="5242" s="42" customFormat="1" x14ac:dyDescent="0.25"/>
    <row r="5243" s="42" customFormat="1" x14ac:dyDescent="0.25"/>
    <row r="5244" s="42" customFormat="1" x14ac:dyDescent="0.25"/>
    <row r="5245" s="42" customFormat="1" x14ac:dyDescent="0.25"/>
    <row r="5246" s="42" customFormat="1" x14ac:dyDescent="0.25"/>
    <row r="5247" s="42" customFormat="1" x14ac:dyDescent="0.25"/>
    <row r="5248" s="42" customFormat="1" x14ac:dyDescent="0.25"/>
    <row r="5249" s="42" customFormat="1" x14ac:dyDescent="0.25"/>
    <row r="5250" s="42" customFormat="1" x14ac:dyDescent="0.25"/>
    <row r="5251" s="42" customFormat="1" x14ac:dyDescent="0.25"/>
    <row r="5252" s="42" customFormat="1" x14ac:dyDescent="0.25"/>
    <row r="5253" s="42" customFormat="1" x14ac:dyDescent="0.25"/>
    <row r="5254" s="42" customFormat="1" x14ac:dyDescent="0.25"/>
    <row r="5255" s="42" customFormat="1" x14ac:dyDescent="0.25"/>
    <row r="5256" s="42" customFormat="1" x14ac:dyDescent="0.25"/>
    <row r="5257" s="42" customFormat="1" x14ac:dyDescent="0.25"/>
    <row r="5258" s="42" customFormat="1" x14ac:dyDescent="0.25"/>
    <row r="5259" s="42" customFormat="1" x14ac:dyDescent="0.25"/>
    <row r="5260" s="42" customFormat="1" x14ac:dyDescent="0.25"/>
    <row r="5261" s="42" customFormat="1" x14ac:dyDescent="0.25"/>
    <row r="5262" s="42" customFormat="1" x14ac:dyDescent="0.25"/>
    <row r="5263" s="42" customFormat="1" x14ac:dyDescent="0.25"/>
    <row r="5264" s="42" customFormat="1" x14ac:dyDescent="0.25"/>
    <row r="5265" s="42" customFormat="1" x14ac:dyDescent="0.25"/>
    <row r="5266" s="42" customFormat="1" x14ac:dyDescent="0.25"/>
    <row r="5267" s="42" customFormat="1" x14ac:dyDescent="0.25"/>
    <row r="5268" s="42" customFormat="1" x14ac:dyDescent="0.25"/>
    <row r="5269" s="42" customFormat="1" x14ac:dyDescent="0.25"/>
    <row r="5270" s="42" customFormat="1" x14ac:dyDescent="0.25"/>
    <row r="5271" s="42" customFormat="1" x14ac:dyDescent="0.25"/>
    <row r="5272" s="42" customFormat="1" x14ac:dyDescent="0.25"/>
    <row r="5273" s="42" customFormat="1" x14ac:dyDescent="0.25"/>
    <row r="5274" s="42" customFormat="1" x14ac:dyDescent="0.25"/>
    <row r="5275" s="42" customFormat="1" x14ac:dyDescent="0.25"/>
    <row r="5276" s="42" customFormat="1" x14ac:dyDescent="0.25"/>
    <row r="5277" s="42" customFormat="1" x14ac:dyDescent="0.25"/>
    <row r="5278" s="42" customFormat="1" x14ac:dyDescent="0.25"/>
    <row r="5279" s="42" customFormat="1" x14ac:dyDescent="0.25"/>
    <row r="5280" s="42" customFormat="1" x14ac:dyDescent="0.25"/>
    <row r="5281" s="42" customFormat="1" x14ac:dyDescent="0.25"/>
    <row r="5282" s="42" customFormat="1" x14ac:dyDescent="0.25"/>
    <row r="5283" s="42" customFormat="1" x14ac:dyDescent="0.25"/>
    <row r="5284" s="42" customFormat="1" x14ac:dyDescent="0.25"/>
    <row r="5285" s="42" customFormat="1" x14ac:dyDescent="0.25"/>
    <row r="5286" s="42" customFormat="1" x14ac:dyDescent="0.25"/>
    <row r="5287" s="42" customFormat="1" x14ac:dyDescent="0.25"/>
    <row r="5288" s="42" customFormat="1" x14ac:dyDescent="0.25"/>
    <row r="5289" s="42" customFormat="1" x14ac:dyDescent="0.25"/>
    <row r="5290" s="42" customFormat="1" x14ac:dyDescent="0.25"/>
    <row r="5291" s="42" customFormat="1" x14ac:dyDescent="0.25"/>
    <row r="5292" s="42" customFormat="1" x14ac:dyDescent="0.25"/>
    <row r="5293" s="42" customFormat="1" x14ac:dyDescent="0.25"/>
    <row r="5294" s="42" customFormat="1" x14ac:dyDescent="0.25"/>
    <row r="5295" s="42" customFormat="1" x14ac:dyDescent="0.25"/>
    <row r="5296" s="42" customFormat="1" x14ac:dyDescent="0.25"/>
    <row r="5297" s="42" customFormat="1" x14ac:dyDescent="0.25"/>
    <row r="5298" s="42" customFormat="1" x14ac:dyDescent="0.25"/>
    <row r="5299" s="42" customFormat="1" x14ac:dyDescent="0.25"/>
    <row r="5300" s="42" customFormat="1" x14ac:dyDescent="0.25"/>
    <row r="5301" s="42" customFormat="1" x14ac:dyDescent="0.25"/>
    <row r="5302" s="42" customFormat="1" x14ac:dyDescent="0.25"/>
    <row r="5303" s="42" customFormat="1" x14ac:dyDescent="0.25"/>
    <row r="5304" s="42" customFormat="1" x14ac:dyDescent="0.25"/>
    <row r="5305" s="42" customFormat="1" x14ac:dyDescent="0.25"/>
    <row r="5306" s="42" customFormat="1" x14ac:dyDescent="0.25"/>
    <row r="5307" s="42" customFormat="1" x14ac:dyDescent="0.25"/>
    <row r="5308" s="42" customFormat="1" x14ac:dyDescent="0.25"/>
    <row r="5309" s="42" customFormat="1" x14ac:dyDescent="0.25"/>
    <row r="5310" s="42" customFormat="1" x14ac:dyDescent="0.25"/>
    <row r="5311" s="42" customFormat="1" x14ac:dyDescent="0.25"/>
    <row r="5312" s="42" customFormat="1" x14ac:dyDescent="0.25"/>
    <row r="5313" s="42" customFormat="1" x14ac:dyDescent="0.25"/>
    <row r="5314" s="42" customFormat="1" x14ac:dyDescent="0.25"/>
    <row r="5315" s="42" customFormat="1" x14ac:dyDescent="0.25"/>
    <row r="5316" s="42" customFormat="1" x14ac:dyDescent="0.25"/>
    <row r="5317" s="42" customFormat="1" x14ac:dyDescent="0.25"/>
    <row r="5318" s="42" customFormat="1" x14ac:dyDescent="0.25"/>
    <row r="5319" s="42" customFormat="1" x14ac:dyDescent="0.25"/>
    <row r="5320" s="42" customFormat="1" x14ac:dyDescent="0.25"/>
    <row r="5321" s="42" customFormat="1" x14ac:dyDescent="0.25"/>
    <row r="5322" s="42" customFormat="1" x14ac:dyDescent="0.25"/>
    <row r="5323" s="42" customFormat="1" x14ac:dyDescent="0.25"/>
    <row r="5324" s="42" customFormat="1" x14ac:dyDescent="0.25"/>
    <row r="5325" s="42" customFormat="1" x14ac:dyDescent="0.25"/>
    <row r="5326" s="42" customFormat="1" x14ac:dyDescent="0.25"/>
    <row r="5327" s="42" customFormat="1" x14ac:dyDescent="0.25"/>
    <row r="5328" s="42" customFormat="1" x14ac:dyDescent="0.25"/>
    <row r="5329" s="42" customFormat="1" x14ac:dyDescent="0.25"/>
    <row r="5330" s="42" customFormat="1" x14ac:dyDescent="0.25"/>
    <row r="5331" s="42" customFormat="1" x14ac:dyDescent="0.25"/>
    <row r="5332" s="42" customFormat="1" x14ac:dyDescent="0.25"/>
    <row r="5333" s="42" customFormat="1" x14ac:dyDescent="0.25"/>
    <row r="5334" s="42" customFormat="1" x14ac:dyDescent="0.25"/>
    <row r="5335" s="42" customFormat="1" x14ac:dyDescent="0.25"/>
    <row r="5336" s="42" customFormat="1" x14ac:dyDescent="0.25"/>
    <row r="5337" s="42" customFormat="1" x14ac:dyDescent="0.25"/>
    <row r="5338" s="42" customFormat="1" x14ac:dyDescent="0.25"/>
    <row r="5339" s="42" customFormat="1" x14ac:dyDescent="0.25"/>
    <row r="5340" s="42" customFormat="1" x14ac:dyDescent="0.25"/>
    <row r="5341" s="42" customFormat="1" x14ac:dyDescent="0.25"/>
    <row r="5342" s="42" customFormat="1" x14ac:dyDescent="0.25"/>
    <row r="5343" s="42" customFormat="1" x14ac:dyDescent="0.25"/>
    <row r="5344" s="42" customFormat="1" x14ac:dyDescent="0.25"/>
    <row r="5345" s="42" customFormat="1" x14ac:dyDescent="0.25"/>
    <row r="5346" s="42" customFormat="1" x14ac:dyDescent="0.25"/>
    <row r="5347" s="42" customFormat="1" x14ac:dyDescent="0.25"/>
    <row r="5348" s="42" customFormat="1" x14ac:dyDescent="0.25"/>
    <row r="5349" s="42" customFormat="1" x14ac:dyDescent="0.25"/>
    <row r="5350" s="42" customFormat="1" x14ac:dyDescent="0.25"/>
    <row r="5351" s="42" customFormat="1" x14ac:dyDescent="0.25"/>
    <row r="5352" s="42" customFormat="1" x14ac:dyDescent="0.25"/>
    <row r="5353" s="42" customFormat="1" x14ac:dyDescent="0.25"/>
    <row r="5354" s="42" customFormat="1" x14ac:dyDescent="0.25"/>
    <row r="5355" s="42" customFormat="1" x14ac:dyDescent="0.25"/>
    <row r="5356" s="42" customFormat="1" x14ac:dyDescent="0.25"/>
    <row r="5357" s="42" customFormat="1" x14ac:dyDescent="0.25"/>
    <row r="5358" s="42" customFormat="1" x14ac:dyDescent="0.25"/>
    <row r="5359" s="42" customFormat="1" x14ac:dyDescent="0.25"/>
    <row r="5360" s="42" customFormat="1" x14ac:dyDescent="0.25"/>
    <row r="5361" s="42" customFormat="1" x14ac:dyDescent="0.25"/>
    <row r="5362" s="42" customFormat="1" x14ac:dyDescent="0.25"/>
    <row r="5363" s="42" customFormat="1" x14ac:dyDescent="0.25"/>
    <row r="5364" s="42" customFormat="1" x14ac:dyDescent="0.25"/>
    <row r="5365" s="42" customFormat="1" x14ac:dyDescent="0.25"/>
    <row r="5366" s="42" customFormat="1" x14ac:dyDescent="0.25"/>
    <row r="5367" s="42" customFormat="1" x14ac:dyDescent="0.25"/>
    <row r="5368" s="42" customFormat="1" x14ac:dyDescent="0.25"/>
    <row r="5369" s="42" customFormat="1" x14ac:dyDescent="0.25"/>
    <row r="5370" s="42" customFormat="1" x14ac:dyDescent="0.25"/>
    <row r="5371" s="42" customFormat="1" x14ac:dyDescent="0.25"/>
    <row r="5372" s="42" customFormat="1" x14ac:dyDescent="0.25"/>
    <row r="5373" s="42" customFormat="1" x14ac:dyDescent="0.25"/>
    <row r="5374" s="42" customFormat="1" x14ac:dyDescent="0.25"/>
    <row r="5375" s="42" customFormat="1" x14ac:dyDescent="0.25"/>
    <row r="5376" s="42" customFormat="1" x14ac:dyDescent="0.25"/>
    <row r="5377" s="42" customFormat="1" x14ac:dyDescent="0.25"/>
    <row r="5378" s="42" customFormat="1" x14ac:dyDescent="0.25"/>
    <row r="5379" s="42" customFormat="1" x14ac:dyDescent="0.25"/>
    <row r="5380" s="42" customFormat="1" x14ac:dyDescent="0.25"/>
    <row r="5381" s="42" customFormat="1" x14ac:dyDescent="0.25"/>
    <row r="5382" s="42" customFormat="1" x14ac:dyDescent="0.25"/>
    <row r="5383" s="42" customFormat="1" x14ac:dyDescent="0.25"/>
    <row r="5384" s="42" customFormat="1" x14ac:dyDescent="0.25"/>
    <row r="5385" s="42" customFormat="1" x14ac:dyDescent="0.25"/>
    <row r="5386" s="42" customFormat="1" x14ac:dyDescent="0.25"/>
    <row r="5387" s="42" customFormat="1" x14ac:dyDescent="0.25"/>
    <row r="5388" s="42" customFormat="1" x14ac:dyDescent="0.25"/>
    <row r="5389" s="42" customFormat="1" x14ac:dyDescent="0.25"/>
    <row r="5390" s="42" customFormat="1" x14ac:dyDescent="0.25"/>
    <row r="5391" s="42" customFormat="1" x14ac:dyDescent="0.25"/>
    <row r="5392" s="42" customFormat="1" x14ac:dyDescent="0.25"/>
    <row r="5393" s="42" customFormat="1" x14ac:dyDescent="0.25"/>
    <row r="5394" s="42" customFormat="1" x14ac:dyDescent="0.25"/>
    <row r="5395" s="42" customFormat="1" x14ac:dyDescent="0.25"/>
    <row r="5396" s="42" customFormat="1" x14ac:dyDescent="0.25"/>
    <row r="5397" s="42" customFormat="1" x14ac:dyDescent="0.25"/>
    <row r="5398" s="42" customFormat="1" x14ac:dyDescent="0.25"/>
    <row r="5399" s="42" customFormat="1" x14ac:dyDescent="0.25"/>
    <row r="5400" s="42" customFormat="1" x14ac:dyDescent="0.25"/>
    <row r="5401" s="42" customFormat="1" x14ac:dyDescent="0.25"/>
    <row r="5402" s="42" customFormat="1" x14ac:dyDescent="0.25"/>
    <row r="5403" s="42" customFormat="1" x14ac:dyDescent="0.25"/>
    <row r="5404" s="42" customFormat="1" x14ac:dyDescent="0.25"/>
    <row r="5405" s="42" customFormat="1" x14ac:dyDescent="0.25"/>
    <row r="5406" s="42" customFormat="1" x14ac:dyDescent="0.25"/>
    <row r="5407" s="42" customFormat="1" x14ac:dyDescent="0.25"/>
    <row r="5408" s="42" customFormat="1" x14ac:dyDescent="0.25"/>
    <row r="5409" s="42" customFormat="1" x14ac:dyDescent="0.25"/>
    <row r="5410" s="42" customFormat="1" x14ac:dyDescent="0.25"/>
    <row r="5411" s="42" customFormat="1" x14ac:dyDescent="0.25"/>
    <row r="5412" s="42" customFormat="1" x14ac:dyDescent="0.25"/>
    <row r="5413" s="42" customFormat="1" x14ac:dyDescent="0.25"/>
    <row r="5414" s="42" customFormat="1" x14ac:dyDescent="0.25"/>
    <row r="5415" s="42" customFormat="1" x14ac:dyDescent="0.25"/>
    <row r="5416" s="42" customFormat="1" x14ac:dyDescent="0.25"/>
    <row r="5417" s="42" customFormat="1" x14ac:dyDescent="0.25"/>
    <row r="5418" s="42" customFormat="1" x14ac:dyDescent="0.25"/>
    <row r="5419" s="42" customFormat="1" x14ac:dyDescent="0.25"/>
    <row r="5420" s="42" customFormat="1" x14ac:dyDescent="0.25"/>
    <row r="5421" s="42" customFormat="1" x14ac:dyDescent="0.25"/>
    <row r="5422" s="42" customFormat="1" x14ac:dyDescent="0.25"/>
    <row r="5423" s="42" customFormat="1" x14ac:dyDescent="0.25"/>
    <row r="5424" s="42" customFormat="1" x14ac:dyDescent="0.25"/>
    <row r="5425" s="42" customFormat="1" x14ac:dyDescent="0.25"/>
    <row r="5426" s="42" customFormat="1" x14ac:dyDescent="0.25"/>
    <row r="5427" s="42" customFormat="1" x14ac:dyDescent="0.25"/>
    <row r="5428" s="42" customFormat="1" x14ac:dyDescent="0.25"/>
    <row r="5429" s="42" customFormat="1" x14ac:dyDescent="0.25"/>
    <row r="5430" s="42" customFormat="1" x14ac:dyDescent="0.25"/>
    <row r="5431" s="42" customFormat="1" x14ac:dyDescent="0.25"/>
    <row r="5432" s="42" customFormat="1" x14ac:dyDescent="0.25"/>
    <row r="5433" s="42" customFormat="1" x14ac:dyDescent="0.25"/>
    <row r="5434" s="42" customFormat="1" x14ac:dyDescent="0.25"/>
    <row r="5435" s="42" customFormat="1" x14ac:dyDescent="0.25"/>
    <row r="5436" s="42" customFormat="1" x14ac:dyDescent="0.25"/>
    <row r="5437" s="42" customFormat="1" x14ac:dyDescent="0.25"/>
    <row r="5438" s="42" customFormat="1" x14ac:dyDescent="0.25"/>
    <row r="5439" s="42" customFormat="1" x14ac:dyDescent="0.25"/>
    <row r="5440" s="42" customFormat="1" x14ac:dyDescent="0.25"/>
    <row r="5441" s="42" customFormat="1" x14ac:dyDescent="0.25"/>
    <row r="5442" s="42" customFormat="1" x14ac:dyDescent="0.25"/>
    <row r="5443" s="42" customFormat="1" x14ac:dyDescent="0.25"/>
    <row r="5444" s="42" customFormat="1" x14ac:dyDescent="0.25"/>
    <row r="5445" s="42" customFormat="1" x14ac:dyDescent="0.25"/>
    <row r="5446" s="42" customFormat="1" x14ac:dyDescent="0.25"/>
    <row r="5447" s="42" customFormat="1" x14ac:dyDescent="0.25"/>
    <row r="5448" s="42" customFormat="1" x14ac:dyDescent="0.25"/>
    <row r="5449" s="42" customFormat="1" x14ac:dyDescent="0.25"/>
    <row r="5450" s="42" customFormat="1" x14ac:dyDescent="0.25"/>
    <row r="5451" s="42" customFormat="1" x14ac:dyDescent="0.25"/>
    <row r="5452" s="42" customFormat="1" x14ac:dyDescent="0.25"/>
    <row r="5453" s="42" customFormat="1" x14ac:dyDescent="0.25"/>
    <row r="5454" s="42" customFormat="1" x14ac:dyDescent="0.25"/>
    <row r="5455" s="42" customFormat="1" x14ac:dyDescent="0.25"/>
    <row r="5456" s="42" customFormat="1" x14ac:dyDescent="0.25"/>
    <row r="5457" s="42" customFormat="1" x14ac:dyDescent="0.25"/>
    <row r="5458" s="42" customFormat="1" x14ac:dyDescent="0.25"/>
    <row r="5459" s="42" customFormat="1" x14ac:dyDescent="0.25"/>
    <row r="5460" s="42" customFormat="1" x14ac:dyDescent="0.25"/>
    <row r="5461" s="42" customFormat="1" x14ac:dyDescent="0.25"/>
    <row r="5462" s="42" customFormat="1" x14ac:dyDescent="0.25"/>
    <row r="5463" s="42" customFormat="1" x14ac:dyDescent="0.25"/>
    <row r="5464" s="42" customFormat="1" x14ac:dyDescent="0.25"/>
    <row r="5465" s="42" customFormat="1" x14ac:dyDescent="0.25"/>
    <row r="5466" s="42" customFormat="1" x14ac:dyDescent="0.25"/>
    <row r="5467" s="42" customFormat="1" x14ac:dyDescent="0.25"/>
    <row r="5468" s="42" customFormat="1" x14ac:dyDescent="0.25"/>
    <row r="5469" s="42" customFormat="1" x14ac:dyDescent="0.25"/>
    <row r="5470" s="42" customFormat="1" x14ac:dyDescent="0.25"/>
    <row r="5471" s="42" customFormat="1" x14ac:dyDescent="0.25"/>
    <row r="5472" s="42" customFormat="1" x14ac:dyDescent="0.25"/>
    <row r="5473" s="42" customFormat="1" x14ac:dyDescent="0.25"/>
    <row r="5474" s="42" customFormat="1" x14ac:dyDescent="0.25"/>
    <row r="5475" s="42" customFormat="1" x14ac:dyDescent="0.25"/>
    <row r="5476" s="42" customFormat="1" x14ac:dyDescent="0.25"/>
    <row r="5477" s="42" customFormat="1" x14ac:dyDescent="0.25"/>
    <row r="5478" s="42" customFormat="1" x14ac:dyDescent="0.25"/>
    <row r="5479" s="42" customFormat="1" x14ac:dyDescent="0.25"/>
    <row r="5480" s="42" customFormat="1" x14ac:dyDescent="0.25"/>
    <row r="5481" s="42" customFormat="1" x14ac:dyDescent="0.25"/>
    <row r="5482" s="42" customFormat="1" x14ac:dyDescent="0.25"/>
    <row r="5483" s="42" customFormat="1" x14ac:dyDescent="0.25"/>
    <row r="5484" s="42" customFormat="1" x14ac:dyDescent="0.25"/>
    <row r="5485" s="42" customFormat="1" x14ac:dyDescent="0.25"/>
    <row r="5486" s="42" customFormat="1" x14ac:dyDescent="0.25"/>
    <row r="5487" s="42" customFormat="1" x14ac:dyDescent="0.25"/>
    <row r="5488" s="42" customFormat="1" x14ac:dyDescent="0.25"/>
    <row r="5489" s="42" customFormat="1" x14ac:dyDescent="0.25"/>
    <row r="5490" s="42" customFormat="1" x14ac:dyDescent="0.25"/>
    <row r="5491" s="42" customFormat="1" x14ac:dyDescent="0.25"/>
    <row r="5492" s="42" customFormat="1" x14ac:dyDescent="0.25"/>
    <row r="5493" s="42" customFormat="1" x14ac:dyDescent="0.25"/>
    <row r="5494" s="42" customFormat="1" x14ac:dyDescent="0.25"/>
    <row r="5495" s="42" customFormat="1" x14ac:dyDescent="0.25"/>
    <row r="5496" s="42" customFormat="1" x14ac:dyDescent="0.25"/>
    <row r="5497" s="42" customFormat="1" x14ac:dyDescent="0.25"/>
    <row r="5498" s="42" customFormat="1" x14ac:dyDescent="0.25"/>
    <row r="5499" s="42" customFormat="1" x14ac:dyDescent="0.25"/>
    <row r="5500" s="42" customFormat="1" x14ac:dyDescent="0.25"/>
    <row r="5501" s="42" customFormat="1" x14ac:dyDescent="0.25"/>
    <row r="5502" s="42" customFormat="1" x14ac:dyDescent="0.25"/>
    <row r="5503" s="42" customFormat="1" x14ac:dyDescent="0.25"/>
    <row r="5504" s="42" customFormat="1" x14ac:dyDescent="0.25"/>
    <row r="5505" s="42" customFormat="1" x14ac:dyDescent="0.25"/>
    <row r="5506" s="42" customFormat="1" x14ac:dyDescent="0.25"/>
    <row r="5507" s="42" customFormat="1" x14ac:dyDescent="0.25"/>
    <row r="5508" s="42" customFormat="1" x14ac:dyDescent="0.25"/>
    <row r="5509" s="42" customFormat="1" x14ac:dyDescent="0.25"/>
    <row r="5510" s="42" customFormat="1" x14ac:dyDescent="0.25"/>
    <row r="5511" s="42" customFormat="1" x14ac:dyDescent="0.25"/>
    <row r="5512" s="42" customFormat="1" x14ac:dyDescent="0.25"/>
    <row r="5513" s="42" customFormat="1" x14ac:dyDescent="0.25"/>
    <row r="5514" s="42" customFormat="1" x14ac:dyDescent="0.25"/>
    <row r="5515" s="42" customFormat="1" x14ac:dyDescent="0.25"/>
    <row r="5516" s="42" customFormat="1" x14ac:dyDescent="0.25"/>
    <row r="5517" s="42" customFormat="1" x14ac:dyDescent="0.25"/>
    <row r="5518" s="42" customFormat="1" x14ac:dyDescent="0.25"/>
    <row r="5519" s="42" customFormat="1" x14ac:dyDescent="0.25"/>
    <row r="5520" s="42" customFormat="1" x14ac:dyDescent="0.25"/>
    <row r="5521" s="42" customFormat="1" x14ac:dyDescent="0.25"/>
    <row r="5522" s="42" customFormat="1" x14ac:dyDescent="0.25"/>
    <row r="5523" s="42" customFormat="1" x14ac:dyDescent="0.25"/>
    <row r="5524" s="42" customFormat="1" x14ac:dyDescent="0.25"/>
    <row r="5525" s="42" customFormat="1" x14ac:dyDescent="0.25"/>
    <row r="5526" s="42" customFormat="1" x14ac:dyDescent="0.25"/>
    <row r="5527" s="42" customFormat="1" x14ac:dyDescent="0.25"/>
    <row r="5528" s="42" customFormat="1" x14ac:dyDescent="0.25"/>
    <row r="5529" s="42" customFormat="1" x14ac:dyDescent="0.25"/>
    <row r="5530" s="42" customFormat="1" x14ac:dyDescent="0.25"/>
    <row r="5531" s="42" customFormat="1" x14ac:dyDescent="0.25"/>
    <row r="5532" s="42" customFormat="1" x14ac:dyDescent="0.25"/>
    <row r="5533" s="42" customFormat="1" x14ac:dyDescent="0.25"/>
    <row r="5534" s="42" customFormat="1" x14ac:dyDescent="0.25"/>
    <row r="5535" s="42" customFormat="1" x14ac:dyDescent="0.25"/>
    <row r="5536" s="42" customFormat="1" x14ac:dyDescent="0.25"/>
    <row r="5537" s="42" customFormat="1" x14ac:dyDescent="0.25"/>
    <row r="5538" s="42" customFormat="1" x14ac:dyDescent="0.25"/>
    <row r="5539" s="42" customFormat="1" x14ac:dyDescent="0.25"/>
    <row r="5540" s="42" customFormat="1" x14ac:dyDescent="0.25"/>
    <row r="5541" s="42" customFormat="1" x14ac:dyDescent="0.25"/>
    <row r="5542" s="42" customFormat="1" x14ac:dyDescent="0.25"/>
    <row r="5543" s="42" customFormat="1" x14ac:dyDescent="0.25"/>
    <row r="5544" s="42" customFormat="1" x14ac:dyDescent="0.25"/>
    <row r="5545" s="42" customFormat="1" x14ac:dyDescent="0.25"/>
    <row r="5546" s="42" customFormat="1" x14ac:dyDescent="0.25"/>
    <row r="5547" s="42" customFormat="1" x14ac:dyDescent="0.25"/>
    <row r="5548" s="42" customFormat="1" x14ac:dyDescent="0.25"/>
    <row r="5549" s="42" customFormat="1" x14ac:dyDescent="0.25"/>
    <row r="5550" s="42" customFormat="1" x14ac:dyDescent="0.25"/>
    <row r="5551" s="42" customFormat="1" x14ac:dyDescent="0.25"/>
    <row r="5552" s="42" customFormat="1" x14ac:dyDescent="0.25"/>
    <row r="5553" s="42" customFormat="1" x14ac:dyDescent="0.25"/>
    <row r="5554" s="42" customFormat="1" x14ac:dyDescent="0.25"/>
    <row r="5555" s="42" customFormat="1" x14ac:dyDescent="0.25"/>
    <row r="5556" s="42" customFormat="1" x14ac:dyDescent="0.25"/>
    <row r="5557" s="42" customFormat="1" x14ac:dyDescent="0.25"/>
    <row r="5558" s="42" customFormat="1" x14ac:dyDescent="0.25"/>
    <row r="5559" s="42" customFormat="1" x14ac:dyDescent="0.25"/>
    <row r="5560" s="42" customFormat="1" x14ac:dyDescent="0.25"/>
    <row r="5561" s="42" customFormat="1" x14ac:dyDescent="0.25"/>
    <row r="5562" s="42" customFormat="1" x14ac:dyDescent="0.25"/>
    <row r="5563" s="42" customFormat="1" x14ac:dyDescent="0.25"/>
    <row r="5564" s="42" customFormat="1" x14ac:dyDescent="0.25"/>
    <row r="5565" s="42" customFormat="1" x14ac:dyDescent="0.25"/>
    <row r="5566" s="42" customFormat="1" x14ac:dyDescent="0.25"/>
    <row r="5567" s="42" customFormat="1" x14ac:dyDescent="0.25"/>
    <row r="5568" s="42" customFormat="1" x14ac:dyDescent="0.25"/>
    <row r="5569" s="42" customFormat="1" x14ac:dyDescent="0.25"/>
    <row r="5570" s="42" customFormat="1" x14ac:dyDescent="0.25"/>
    <row r="5571" s="42" customFormat="1" x14ac:dyDescent="0.25"/>
    <row r="5572" s="42" customFormat="1" x14ac:dyDescent="0.25"/>
    <row r="5573" s="42" customFormat="1" x14ac:dyDescent="0.25"/>
    <row r="5574" s="42" customFormat="1" x14ac:dyDescent="0.25"/>
    <row r="5575" s="42" customFormat="1" x14ac:dyDescent="0.25"/>
    <row r="5576" s="42" customFormat="1" x14ac:dyDescent="0.25"/>
    <row r="5577" s="42" customFormat="1" x14ac:dyDescent="0.25"/>
    <row r="5578" s="42" customFormat="1" x14ac:dyDescent="0.25"/>
    <row r="5579" s="42" customFormat="1" x14ac:dyDescent="0.25"/>
    <row r="5580" s="42" customFormat="1" x14ac:dyDescent="0.25"/>
    <row r="5581" s="42" customFormat="1" x14ac:dyDescent="0.25"/>
    <row r="5582" s="42" customFormat="1" x14ac:dyDescent="0.25"/>
    <row r="5583" s="42" customFormat="1" x14ac:dyDescent="0.25"/>
    <row r="5584" s="42" customFormat="1" x14ac:dyDescent="0.25"/>
    <row r="5585" s="42" customFormat="1" x14ac:dyDescent="0.25"/>
    <row r="5586" s="42" customFormat="1" x14ac:dyDescent="0.25"/>
    <row r="5587" s="42" customFormat="1" x14ac:dyDescent="0.25"/>
    <row r="5588" s="42" customFormat="1" x14ac:dyDescent="0.25"/>
    <row r="5589" s="42" customFormat="1" x14ac:dyDescent="0.25"/>
    <row r="5590" s="42" customFormat="1" x14ac:dyDescent="0.25"/>
    <row r="5591" s="42" customFormat="1" x14ac:dyDescent="0.25"/>
    <row r="5592" s="42" customFormat="1" x14ac:dyDescent="0.25"/>
    <row r="5593" s="42" customFormat="1" x14ac:dyDescent="0.25"/>
    <row r="5594" s="42" customFormat="1" x14ac:dyDescent="0.25"/>
    <row r="5595" s="42" customFormat="1" x14ac:dyDescent="0.25"/>
    <row r="5596" s="42" customFormat="1" x14ac:dyDescent="0.25"/>
    <row r="5597" s="42" customFormat="1" x14ac:dyDescent="0.25"/>
    <row r="5598" s="42" customFormat="1" x14ac:dyDescent="0.25"/>
    <row r="5599" s="42" customFormat="1" x14ac:dyDescent="0.25"/>
    <row r="5600" s="42" customFormat="1" x14ac:dyDescent="0.25"/>
    <row r="5601" s="42" customFormat="1" x14ac:dyDescent="0.25"/>
    <row r="5602" s="42" customFormat="1" x14ac:dyDescent="0.25"/>
    <row r="5603" s="42" customFormat="1" x14ac:dyDescent="0.25"/>
    <row r="5604" s="42" customFormat="1" x14ac:dyDescent="0.25"/>
    <row r="5605" s="42" customFormat="1" x14ac:dyDescent="0.25"/>
    <row r="5606" s="42" customFormat="1" x14ac:dyDescent="0.25"/>
    <row r="5607" s="42" customFormat="1" x14ac:dyDescent="0.25"/>
    <row r="5608" s="42" customFormat="1" x14ac:dyDescent="0.25"/>
    <row r="5609" s="42" customFormat="1" x14ac:dyDescent="0.25"/>
    <row r="5610" s="42" customFormat="1" x14ac:dyDescent="0.25"/>
    <row r="5611" s="42" customFormat="1" x14ac:dyDescent="0.25"/>
    <row r="5612" s="42" customFormat="1" x14ac:dyDescent="0.25"/>
    <row r="5613" s="42" customFormat="1" x14ac:dyDescent="0.25"/>
    <row r="5614" s="42" customFormat="1" x14ac:dyDescent="0.25"/>
    <row r="5615" s="42" customFormat="1" x14ac:dyDescent="0.25"/>
    <row r="5616" s="42" customFormat="1" x14ac:dyDescent="0.25"/>
    <row r="5617" s="42" customFormat="1" x14ac:dyDescent="0.25"/>
    <row r="5618" s="42" customFormat="1" x14ac:dyDescent="0.25"/>
    <row r="5619" s="42" customFormat="1" x14ac:dyDescent="0.25"/>
    <row r="5620" s="42" customFormat="1" x14ac:dyDescent="0.25"/>
    <row r="5621" s="42" customFormat="1" x14ac:dyDescent="0.25"/>
    <row r="5622" s="42" customFormat="1" x14ac:dyDescent="0.25"/>
    <row r="5623" s="42" customFormat="1" x14ac:dyDescent="0.25"/>
    <row r="5624" s="42" customFormat="1" x14ac:dyDescent="0.25"/>
    <row r="5625" s="42" customFormat="1" x14ac:dyDescent="0.25"/>
    <row r="5626" s="42" customFormat="1" x14ac:dyDescent="0.25"/>
    <row r="5627" s="42" customFormat="1" x14ac:dyDescent="0.25"/>
    <row r="5628" s="42" customFormat="1" x14ac:dyDescent="0.25"/>
    <row r="5629" s="42" customFormat="1" x14ac:dyDescent="0.25"/>
    <row r="5630" s="42" customFormat="1" x14ac:dyDescent="0.25"/>
    <row r="5631" s="42" customFormat="1" x14ac:dyDescent="0.25"/>
    <row r="5632" s="42" customFormat="1" x14ac:dyDescent="0.25"/>
    <row r="5633" s="42" customFormat="1" x14ac:dyDescent="0.25"/>
    <row r="5634" s="42" customFormat="1" x14ac:dyDescent="0.25"/>
    <row r="5635" s="42" customFormat="1" x14ac:dyDescent="0.25"/>
    <row r="5636" s="42" customFormat="1" x14ac:dyDescent="0.25"/>
    <row r="5637" s="42" customFormat="1" x14ac:dyDescent="0.25"/>
    <row r="5638" s="42" customFormat="1" x14ac:dyDescent="0.25"/>
    <row r="5639" s="42" customFormat="1" x14ac:dyDescent="0.25"/>
    <row r="5640" s="42" customFormat="1" x14ac:dyDescent="0.25"/>
    <row r="5641" s="42" customFormat="1" x14ac:dyDescent="0.25"/>
    <row r="5642" s="42" customFormat="1" x14ac:dyDescent="0.25"/>
    <row r="5643" s="42" customFormat="1" x14ac:dyDescent="0.25"/>
    <row r="5644" s="42" customFormat="1" x14ac:dyDescent="0.25"/>
    <row r="5645" s="42" customFormat="1" x14ac:dyDescent="0.25"/>
    <row r="5646" s="42" customFormat="1" x14ac:dyDescent="0.25"/>
    <row r="5647" s="42" customFormat="1" x14ac:dyDescent="0.25"/>
    <row r="5648" s="42" customFormat="1" x14ac:dyDescent="0.25"/>
    <row r="5649" s="42" customFormat="1" x14ac:dyDescent="0.25"/>
    <row r="5650" s="42" customFormat="1" x14ac:dyDescent="0.25"/>
    <row r="5651" s="42" customFormat="1" x14ac:dyDescent="0.25"/>
    <row r="5652" s="42" customFormat="1" x14ac:dyDescent="0.25"/>
    <row r="5653" s="42" customFormat="1" x14ac:dyDescent="0.25"/>
    <row r="5654" s="42" customFormat="1" x14ac:dyDescent="0.25"/>
    <row r="5655" s="42" customFormat="1" x14ac:dyDescent="0.25"/>
    <row r="5656" s="42" customFormat="1" x14ac:dyDescent="0.25"/>
    <row r="5657" s="42" customFormat="1" x14ac:dyDescent="0.25"/>
    <row r="5658" s="42" customFormat="1" x14ac:dyDescent="0.25"/>
    <row r="5659" s="42" customFormat="1" x14ac:dyDescent="0.25"/>
    <row r="5660" s="42" customFormat="1" x14ac:dyDescent="0.25"/>
    <row r="5661" s="42" customFormat="1" x14ac:dyDescent="0.25"/>
    <row r="5662" s="42" customFormat="1" x14ac:dyDescent="0.25"/>
    <row r="5663" s="42" customFormat="1" x14ac:dyDescent="0.25"/>
    <row r="5664" s="42" customFormat="1" x14ac:dyDescent="0.25"/>
    <row r="5665" s="42" customFormat="1" x14ac:dyDescent="0.25"/>
    <row r="5666" s="42" customFormat="1" x14ac:dyDescent="0.25"/>
    <row r="5667" s="42" customFormat="1" x14ac:dyDescent="0.25"/>
    <row r="5668" s="42" customFormat="1" x14ac:dyDescent="0.25"/>
    <row r="5669" s="42" customFormat="1" x14ac:dyDescent="0.25"/>
    <row r="5670" s="42" customFormat="1" x14ac:dyDescent="0.25"/>
    <row r="5671" s="42" customFormat="1" x14ac:dyDescent="0.25"/>
    <row r="5672" s="42" customFormat="1" x14ac:dyDescent="0.25"/>
    <row r="5673" s="42" customFormat="1" x14ac:dyDescent="0.25"/>
    <row r="5674" s="42" customFormat="1" x14ac:dyDescent="0.25"/>
    <row r="5675" s="42" customFormat="1" x14ac:dyDescent="0.25"/>
    <row r="5676" s="42" customFormat="1" x14ac:dyDescent="0.25"/>
    <row r="5677" s="42" customFormat="1" x14ac:dyDescent="0.25"/>
    <row r="5678" s="42" customFormat="1" x14ac:dyDescent="0.25"/>
    <row r="5679" s="42" customFormat="1" x14ac:dyDescent="0.25"/>
    <row r="5680" s="42" customFormat="1" x14ac:dyDescent="0.25"/>
    <row r="5681" s="42" customFormat="1" x14ac:dyDescent="0.25"/>
    <row r="5682" s="42" customFormat="1" x14ac:dyDescent="0.25"/>
    <row r="5683" s="42" customFormat="1" x14ac:dyDescent="0.25"/>
    <row r="5684" s="42" customFormat="1" x14ac:dyDescent="0.25"/>
    <row r="5685" s="42" customFormat="1" x14ac:dyDescent="0.25"/>
    <row r="5686" s="42" customFormat="1" x14ac:dyDescent="0.25"/>
    <row r="5687" s="42" customFormat="1" x14ac:dyDescent="0.25"/>
    <row r="5688" s="42" customFormat="1" x14ac:dyDescent="0.25"/>
    <row r="5689" s="42" customFormat="1" x14ac:dyDescent="0.25"/>
    <row r="5690" s="42" customFormat="1" x14ac:dyDescent="0.25"/>
    <row r="5691" s="42" customFormat="1" x14ac:dyDescent="0.25"/>
    <row r="5692" s="42" customFormat="1" x14ac:dyDescent="0.25"/>
    <row r="5693" s="42" customFormat="1" x14ac:dyDescent="0.25"/>
    <row r="5694" s="42" customFormat="1" x14ac:dyDescent="0.25"/>
    <row r="5695" s="42" customFormat="1" x14ac:dyDescent="0.25"/>
    <row r="5696" s="42" customFormat="1" x14ac:dyDescent="0.25"/>
    <row r="5697" s="42" customFormat="1" x14ac:dyDescent="0.25"/>
    <row r="5698" s="42" customFormat="1" x14ac:dyDescent="0.25"/>
    <row r="5699" s="42" customFormat="1" x14ac:dyDescent="0.25"/>
    <row r="5700" s="42" customFormat="1" x14ac:dyDescent="0.25"/>
    <row r="5701" s="42" customFormat="1" x14ac:dyDescent="0.25"/>
    <row r="5702" s="42" customFormat="1" x14ac:dyDescent="0.25"/>
    <row r="5703" s="42" customFormat="1" x14ac:dyDescent="0.25"/>
    <row r="5704" s="42" customFormat="1" x14ac:dyDescent="0.25"/>
    <row r="5705" s="42" customFormat="1" x14ac:dyDescent="0.25"/>
    <row r="5706" s="42" customFormat="1" x14ac:dyDescent="0.25"/>
    <row r="5707" s="42" customFormat="1" x14ac:dyDescent="0.25"/>
    <row r="5708" s="42" customFormat="1" x14ac:dyDescent="0.25"/>
    <row r="5709" s="42" customFormat="1" x14ac:dyDescent="0.25"/>
    <row r="5710" s="42" customFormat="1" x14ac:dyDescent="0.25"/>
    <row r="5711" s="42" customFormat="1" x14ac:dyDescent="0.25"/>
    <row r="5712" s="42" customFormat="1" x14ac:dyDescent="0.25"/>
    <row r="5713" s="42" customFormat="1" x14ac:dyDescent="0.25"/>
    <row r="5714" s="42" customFormat="1" x14ac:dyDescent="0.25"/>
    <row r="5715" s="42" customFormat="1" x14ac:dyDescent="0.25"/>
    <row r="5716" s="42" customFormat="1" x14ac:dyDescent="0.25"/>
    <row r="5717" s="42" customFormat="1" x14ac:dyDescent="0.25"/>
    <row r="5718" s="42" customFormat="1" x14ac:dyDescent="0.25"/>
    <row r="5719" s="42" customFormat="1" x14ac:dyDescent="0.25"/>
    <row r="5720" s="42" customFormat="1" x14ac:dyDescent="0.25"/>
    <row r="5721" s="42" customFormat="1" x14ac:dyDescent="0.25"/>
    <row r="5722" s="42" customFormat="1" x14ac:dyDescent="0.25"/>
    <row r="5723" s="42" customFormat="1" x14ac:dyDescent="0.25"/>
    <row r="5724" s="42" customFormat="1" x14ac:dyDescent="0.25"/>
    <row r="5725" s="42" customFormat="1" x14ac:dyDescent="0.25"/>
    <row r="5726" s="42" customFormat="1" x14ac:dyDescent="0.25"/>
    <row r="5727" s="42" customFormat="1" x14ac:dyDescent="0.25"/>
    <row r="5728" s="42" customFormat="1" x14ac:dyDescent="0.25"/>
    <row r="5729" s="42" customFormat="1" x14ac:dyDescent="0.25"/>
    <row r="5730" s="42" customFormat="1" x14ac:dyDescent="0.25"/>
    <row r="5731" s="42" customFormat="1" x14ac:dyDescent="0.25"/>
    <row r="5732" s="42" customFormat="1" x14ac:dyDescent="0.25"/>
    <row r="5733" s="42" customFormat="1" x14ac:dyDescent="0.25"/>
    <row r="5734" s="42" customFormat="1" x14ac:dyDescent="0.25"/>
    <row r="5735" s="42" customFormat="1" x14ac:dyDescent="0.25"/>
    <row r="5736" s="42" customFormat="1" x14ac:dyDescent="0.25"/>
    <row r="5737" s="42" customFormat="1" x14ac:dyDescent="0.25"/>
    <row r="5738" s="42" customFormat="1" x14ac:dyDescent="0.25"/>
    <row r="5739" s="42" customFormat="1" x14ac:dyDescent="0.25"/>
    <row r="5740" s="42" customFormat="1" x14ac:dyDescent="0.25"/>
    <row r="5741" s="42" customFormat="1" x14ac:dyDescent="0.25"/>
    <row r="5742" s="42" customFormat="1" x14ac:dyDescent="0.25"/>
    <row r="5743" s="42" customFormat="1" x14ac:dyDescent="0.25"/>
    <row r="5744" s="42" customFormat="1" x14ac:dyDescent="0.25"/>
    <row r="5745" s="42" customFormat="1" x14ac:dyDescent="0.25"/>
    <row r="5746" s="42" customFormat="1" x14ac:dyDescent="0.25"/>
    <row r="5747" s="42" customFormat="1" x14ac:dyDescent="0.25"/>
    <row r="5748" s="42" customFormat="1" x14ac:dyDescent="0.25"/>
    <row r="5749" s="42" customFormat="1" x14ac:dyDescent="0.25"/>
    <row r="5750" s="42" customFormat="1" x14ac:dyDescent="0.25"/>
    <row r="5751" s="42" customFormat="1" x14ac:dyDescent="0.25"/>
    <row r="5752" s="42" customFormat="1" x14ac:dyDescent="0.25"/>
    <row r="5753" s="42" customFormat="1" x14ac:dyDescent="0.25"/>
    <row r="5754" s="42" customFormat="1" x14ac:dyDescent="0.25"/>
    <row r="5755" s="42" customFormat="1" x14ac:dyDescent="0.25"/>
    <row r="5756" s="42" customFormat="1" x14ac:dyDescent="0.25"/>
    <row r="5757" s="42" customFormat="1" x14ac:dyDescent="0.25"/>
    <row r="5758" s="42" customFormat="1" x14ac:dyDescent="0.25"/>
    <row r="5759" s="42" customFormat="1" x14ac:dyDescent="0.25"/>
    <row r="5760" s="42" customFormat="1" x14ac:dyDescent="0.25"/>
    <row r="5761" s="42" customFormat="1" x14ac:dyDescent="0.25"/>
    <row r="5762" s="42" customFormat="1" x14ac:dyDescent="0.25"/>
    <row r="5763" s="42" customFormat="1" x14ac:dyDescent="0.25"/>
    <row r="5764" s="42" customFormat="1" x14ac:dyDescent="0.25"/>
    <row r="5765" s="42" customFormat="1" x14ac:dyDescent="0.25"/>
    <row r="5766" s="42" customFormat="1" x14ac:dyDescent="0.25"/>
    <row r="5767" s="42" customFormat="1" x14ac:dyDescent="0.25"/>
    <row r="5768" s="42" customFormat="1" x14ac:dyDescent="0.25"/>
    <row r="5769" s="42" customFormat="1" x14ac:dyDescent="0.25"/>
    <row r="5770" s="42" customFormat="1" x14ac:dyDescent="0.25"/>
    <row r="5771" s="42" customFormat="1" x14ac:dyDescent="0.25"/>
    <row r="5772" s="42" customFormat="1" x14ac:dyDescent="0.25"/>
    <row r="5773" s="42" customFormat="1" x14ac:dyDescent="0.25"/>
    <row r="5774" s="42" customFormat="1" x14ac:dyDescent="0.25"/>
    <row r="5775" s="42" customFormat="1" x14ac:dyDescent="0.25"/>
    <row r="5776" s="42" customFormat="1" x14ac:dyDescent="0.25"/>
    <row r="5777" s="42" customFormat="1" x14ac:dyDescent="0.25"/>
    <row r="5778" s="42" customFormat="1" x14ac:dyDescent="0.25"/>
    <row r="5779" s="42" customFormat="1" x14ac:dyDescent="0.25"/>
    <row r="5780" s="42" customFormat="1" x14ac:dyDescent="0.25"/>
    <row r="5781" s="42" customFormat="1" x14ac:dyDescent="0.25"/>
    <row r="5782" s="42" customFormat="1" x14ac:dyDescent="0.25"/>
    <row r="5783" s="42" customFormat="1" x14ac:dyDescent="0.25"/>
    <row r="5784" s="42" customFormat="1" x14ac:dyDescent="0.25"/>
    <row r="5785" s="42" customFormat="1" x14ac:dyDescent="0.25"/>
    <row r="5786" s="42" customFormat="1" x14ac:dyDescent="0.25"/>
    <row r="5787" s="42" customFormat="1" x14ac:dyDescent="0.25"/>
    <row r="5788" s="42" customFormat="1" x14ac:dyDescent="0.25"/>
    <row r="5789" s="42" customFormat="1" x14ac:dyDescent="0.25"/>
    <row r="5790" s="42" customFormat="1" x14ac:dyDescent="0.25"/>
    <row r="5791" s="42" customFormat="1" x14ac:dyDescent="0.25"/>
    <row r="5792" s="42" customFormat="1" x14ac:dyDescent="0.25"/>
    <row r="5793" s="42" customFormat="1" x14ac:dyDescent="0.25"/>
    <row r="5794" s="42" customFormat="1" x14ac:dyDescent="0.25"/>
    <row r="5795" s="42" customFormat="1" x14ac:dyDescent="0.25"/>
    <row r="5796" s="42" customFormat="1" x14ac:dyDescent="0.25"/>
    <row r="5797" s="42" customFormat="1" x14ac:dyDescent="0.25"/>
    <row r="5798" s="42" customFormat="1" x14ac:dyDescent="0.25"/>
    <row r="5799" s="42" customFormat="1" x14ac:dyDescent="0.25"/>
    <row r="5800" s="42" customFormat="1" x14ac:dyDescent="0.25"/>
    <row r="5801" s="42" customFormat="1" x14ac:dyDescent="0.25"/>
    <row r="5802" s="42" customFormat="1" x14ac:dyDescent="0.25"/>
    <row r="5803" s="42" customFormat="1" x14ac:dyDescent="0.25"/>
    <row r="5804" s="42" customFormat="1" x14ac:dyDescent="0.25"/>
    <row r="5805" s="42" customFormat="1" x14ac:dyDescent="0.25"/>
    <row r="5806" s="42" customFormat="1" x14ac:dyDescent="0.25"/>
    <row r="5807" s="42" customFormat="1" x14ac:dyDescent="0.25"/>
    <row r="5808" s="42" customFormat="1" x14ac:dyDescent="0.25"/>
    <row r="5809" s="42" customFormat="1" x14ac:dyDescent="0.25"/>
    <row r="5810" s="42" customFormat="1" x14ac:dyDescent="0.25"/>
    <row r="5811" s="42" customFormat="1" x14ac:dyDescent="0.25"/>
    <row r="5812" s="42" customFormat="1" x14ac:dyDescent="0.25"/>
    <row r="5813" s="42" customFormat="1" x14ac:dyDescent="0.25"/>
    <row r="5814" s="42" customFormat="1" x14ac:dyDescent="0.25"/>
    <row r="5815" s="42" customFormat="1" x14ac:dyDescent="0.25"/>
    <row r="5816" s="42" customFormat="1" x14ac:dyDescent="0.25"/>
    <row r="5817" s="42" customFormat="1" x14ac:dyDescent="0.25"/>
    <row r="5818" s="42" customFormat="1" x14ac:dyDescent="0.25"/>
    <row r="5819" s="42" customFormat="1" x14ac:dyDescent="0.25"/>
    <row r="5820" s="42" customFormat="1" x14ac:dyDescent="0.25"/>
    <row r="5821" s="42" customFormat="1" x14ac:dyDescent="0.25"/>
    <row r="5822" s="42" customFormat="1" x14ac:dyDescent="0.25"/>
    <row r="5823" s="42" customFormat="1" x14ac:dyDescent="0.25"/>
    <row r="5824" s="42" customFormat="1" x14ac:dyDescent="0.25"/>
    <row r="5825" s="42" customFormat="1" x14ac:dyDescent="0.25"/>
    <row r="5826" s="42" customFormat="1" x14ac:dyDescent="0.25"/>
    <row r="5827" s="42" customFormat="1" x14ac:dyDescent="0.25"/>
    <row r="5828" s="42" customFormat="1" x14ac:dyDescent="0.25"/>
    <row r="5829" s="42" customFormat="1" x14ac:dyDescent="0.25"/>
    <row r="5830" s="42" customFormat="1" x14ac:dyDescent="0.25"/>
    <row r="5831" s="42" customFormat="1" x14ac:dyDescent="0.25"/>
    <row r="5832" s="42" customFormat="1" x14ac:dyDescent="0.25"/>
    <row r="5833" s="42" customFormat="1" x14ac:dyDescent="0.25"/>
    <row r="5834" s="42" customFormat="1" x14ac:dyDescent="0.25"/>
    <row r="5835" s="42" customFormat="1" x14ac:dyDescent="0.25"/>
    <row r="5836" s="42" customFormat="1" x14ac:dyDescent="0.25"/>
    <row r="5837" s="42" customFormat="1" x14ac:dyDescent="0.25"/>
    <row r="5838" s="42" customFormat="1" x14ac:dyDescent="0.25"/>
    <row r="5839" s="42" customFormat="1" x14ac:dyDescent="0.25"/>
    <row r="5840" s="42" customFormat="1" x14ac:dyDescent="0.25"/>
    <row r="5841" s="42" customFormat="1" x14ac:dyDescent="0.25"/>
    <row r="5842" s="42" customFormat="1" x14ac:dyDescent="0.25"/>
    <row r="5843" s="42" customFormat="1" x14ac:dyDescent="0.25"/>
    <row r="5844" s="42" customFormat="1" x14ac:dyDescent="0.25"/>
    <row r="5845" s="42" customFormat="1" x14ac:dyDescent="0.25"/>
    <row r="5846" s="42" customFormat="1" x14ac:dyDescent="0.25"/>
    <row r="5847" s="42" customFormat="1" x14ac:dyDescent="0.25"/>
    <row r="5848" s="42" customFormat="1" x14ac:dyDescent="0.25"/>
    <row r="5849" s="42" customFormat="1" x14ac:dyDescent="0.25"/>
    <row r="5850" s="42" customFormat="1" x14ac:dyDescent="0.25"/>
    <row r="5851" s="42" customFormat="1" x14ac:dyDescent="0.25"/>
    <row r="5852" s="42" customFormat="1" x14ac:dyDescent="0.25"/>
    <row r="5853" s="42" customFormat="1" x14ac:dyDescent="0.25"/>
    <row r="5854" s="42" customFormat="1" x14ac:dyDescent="0.25"/>
    <row r="5855" s="42" customFormat="1" x14ac:dyDescent="0.25"/>
    <row r="5856" s="42" customFormat="1" x14ac:dyDescent="0.25"/>
    <row r="5857" s="42" customFormat="1" x14ac:dyDescent="0.25"/>
    <row r="5858" s="42" customFormat="1" x14ac:dyDescent="0.25"/>
    <row r="5859" s="42" customFormat="1" x14ac:dyDescent="0.25"/>
    <row r="5860" s="42" customFormat="1" x14ac:dyDescent="0.25"/>
    <row r="5861" s="42" customFormat="1" x14ac:dyDescent="0.25"/>
    <row r="5862" s="42" customFormat="1" x14ac:dyDescent="0.25"/>
    <row r="5863" s="42" customFormat="1" x14ac:dyDescent="0.25"/>
    <row r="5864" s="42" customFormat="1" x14ac:dyDescent="0.25"/>
    <row r="5865" s="42" customFormat="1" x14ac:dyDescent="0.25"/>
    <row r="5866" s="42" customFormat="1" x14ac:dyDescent="0.25"/>
    <row r="5867" s="42" customFormat="1" x14ac:dyDescent="0.25"/>
    <row r="5868" s="42" customFormat="1" x14ac:dyDescent="0.25"/>
    <row r="5869" s="42" customFormat="1" x14ac:dyDescent="0.25"/>
    <row r="5870" s="42" customFormat="1" x14ac:dyDescent="0.25"/>
    <row r="5871" s="42" customFormat="1" x14ac:dyDescent="0.25"/>
    <row r="5872" s="42" customFormat="1" x14ac:dyDescent="0.25"/>
    <row r="5873" s="42" customFormat="1" x14ac:dyDescent="0.25"/>
    <row r="5874" s="42" customFormat="1" x14ac:dyDescent="0.25"/>
    <row r="5875" s="42" customFormat="1" x14ac:dyDescent="0.25"/>
    <row r="5876" s="42" customFormat="1" x14ac:dyDescent="0.25"/>
    <row r="5877" s="42" customFormat="1" x14ac:dyDescent="0.25"/>
    <row r="5878" s="42" customFormat="1" x14ac:dyDescent="0.25"/>
    <row r="5879" s="42" customFormat="1" x14ac:dyDescent="0.25"/>
    <row r="5880" s="42" customFormat="1" x14ac:dyDescent="0.25"/>
    <row r="5881" s="42" customFormat="1" x14ac:dyDescent="0.25"/>
    <row r="5882" s="42" customFormat="1" x14ac:dyDescent="0.25"/>
    <row r="5883" s="42" customFormat="1" x14ac:dyDescent="0.25"/>
    <row r="5884" s="42" customFormat="1" x14ac:dyDescent="0.25"/>
    <row r="5885" s="42" customFormat="1" x14ac:dyDescent="0.25"/>
    <row r="5886" s="42" customFormat="1" x14ac:dyDescent="0.25"/>
    <row r="5887" s="42" customFormat="1" x14ac:dyDescent="0.25"/>
    <row r="5888" s="42" customFormat="1" x14ac:dyDescent="0.25"/>
    <row r="5889" s="42" customFormat="1" x14ac:dyDescent="0.25"/>
    <row r="5890" s="42" customFormat="1" x14ac:dyDescent="0.25"/>
    <row r="5891" s="42" customFormat="1" x14ac:dyDescent="0.25"/>
    <row r="5892" s="42" customFormat="1" x14ac:dyDescent="0.25"/>
    <row r="5893" s="42" customFormat="1" x14ac:dyDescent="0.25"/>
    <row r="5894" s="42" customFormat="1" x14ac:dyDescent="0.25"/>
    <row r="5895" s="42" customFormat="1" x14ac:dyDescent="0.25"/>
    <row r="5896" s="42" customFormat="1" x14ac:dyDescent="0.25"/>
    <row r="5897" s="42" customFormat="1" x14ac:dyDescent="0.25"/>
    <row r="5898" s="42" customFormat="1" x14ac:dyDescent="0.25"/>
    <row r="5899" s="42" customFormat="1" x14ac:dyDescent="0.25"/>
    <row r="5900" s="42" customFormat="1" x14ac:dyDescent="0.25"/>
    <row r="5901" s="42" customFormat="1" x14ac:dyDescent="0.25"/>
    <row r="5902" s="42" customFormat="1" x14ac:dyDescent="0.25"/>
    <row r="5903" s="42" customFormat="1" x14ac:dyDescent="0.25"/>
    <row r="5904" s="42" customFormat="1" x14ac:dyDescent="0.25"/>
    <row r="5905" s="42" customFormat="1" x14ac:dyDescent="0.25"/>
    <row r="5906" s="42" customFormat="1" x14ac:dyDescent="0.25"/>
    <row r="5907" s="42" customFormat="1" x14ac:dyDescent="0.25"/>
    <row r="5908" s="42" customFormat="1" x14ac:dyDescent="0.25"/>
    <row r="5909" s="42" customFormat="1" x14ac:dyDescent="0.25"/>
    <row r="5910" s="42" customFormat="1" x14ac:dyDescent="0.25"/>
    <row r="5911" s="42" customFormat="1" x14ac:dyDescent="0.25"/>
    <row r="5912" s="42" customFormat="1" x14ac:dyDescent="0.25"/>
    <row r="5913" s="42" customFormat="1" x14ac:dyDescent="0.25"/>
    <row r="5914" s="42" customFormat="1" x14ac:dyDescent="0.25"/>
    <row r="5915" s="42" customFormat="1" x14ac:dyDescent="0.25"/>
    <row r="5916" s="42" customFormat="1" x14ac:dyDescent="0.25"/>
    <row r="5917" s="42" customFormat="1" x14ac:dyDescent="0.25"/>
    <row r="5918" s="42" customFormat="1" x14ac:dyDescent="0.25"/>
    <row r="5919" s="42" customFormat="1" x14ac:dyDescent="0.25"/>
    <row r="5920" s="42" customFormat="1" x14ac:dyDescent="0.25"/>
    <row r="5921" s="42" customFormat="1" x14ac:dyDescent="0.25"/>
    <row r="5922" s="42" customFormat="1" x14ac:dyDescent="0.25"/>
    <row r="5923" s="42" customFormat="1" x14ac:dyDescent="0.25"/>
    <row r="5924" s="42" customFormat="1" x14ac:dyDescent="0.25"/>
    <row r="5925" s="42" customFormat="1" x14ac:dyDescent="0.25"/>
    <row r="5926" s="42" customFormat="1" x14ac:dyDescent="0.25"/>
    <row r="5927" s="42" customFormat="1" x14ac:dyDescent="0.25"/>
    <row r="5928" s="42" customFormat="1" x14ac:dyDescent="0.25"/>
    <row r="5929" s="42" customFormat="1" x14ac:dyDescent="0.25"/>
    <row r="5930" s="42" customFormat="1" x14ac:dyDescent="0.25"/>
    <row r="5931" s="42" customFormat="1" x14ac:dyDescent="0.25"/>
    <row r="5932" s="42" customFormat="1" x14ac:dyDescent="0.25"/>
    <row r="5933" s="42" customFormat="1" x14ac:dyDescent="0.25"/>
    <row r="5934" s="42" customFormat="1" x14ac:dyDescent="0.25"/>
    <row r="5935" s="42" customFormat="1" x14ac:dyDescent="0.25"/>
    <row r="5936" s="42" customFormat="1" x14ac:dyDescent="0.25"/>
    <row r="5937" s="42" customFormat="1" x14ac:dyDescent="0.25"/>
    <row r="5938" s="42" customFormat="1" x14ac:dyDescent="0.25"/>
    <row r="5939" s="42" customFormat="1" x14ac:dyDescent="0.25"/>
    <row r="5940" s="42" customFormat="1" x14ac:dyDescent="0.25"/>
    <row r="5941" s="42" customFormat="1" x14ac:dyDescent="0.25"/>
    <row r="5942" s="42" customFormat="1" x14ac:dyDescent="0.25"/>
    <row r="5943" s="42" customFormat="1" x14ac:dyDescent="0.25"/>
    <row r="5944" s="42" customFormat="1" x14ac:dyDescent="0.25"/>
    <row r="5945" s="42" customFormat="1" x14ac:dyDescent="0.25"/>
    <row r="5946" s="42" customFormat="1" x14ac:dyDescent="0.25"/>
    <row r="5947" s="42" customFormat="1" x14ac:dyDescent="0.25"/>
    <row r="5948" s="42" customFormat="1" x14ac:dyDescent="0.25"/>
    <row r="5949" s="42" customFormat="1" x14ac:dyDescent="0.25"/>
    <row r="5950" s="42" customFormat="1" x14ac:dyDescent="0.25"/>
    <row r="5951" s="42" customFormat="1" x14ac:dyDescent="0.25"/>
    <row r="5952" s="42" customFormat="1" x14ac:dyDescent="0.25"/>
    <row r="5953" s="42" customFormat="1" x14ac:dyDescent="0.25"/>
    <row r="5954" s="42" customFormat="1" x14ac:dyDescent="0.25"/>
    <row r="5955" s="42" customFormat="1" x14ac:dyDescent="0.25"/>
    <row r="5956" s="42" customFormat="1" x14ac:dyDescent="0.25"/>
    <row r="5957" s="42" customFormat="1" x14ac:dyDescent="0.25"/>
    <row r="5958" s="42" customFormat="1" x14ac:dyDescent="0.25"/>
    <row r="5959" s="42" customFormat="1" x14ac:dyDescent="0.25"/>
    <row r="5960" s="42" customFormat="1" x14ac:dyDescent="0.25"/>
    <row r="5961" s="42" customFormat="1" x14ac:dyDescent="0.25"/>
    <row r="5962" s="42" customFormat="1" x14ac:dyDescent="0.25"/>
    <row r="5963" s="42" customFormat="1" x14ac:dyDescent="0.25"/>
    <row r="5964" s="42" customFormat="1" x14ac:dyDescent="0.25"/>
    <row r="5965" s="42" customFormat="1" x14ac:dyDescent="0.25"/>
    <row r="5966" s="42" customFormat="1" x14ac:dyDescent="0.25"/>
    <row r="5967" s="42" customFormat="1" x14ac:dyDescent="0.25"/>
    <row r="5968" s="42" customFormat="1" x14ac:dyDescent="0.25"/>
    <row r="5969" s="42" customFormat="1" x14ac:dyDescent="0.25"/>
    <row r="5970" s="42" customFormat="1" x14ac:dyDescent="0.25"/>
    <row r="5971" s="42" customFormat="1" x14ac:dyDescent="0.25"/>
    <row r="5972" s="42" customFormat="1" x14ac:dyDescent="0.25"/>
    <row r="5973" s="42" customFormat="1" x14ac:dyDescent="0.25"/>
    <row r="5974" s="42" customFormat="1" x14ac:dyDescent="0.25"/>
    <row r="5975" s="42" customFormat="1" x14ac:dyDescent="0.25"/>
    <row r="5976" s="42" customFormat="1" x14ac:dyDescent="0.25"/>
    <row r="5977" s="42" customFormat="1" x14ac:dyDescent="0.25"/>
    <row r="5978" s="42" customFormat="1" x14ac:dyDescent="0.25"/>
    <row r="5979" s="42" customFormat="1" x14ac:dyDescent="0.25"/>
    <row r="5980" s="42" customFormat="1" x14ac:dyDescent="0.25"/>
    <row r="5981" s="42" customFormat="1" x14ac:dyDescent="0.25"/>
    <row r="5982" s="42" customFormat="1" x14ac:dyDescent="0.25"/>
    <row r="5983" s="42" customFormat="1" x14ac:dyDescent="0.25"/>
    <row r="5984" s="42" customFormat="1" x14ac:dyDescent="0.25"/>
    <row r="5985" s="42" customFormat="1" x14ac:dyDescent="0.25"/>
    <row r="5986" s="42" customFormat="1" x14ac:dyDescent="0.25"/>
    <row r="5987" s="42" customFormat="1" x14ac:dyDescent="0.25"/>
    <row r="5988" s="42" customFormat="1" x14ac:dyDescent="0.25"/>
    <row r="5989" s="42" customFormat="1" x14ac:dyDescent="0.25"/>
    <row r="5990" s="42" customFormat="1" x14ac:dyDescent="0.25"/>
    <row r="5991" s="42" customFormat="1" x14ac:dyDescent="0.25"/>
    <row r="5992" s="42" customFormat="1" x14ac:dyDescent="0.25"/>
    <row r="5993" s="42" customFormat="1" x14ac:dyDescent="0.25"/>
    <row r="5994" s="42" customFormat="1" x14ac:dyDescent="0.25"/>
    <row r="5995" s="42" customFormat="1" x14ac:dyDescent="0.25"/>
    <row r="5996" s="42" customFormat="1" x14ac:dyDescent="0.25"/>
    <row r="5997" s="42" customFormat="1" x14ac:dyDescent="0.25"/>
    <row r="5998" s="42" customFormat="1" x14ac:dyDescent="0.25"/>
    <row r="5999" s="42" customFormat="1" x14ac:dyDescent="0.25"/>
    <row r="6000" s="42" customFormat="1" x14ac:dyDescent="0.25"/>
    <row r="6001" s="42" customFormat="1" x14ac:dyDescent="0.25"/>
    <row r="6002" s="42" customFormat="1" x14ac:dyDescent="0.25"/>
    <row r="6003" s="42" customFormat="1" x14ac:dyDescent="0.25"/>
    <row r="6004" s="42" customFormat="1" x14ac:dyDescent="0.25"/>
    <row r="6005" s="42" customFormat="1" x14ac:dyDescent="0.25"/>
    <row r="6006" s="42" customFormat="1" x14ac:dyDescent="0.25"/>
    <row r="6007" s="42" customFormat="1" x14ac:dyDescent="0.25"/>
    <row r="6008" s="42" customFormat="1" x14ac:dyDescent="0.25"/>
    <row r="6009" s="42" customFormat="1" x14ac:dyDescent="0.25"/>
    <row r="6010" s="42" customFormat="1" x14ac:dyDescent="0.25"/>
    <row r="6011" s="42" customFormat="1" x14ac:dyDescent="0.25"/>
    <row r="6012" s="42" customFormat="1" x14ac:dyDescent="0.25"/>
    <row r="6013" s="42" customFormat="1" x14ac:dyDescent="0.25"/>
    <row r="6014" s="42" customFormat="1" x14ac:dyDescent="0.25"/>
    <row r="6015" s="42" customFormat="1" x14ac:dyDescent="0.25"/>
    <row r="6016" s="42" customFormat="1" x14ac:dyDescent="0.25"/>
    <row r="6017" s="42" customFormat="1" x14ac:dyDescent="0.25"/>
    <row r="6018" s="42" customFormat="1" x14ac:dyDescent="0.25"/>
    <row r="6019" s="42" customFormat="1" x14ac:dyDescent="0.25"/>
    <row r="6020" s="42" customFormat="1" x14ac:dyDescent="0.25"/>
    <row r="6021" s="42" customFormat="1" x14ac:dyDescent="0.25"/>
    <row r="6022" s="42" customFormat="1" x14ac:dyDescent="0.25"/>
    <row r="6023" s="42" customFormat="1" x14ac:dyDescent="0.25"/>
    <row r="6024" s="42" customFormat="1" x14ac:dyDescent="0.25"/>
    <row r="6025" s="42" customFormat="1" x14ac:dyDescent="0.25"/>
    <row r="6026" s="42" customFormat="1" x14ac:dyDescent="0.25"/>
    <row r="6027" s="42" customFormat="1" x14ac:dyDescent="0.25"/>
    <row r="6028" s="42" customFormat="1" x14ac:dyDescent="0.25"/>
    <row r="6029" s="42" customFormat="1" x14ac:dyDescent="0.25"/>
    <row r="6030" s="42" customFormat="1" x14ac:dyDescent="0.25"/>
    <row r="6031" s="42" customFormat="1" x14ac:dyDescent="0.25"/>
    <row r="6032" s="42" customFormat="1" x14ac:dyDescent="0.25"/>
    <row r="6033" s="42" customFormat="1" x14ac:dyDescent="0.25"/>
    <row r="6034" s="42" customFormat="1" x14ac:dyDescent="0.25"/>
    <row r="6035" s="42" customFormat="1" x14ac:dyDescent="0.25"/>
    <row r="6036" s="42" customFormat="1" x14ac:dyDescent="0.25"/>
    <row r="6037" s="42" customFormat="1" x14ac:dyDescent="0.25"/>
    <row r="6038" s="42" customFormat="1" x14ac:dyDescent="0.25"/>
    <row r="6039" s="42" customFormat="1" x14ac:dyDescent="0.25"/>
    <row r="6040" s="42" customFormat="1" x14ac:dyDescent="0.25"/>
    <row r="6041" s="42" customFormat="1" x14ac:dyDescent="0.25"/>
    <row r="6042" s="42" customFormat="1" x14ac:dyDescent="0.25"/>
    <row r="6043" s="42" customFormat="1" x14ac:dyDescent="0.25"/>
    <row r="6044" s="42" customFormat="1" x14ac:dyDescent="0.25"/>
    <row r="6045" s="42" customFormat="1" x14ac:dyDescent="0.25"/>
    <row r="6046" s="42" customFormat="1" x14ac:dyDescent="0.25"/>
    <row r="6047" s="42" customFormat="1" x14ac:dyDescent="0.25"/>
    <row r="6048" s="42" customFormat="1" x14ac:dyDescent="0.25"/>
    <row r="6049" s="42" customFormat="1" x14ac:dyDescent="0.25"/>
    <row r="6050" s="42" customFormat="1" x14ac:dyDescent="0.25"/>
    <row r="6051" s="42" customFormat="1" x14ac:dyDescent="0.25"/>
    <row r="6052" s="42" customFormat="1" x14ac:dyDescent="0.25"/>
    <row r="6053" s="42" customFormat="1" x14ac:dyDescent="0.25"/>
    <row r="6054" s="42" customFormat="1" x14ac:dyDescent="0.25"/>
    <row r="6055" s="42" customFormat="1" x14ac:dyDescent="0.25"/>
    <row r="6056" s="42" customFormat="1" x14ac:dyDescent="0.25"/>
    <row r="6057" s="42" customFormat="1" x14ac:dyDescent="0.25"/>
    <row r="6058" s="42" customFormat="1" x14ac:dyDescent="0.25"/>
    <row r="6059" s="42" customFormat="1" x14ac:dyDescent="0.25"/>
    <row r="6060" s="42" customFormat="1" x14ac:dyDescent="0.25"/>
    <row r="6061" s="42" customFormat="1" x14ac:dyDescent="0.25"/>
    <row r="6062" s="42" customFormat="1" x14ac:dyDescent="0.25"/>
    <row r="6063" s="42" customFormat="1" x14ac:dyDescent="0.25"/>
    <row r="6064" s="42" customFormat="1" x14ac:dyDescent="0.25"/>
    <row r="6065" s="42" customFormat="1" x14ac:dyDescent="0.25"/>
    <row r="6066" s="42" customFormat="1" x14ac:dyDescent="0.25"/>
    <row r="6067" s="42" customFormat="1" x14ac:dyDescent="0.25"/>
    <row r="6068" s="42" customFormat="1" x14ac:dyDescent="0.25"/>
    <row r="6069" s="42" customFormat="1" x14ac:dyDescent="0.25"/>
    <row r="6070" s="42" customFormat="1" x14ac:dyDescent="0.25"/>
    <row r="6071" s="42" customFormat="1" x14ac:dyDescent="0.25"/>
    <row r="6072" s="42" customFormat="1" x14ac:dyDescent="0.25"/>
    <row r="6073" s="42" customFormat="1" x14ac:dyDescent="0.25"/>
    <row r="6074" s="42" customFormat="1" x14ac:dyDescent="0.25"/>
    <row r="6075" s="42" customFormat="1" x14ac:dyDescent="0.25"/>
    <row r="6076" s="42" customFormat="1" x14ac:dyDescent="0.25"/>
    <row r="6077" s="42" customFormat="1" x14ac:dyDescent="0.25"/>
    <row r="6078" s="42" customFormat="1" x14ac:dyDescent="0.25"/>
    <row r="6079" s="42" customFormat="1" x14ac:dyDescent="0.25"/>
    <row r="6080" s="42" customFormat="1" x14ac:dyDescent="0.25"/>
    <row r="6081" s="42" customFormat="1" x14ac:dyDescent="0.25"/>
    <row r="6082" s="42" customFormat="1" x14ac:dyDescent="0.25"/>
    <row r="6083" s="42" customFormat="1" x14ac:dyDescent="0.25"/>
    <row r="6084" s="42" customFormat="1" x14ac:dyDescent="0.25"/>
    <row r="6085" s="42" customFormat="1" x14ac:dyDescent="0.25"/>
    <row r="6086" s="42" customFormat="1" x14ac:dyDescent="0.25"/>
    <row r="6087" s="42" customFormat="1" x14ac:dyDescent="0.25"/>
    <row r="6088" s="42" customFormat="1" x14ac:dyDescent="0.25"/>
    <row r="6089" s="42" customFormat="1" x14ac:dyDescent="0.25"/>
    <row r="6090" s="42" customFormat="1" x14ac:dyDescent="0.25"/>
    <row r="6091" s="42" customFormat="1" x14ac:dyDescent="0.25"/>
    <row r="6092" s="42" customFormat="1" x14ac:dyDescent="0.25"/>
    <row r="6093" s="42" customFormat="1" x14ac:dyDescent="0.25"/>
    <row r="6094" s="42" customFormat="1" x14ac:dyDescent="0.25"/>
    <row r="6095" s="42" customFormat="1" x14ac:dyDescent="0.25"/>
    <row r="6096" s="42" customFormat="1" x14ac:dyDescent="0.25"/>
    <row r="6097" s="42" customFormat="1" x14ac:dyDescent="0.25"/>
    <row r="6098" s="42" customFormat="1" x14ac:dyDescent="0.25"/>
    <row r="6099" s="42" customFormat="1" x14ac:dyDescent="0.25"/>
    <row r="6100" s="42" customFormat="1" x14ac:dyDescent="0.25"/>
    <row r="6101" s="42" customFormat="1" x14ac:dyDescent="0.25"/>
    <row r="6102" s="42" customFormat="1" x14ac:dyDescent="0.25"/>
    <row r="6103" s="42" customFormat="1" x14ac:dyDescent="0.25"/>
    <row r="6104" s="42" customFormat="1" x14ac:dyDescent="0.25"/>
    <row r="6105" s="42" customFormat="1" x14ac:dyDescent="0.25"/>
    <row r="6106" s="42" customFormat="1" x14ac:dyDescent="0.25"/>
    <row r="6107" s="42" customFormat="1" x14ac:dyDescent="0.25"/>
    <row r="6108" s="42" customFormat="1" x14ac:dyDescent="0.25"/>
    <row r="6109" s="42" customFormat="1" x14ac:dyDescent="0.25"/>
    <row r="6110" s="42" customFormat="1" x14ac:dyDescent="0.25"/>
    <row r="6111" s="42" customFormat="1" x14ac:dyDescent="0.25"/>
    <row r="6112" s="42" customFormat="1" x14ac:dyDescent="0.25"/>
    <row r="6113" s="42" customFormat="1" x14ac:dyDescent="0.25"/>
    <row r="6114" s="42" customFormat="1" x14ac:dyDescent="0.25"/>
    <row r="6115" s="42" customFormat="1" x14ac:dyDescent="0.25"/>
    <row r="6116" s="42" customFormat="1" x14ac:dyDescent="0.25"/>
    <row r="6117" s="42" customFormat="1" x14ac:dyDescent="0.25"/>
    <row r="6118" s="42" customFormat="1" x14ac:dyDescent="0.25"/>
    <row r="6119" s="42" customFormat="1" x14ac:dyDescent="0.25"/>
    <row r="6120" s="42" customFormat="1" x14ac:dyDescent="0.25"/>
    <row r="6121" s="42" customFormat="1" x14ac:dyDescent="0.25"/>
    <row r="6122" s="42" customFormat="1" x14ac:dyDescent="0.25"/>
    <row r="6123" s="42" customFormat="1" x14ac:dyDescent="0.25"/>
    <row r="6124" s="42" customFormat="1" x14ac:dyDescent="0.25"/>
    <row r="6125" s="42" customFormat="1" x14ac:dyDescent="0.25"/>
    <row r="6126" s="42" customFormat="1" x14ac:dyDescent="0.25"/>
    <row r="6127" s="42" customFormat="1" x14ac:dyDescent="0.25"/>
    <row r="6128" s="42" customFormat="1" x14ac:dyDescent="0.25"/>
    <row r="6129" s="42" customFormat="1" x14ac:dyDescent="0.25"/>
    <row r="6130" s="42" customFormat="1" x14ac:dyDescent="0.25"/>
    <row r="6131" s="42" customFormat="1" x14ac:dyDescent="0.25"/>
    <row r="6132" s="42" customFormat="1" x14ac:dyDescent="0.25"/>
    <row r="6133" s="42" customFormat="1" x14ac:dyDescent="0.25"/>
    <row r="6134" s="42" customFormat="1" x14ac:dyDescent="0.25"/>
    <row r="6135" s="42" customFormat="1" x14ac:dyDescent="0.25"/>
    <row r="6136" s="42" customFormat="1" x14ac:dyDescent="0.25"/>
    <row r="6137" s="42" customFormat="1" x14ac:dyDescent="0.25"/>
    <row r="6138" s="42" customFormat="1" x14ac:dyDescent="0.25"/>
    <row r="6139" s="42" customFormat="1" x14ac:dyDescent="0.25"/>
    <row r="6140" s="42" customFormat="1" x14ac:dyDescent="0.25"/>
    <row r="6141" s="42" customFormat="1" x14ac:dyDescent="0.25"/>
    <row r="6142" s="42" customFormat="1" x14ac:dyDescent="0.25"/>
    <row r="6143" s="42" customFormat="1" x14ac:dyDescent="0.25"/>
    <row r="6144" s="42" customFormat="1" x14ac:dyDescent="0.25"/>
    <row r="6145" s="42" customFormat="1" x14ac:dyDescent="0.25"/>
    <row r="6146" s="42" customFormat="1" x14ac:dyDescent="0.25"/>
    <row r="6147" s="42" customFormat="1" x14ac:dyDescent="0.25"/>
    <row r="6148" s="42" customFormat="1" x14ac:dyDescent="0.25"/>
    <row r="6149" s="42" customFormat="1" x14ac:dyDescent="0.25"/>
    <row r="6150" s="42" customFormat="1" x14ac:dyDescent="0.25"/>
    <row r="6151" s="42" customFormat="1" x14ac:dyDescent="0.25"/>
    <row r="6152" s="42" customFormat="1" x14ac:dyDescent="0.25"/>
    <row r="6153" s="42" customFormat="1" x14ac:dyDescent="0.25"/>
    <row r="6154" s="42" customFormat="1" x14ac:dyDescent="0.25"/>
    <row r="6155" s="42" customFormat="1" x14ac:dyDescent="0.25"/>
    <row r="6156" s="42" customFormat="1" x14ac:dyDescent="0.25"/>
    <row r="6157" s="42" customFormat="1" x14ac:dyDescent="0.25"/>
    <row r="6158" s="42" customFormat="1" x14ac:dyDescent="0.25"/>
    <row r="6159" s="42" customFormat="1" x14ac:dyDescent="0.25"/>
    <row r="6160" s="42" customFormat="1" x14ac:dyDescent="0.25"/>
    <row r="6161" s="42" customFormat="1" x14ac:dyDescent="0.25"/>
    <row r="6162" s="42" customFormat="1" x14ac:dyDescent="0.25"/>
    <row r="6163" s="42" customFormat="1" x14ac:dyDescent="0.25"/>
    <row r="6164" s="42" customFormat="1" x14ac:dyDescent="0.25"/>
    <row r="6165" s="42" customFormat="1" x14ac:dyDescent="0.25"/>
    <row r="6166" s="42" customFormat="1" x14ac:dyDescent="0.25"/>
    <row r="6167" s="42" customFormat="1" x14ac:dyDescent="0.25"/>
    <row r="6168" s="42" customFormat="1" x14ac:dyDescent="0.25"/>
    <row r="6169" s="42" customFormat="1" x14ac:dyDescent="0.25"/>
    <row r="6170" s="42" customFormat="1" x14ac:dyDescent="0.25"/>
    <row r="6171" s="42" customFormat="1" x14ac:dyDescent="0.25"/>
    <row r="6172" s="42" customFormat="1" x14ac:dyDescent="0.25"/>
    <row r="6173" s="42" customFormat="1" x14ac:dyDescent="0.25"/>
    <row r="6174" s="42" customFormat="1" x14ac:dyDescent="0.25"/>
    <row r="6175" s="42" customFormat="1" x14ac:dyDescent="0.25"/>
    <row r="6176" s="42" customFormat="1" x14ac:dyDescent="0.25"/>
    <row r="6177" s="42" customFormat="1" x14ac:dyDescent="0.25"/>
    <row r="6178" s="42" customFormat="1" x14ac:dyDescent="0.25"/>
    <row r="6179" s="42" customFormat="1" x14ac:dyDescent="0.25"/>
    <row r="6180" s="42" customFormat="1" x14ac:dyDescent="0.25"/>
    <row r="6181" s="42" customFormat="1" x14ac:dyDescent="0.25"/>
    <row r="6182" s="42" customFormat="1" x14ac:dyDescent="0.25"/>
    <row r="6183" s="42" customFormat="1" x14ac:dyDescent="0.25"/>
    <row r="6184" s="42" customFormat="1" x14ac:dyDescent="0.25"/>
    <row r="6185" s="42" customFormat="1" x14ac:dyDescent="0.25"/>
    <row r="6186" s="42" customFormat="1" x14ac:dyDescent="0.25"/>
    <row r="6187" s="42" customFormat="1" x14ac:dyDescent="0.25"/>
    <row r="6188" s="42" customFormat="1" x14ac:dyDescent="0.25"/>
    <row r="6189" s="42" customFormat="1" x14ac:dyDescent="0.25"/>
    <row r="6190" s="42" customFormat="1" x14ac:dyDescent="0.25"/>
    <row r="6191" s="42" customFormat="1" x14ac:dyDescent="0.25"/>
    <row r="6192" s="42" customFormat="1" x14ac:dyDescent="0.25"/>
    <row r="6193" s="42" customFormat="1" x14ac:dyDescent="0.25"/>
    <row r="6194" s="42" customFormat="1" x14ac:dyDescent="0.25"/>
    <row r="6195" s="42" customFormat="1" x14ac:dyDescent="0.25"/>
    <row r="6196" s="42" customFormat="1" x14ac:dyDescent="0.25"/>
    <row r="6197" s="42" customFormat="1" x14ac:dyDescent="0.25"/>
    <row r="6198" s="42" customFormat="1" x14ac:dyDescent="0.25"/>
    <row r="6199" s="42" customFormat="1" x14ac:dyDescent="0.25"/>
    <row r="6200" s="42" customFormat="1" x14ac:dyDescent="0.25"/>
    <row r="6201" s="42" customFormat="1" x14ac:dyDescent="0.25"/>
    <row r="6202" s="42" customFormat="1" x14ac:dyDescent="0.25"/>
    <row r="6203" s="42" customFormat="1" x14ac:dyDescent="0.25"/>
    <row r="6204" s="42" customFormat="1" x14ac:dyDescent="0.25"/>
    <row r="6205" s="42" customFormat="1" x14ac:dyDescent="0.25"/>
    <row r="6206" s="42" customFormat="1" x14ac:dyDescent="0.25"/>
    <row r="6207" s="42" customFormat="1" x14ac:dyDescent="0.25"/>
    <row r="6208" s="42" customFormat="1" x14ac:dyDescent="0.25"/>
    <row r="6209" s="42" customFormat="1" x14ac:dyDescent="0.25"/>
    <row r="6210" s="42" customFormat="1" x14ac:dyDescent="0.25"/>
    <row r="6211" s="42" customFormat="1" x14ac:dyDescent="0.25"/>
    <row r="6212" s="42" customFormat="1" x14ac:dyDescent="0.25"/>
    <row r="6213" s="42" customFormat="1" x14ac:dyDescent="0.25"/>
    <row r="6214" s="42" customFormat="1" x14ac:dyDescent="0.25"/>
    <row r="6215" s="42" customFormat="1" x14ac:dyDescent="0.25"/>
    <row r="6216" s="42" customFormat="1" x14ac:dyDescent="0.25"/>
    <row r="6217" s="42" customFormat="1" x14ac:dyDescent="0.25"/>
    <row r="6218" s="42" customFormat="1" x14ac:dyDescent="0.25"/>
    <row r="6219" s="42" customFormat="1" x14ac:dyDescent="0.25"/>
    <row r="6220" s="42" customFormat="1" x14ac:dyDescent="0.25"/>
    <row r="6221" s="42" customFormat="1" x14ac:dyDescent="0.25"/>
    <row r="6222" s="42" customFormat="1" x14ac:dyDescent="0.25"/>
    <row r="6223" s="42" customFormat="1" x14ac:dyDescent="0.25"/>
    <row r="6224" s="42" customFormat="1" x14ac:dyDescent="0.25"/>
    <row r="6225" s="42" customFormat="1" x14ac:dyDescent="0.25"/>
    <row r="6226" s="42" customFormat="1" x14ac:dyDescent="0.25"/>
    <row r="6227" s="42" customFormat="1" x14ac:dyDescent="0.25"/>
    <row r="6228" s="42" customFormat="1" x14ac:dyDescent="0.25"/>
    <row r="6229" s="42" customFormat="1" x14ac:dyDescent="0.25"/>
    <row r="6230" s="42" customFormat="1" x14ac:dyDescent="0.25"/>
    <row r="6231" s="42" customFormat="1" x14ac:dyDescent="0.25"/>
    <row r="6232" s="42" customFormat="1" x14ac:dyDescent="0.25"/>
    <row r="6233" s="42" customFormat="1" x14ac:dyDescent="0.25"/>
    <row r="6234" s="42" customFormat="1" x14ac:dyDescent="0.25"/>
    <row r="6235" s="42" customFormat="1" x14ac:dyDescent="0.25"/>
    <row r="6236" s="42" customFormat="1" x14ac:dyDescent="0.25"/>
    <row r="6237" s="42" customFormat="1" x14ac:dyDescent="0.25"/>
    <row r="6238" s="42" customFormat="1" x14ac:dyDescent="0.25"/>
    <row r="6239" s="42" customFormat="1" x14ac:dyDescent="0.25"/>
    <row r="6240" s="42" customFormat="1" x14ac:dyDescent="0.25"/>
    <row r="6241" s="42" customFormat="1" x14ac:dyDescent="0.25"/>
    <row r="6242" s="42" customFormat="1" x14ac:dyDescent="0.25"/>
    <row r="6243" s="42" customFormat="1" x14ac:dyDescent="0.25"/>
    <row r="6244" s="42" customFormat="1" x14ac:dyDescent="0.25"/>
    <row r="6245" s="42" customFormat="1" x14ac:dyDescent="0.25"/>
    <row r="6246" s="42" customFormat="1" x14ac:dyDescent="0.25"/>
    <row r="6247" s="42" customFormat="1" x14ac:dyDescent="0.25"/>
    <row r="6248" s="42" customFormat="1" x14ac:dyDescent="0.25"/>
    <row r="6249" s="42" customFormat="1" x14ac:dyDescent="0.25"/>
    <row r="6250" s="42" customFormat="1" x14ac:dyDescent="0.25"/>
    <row r="6251" s="42" customFormat="1" x14ac:dyDescent="0.25"/>
    <row r="6252" s="42" customFormat="1" x14ac:dyDescent="0.25"/>
    <row r="6253" s="42" customFormat="1" x14ac:dyDescent="0.25"/>
    <row r="6254" s="42" customFormat="1" x14ac:dyDescent="0.25"/>
    <row r="6255" s="42" customFormat="1" x14ac:dyDescent="0.25"/>
    <row r="6256" s="42" customFormat="1" x14ac:dyDescent="0.25"/>
    <row r="6257" s="42" customFormat="1" x14ac:dyDescent="0.25"/>
    <row r="6258" s="42" customFormat="1" x14ac:dyDescent="0.25"/>
    <row r="6259" s="42" customFormat="1" x14ac:dyDescent="0.25"/>
    <row r="6260" s="42" customFormat="1" x14ac:dyDescent="0.25"/>
    <row r="6261" s="42" customFormat="1" x14ac:dyDescent="0.25"/>
    <row r="6262" s="42" customFormat="1" x14ac:dyDescent="0.25"/>
    <row r="6263" s="42" customFormat="1" x14ac:dyDescent="0.25"/>
    <row r="6264" s="42" customFormat="1" x14ac:dyDescent="0.25"/>
    <row r="6265" s="42" customFormat="1" x14ac:dyDescent="0.25"/>
    <row r="6266" s="42" customFormat="1" x14ac:dyDescent="0.25"/>
    <row r="6267" s="42" customFormat="1" x14ac:dyDescent="0.25"/>
    <row r="6268" s="42" customFormat="1" x14ac:dyDescent="0.25"/>
    <row r="6269" s="42" customFormat="1" x14ac:dyDescent="0.25"/>
    <row r="6270" s="42" customFormat="1" x14ac:dyDescent="0.25"/>
    <row r="6271" s="42" customFormat="1" x14ac:dyDescent="0.25"/>
    <row r="6272" s="42" customFormat="1" x14ac:dyDescent="0.25"/>
    <row r="6273" s="42" customFormat="1" x14ac:dyDescent="0.25"/>
    <row r="6274" s="42" customFormat="1" x14ac:dyDescent="0.25"/>
    <row r="6275" s="42" customFormat="1" x14ac:dyDescent="0.25"/>
    <row r="6276" s="42" customFormat="1" x14ac:dyDescent="0.25"/>
    <row r="6277" s="42" customFormat="1" x14ac:dyDescent="0.25"/>
    <row r="6278" s="42" customFormat="1" x14ac:dyDescent="0.25"/>
    <row r="6279" s="42" customFormat="1" x14ac:dyDescent="0.25"/>
    <row r="6280" s="42" customFormat="1" x14ac:dyDescent="0.25"/>
    <row r="6281" s="42" customFormat="1" x14ac:dyDescent="0.25"/>
    <row r="6282" s="42" customFormat="1" x14ac:dyDescent="0.25"/>
    <row r="6283" s="42" customFormat="1" x14ac:dyDescent="0.25"/>
    <row r="6284" s="42" customFormat="1" x14ac:dyDescent="0.25"/>
    <row r="6285" s="42" customFormat="1" x14ac:dyDescent="0.25"/>
    <row r="6286" s="42" customFormat="1" x14ac:dyDescent="0.25"/>
    <row r="6287" s="42" customFormat="1" x14ac:dyDescent="0.25"/>
    <row r="6288" s="42" customFormat="1" x14ac:dyDescent="0.25"/>
    <row r="6289" s="42" customFormat="1" x14ac:dyDescent="0.25"/>
    <row r="6290" s="42" customFormat="1" x14ac:dyDescent="0.25"/>
    <row r="6291" s="42" customFormat="1" x14ac:dyDescent="0.25"/>
    <row r="6292" s="42" customFormat="1" x14ac:dyDescent="0.25"/>
    <row r="6293" s="42" customFormat="1" x14ac:dyDescent="0.25"/>
    <row r="6294" s="42" customFormat="1" x14ac:dyDescent="0.25"/>
    <row r="6295" s="42" customFormat="1" x14ac:dyDescent="0.25"/>
    <row r="6296" s="42" customFormat="1" x14ac:dyDescent="0.25"/>
    <row r="6297" s="42" customFormat="1" x14ac:dyDescent="0.25"/>
    <row r="6298" s="42" customFormat="1" x14ac:dyDescent="0.25"/>
    <row r="6299" s="42" customFormat="1" x14ac:dyDescent="0.25"/>
    <row r="6300" s="42" customFormat="1" x14ac:dyDescent="0.25"/>
    <row r="6301" s="42" customFormat="1" x14ac:dyDescent="0.25"/>
    <row r="6302" s="42" customFormat="1" x14ac:dyDescent="0.25"/>
    <row r="6303" s="42" customFormat="1" x14ac:dyDescent="0.25"/>
    <row r="6304" s="42" customFormat="1" x14ac:dyDescent="0.25"/>
    <row r="6305" s="42" customFormat="1" x14ac:dyDescent="0.25"/>
    <row r="6306" s="42" customFormat="1" x14ac:dyDescent="0.25"/>
    <row r="6307" s="42" customFormat="1" x14ac:dyDescent="0.25"/>
    <row r="6308" s="42" customFormat="1" x14ac:dyDescent="0.25"/>
    <row r="6309" s="42" customFormat="1" x14ac:dyDescent="0.25"/>
    <row r="6310" s="42" customFormat="1" x14ac:dyDescent="0.25"/>
    <row r="6311" s="42" customFormat="1" x14ac:dyDescent="0.25"/>
    <row r="6312" s="42" customFormat="1" x14ac:dyDescent="0.25"/>
    <row r="6313" s="42" customFormat="1" x14ac:dyDescent="0.25"/>
    <row r="6314" s="42" customFormat="1" x14ac:dyDescent="0.25"/>
    <row r="6315" s="42" customFormat="1" x14ac:dyDescent="0.25"/>
    <row r="6316" s="42" customFormat="1" x14ac:dyDescent="0.25"/>
    <row r="6317" s="42" customFormat="1" x14ac:dyDescent="0.25"/>
    <row r="6318" s="42" customFormat="1" x14ac:dyDescent="0.25"/>
    <row r="6319" s="42" customFormat="1" x14ac:dyDescent="0.25"/>
    <row r="6320" s="42" customFormat="1" x14ac:dyDescent="0.25"/>
    <row r="6321" s="42" customFormat="1" x14ac:dyDescent="0.25"/>
    <row r="6322" s="42" customFormat="1" x14ac:dyDescent="0.25"/>
    <row r="6323" s="42" customFormat="1" x14ac:dyDescent="0.25"/>
    <row r="6324" s="42" customFormat="1" x14ac:dyDescent="0.25"/>
    <row r="6325" s="42" customFormat="1" x14ac:dyDescent="0.25"/>
    <row r="6326" s="42" customFormat="1" x14ac:dyDescent="0.25"/>
    <row r="6327" s="42" customFormat="1" x14ac:dyDescent="0.25"/>
    <row r="6328" s="42" customFormat="1" x14ac:dyDescent="0.25"/>
    <row r="6329" s="42" customFormat="1" x14ac:dyDescent="0.25"/>
    <row r="6330" s="42" customFormat="1" x14ac:dyDescent="0.25"/>
    <row r="6331" s="42" customFormat="1" x14ac:dyDescent="0.25"/>
    <row r="6332" s="42" customFormat="1" x14ac:dyDescent="0.25"/>
    <row r="6333" s="42" customFormat="1" x14ac:dyDescent="0.25"/>
    <row r="6334" s="42" customFormat="1" x14ac:dyDescent="0.25"/>
    <row r="6335" s="42" customFormat="1" x14ac:dyDescent="0.25"/>
    <row r="6336" s="42" customFormat="1" x14ac:dyDescent="0.25"/>
    <row r="6337" s="42" customFormat="1" x14ac:dyDescent="0.25"/>
    <row r="6338" s="42" customFormat="1" x14ac:dyDescent="0.25"/>
    <row r="6339" s="42" customFormat="1" x14ac:dyDescent="0.25"/>
    <row r="6340" s="42" customFormat="1" x14ac:dyDescent="0.25"/>
    <row r="6341" s="42" customFormat="1" x14ac:dyDescent="0.25"/>
    <row r="6342" s="42" customFormat="1" x14ac:dyDescent="0.25"/>
    <row r="6343" s="42" customFormat="1" x14ac:dyDescent="0.25"/>
    <row r="6344" s="42" customFormat="1" x14ac:dyDescent="0.25"/>
    <row r="6345" s="42" customFormat="1" x14ac:dyDescent="0.25"/>
    <row r="6346" s="42" customFormat="1" x14ac:dyDescent="0.25"/>
    <row r="6347" s="42" customFormat="1" x14ac:dyDescent="0.25"/>
    <row r="6348" s="42" customFormat="1" x14ac:dyDescent="0.25"/>
    <row r="6349" s="42" customFormat="1" x14ac:dyDescent="0.25"/>
    <row r="6350" s="42" customFormat="1" x14ac:dyDescent="0.25"/>
    <row r="6351" s="42" customFormat="1" x14ac:dyDescent="0.25"/>
    <row r="6352" s="42" customFormat="1" x14ac:dyDescent="0.25"/>
    <row r="6353" s="42" customFormat="1" x14ac:dyDescent="0.25"/>
    <row r="6354" s="42" customFormat="1" x14ac:dyDescent="0.25"/>
    <row r="6355" s="42" customFormat="1" x14ac:dyDescent="0.25"/>
    <row r="6356" s="42" customFormat="1" x14ac:dyDescent="0.25"/>
    <row r="6357" s="42" customFormat="1" x14ac:dyDescent="0.25"/>
    <row r="6358" s="42" customFormat="1" x14ac:dyDescent="0.25"/>
    <row r="6359" s="42" customFormat="1" x14ac:dyDescent="0.25"/>
    <row r="6360" s="42" customFormat="1" x14ac:dyDescent="0.25"/>
    <row r="6361" s="42" customFormat="1" x14ac:dyDescent="0.25"/>
    <row r="6362" s="42" customFormat="1" x14ac:dyDescent="0.25"/>
    <row r="6363" s="42" customFormat="1" x14ac:dyDescent="0.25"/>
    <row r="6364" s="42" customFormat="1" x14ac:dyDescent="0.25"/>
    <row r="6365" s="42" customFormat="1" x14ac:dyDescent="0.25"/>
    <row r="6366" s="42" customFormat="1" x14ac:dyDescent="0.25"/>
    <row r="6367" s="42" customFormat="1" x14ac:dyDescent="0.25"/>
    <row r="6368" s="42" customFormat="1" x14ac:dyDescent="0.25"/>
    <row r="6369" s="42" customFormat="1" x14ac:dyDescent="0.25"/>
    <row r="6370" s="42" customFormat="1" x14ac:dyDescent="0.25"/>
    <row r="6371" s="42" customFormat="1" x14ac:dyDescent="0.25"/>
    <row r="6372" s="42" customFormat="1" x14ac:dyDescent="0.25"/>
    <row r="6373" s="42" customFormat="1" x14ac:dyDescent="0.25"/>
    <row r="6374" s="42" customFormat="1" x14ac:dyDescent="0.25"/>
    <row r="6375" s="42" customFormat="1" x14ac:dyDescent="0.25"/>
    <row r="6376" s="42" customFormat="1" x14ac:dyDescent="0.25"/>
    <row r="6377" s="42" customFormat="1" x14ac:dyDescent="0.25"/>
    <row r="6378" s="42" customFormat="1" x14ac:dyDescent="0.25"/>
    <row r="6379" s="42" customFormat="1" x14ac:dyDescent="0.25"/>
    <row r="6380" s="42" customFormat="1" x14ac:dyDescent="0.25"/>
    <row r="6381" s="42" customFormat="1" x14ac:dyDescent="0.25"/>
    <row r="6382" s="42" customFormat="1" x14ac:dyDescent="0.25"/>
    <row r="6383" s="42" customFormat="1" x14ac:dyDescent="0.25"/>
    <row r="6384" s="42" customFormat="1" x14ac:dyDescent="0.25"/>
    <row r="6385" s="42" customFormat="1" x14ac:dyDescent="0.25"/>
    <row r="6386" s="42" customFormat="1" x14ac:dyDescent="0.25"/>
    <row r="6387" s="42" customFormat="1" x14ac:dyDescent="0.25"/>
    <row r="6388" s="42" customFormat="1" x14ac:dyDescent="0.25"/>
    <row r="6389" s="42" customFormat="1" x14ac:dyDescent="0.25"/>
    <row r="6390" s="42" customFormat="1" x14ac:dyDescent="0.25"/>
    <row r="6391" s="42" customFormat="1" x14ac:dyDescent="0.25"/>
    <row r="6392" s="42" customFormat="1" x14ac:dyDescent="0.25"/>
    <row r="6393" s="42" customFormat="1" x14ac:dyDescent="0.25"/>
    <row r="6394" s="42" customFormat="1" x14ac:dyDescent="0.25"/>
    <row r="6395" s="42" customFormat="1" x14ac:dyDescent="0.25"/>
    <row r="6396" s="42" customFormat="1" x14ac:dyDescent="0.25"/>
    <row r="6397" s="42" customFormat="1" x14ac:dyDescent="0.25"/>
    <row r="6398" s="42" customFormat="1" x14ac:dyDescent="0.25"/>
    <row r="6399" s="42" customFormat="1" x14ac:dyDescent="0.25"/>
    <row r="6400" s="42" customFormat="1" x14ac:dyDescent="0.25"/>
    <row r="6401" s="42" customFormat="1" x14ac:dyDescent="0.25"/>
    <row r="6402" s="42" customFormat="1" x14ac:dyDescent="0.25"/>
    <row r="6403" s="42" customFormat="1" x14ac:dyDescent="0.25"/>
    <row r="6404" s="42" customFormat="1" x14ac:dyDescent="0.25"/>
    <row r="6405" s="42" customFormat="1" x14ac:dyDescent="0.25"/>
    <row r="6406" s="42" customFormat="1" x14ac:dyDescent="0.25"/>
    <row r="6407" s="42" customFormat="1" x14ac:dyDescent="0.25"/>
    <row r="6408" s="42" customFormat="1" x14ac:dyDescent="0.25"/>
    <row r="6409" s="42" customFormat="1" x14ac:dyDescent="0.25"/>
    <row r="6410" s="42" customFormat="1" x14ac:dyDescent="0.25"/>
    <row r="6411" s="42" customFormat="1" x14ac:dyDescent="0.25"/>
    <row r="6412" s="42" customFormat="1" x14ac:dyDescent="0.25"/>
    <row r="6413" s="42" customFormat="1" x14ac:dyDescent="0.25"/>
    <row r="6414" s="42" customFormat="1" x14ac:dyDescent="0.25"/>
    <row r="6415" s="42" customFormat="1" x14ac:dyDescent="0.25"/>
    <row r="6416" s="42" customFormat="1" x14ac:dyDescent="0.25"/>
    <row r="6417" s="42" customFormat="1" x14ac:dyDescent="0.25"/>
    <row r="6418" s="42" customFormat="1" x14ac:dyDescent="0.25"/>
    <row r="6419" s="42" customFormat="1" x14ac:dyDescent="0.25"/>
    <row r="6420" s="42" customFormat="1" x14ac:dyDescent="0.25"/>
    <row r="6421" s="42" customFormat="1" x14ac:dyDescent="0.25"/>
    <row r="6422" s="42" customFormat="1" x14ac:dyDescent="0.25"/>
    <row r="6423" s="42" customFormat="1" x14ac:dyDescent="0.25"/>
    <row r="6424" s="42" customFormat="1" x14ac:dyDescent="0.25"/>
    <row r="6425" s="42" customFormat="1" x14ac:dyDescent="0.25"/>
    <row r="6426" s="42" customFormat="1" x14ac:dyDescent="0.25"/>
    <row r="6427" s="42" customFormat="1" x14ac:dyDescent="0.25"/>
    <row r="6428" s="42" customFormat="1" x14ac:dyDescent="0.25"/>
    <row r="6429" s="42" customFormat="1" x14ac:dyDescent="0.25"/>
    <row r="6430" s="42" customFormat="1" x14ac:dyDescent="0.25"/>
    <row r="6431" s="42" customFormat="1" x14ac:dyDescent="0.25"/>
    <row r="6432" s="42" customFormat="1" x14ac:dyDescent="0.25"/>
    <row r="6433" s="42" customFormat="1" x14ac:dyDescent="0.25"/>
    <row r="6434" s="42" customFormat="1" x14ac:dyDescent="0.25"/>
    <row r="6435" s="42" customFormat="1" x14ac:dyDescent="0.25"/>
    <row r="6436" s="42" customFormat="1" x14ac:dyDescent="0.25"/>
    <row r="6437" s="42" customFormat="1" x14ac:dyDescent="0.25"/>
    <row r="6438" s="42" customFormat="1" x14ac:dyDescent="0.25"/>
    <row r="6439" s="42" customFormat="1" x14ac:dyDescent="0.25"/>
    <row r="6440" s="42" customFormat="1" x14ac:dyDescent="0.25"/>
    <row r="6441" s="42" customFormat="1" x14ac:dyDescent="0.25"/>
    <row r="6442" s="42" customFormat="1" x14ac:dyDescent="0.25"/>
    <row r="6443" s="42" customFormat="1" x14ac:dyDescent="0.25"/>
    <row r="6444" s="42" customFormat="1" x14ac:dyDescent="0.25"/>
    <row r="6445" s="42" customFormat="1" x14ac:dyDescent="0.25"/>
    <row r="6446" s="42" customFormat="1" x14ac:dyDescent="0.25"/>
    <row r="6447" s="42" customFormat="1" x14ac:dyDescent="0.25"/>
    <row r="6448" s="42" customFormat="1" x14ac:dyDescent="0.25"/>
    <row r="6449" s="42" customFormat="1" x14ac:dyDescent="0.25"/>
    <row r="6450" s="42" customFormat="1" x14ac:dyDescent="0.25"/>
    <row r="6451" s="42" customFormat="1" x14ac:dyDescent="0.25"/>
    <row r="6452" s="42" customFormat="1" x14ac:dyDescent="0.25"/>
    <row r="6453" s="42" customFormat="1" x14ac:dyDescent="0.25"/>
    <row r="6454" s="42" customFormat="1" x14ac:dyDescent="0.25"/>
    <row r="6455" s="42" customFormat="1" x14ac:dyDescent="0.25"/>
    <row r="6456" s="42" customFormat="1" x14ac:dyDescent="0.25"/>
    <row r="6457" s="42" customFormat="1" x14ac:dyDescent="0.25"/>
    <row r="6458" s="42" customFormat="1" x14ac:dyDescent="0.25"/>
    <row r="6459" s="42" customFormat="1" x14ac:dyDescent="0.25"/>
    <row r="6460" s="42" customFormat="1" x14ac:dyDescent="0.25"/>
    <row r="6461" s="42" customFormat="1" x14ac:dyDescent="0.25"/>
    <row r="6462" s="42" customFormat="1" x14ac:dyDescent="0.25"/>
    <row r="6463" s="42" customFormat="1" x14ac:dyDescent="0.25"/>
    <row r="6464" s="42" customFormat="1" x14ac:dyDescent="0.25"/>
    <row r="6465" s="42" customFormat="1" x14ac:dyDescent="0.25"/>
    <row r="6466" s="42" customFormat="1" x14ac:dyDescent="0.25"/>
    <row r="6467" s="42" customFormat="1" x14ac:dyDescent="0.25"/>
    <row r="6468" s="42" customFormat="1" x14ac:dyDescent="0.25"/>
    <row r="6469" s="42" customFormat="1" x14ac:dyDescent="0.25"/>
    <row r="6470" s="42" customFormat="1" x14ac:dyDescent="0.25"/>
    <row r="6471" s="42" customFormat="1" x14ac:dyDescent="0.25"/>
    <row r="6472" s="42" customFormat="1" x14ac:dyDescent="0.25"/>
    <row r="6473" s="42" customFormat="1" x14ac:dyDescent="0.25"/>
    <row r="6474" s="42" customFormat="1" x14ac:dyDescent="0.25"/>
    <row r="6475" s="42" customFormat="1" x14ac:dyDescent="0.25"/>
    <row r="6476" s="42" customFormat="1" x14ac:dyDescent="0.25"/>
    <row r="6477" s="42" customFormat="1" x14ac:dyDescent="0.25"/>
    <row r="6478" s="42" customFormat="1" x14ac:dyDescent="0.25"/>
    <row r="6479" s="42" customFormat="1" x14ac:dyDescent="0.25"/>
    <row r="6480" s="42" customFormat="1" x14ac:dyDescent="0.25"/>
    <row r="6481" s="42" customFormat="1" x14ac:dyDescent="0.25"/>
    <row r="6482" s="42" customFormat="1" x14ac:dyDescent="0.25"/>
    <row r="6483" s="42" customFormat="1" x14ac:dyDescent="0.25"/>
    <row r="6484" s="42" customFormat="1" x14ac:dyDescent="0.25"/>
    <row r="6485" s="42" customFormat="1" x14ac:dyDescent="0.25"/>
    <row r="6486" s="42" customFormat="1" x14ac:dyDescent="0.25"/>
    <row r="6487" s="42" customFormat="1" x14ac:dyDescent="0.25"/>
    <row r="6488" s="42" customFormat="1" x14ac:dyDescent="0.25"/>
    <row r="6489" s="42" customFormat="1" x14ac:dyDescent="0.25"/>
    <row r="6490" s="42" customFormat="1" x14ac:dyDescent="0.25"/>
    <row r="6491" s="42" customFormat="1" x14ac:dyDescent="0.25"/>
    <row r="6492" s="42" customFormat="1" x14ac:dyDescent="0.25"/>
    <row r="6493" s="42" customFormat="1" x14ac:dyDescent="0.25"/>
    <row r="6494" s="42" customFormat="1" x14ac:dyDescent="0.25"/>
    <row r="6495" s="42" customFormat="1" x14ac:dyDescent="0.25"/>
    <row r="6496" s="42" customFormat="1" x14ac:dyDescent="0.25"/>
    <row r="6497" s="42" customFormat="1" x14ac:dyDescent="0.25"/>
    <row r="6498" s="42" customFormat="1" x14ac:dyDescent="0.25"/>
    <row r="6499" s="42" customFormat="1" x14ac:dyDescent="0.25"/>
    <row r="6500" s="42" customFormat="1" x14ac:dyDescent="0.25"/>
    <row r="6501" s="42" customFormat="1" x14ac:dyDescent="0.25"/>
    <row r="6502" s="42" customFormat="1" x14ac:dyDescent="0.25"/>
    <row r="6503" s="42" customFormat="1" x14ac:dyDescent="0.25"/>
    <row r="6504" s="42" customFormat="1" x14ac:dyDescent="0.25"/>
    <row r="6505" s="42" customFormat="1" x14ac:dyDescent="0.25"/>
    <row r="6506" s="42" customFormat="1" x14ac:dyDescent="0.25"/>
    <row r="6507" s="42" customFormat="1" x14ac:dyDescent="0.25"/>
    <row r="6508" s="42" customFormat="1" x14ac:dyDescent="0.25"/>
    <row r="6509" s="42" customFormat="1" x14ac:dyDescent="0.25"/>
    <row r="6510" s="42" customFormat="1" x14ac:dyDescent="0.25"/>
    <row r="6511" s="42" customFormat="1" x14ac:dyDescent="0.25"/>
    <row r="6512" s="42" customFormat="1" x14ac:dyDescent="0.25"/>
    <row r="6513" s="42" customFormat="1" x14ac:dyDescent="0.25"/>
    <row r="6514" s="42" customFormat="1" x14ac:dyDescent="0.25"/>
    <row r="6515" s="42" customFormat="1" x14ac:dyDescent="0.25"/>
    <row r="6516" s="42" customFormat="1" x14ac:dyDescent="0.25"/>
    <row r="6517" s="42" customFormat="1" x14ac:dyDescent="0.25"/>
    <row r="6518" s="42" customFormat="1" x14ac:dyDescent="0.25"/>
    <row r="6519" s="42" customFormat="1" x14ac:dyDescent="0.25"/>
    <row r="6520" s="42" customFormat="1" x14ac:dyDescent="0.25"/>
    <row r="6521" s="42" customFormat="1" x14ac:dyDescent="0.25"/>
    <row r="6522" s="42" customFormat="1" x14ac:dyDescent="0.25"/>
    <row r="6523" s="42" customFormat="1" x14ac:dyDescent="0.25"/>
    <row r="6524" s="42" customFormat="1" x14ac:dyDescent="0.25"/>
    <row r="6525" s="42" customFormat="1" x14ac:dyDescent="0.25"/>
    <row r="6526" s="42" customFormat="1" x14ac:dyDescent="0.25"/>
    <row r="6527" s="42" customFormat="1" x14ac:dyDescent="0.25"/>
    <row r="6528" s="42" customFormat="1" x14ac:dyDescent="0.25"/>
    <row r="6529" s="42" customFormat="1" x14ac:dyDescent="0.25"/>
    <row r="6530" s="42" customFormat="1" x14ac:dyDescent="0.25"/>
    <row r="6531" s="42" customFormat="1" x14ac:dyDescent="0.25"/>
    <row r="6532" s="42" customFormat="1" x14ac:dyDescent="0.25"/>
    <row r="6533" s="42" customFormat="1" x14ac:dyDescent="0.25"/>
    <row r="6534" s="42" customFormat="1" x14ac:dyDescent="0.25"/>
    <row r="6535" s="42" customFormat="1" x14ac:dyDescent="0.25"/>
    <row r="6536" s="42" customFormat="1" x14ac:dyDescent="0.25"/>
    <row r="6537" s="42" customFormat="1" x14ac:dyDescent="0.25"/>
    <row r="6538" s="42" customFormat="1" x14ac:dyDescent="0.25"/>
    <row r="6539" s="42" customFormat="1" x14ac:dyDescent="0.25"/>
    <row r="6540" s="42" customFormat="1" x14ac:dyDescent="0.25"/>
    <row r="6541" s="42" customFormat="1" x14ac:dyDescent="0.25"/>
    <row r="6542" s="42" customFormat="1" x14ac:dyDescent="0.25"/>
    <row r="6543" s="42" customFormat="1" x14ac:dyDescent="0.25"/>
    <row r="6544" s="42" customFormat="1" x14ac:dyDescent="0.25"/>
    <row r="6545" s="42" customFormat="1" x14ac:dyDescent="0.25"/>
    <row r="6546" s="42" customFormat="1" x14ac:dyDescent="0.25"/>
    <row r="6547" s="42" customFormat="1" x14ac:dyDescent="0.25"/>
    <row r="6548" s="42" customFormat="1" x14ac:dyDescent="0.25"/>
    <row r="6549" s="42" customFormat="1" x14ac:dyDescent="0.25"/>
    <row r="6550" s="42" customFormat="1" x14ac:dyDescent="0.25"/>
    <row r="6551" s="42" customFormat="1" x14ac:dyDescent="0.25"/>
    <row r="6552" s="42" customFormat="1" x14ac:dyDescent="0.25"/>
    <row r="6553" s="42" customFormat="1" x14ac:dyDescent="0.25"/>
    <row r="6554" s="42" customFormat="1" x14ac:dyDescent="0.25"/>
    <row r="6555" s="42" customFormat="1" x14ac:dyDescent="0.25"/>
    <row r="6556" s="42" customFormat="1" x14ac:dyDescent="0.25"/>
    <row r="6557" s="42" customFormat="1" x14ac:dyDescent="0.25"/>
    <row r="6558" s="42" customFormat="1" x14ac:dyDescent="0.25"/>
    <row r="6559" s="42" customFormat="1" x14ac:dyDescent="0.25"/>
    <row r="6560" s="42" customFormat="1" x14ac:dyDescent="0.25"/>
    <row r="6561" s="42" customFormat="1" x14ac:dyDescent="0.25"/>
    <row r="6562" s="42" customFormat="1" x14ac:dyDescent="0.25"/>
    <row r="6563" s="42" customFormat="1" x14ac:dyDescent="0.25"/>
    <row r="6564" s="42" customFormat="1" x14ac:dyDescent="0.25"/>
    <row r="6565" s="42" customFormat="1" x14ac:dyDescent="0.25"/>
    <row r="6566" s="42" customFormat="1" x14ac:dyDescent="0.25"/>
    <row r="6567" s="42" customFormat="1" x14ac:dyDescent="0.25"/>
    <row r="6568" s="42" customFormat="1" x14ac:dyDescent="0.25"/>
    <row r="6569" s="42" customFormat="1" x14ac:dyDescent="0.25"/>
    <row r="6570" s="42" customFormat="1" x14ac:dyDescent="0.25"/>
    <row r="6571" s="42" customFormat="1" x14ac:dyDescent="0.25"/>
    <row r="6572" s="42" customFormat="1" x14ac:dyDescent="0.25"/>
    <row r="6573" s="42" customFormat="1" x14ac:dyDescent="0.25"/>
    <row r="6574" s="42" customFormat="1" x14ac:dyDescent="0.25"/>
    <row r="6575" s="42" customFormat="1" x14ac:dyDescent="0.25"/>
    <row r="6576" s="42" customFormat="1" x14ac:dyDescent="0.25"/>
    <row r="6577" s="42" customFormat="1" x14ac:dyDescent="0.25"/>
    <row r="6578" s="42" customFormat="1" x14ac:dyDescent="0.25"/>
    <row r="6579" s="42" customFormat="1" x14ac:dyDescent="0.25"/>
    <row r="6580" s="42" customFormat="1" x14ac:dyDescent="0.25"/>
    <row r="6581" s="42" customFormat="1" x14ac:dyDescent="0.25"/>
    <row r="6582" s="42" customFormat="1" x14ac:dyDescent="0.25"/>
    <row r="6583" s="42" customFormat="1" x14ac:dyDescent="0.25"/>
    <row r="6584" s="42" customFormat="1" x14ac:dyDescent="0.25"/>
    <row r="6585" s="42" customFormat="1" x14ac:dyDescent="0.25"/>
    <row r="6586" s="42" customFormat="1" x14ac:dyDescent="0.25"/>
    <row r="6587" s="42" customFormat="1" x14ac:dyDescent="0.25"/>
    <row r="6588" s="42" customFormat="1" x14ac:dyDescent="0.25"/>
    <row r="6589" s="42" customFormat="1" x14ac:dyDescent="0.25"/>
    <row r="6590" s="42" customFormat="1" x14ac:dyDescent="0.25"/>
    <row r="6591" s="42" customFormat="1" x14ac:dyDescent="0.25"/>
    <row r="6592" s="42" customFormat="1" x14ac:dyDescent="0.25"/>
    <row r="6593" s="42" customFormat="1" x14ac:dyDescent="0.25"/>
    <row r="6594" s="42" customFormat="1" x14ac:dyDescent="0.25"/>
    <row r="6595" s="42" customFormat="1" x14ac:dyDescent="0.25"/>
    <row r="6596" s="42" customFormat="1" x14ac:dyDescent="0.25"/>
    <row r="6597" s="42" customFormat="1" x14ac:dyDescent="0.25"/>
    <row r="6598" s="42" customFormat="1" x14ac:dyDescent="0.25"/>
    <row r="6599" s="42" customFormat="1" x14ac:dyDescent="0.25"/>
    <row r="6600" s="42" customFormat="1" x14ac:dyDescent="0.25"/>
    <row r="6601" s="42" customFormat="1" x14ac:dyDescent="0.25"/>
    <row r="6602" s="42" customFormat="1" x14ac:dyDescent="0.25"/>
    <row r="6603" s="42" customFormat="1" x14ac:dyDescent="0.25"/>
    <row r="6604" s="42" customFormat="1" x14ac:dyDescent="0.25"/>
    <row r="6605" s="42" customFormat="1" x14ac:dyDescent="0.25"/>
    <row r="6606" s="42" customFormat="1" x14ac:dyDescent="0.25"/>
    <row r="6607" s="42" customFormat="1" x14ac:dyDescent="0.25"/>
    <row r="6608" s="42" customFormat="1" x14ac:dyDescent="0.25"/>
    <row r="6609" s="42" customFormat="1" x14ac:dyDescent="0.25"/>
    <row r="6610" s="42" customFormat="1" x14ac:dyDescent="0.25"/>
    <row r="6611" s="42" customFormat="1" x14ac:dyDescent="0.25"/>
    <row r="6612" s="42" customFormat="1" x14ac:dyDescent="0.25"/>
    <row r="6613" s="42" customFormat="1" x14ac:dyDescent="0.25"/>
    <row r="6614" s="42" customFormat="1" x14ac:dyDescent="0.25"/>
    <row r="6615" s="42" customFormat="1" x14ac:dyDescent="0.25"/>
    <row r="6616" s="42" customFormat="1" x14ac:dyDescent="0.25"/>
    <row r="6617" s="42" customFormat="1" x14ac:dyDescent="0.25"/>
    <row r="6618" s="42" customFormat="1" x14ac:dyDescent="0.25"/>
    <row r="6619" s="42" customFormat="1" x14ac:dyDescent="0.25"/>
    <row r="6620" s="42" customFormat="1" x14ac:dyDescent="0.25"/>
    <row r="6621" s="42" customFormat="1" x14ac:dyDescent="0.25"/>
    <row r="6622" s="42" customFormat="1" x14ac:dyDescent="0.25"/>
    <row r="6623" s="42" customFormat="1" x14ac:dyDescent="0.25"/>
    <row r="6624" s="42" customFormat="1" x14ac:dyDescent="0.25"/>
    <row r="6625" s="42" customFormat="1" x14ac:dyDescent="0.25"/>
    <row r="6626" s="42" customFormat="1" x14ac:dyDescent="0.25"/>
    <row r="6627" s="42" customFormat="1" x14ac:dyDescent="0.25"/>
    <row r="6628" s="42" customFormat="1" x14ac:dyDescent="0.25"/>
    <row r="6629" s="42" customFormat="1" x14ac:dyDescent="0.25"/>
    <row r="6630" s="42" customFormat="1" x14ac:dyDescent="0.25"/>
    <row r="6631" s="42" customFormat="1" x14ac:dyDescent="0.25"/>
    <row r="6632" s="42" customFormat="1" x14ac:dyDescent="0.25"/>
    <row r="6633" s="42" customFormat="1" x14ac:dyDescent="0.25"/>
    <row r="6634" s="42" customFormat="1" x14ac:dyDescent="0.25"/>
    <row r="6635" s="42" customFormat="1" x14ac:dyDescent="0.25"/>
    <row r="6636" s="42" customFormat="1" x14ac:dyDescent="0.25"/>
    <row r="6637" s="42" customFormat="1" x14ac:dyDescent="0.25"/>
    <row r="6638" s="42" customFormat="1" x14ac:dyDescent="0.25"/>
    <row r="6639" s="42" customFormat="1" x14ac:dyDescent="0.25"/>
    <row r="6640" s="42" customFormat="1" x14ac:dyDescent="0.25"/>
    <row r="6641" s="42" customFormat="1" x14ac:dyDescent="0.25"/>
    <row r="6642" s="42" customFormat="1" x14ac:dyDescent="0.25"/>
    <row r="6643" s="42" customFormat="1" x14ac:dyDescent="0.25"/>
    <row r="6644" s="42" customFormat="1" x14ac:dyDescent="0.25"/>
    <row r="6645" s="42" customFormat="1" x14ac:dyDescent="0.25"/>
    <row r="6646" s="42" customFormat="1" x14ac:dyDescent="0.25"/>
    <row r="6647" s="42" customFormat="1" x14ac:dyDescent="0.25"/>
    <row r="6648" s="42" customFormat="1" x14ac:dyDescent="0.25"/>
    <row r="6649" s="42" customFormat="1" x14ac:dyDescent="0.25"/>
    <row r="6650" s="42" customFormat="1" x14ac:dyDescent="0.25"/>
    <row r="6651" s="42" customFormat="1" x14ac:dyDescent="0.25"/>
    <row r="6652" s="42" customFormat="1" x14ac:dyDescent="0.25"/>
    <row r="6653" s="42" customFormat="1" x14ac:dyDescent="0.25"/>
    <row r="6654" s="42" customFormat="1" x14ac:dyDescent="0.25"/>
    <row r="6655" s="42" customFormat="1" x14ac:dyDescent="0.25"/>
    <row r="6656" s="42" customFormat="1" x14ac:dyDescent="0.25"/>
    <row r="6657" s="42" customFormat="1" x14ac:dyDescent="0.25"/>
    <row r="6658" s="42" customFormat="1" x14ac:dyDescent="0.25"/>
    <row r="6659" s="42" customFormat="1" x14ac:dyDescent="0.25"/>
    <row r="6660" s="42" customFormat="1" x14ac:dyDescent="0.25"/>
    <row r="6661" s="42" customFormat="1" x14ac:dyDescent="0.25"/>
    <row r="6662" s="42" customFormat="1" x14ac:dyDescent="0.25"/>
    <row r="6663" s="42" customFormat="1" x14ac:dyDescent="0.25"/>
    <row r="6664" s="42" customFormat="1" x14ac:dyDescent="0.25"/>
    <row r="6665" s="42" customFormat="1" x14ac:dyDescent="0.25"/>
    <row r="6666" s="42" customFormat="1" x14ac:dyDescent="0.25"/>
    <row r="6667" s="42" customFormat="1" x14ac:dyDescent="0.25"/>
    <row r="6668" s="42" customFormat="1" x14ac:dyDescent="0.25"/>
    <row r="6669" s="42" customFormat="1" x14ac:dyDescent="0.25"/>
    <row r="6670" s="42" customFormat="1" x14ac:dyDescent="0.25"/>
    <row r="6671" s="42" customFormat="1" x14ac:dyDescent="0.25"/>
    <row r="6672" s="42" customFormat="1" x14ac:dyDescent="0.25"/>
    <row r="6673" s="42" customFormat="1" x14ac:dyDescent="0.25"/>
    <row r="6674" s="42" customFormat="1" x14ac:dyDescent="0.25"/>
    <row r="6675" s="42" customFormat="1" x14ac:dyDescent="0.25"/>
    <row r="6676" s="42" customFormat="1" x14ac:dyDescent="0.25"/>
    <row r="6677" s="42" customFormat="1" x14ac:dyDescent="0.25"/>
    <row r="6678" s="42" customFormat="1" x14ac:dyDescent="0.25"/>
    <row r="6679" s="42" customFormat="1" x14ac:dyDescent="0.25"/>
    <row r="6680" s="42" customFormat="1" x14ac:dyDescent="0.25"/>
    <row r="6681" s="42" customFormat="1" x14ac:dyDescent="0.25"/>
    <row r="6682" s="42" customFormat="1" x14ac:dyDescent="0.25"/>
    <row r="6683" s="42" customFormat="1" x14ac:dyDescent="0.25"/>
    <row r="6684" s="42" customFormat="1" x14ac:dyDescent="0.25"/>
    <row r="6685" s="42" customFormat="1" x14ac:dyDescent="0.25"/>
    <row r="6686" s="42" customFormat="1" x14ac:dyDescent="0.25"/>
    <row r="6687" s="42" customFormat="1" x14ac:dyDescent="0.25"/>
    <row r="6688" s="42" customFormat="1" x14ac:dyDescent="0.25"/>
    <row r="6689" s="42" customFormat="1" x14ac:dyDescent="0.25"/>
    <row r="6690" s="42" customFormat="1" x14ac:dyDescent="0.25"/>
    <row r="6691" s="42" customFormat="1" x14ac:dyDescent="0.25"/>
    <row r="6692" s="42" customFormat="1" x14ac:dyDescent="0.25"/>
    <row r="6693" s="42" customFormat="1" x14ac:dyDescent="0.25"/>
    <row r="6694" s="42" customFormat="1" x14ac:dyDescent="0.25"/>
    <row r="6695" s="42" customFormat="1" x14ac:dyDescent="0.25"/>
    <row r="6696" s="42" customFormat="1" x14ac:dyDescent="0.25"/>
    <row r="6697" s="42" customFormat="1" x14ac:dyDescent="0.25"/>
    <row r="6698" s="42" customFormat="1" x14ac:dyDescent="0.25"/>
    <row r="6699" s="42" customFormat="1" x14ac:dyDescent="0.25"/>
    <row r="6700" s="42" customFormat="1" x14ac:dyDescent="0.25"/>
    <row r="6701" s="42" customFormat="1" x14ac:dyDescent="0.25"/>
    <row r="6702" s="42" customFormat="1" x14ac:dyDescent="0.25"/>
    <row r="6703" s="42" customFormat="1" x14ac:dyDescent="0.25"/>
    <row r="6704" s="42" customFormat="1" x14ac:dyDescent="0.25"/>
    <row r="6705" s="42" customFormat="1" x14ac:dyDescent="0.25"/>
    <row r="6706" s="42" customFormat="1" x14ac:dyDescent="0.25"/>
    <row r="6707" s="42" customFormat="1" x14ac:dyDescent="0.25"/>
    <row r="6708" s="42" customFormat="1" x14ac:dyDescent="0.25"/>
    <row r="6709" s="42" customFormat="1" x14ac:dyDescent="0.25"/>
    <row r="6710" s="42" customFormat="1" x14ac:dyDescent="0.25"/>
    <row r="6711" s="42" customFormat="1" x14ac:dyDescent="0.25"/>
    <row r="6712" s="42" customFormat="1" x14ac:dyDescent="0.25"/>
    <row r="6713" s="42" customFormat="1" x14ac:dyDescent="0.25"/>
    <row r="6714" s="42" customFormat="1" x14ac:dyDescent="0.25"/>
    <row r="6715" s="42" customFormat="1" x14ac:dyDescent="0.25"/>
    <row r="6716" s="42" customFormat="1" x14ac:dyDescent="0.25"/>
    <row r="6717" s="42" customFormat="1" x14ac:dyDescent="0.25"/>
    <row r="6718" s="42" customFormat="1" x14ac:dyDescent="0.25"/>
    <row r="6719" s="42" customFormat="1" x14ac:dyDescent="0.25"/>
    <row r="6720" s="42" customFormat="1" x14ac:dyDescent="0.25"/>
    <row r="6721" s="42" customFormat="1" x14ac:dyDescent="0.25"/>
    <row r="6722" s="42" customFormat="1" x14ac:dyDescent="0.25"/>
    <row r="6723" s="42" customFormat="1" x14ac:dyDescent="0.25"/>
    <row r="6724" s="42" customFormat="1" x14ac:dyDescent="0.25"/>
    <row r="6725" s="42" customFormat="1" x14ac:dyDescent="0.25"/>
    <row r="6726" s="42" customFormat="1" x14ac:dyDescent="0.25"/>
    <row r="6727" s="42" customFormat="1" x14ac:dyDescent="0.25"/>
    <row r="6728" s="42" customFormat="1" x14ac:dyDescent="0.25"/>
    <row r="6729" s="42" customFormat="1" x14ac:dyDescent="0.25"/>
    <row r="6730" s="42" customFormat="1" x14ac:dyDescent="0.25"/>
    <row r="6731" s="42" customFormat="1" x14ac:dyDescent="0.25"/>
    <row r="6732" s="42" customFormat="1" x14ac:dyDescent="0.25"/>
    <row r="6733" s="42" customFormat="1" x14ac:dyDescent="0.25"/>
    <row r="6734" s="42" customFormat="1" x14ac:dyDescent="0.25"/>
    <row r="6735" s="42" customFormat="1" x14ac:dyDescent="0.25"/>
    <row r="6736" s="42" customFormat="1" x14ac:dyDescent="0.25"/>
    <row r="6737" s="42" customFormat="1" x14ac:dyDescent="0.25"/>
    <row r="6738" s="42" customFormat="1" x14ac:dyDescent="0.25"/>
    <row r="6739" s="42" customFormat="1" x14ac:dyDescent="0.25"/>
    <row r="6740" s="42" customFormat="1" x14ac:dyDescent="0.25"/>
    <row r="6741" s="42" customFormat="1" x14ac:dyDescent="0.25"/>
    <row r="6742" s="42" customFormat="1" x14ac:dyDescent="0.25"/>
    <row r="6743" s="42" customFormat="1" x14ac:dyDescent="0.25"/>
    <row r="6744" s="42" customFormat="1" x14ac:dyDescent="0.25"/>
    <row r="6745" s="42" customFormat="1" x14ac:dyDescent="0.25"/>
    <row r="6746" s="42" customFormat="1" x14ac:dyDescent="0.25"/>
    <row r="6747" s="42" customFormat="1" x14ac:dyDescent="0.25"/>
    <row r="6748" s="42" customFormat="1" x14ac:dyDescent="0.25"/>
    <row r="6749" s="42" customFormat="1" x14ac:dyDescent="0.25"/>
    <row r="6750" s="42" customFormat="1" x14ac:dyDescent="0.25"/>
    <row r="6751" s="42" customFormat="1" x14ac:dyDescent="0.25"/>
    <row r="6752" s="42" customFormat="1" x14ac:dyDescent="0.25"/>
    <row r="6753" s="42" customFormat="1" x14ac:dyDescent="0.25"/>
    <row r="6754" s="42" customFormat="1" x14ac:dyDescent="0.25"/>
    <row r="6755" s="42" customFormat="1" x14ac:dyDescent="0.25"/>
    <row r="6756" s="42" customFormat="1" x14ac:dyDescent="0.25"/>
    <row r="6757" s="42" customFormat="1" x14ac:dyDescent="0.25"/>
    <row r="6758" s="42" customFormat="1" x14ac:dyDescent="0.25"/>
    <row r="6759" s="42" customFormat="1" x14ac:dyDescent="0.25"/>
    <row r="6760" s="42" customFormat="1" x14ac:dyDescent="0.25"/>
    <row r="6761" s="42" customFormat="1" x14ac:dyDescent="0.25"/>
    <row r="6762" s="42" customFormat="1" x14ac:dyDescent="0.25"/>
    <row r="6763" s="42" customFormat="1" x14ac:dyDescent="0.25"/>
    <row r="6764" s="42" customFormat="1" x14ac:dyDescent="0.25"/>
    <row r="6765" s="42" customFormat="1" x14ac:dyDescent="0.25"/>
    <row r="6766" s="42" customFormat="1" x14ac:dyDescent="0.25"/>
    <row r="6767" s="42" customFormat="1" x14ac:dyDescent="0.25"/>
    <row r="6768" s="42" customFormat="1" x14ac:dyDescent="0.25"/>
    <row r="6769" s="42" customFormat="1" x14ac:dyDescent="0.25"/>
    <row r="6770" s="42" customFormat="1" x14ac:dyDescent="0.25"/>
    <row r="6771" s="42" customFormat="1" x14ac:dyDescent="0.25"/>
    <row r="6772" s="42" customFormat="1" x14ac:dyDescent="0.25"/>
    <row r="6773" s="42" customFormat="1" x14ac:dyDescent="0.25"/>
    <row r="6774" s="42" customFormat="1" x14ac:dyDescent="0.25"/>
    <row r="6775" s="42" customFormat="1" x14ac:dyDescent="0.25"/>
    <row r="6776" s="42" customFormat="1" x14ac:dyDescent="0.25"/>
    <row r="6777" s="42" customFormat="1" x14ac:dyDescent="0.25"/>
    <row r="6778" s="42" customFormat="1" x14ac:dyDescent="0.25"/>
    <row r="6779" s="42" customFormat="1" x14ac:dyDescent="0.25"/>
    <row r="6780" s="42" customFormat="1" x14ac:dyDescent="0.25"/>
    <row r="6781" s="42" customFormat="1" x14ac:dyDescent="0.25"/>
    <row r="6782" s="42" customFormat="1" x14ac:dyDescent="0.25"/>
    <row r="6783" s="42" customFormat="1" x14ac:dyDescent="0.25"/>
    <row r="6784" s="42" customFormat="1" x14ac:dyDescent="0.25"/>
    <row r="6785" s="42" customFormat="1" x14ac:dyDescent="0.25"/>
    <row r="6786" s="42" customFormat="1" x14ac:dyDescent="0.25"/>
    <row r="6787" s="42" customFormat="1" x14ac:dyDescent="0.25"/>
    <row r="6788" s="42" customFormat="1" x14ac:dyDescent="0.25"/>
    <row r="6789" s="42" customFormat="1" x14ac:dyDescent="0.25"/>
    <row r="6790" s="42" customFormat="1" x14ac:dyDescent="0.25"/>
    <row r="6791" s="42" customFormat="1" x14ac:dyDescent="0.25"/>
    <row r="6792" s="42" customFormat="1" x14ac:dyDescent="0.25"/>
    <row r="6793" s="42" customFormat="1" x14ac:dyDescent="0.25"/>
    <row r="6794" s="42" customFormat="1" x14ac:dyDescent="0.25"/>
    <row r="6795" s="42" customFormat="1" x14ac:dyDescent="0.25"/>
    <row r="6796" s="42" customFormat="1" x14ac:dyDescent="0.25"/>
    <row r="6797" s="42" customFormat="1" x14ac:dyDescent="0.25"/>
    <row r="6798" s="42" customFormat="1" x14ac:dyDescent="0.25"/>
    <row r="6799" s="42" customFormat="1" x14ac:dyDescent="0.25"/>
    <row r="6800" s="42" customFormat="1" x14ac:dyDescent="0.25"/>
    <row r="6801" s="42" customFormat="1" x14ac:dyDescent="0.25"/>
    <row r="6802" s="42" customFormat="1" x14ac:dyDescent="0.25"/>
    <row r="6803" s="42" customFormat="1" x14ac:dyDescent="0.25"/>
    <row r="6804" s="42" customFormat="1" x14ac:dyDescent="0.25"/>
    <row r="6805" s="42" customFormat="1" x14ac:dyDescent="0.25"/>
    <row r="6806" s="42" customFormat="1" x14ac:dyDescent="0.25"/>
    <row r="6807" s="42" customFormat="1" x14ac:dyDescent="0.25"/>
    <row r="6808" s="42" customFormat="1" x14ac:dyDescent="0.25"/>
    <row r="6809" s="42" customFormat="1" x14ac:dyDescent="0.25"/>
    <row r="6810" s="42" customFormat="1" x14ac:dyDescent="0.25"/>
    <row r="6811" s="42" customFormat="1" x14ac:dyDescent="0.25"/>
    <row r="6812" s="42" customFormat="1" x14ac:dyDescent="0.25"/>
    <row r="6813" s="42" customFormat="1" x14ac:dyDescent="0.25"/>
    <row r="6814" s="42" customFormat="1" x14ac:dyDescent="0.25"/>
    <row r="6815" s="42" customFormat="1" x14ac:dyDescent="0.25"/>
    <row r="6816" s="42" customFormat="1" x14ac:dyDescent="0.25"/>
    <row r="6817" s="42" customFormat="1" x14ac:dyDescent="0.25"/>
    <row r="6818" s="42" customFormat="1" x14ac:dyDescent="0.25"/>
    <row r="6819" s="42" customFormat="1" x14ac:dyDescent="0.25"/>
    <row r="6820" s="42" customFormat="1" x14ac:dyDescent="0.25"/>
    <row r="6821" s="42" customFormat="1" x14ac:dyDescent="0.25"/>
    <row r="6822" s="42" customFormat="1" x14ac:dyDescent="0.25"/>
    <row r="6823" s="42" customFormat="1" x14ac:dyDescent="0.25"/>
    <row r="6824" s="42" customFormat="1" x14ac:dyDescent="0.25"/>
    <row r="6825" s="42" customFormat="1" x14ac:dyDescent="0.25"/>
    <row r="6826" s="42" customFormat="1" x14ac:dyDescent="0.25"/>
    <row r="6827" s="42" customFormat="1" x14ac:dyDescent="0.25"/>
    <row r="6828" s="42" customFormat="1" x14ac:dyDescent="0.25"/>
    <row r="6829" s="42" customFormat="1" x14ac:dyDescent="0.25"/>
    <row r="6830" s="42" customFormat="1" x14ac:dyDescent="0.25"/>
    <row r="6831" s="42" customFormat="1" x14ac:dyDescent="0.25"/>
    <row r="6832" s="42" customFormat="1" x14ac:dyDescent="0.25"/>
    <row r="6833" s="42" customFormat="1" x14ac:dyDescent="0.25"/>
    <row r="6834" s="42" customFormat="1" x14ac:dyDescent="0.25"/>
    <row r="6835" s="42" customFormat="1" x14ac:dyDescent="0.25"/>
    <row r="6836" s="42" customFormat="1" x14ac:dyDescent="0.25"/>
    <row r="6837" s="42" customFormat="1" x14ac:dyDescent="0.25"/>
    <row r="6838" s="42" customFormat="1" x14ac:dyDescent="0.25"/>
    <row r="6839" s="42" customFormat="1" x14ac:dyDescent="0.25"/>
    <row r="6840" s="42" customFormat="1" x14ac:dyDescent="0.25"/>
    <row r="6841" s="42" customFormat="1" x14ac:dyDescent="0.25"/>
    <row r="6842" s="42" customFormat="1" x14ac:dyDescent="0.25"/>
    <row r="6843" s="42" customFormat="1" x14ac:dyDescent="0.25"/>
    <row r="6844" s="42" customFormat="1" x14ac:dyDescent="0.25"/>
    <row r="6845" s="42" customFormat="1" x14ac:dyDescent="0.25"/>
    <row r="6846" s="42" customFormat="1" x14ac:dyDescent="0.25"/>
    <row r="6847" s="42" customFormat="1" x14ac:dyDescent="0.25"/>
    <row r="6848" s="42" customFormat="1" x14ac:dyDescent="0.25"/>
    <row r="6849" s="42" customFormat="1" x14ac:dyDescent="0.25"/>
    <row r="6850" s="42" customFormat="1" x14ac:dyDescent="0.25"/>
    <row r="6851" s="42" customFormat="1" x14ac:dyDescent="0.25"/>
    <row r="6852" s="42" customFormat="1" x14ac:dyDescent="0.25"/>
    <row r="6853" s="42" customFormat="1" x14ac:dyDescent="0.25"/>
    <row r="6854" s="42" customFormat="1" x14ac:dyDescent="0.25"/>
    <row r="6855" s="42" customFormat="1" x14ac:dyDescent="0.25"/>
    <row r="6856" s="42" customFormat="1" x14ac:dyDescent="0.25"/>
    <row r="6857" s="42" customFormat="1" x14ac:dyDescent="0.25"/>
    <row r="6858" s="42" customFormat="1" x14ac:dyDescent="0.25"/>
    <row r="6859" s="42" customFormat="1" x14ac:dyDescent="0.25"/>
    <row r="6860" s="42" customFormat="1" x14ac:dyDescent="0.25"/>
    <row r="6861" s="42" customFormat="1" x14ac:dyDescent="0.25"/>
    <row r="6862" s="42" customFormat="1" x14ac:dyDescent="0.25"/>
    <row r="6863" s="42" customFormat="1" x14ac:dyDescent="0.25"/>
    <row r="6864" s="42" customFormat="1" x14ac:dyDescent="0.25"/>
    <row r="6865" s="42" customFormat="1" x14ac:dyDescent="0.25"/>
    <row r="6866" s="42" customFormat="1" x14ac:dyDescent="0.25"/>
    <row r="6867" s="42" customFormat="1" x14ac:dyDescent="0.25"/>
    <row r="6868" s="42" customFormat="1" x14ac:dyDescent="0.25"/>
    <row r="6869" s="42" customFormat="1" x14ac:dyDescent="0.25"/>
    <row r="6870" s="42" customFormat="1" x14ac:dyDescent="0.25"/>
    <row r="6871" s="42" customFormat="1" x14ac:dyDescent="0.25"/>
    <row r="6872" s="42" customFormat="1" x14ac:dyDescent="0.25"/>
    <row r="6873" s="42" customFormat="1" x14ac:dyDescent="0.25"/>
    <row r="6874" s="42" customFormat="1" x14ac:dyDescent="0.25"/>
    <row r="6875" s="42" customFormat="1" x14ac:dyDescent="0.25"/>
    <row r="6876" s="42" customFormat="1" x14ac:dyDescent="0.25"/>
    <row r="6877" s="42" customFormat="1" x14ac:dyDescent="0.25"/>
    <row r="6878" s="42" customFormat="1" x14ac:dyDescent="0.25"/>
    <row r="6879" s="42" customFormat="1" x14ac:dyDescent="0.25"/>
    <row r="6880" s="42" customFormat="1" x14ac:dyDescent="0.25"/>
    <row r="6881" s="42" customFormat="1" x14ac:dyDescent="0.25"/>
    <row r="6882" s="42" customFormat="1" x14ac:dyDescent="0.25"/>
    <row r="6883" s="42" customFormat="1" x14ac:dyDescent="0.25"/>
    <row r="6884" s="42" customFormat="1" x14ac:dyDescent="0.25"/>
    <row r="6885" s="42" customFormat="1" x14ac:dyDescent="0.25"/>
    <row r="6886" s="42" customFormat="1" x14ac:dyDescent="0.25"/>
    <row r="6887" s="42" customFormat="1" x14ac:dyDescent="0.25"/>
    <row r="6888" s="42" customFormat="1" x14ac:dyDescent="0.25"/>
    <row r="6889" s="42" customFormat="1" x14ac:dyDescent="0.25"/>
    <row r="6890" s="42" customFormat="1" x14ac:dyDescent="0.25"/>
    <row r="6891" s="42" customFormat="1" x14ac:dyDescent="0.25"/>
    <row r="6892" s="42" customFormat="1" x14ac:dyDescent="0.25"/>
    <row r="6893" s="42" customFormat="1" x14ac:dyDescent="0.25"/>
    <row r="6894" s="42" customFormat="1" x14ac:dyDescent="0.25"/>
    <row r="6895" s="42" customFormat="1" x14ac:dyDescent="0.25"/>
    <row r="6896" s="42" customFormat="1" x14ac:dyDescent="0.25"/>
    <row r="6897" s="42" customFormat="1" x14ac:dyDescent="0.25"/>
    <row r="6898" s="42" customFormat="1" x14ac:dyDescent="0.25"/>
    <row r="6899" s="42" customFormat="1" x14ac:dyDescent="0.25"/>
    <row r="6900" s="42" customFormat="1" x14ac:dyDescent="0.25"/>
    <row r="6901" s="42" customFormat="1" x14ac:dyDescent="0.25"/>
    <row r="6902" s="42" customFormat="1" x14ac:dyDescent="0.25"/>
    <row r="6903" s="42" customFormat="1" x14ac:dyDescent="0.25"/>
    <row r="6904" s="42" customFormat="1" x14ac:dyDescent="0.25"/>
    <row r="6905" s="42" customFormat="1" x14ac:dyDescent="0.25"/>
    <row r="6906" s="42" customFormat="1" x14ac:dyDescent="0.25"/>
    <row r="6907" s="42" customFormat="1" x14ac:dyDescent="0.25"/>
    <row r="6908" s="42" customFormat="1" x14ac:dyDescent="0.25"/>
    <row r="6909" s="42" customFormat="1" x14ac:dyDescent="0.25"/>
    <row r="6910" s="42" customFormat="1" x14ac:dyDescent="0.25"/>
    <row r="6911" s="42" customFormat="1" x14ac:dyDescent="0.25"/>
    <row r="6912" s="42" customFormat="1" x14ac:dyDescent="0.25"/>
    <row r="6913" s="42" customFormat="1" x14ac:dyDescent="0.25"/>
    <row r="6914" s="42" customFormat="1" x14ac:dyDescent="0.25"/>
    <row r="6915" s="42" customFormat="1" x14ac:dyDescent="0.25"/>
    <row r="6916" s="42" customFormat="1" x14ac:dyDescent="0.25"/>
    <row r="6917" s="42" customFormat="1" x14ac:dyDescent="0.25"/>
    <row r="6918" s="42" customFormat="1" x14ac:dyDescent="0.25"/>
    <row r="6919" s="42" customFormat="1" x14ac:dyDescent="0.25"/>
    <row r="6920" s="42" customFormat="1" x14ac:dyDescent="0.25"/>
    <row r="6921" s="42" customFormat="1" x14ac:dyDescent="0.25"/>
    <row r="6922" s="42" customFormat="1" x14ac:dyDescent="0.25"/>
    <row r="6923" s="42" customFormat="1" x14ac:dyDescent="0.25"/>
    <row r="6924" s="42" customFormat="1" x14ac:dyDescent="0.25"/>
    <row r="6925" s="42" customFormat="1" x14ac:dyDescent="0.25"/>
    <row r="6926" s="42" customFormat="1" x14ac:dyDescent="0.25"/>
    <row r="6927" s="42" customFormat="1" x14ac:dyDescent="0.25"/>
    <row r="6928" s="42" customFormat="1" x14ac:dyDescent="0.25"/>
    <row r="6929" s="42" customFormat="1" x14ac:dyDescent="0.25"/>
    <row r="6930" s="42" customFormat="1" x14ac:dyDescent="0.25"/>
    <row r="6931" s="42" customFormat="1" x14ac:dyDescent="0.25"/>
    <row r="6932" s="42" customFormat="1" x14ac:dyDescent="0.25"/>
    <row r="6933" s="42" customFormat="1" x14ac:dyDescent="0.25"/>
    <row r="6934" s="42" customFormat="1" x14ac:dyDescent="0.25"/>
    <row r="6935" s="42" customFormat="1" x14ac:dyDescent="0.25"/>
    <row r="6936" s="42" customFormat="1" x14ac:dyDescent="0.25"/>
    <row r="6937" s="42" customFormat="1" x14ac:dyDescent="0.25"/>
    <row r="6938" s="42" customFormat="1" x14ac:dyDescent="0.25"/>
    <row r="6939" s="42" customFormat="1" x14ac:dyDescent="0.25"/>
    <row r="6940" s="42" customFormat="1" x14ac:dyDescent="0.25"/>
    <row r="6941" s="42" customFormat="1" x14ac:dyDescent="0.25"/>
    <row r="6942" s="42" customFormat="1" x14ac:dyDescent="0.25"/>
    <row r="6943" s="42" customFormat="1" x14ac:dyDescent="0.25"/>
    <row r="6944" s="42" customFormat="1" x14ac:dyDescent="0.25"/>
    <row r="6945" s="42" customFormat="1" x14ac:dyDescent="0.25"/>
    <row r="6946" s="42" customFormat="1" x14ac:dyDescent="0.25"/>
    <row r="6947" s="42" customFormat="1" x14ac:dyDescent="0.25"/>
    <row r="6948" s="42" customFormat="1" x14ac:dyDescent="0.25"/>
    <row r="6949" s="42" customFormat="1" x14ac:dyDescent="0.25"/>
    <row r="6950" s="42" customFormat="1" x14ac:dyDescent="0.25"/>
    <row r="6951" s="42" customFormat="1" x14ac:dyDescent="0.25"/>
    <row r="6952" s="42" customFormat="1" x14ac:dyDescent="0.25"/>
    <row r="6953" s="42" customFormat="1" x14ac:dyDescent="0.25"/>
    <row r="6954" s="42" customFormat="1" x14ac:dyDescent="0.25"/>
    <row r="6955" s="42" customFormat="1" x14ac:dyDescent="0.25"/>
    <row r="6956" s="42" customFormat="1" x14ac:dyDescent="0.25"/>
    <row r="6957" s="42" customFormat="1" x14ac:dyDescent="0.25"/>
    <row r="6958" s="42" customFormat="1" x14ac:dyDescent="0.25"/>
    <row r="6959" s="42" customFormat="1" x14ac:dyDescent="0.25"/>
    <row r="6960" s="42" customFormat="1" x14ac:dyDescent="0.25"/>
    <row r="6961" s="42" customFormat="1" x14ac:dyDescent="0.25"/>
    <row r="6962" s="42" customFormat="1" x14ac:dyDescent="0.25"/>
    <row r="6963" s="42" customFormat="1" x14ac:dyDescent="0.25"/>
    <row r="6964" s="42" customFormat="1" x14ac:dyDescent="0.25"/>
    <row r="6965" s="42" customFormat="1" x14ac:dyDescent="0.25"/>
    <row r="6966" s="42" customFormat="1" x14ac:dyDescent="0.25"/>
    <row r="6967" s="42" customFormat="1" x14ac:dyDescent="0.25"/>
    <row r="6968" s="42" customFormat="1" x14ac:dyDescent="0.25"/>
    <row r="6969" s="42" customFormat="1" x14ac:dyDescent="0.25"/>
    <row r="6970" s="42" customFormat="1" x14ac:dyDescent="0.25"/>
    <row r="6971" s="42" customFormat="1" x14ac:dyDescent="0.25"/>
    <row r="6972" s="42" customFormat="1" x14ac:dyDescent="0.25"/>
    <row r="6973" s="42" customFormat="1" x14ac:dyDescent="0.25"/>
    <row r="6974" s="42" customFormat="1" x14ac:dyDescent="0.25"/>
    <row r="6975" s="42" customFormat="1" x14ac:dyDescent="0.25"/>
    <row r="6976" s="42" customFormat="1" x14ac:dyDescent="0.25"/>
    <row r="6977" s="42" customFormat="1" x14ac:dyDescent="0.25"/>
    <row r="6978" s="42" customFormat="1" x14ac:dyDescent="0.25"/>
    <row r="6979" s="42" customFormat="1" x14ac:dyDescent="0.25"/>
    <row r="6980" s="42" customFormat="1" x14ac:dyDescent="0.25"/>
    <row r="6981" s="42" customFormat="1" x14ac:dyDescent="0.25"/>
    <row r="6982" s="42" customFormat="1" x14ac:dyDescent="0.25"/>
    <row r="6983" s="42" customFormat="1" x14ac:dyDescent="0.25"/>
    <row r="6984" s="42" customFormat="1" x14ac:dyDescent="0.25"/>
    <row r="6985" s="42" customFormat="1" x14ac:dyDescent="0.25"/>
    <row r="6986" s="42" customFormat="1" x14ac:dyDescent="0.25"/>
    <row r="6987" s="42" customFormat="1" x14ac:dyDescent="0.25"/>
    <row r="6988" s="42" customFormat="1" x14ac:dyDescent="0.25"/>
    <row r="6989" s="42" customFormat="1" x14ac:dyDescent="0.25"/>
    <row r="6990" s="42" customFormat="1" x14ac:dyDescent="0.25"/>
    <row r="6991" s="42" customFormat="1" x14ac:dyDescent="0.25"/>
    <row r="6992" s="42" customFormat="1" x14ac:dyDescent="0.25"/>
    <row r="6993" s="42" customFormat="1" x14ac:dyDescent="0.25"/>
    <row r="6994" s="42" customFormat="1" x14ac:dyDescent="0.25"/>
    <row r="6995" s="42" customFormat="1" x14ac:dyDescent="0.25"/>
    <row r="6996" s="42" customFormat="1" x14ac:dyDescent="0.25"/>
    <row r="6997" s="42" customFormat="1" x14ac:dyDescent="0.25"/>
    <row r="6998" s="42" customFormat="1" x14ac:dyDescent="0.25"/>
    <row r="6999" s="42" customFormat="1" x14ac:dyDescent="0.25"/>
    <row r="7000" s="42" customFormat="1" x14ac:dyDescent="0.25"/>
    <row r="7001" s="42" customFormat="1" x14ac:dyDescent="0.25"/>
    <row r="7002" s="42" customFormat="1" x14ac:dyDescent="0.25"/>
    <row r="7003" s="42" customFormat="1" x14ac:dyDescent="0.25"/>
    <row r="7004" s="42" customFormat="1" x14ac:dyDescent="0.25"/>
    <row r="7005" s="42" customFormat="1" x14ac:dyDescent="0.25"/>
    <row r="7006" s="42" customFormat="1" x14ac:dyDescent="0.25"/>
    <row r="7007" s="42" customFormat="1" x14ac:dyDescent="0.25"/>
    <row r="7008" s="42" customFormat="1" x14ac:dyDescent="0.25"/>
    <row r="7009" s="42" customFormat="1" x14ac:dyDescent="0.25"/>
    <row r="7010" s="42" customFormat="1" x14ac:dyDescent="0.25"/>
    <row r="7011" s="42" customFormat="1" x14ac:dyDescent="0.25"/>
    <row r="7012" s="42" customFormat="1" x14ac:dyDescent="0.25"/>
    <row r="7013" s="42" customFormat="1" x14ac:dyDescent="0.25"/>
    <row r="7014" s="42" customFormat="1" x14ac:dyDescent="0.25"/>
    <row r="7015" s="42" customFormat="1" x14ac:dyDescent="0.25"/>
    <row r="7016" s="42" customFormat="1" x14ac:dyDescent="0.25"/>
    <row r="7017" s="42" customFormat="1" x14ac:dyDescent="0.25"/>
    <row r="7018" s="42" customFormat="1" x14ac:dyDescent="0.25"/>
    <row r="7019" s="42" customFormat="1" x14ac:dyDescent="0.25"/>
    <row r="7020" s="42" customFormat="1" x14ac:dyDescent="0.25"/>
    <row r="7021" s="42" customFormat="1" x14ac:dyDescent="0.25"/>
    <row r="7022" s="42" customFormat="1" x14ac:dyDescent="0.25"/>
    <row r="7023" s="42" customFormat="1" x14ac:dyDescent="0.25"/>
    <row r="7024" s="42" customFormat="1" x14ac:dyDescent="0.25"/>
    <row r="7025" s="42" customFormat="1" x14ac:dyDescent="0.25"/>
    <row r="7026" s="42" customFormat="1" x14ac:dyDescent="0.25"/>
    <row r="7027" s="42" customFormat="1" x14ac:dyDescent="0.25"/>
    <row r="7028" s="42" customFormat="1" x14ac:dyDescent="0.25"/>
    <row r="7029" s="42" customFormat="1" x14ac:dyDescent="0.25"/>
    <row r="7030" s="42" customFormat="1" x14ac:dyDescent="0.25"/>
    <row r="7031" s="42" customFormat="1" x14ac:dyDescent="0.25"/>
    <row r="7032" s="42" customFormat="1" x14ac:dyDescent="0.25"/>
    <row r="7033" s="42" customFormat="1" x14ac:dyDescent="0.25"/>
    <row r="7034" s="42" customFormat="1" x14ac:dyDescent="0.25"/>
    <row r="7035" s="42" customFormat="1" x14ac:dyDescent="0.25"/>
    <row r="7036" s="42" customFormat="1" x14ac:dyDescent="0.25"/>
    <row r="7037" s="42" customFormat="1" x14ac:dyDescent="0.25"/>
    <row r="7038" s="42" customFormat="1" x14ac:dyDescent="0.25"/>
    <row r="7039" s="42" customFormat="1" x14ac:dyDescent="0.25"/>
    <row r="7040" s="42" customFormat="1" x14ac:dyDescent="0.25"/>
    <row r="7041" s="42" customFormat="1" x14ac:dyDescent="0.25"/>
    <row r="7042" s="42" customFormat="1" x14ac:dyDescent="0.25"/>
    <row r="7043" s="42" customFormat="1" x14ac:dyDescent="0.25"/>
    <row r="7044" s="42" customFormat="1" x14ac:dyDescent="0.25"/>
    <row r="7045" s="42" customFormat="1" x14ac:dyDescent="0.25"/>
    <row r="7046" s="42" customFormat="1" x14ac:dyDescent="0.25"/>
    <row r="7047" s="42" customFormat="1" x14ac:dyDescent="0.25"/>
    <row r="7048" s="42" customFormat="1" x14ac:dyDescent="0.25"/>
    <row r="7049" s="42" customFormat="1" x14ac:dyDescent="0.25"/>
    <row r="7050" s="42" customFormat="1" x14ac:dyDescent="0.25"/>
    <row r="7051" s="42" customFormat="1" x14ac:dyDescent="0.25"/>
    <row r="7052" s="42" customFormat="1" x14ac:dyDescent="0.25"/>
    <row r="7053" s="42" customFormat="1" x14ac:dyDescent="0.25"/>
    <row r="7054" s="42" customFormat="1" x14ac:dyDescent="0.25"/>
    <row r="7055" s="42" customFormat="1" x14ac:dyDescent="0.25"/>
    <row r="7056" s="42" customFormat="1" x14ac:dyDescent="0.25"/>
    <row r="7057" s="42" customFormat="1" x14ac:dyDescent="0.25"/>
    <row r="7058" s="42" customFormat="1" x14ac:dyDescent="0.25"/>
    <row r="7059" s="42" customFormat="1" x14ac:dyDescent="0.25"/>
    <row r="7060" s="42" customFormat="1" x14ac:dyDescent="0.25"/>
    <row r="7061" s="42" customFormat="1" x14ac:dyDescent="0.25"/>
    <row r="7062" s="42" customFormat="1" x14ac:dyDescent="0.25"/>
    <row r="7063" s="42" customFormat="1" x14ac:dyDescent="0.25"/>
    <row r="7064" s="42" customFormat="1" x14ac:dyDescent="0.25"/>
    <row r="7065" s="42" customFormat="1" x14ac:dyDescent="0.25"/>
    <row r="7066" s="42" customFormat="1" x14ac:dyDescent="0.25"/>
    <row r="7067" s="42" customFormat="1" x14ac:dyDescent="0.25"/>
    <row r="7068" s="42" customFormat="1" x14ac:dyDescent="0.25"/>
    <row r="7069" s="42" customFormat="1" x14ac:dyDescent="0.25"/>
    <row r="7070" s="42" customFormat="1" x14ac:dyDescent="0.25"/>
    <row r="7071" s="42" customFormat="1" x14ac:dyDescent="0.25"/>
    <row r="7072" s="42" customFormat="1" x14ac:dyDescent="0.25"/>
    <row r="7073" s="42" customFormat="1" x14ac:dyDescent="0.25"/>
    <row r="7074" s="42" customFormat="1" x14ac:dyDescent="0.25"/>
    <row r="7075" s="42" customFormat="1" x14ac:dyDescent="0.25"/>
    <row r="7076" s="42" customFormat="1" x14ac:dyDescent="0.25"/>
    <row r="7077" s="42" customFormat="1" x14ac:dyDescent="0.25"/>
    <row r="7078" s="42" customFormat="1" x14ac:dyDescent="0.25"/>
    <row r="7079" s="42" customFormat="1" x14ac:dyDescent="0.25"/>
    <row r="7080" s="42" customFormat="1" x14ac:dyDescent="0.25"/>
    <row r="7081" s="42" customFormat="1" x14ac:dyDescent="0.25"/>
    <row r="7082" s="42" customFormat="1" x14ac:dyDescent="0.25"/>
    <row r="7083" s="42" customFormat="1" x14ac:dyDescent="0.25"/>
    <row r="7084" s="42" customFormat="1" x14ac:dyDescent="0.25"/>
    <row r="7085" s="42" customFormat="1" x14ac:dyDescent="0.25"/>
    <row r="7086" s="42" customFormat="1" x14ac:dyDescent="0.25"/>
    <row r="7087" s="42" customFormat="1" x14ac:dyDescent="0.25"/>
    <row r="7088" s="42" customFormat="1" x14ac:dyDescent="0.25"/>
    <row r="7089" s="42" customFormat="1" x14ac:dyDescent="0.25"/>
    <row r="7090" s="42" customFormat="1" x14ac:dyDescent="0.25"/>
    <row r="7091" s="42" customFormat="1" x14ac:dyDescent="0.25"/>
    <row r="7092" s="42" customFormat="1" x14ac:dyDescent="0.25"/>
    <row r="7093" s="42" customFormat="1" x14ac:dyDescent="0.25"/>
    <row r="7094" s="42" customFormat="1" x14ac:dyDescent="0.25"/>
    <row r="7095" s="42" customFormat="1" x14ac:dyDescent="0.25"/>
    <row r="7096" s="42" customFormat="1" x14ac:dyDescent="0.25"/>
    <row r="7097" s="42" customFormat="1" x14ac:dyDescent="0.25"/>
    <row r="7098" s="42" customFormat="1" x14ac:dyDescent="0.25"/>
    <row r="7099" s="42" customFormat="1" x14ac:dyDescent="0.25"/>
    <row r="7100" s="42" customFormat="1" x14ac:dyDescent="0.25"/>
    <row r="7101" s="42" customFormat="1" x14ac:dyDescent="0.25"/>
    <row r="7102" s="42" customFormat="1" x14ac:dyDescent="0.25"/>
    <row r="7103" s="42" customFormat="1" x14ac:dyDescent="0.25"/>
    <row r="7104" s="42" customFormat="1" x14ac:dyDescent="0.25"/>
    <row r="7105" s="42" customFormat="1" x14ac:dyDescent="0.25"/>
    <row r="7106" s="42" customFormat="1" x14ac:dyDescent="0.25"/>
    <row r="7107" s="42" customFormat="1" x14ac:dyDescent="0.25"/>
    <row r="7108" s="42" customFormat="1" x14ac:dyDescent="0.25"/>
    <row r="7109" s="42" customFormat="1" x14ac:dyDescent="0.25"/>
    <row r="7110" s="42" customFormat="1" x14ac:dyDescent="0.25"/>
    <row r="7111" s="42" customFormat="1" x14ac:dyDescent="0.25"/>
    <row r="7112" s="42" customFormat="1" x14ac:dyDescent="0.25"/>
    <row r="7113" s="42" customFormat="1" x14ac:dyDescent="0.25"/>
    <row r="7114" s="42" customFormat="1" x14ac:dyDescent="0.25"/>
    <row r="7115" s="42" customFormat="1" x14ac:dyDescent="0.25"/>
    <row r="7116" s="42" customFormat="1" x14ac:dyDescent="0.25"/>
    <row r="7117" s="42" customFormat="1" x14ac:dyDescent="0.25"/>
    <row r="7118" s="42" customFormat="1" x14ac:dyDescent="0.25"/>
    <row r="7119" s="42" customFormat="1" x14ac:dyDescent="0.25"/>
    <row r="7120" s="42" customFormat="1" x14ac:dyDescent="0.25"/>
    <row r="7121" s="42" customFormat="1" x14ac:dyDescent="0.25"/>
    <row r="7122" s="42" customFormat="1" x14ac:dyDescent="0.25"/>
    <row r="7123" s="42" customFormat="1" x14ac:dyDescent="0.25"/>
    <row r="7124" s="42" customFormat="1" x14ac:dyDescent="0.25"/>
    <row r="7125" s="42" customFormat="1" x14ac:dyDescent="0.25"/>
    <row r="7126" s="42" customFormat="1" x14ac:dyDescent="0.25"/>
    <row r="7127" s="42" customFormat="1" x14ac:dyDescent="0.25"/>
    <row r="7128" s="42" customFormat="1" x14ac:dyDescent="0.25"/>
    <row r="7129" s="42" customFormat="1" x14ac:dyDescent="0.25"/>
    <row r="7130" s="42" customFormat="1" x14ac:dyDescent="0.25"/>
    <row r="7131" s="42" customFormat="1" x14ac:dyDescent="0.25"/>
    <row r="7132" s="42" customFormat="1" x14ac:dyDescent="0.25"/>
    <row r="7133" s="42" customFormat="1" x14ac:dyDescent="0.25"/>
    <row r="7134" s="42" customFormat="1" x14ac:dyDescent="0.25"/>
    <row r="7135" s="42" customFormat="1" x14ac:dyDescent="0.25"/>
    <row r="7136" s="42" customFormat="1" x14ac:dyDescent="0.25"/>
    <row r="7137" s="42" customFormat="1" x14ac:dyDescent="0.25"/>
    <row r="7138" s="42" customFormat="1" x14ac:dyDescent="0.25"/>
    <row r="7139" s="42" customFormat="1" x14ac:dyDescent="0.25"/>
    <row r="7140" s="42" customFormat="1" x14ac:dyDescent="0.25"/>
    <row r="7141" s="42" customFormat="1" x14ac:dyDescent="0.25"/>
    <row r="7142" s="42" customFormat="1" x14ac:dyDescent="0.25"/>
    <row r="7143" s="42" customFormat="1" x14ac:dyDescent="0.25"/>
    <row r="7144" s="42" customFormat="1" x14ac:dyDescent="0.25"/>
    <row r="7145" s="42" customFormat="1" x14ac:dyDescent="0.25"/>
    <row r="7146" s="42" customFormat="1" x14ac:dyDescent="0.25"/>
    <row r="7147" s="42" customFormat="1" x14ac:dyDescent="0.25"/>
    <row r="7148" s="42" customFormat="1" x14ac:dyDescent="0.25"/>
    <row r="7149" s="42" customFormat="1" x14ac:dyDescent="0.25"/>
    <row r="7150" s="42" customFormat="1" x14ac:dyDescent="0.25"/>
    <row r="7151" s="42" customFormat="1" x14ac:dyDescent="0.25"/>
    <row r="7152" s="42" customFormat="1" x14ac:dyDescent="0.25"/>
    <row r="7153" s="42" customFormat="1" x14ac:dyDescent="0.25"/>
    <row r="7154" s="42" customFormat="1" x14ac:dyDescent="0.25"/>
    <row r="7155" s="42" customFormat="1" x14ac:dyDescent="0.25"/>
    <row r="7156" s="42" customFormat="1" x14ac:dyDescent="0.25"/>
    <row r="7157" s="42" customFormat="1" x14ac:dyDescent="0.25"/>
    <row r="7158" s="42" customFormat="1" x14ac:dyDescent="0.25"/>
    <row r="7159" s="42" customFormat="1" x14ac:dyDescent="0.25"/>
    <row r="7160" s="42" customFormat="1" x14ac:dyDescent="0.25"/>
    <row r="7161" s="42" customFormat="1" x14ac:dyDescent="0.25"/>
    <row r="7162" s="42" customFormat="1" x14ac:dyDescent="0.25"/>
    <row r="7163" s="42" customFormat="1" x14ac:dyDescent="0.25"/>
    <row r="7164" s="42" customFormat="1" x14ac:dyDescent="0.25"/>
    <row r="7165" s="42" customFormat="1" x14ac:dyDescent="0.25"/>
    <row r="7166" s="42" customFormat="1" x14ac:dyDescent="0.25"/>
    <row r="7167" s="42" customFormat="1" x14ac:dyDescent="0.25"/>
    <row r="7168" s="42" customFormat="1" x14ac:dyDescent="0.25"/>
    <row r="7169" s="42" customFormat="1" x14ac:dyDescent="0.25"/>
    <row r="7170" s="42" customFormat="1" x14ac:dyDescent="0.25"/>
    <row r="7171" s="42" customFormat="1" x14ac:dyDescent="0.25"/>
    <row r="7172" s="42" customFormat="1" x14ac:dyDescent="0.25"/>
    <row r="7173" s="42" customFormat="1" x14ac:dyDescent="0.25"/>
    <row r="7174" s="42" customFormat="1" x14ac:dyDescent="0.25"/>
    <row r="7175" s="42" customFormat="1" x14ac:dyDescent="0.25"/>
    <row r="7176" s="42" customFormat="1" x14ac:dyDescent="0.25"/>
    <row r="7177" s="42" customFormat="1" x14ac:dyDescent="0.25"/>
    <row r="7178" s="42" customFormat="1" x14ac:dyDescent="0.25"/>
    <row r="7179" s="42" customFormat="1" x14ac:dyDescent="0.25"/>
    <row r="7180" s="42" customFormat="1" x14ac:dyDescent="0.25"/>
    <row r="7181" s="42" customFormat="1" x14ac:dyDescent="0.25"/>
    <row r="7182" s="42" customFormat="1" x14ac:dyDescent="0.25"/>
    <row r="7183" s="42" customFormat="1" x14ac:dyDescent="0.25"/>
    <row r="7184" s="42" customFormat="1" x14ac:dyDescent="0.25"/>
    <row r="7185" s="42" customFormat="1" x14ac:dyDescent="0.25"/>
    <row r="7186" s="42" customFormat="1" x14ac:dyDescent="0.25"/>
    <row r="7187" s="42" customFormat="1" x14ac:dyDescent="0.25"/>
    <row r="7188" s="42" customFormat="1" x14ac:dyDescent="0.25"/>
    <row r="7189" s="42" customFormat="1" x14ac:dyDescent="0.25"/>
    <row r="7190" s="42" customFormat="1" x14ac:dyDescent="0.25"/>
    <row r="7191" s="42" customFormat="1" x14ac:dyDescent="0.25"/>
    <row r="7192" s="42" customFormat="1" x14ac:dyDescent="0.25"/>
    <row r="7193" s="42" customFormat="1" x14ac:dyDescent="0.25"/>
    <row r="7194" s="42" customFormat="1" x14ac:dyDescent="0.25"/>
    <row r="7195" s="42" customFormat="1" x14ac:dyDescent="0.25"/>
    <row r="7196" s="42" customFormat="1" x14ac:dyDescent="0.25"/>
    <row r="7197" s="42" customFormat="1" x14ac:dyDescent="0.25"/>
    <row r="7198" s="42" customFormat="1" x14ac:dyDescent="0.25"/>
    <row r="7199" s="42" customFormat="1" x14ac:dyDescent="0.25"/>
    <row r="7200" s="42" customFormat="1" x14ac:dyDescent="0.25"/>
    <row r="7201" s="42" customFormat="1" x14ac:dyDescent="0.25"/>
    <row r="7202" s="42" customFormat="1" x14ac:dyDescent="0.25"/>
    <row r="7203" s="42" customFormat="1" x14ac:dyDescent="0.25"/>
    <row r="7204" s="42" customFormat="1" x14ac:dyDescent="0.25"/>
    <row r="7205" s="42" customFormat="1" x14ac:dyDescent="0.25"/>
    <row r="7206" s="42" customFormat="1" x14ac:dyDescent="0.25"/>
    <row r="7207" s="42" customFormat="1" x14ac:dyDescent="0.25"/>
    <row r="7208" s="42" customFormat="1" x14ac:dyDescent="0.25"/>
    <row r="7209" s="42" customFormat="1" x14ac:dyDescent="0.25"/>
    <row r="7210" s="42" customFormat="1" x14ac:dyDescent="0.25"/>
    <row r="7211" s="42" customFormat="1" x14ac:dyDescent="0.25"/>
    <row r="7212" s="42" customFormat="1" x14ac:dyDescent="0.25"/>
    <row r="7213" s="42" customFormat="1" x14ac:dyDescent="0.25"/>
    <row r="7214" s="42" customFormat="1" x14ac:dyDescent="0.25"/>
    <row r="7215" s="42" customFormat="1" x14ac:dyDescent="0.25"/>
    <row r="7216" s="42" customFormat="1" x14ac:dyDescent="0.25"/>
    <row r="7217" s="42" customFormat="1" x14ac:dyDescent="0.25"/>
    <row r="7218" s="42" customFormat="1" x14ac:dyDescent="0.25"/>
    <row r="7219" s="42" customFormat="1" x14ac:dyDescent="0.25"/>
    <row r="7220" s="42" customFormat="1" x14ac:dyDescent="0.25"/>
    <row r="7221" s="42" customFormat="1" x14ac:dyDescent="0.25"/>
    <row r="7222" s="42" customFormat="1" x14ac:dyDescent="0.25"/>
    <row r="7223" s="42" customFormat="1" x14ac:dyDescent="0.25"/>
    <row r="7224" s="42" customFormat="1" x14ac:dyDescent="0.25"/>
    <row r="7225" s="42" customFormat="1" x14ac:dyDescent="0.25"/>
    <row r="7226" s="42" customFormat="1" x14ac:dyDescent="0.25"/>
    <row r="7227" s="42" customFormat="1" x14ac:dyDescent="0.25"/>
    <row r="7228" s="42" customFormat="1" x14ac:dyDescent="0.25"/>
    <row r="7229" s="42" customFormat="1" x14ac:dyDescent="0.25"/>
    <row r="7230" s="42" customFormat="1" x14ac:dyDescent="0.25"/>
    <row r="7231" s="42" customFormat="1" x14ac:dyDescent="0.25"/>
    <row r="7232" s="42" customFormat="1" x14ac:dyDescent="0.25"/>
    <row r="7233" s="42" customFormat="1" x14ac:dyDescent="0.25"/>
    <row r="7234" s="42" customFormat="1" x14ac:dyDescent="0.25"/>
    <row r="7235" s="42" customFormat="1" x14ac:dyDescent="0.25"/>
    <row r="7236" s="42" customFormat="1" x14ac:dyDescent="0.25"/>
    <row r="7237" s="42" customFormat="1" x14ac:dyDescent="0.25"/>
    <row r="7238" s="42" customFormat="1" x14ac:dyDescent="0.25"/>
    <row r="7239" s="42" customFormat="1" x14ac:dyDescent="0.25"/>
    <row r="7240" s="42" customFormat="1" x14ac:dyDescent="0.25"/>
    <row r="7241" s="42" customFormat="1" x14ac:dyDescent="0.25"/>
    <row r="7242" s="42" customFormat="1" x14ac:dyDescent="0.25"/>
    <row r="7243" s="42" customFormat="1" x14ac:dyDescent="0.25"/>
    <row r="7244" s="42" customFormat="1" x14ac:dyDescent="0.25"/>
    <row r="7245" s="42" customFormat="1" x14ac:dyDescent="0.25"/>
    <row r="7246" s="42" customFormat="1" x14ac:dyDescent="0.25"/>
    <row r="7247" s="42" customFormat="1" x14ac:dyDescent="0.25"/>
    <row r="7248" s="42" customFormat="1" x14ac:dyDescent="0.25"/>
    <row r="7249" s="42" customFormat="1" x14ac:dyDescent="0.25"/>
    <row r="7250" s="42" customFormat="1" x14ac:dyDescent="0.25"/>
    <row r="7251" s="42" customFormat="1" x14ac:dyDescent="0.25"/>
    <row r="7252" s="42" customFormat="1" x14ac:dyDescent="0.25"/>
    <row r="7253" s="42" customFormat="1" x14ac:dyDescent="0.25"/>
    <row r="7254" s="42" customFormat="1" x14ac:dyDescent="0.25"/>
    <row r="7255" s="42" customFormat="1" x14ac:dyDescent="0.25"/>
    <row r="7256" s="42" customFormat="1" x14ac:dyDescent="0.25"/>
    <row r="7257" s="42" customFormat="1" x14ac:dyDescent="0.25"/>
    <row r="7258" s="42" customFormat="1" x14ac:dyDescent="0.25"/>
    <row r="7259" s="42" customFormat="1" x14ac:dyDescent="0.25"/>
    <row r="7260" s="42" customFormat="1" x14ac:dyDescent="0.25"/>
    <row r="7261" s="42" customFormat="1" x14ac:dyDescent="0.25"/>
    <row r="7262" s="42" customFormat="1" x14ac:dyDescent="0.25"/>
    <row r="7263" s="42" customFormat="1" x14ac:dyDescent="0.25"/>
    <row r="7264" s="42" customFormat="1" x14ac:dyDescent="0.25"/>
    <row r="7265" s="42" customFormat="1" x14ac:dyDescent="0.25"/>
    <row r="7266" s="42" customFormat="1" x14ac:dyDescent="0.25"/>
    <row r="7267" s="42" customFormat="1" x14ac:dyDescent="0.25"/>
    <row r="7268" s="42" customFormat="1" x14ac:dyDescent="0.25"/>
    <row r="7269" s="42" customFormat="1" x14ac:dyDescent="0.25"/>
    <row r="7270" s="42" customFormat="1" x14ac:dyDescent="0.25"/>
    <row r="7271" s="42" customFormat="1" x14ac:dyDescent="0.25"/>
    <row r="7272" s="42" customFormat="1" x14ac:dyDescent="0.25"/>
    <row r="7273" s="42" customFormat="1" x14ac:dyDescent="0.25"/>
    <row r="7274" s="42" customFormat="1" x14ac:dyDescent="0.25"/>
    <row r="7275" s="42" customFormat="1" x14ac:dyDescent="0.25"/>
    <row r="7276" s="42" customFormat="1" x14ac:dyDescent="0.25"/>
    <row r="7277" s="42" customFormat="1" x14ac:dyDescent="0.25"/>
    <row r="7278" s="42" customFormat="1" x14ac:dyDescent="0.25"/>
    <row r="7279" s="42" customFormat="1" x14ac:dyDescent="0.25"/>
    <row r="7280" s="42" customFormat="1" x14ac:dyDescent="0.25"/>
    <row r="7281" s="42" customFormat="1" x14ac:dyDescent="0.25"/>
    <row r="7282" s="42" customFormat="1" x14ac:dyDescent="0.25"/>
    <row r="7283" s="42" customFormat="1" x14ac:dyDescent="0.25"/>
    <row r="7284" s="42" customFormat="1" x14ac:dyDescent="0.25"/>
    <row r="7285" s="42" customFormat="1" x14ac:dyDescent="0.25"/>
    <row r="7286" s="42" customFormat="1" x14ac:dyDescent="0.25"/>
    <row r="7287" s="42" customFormat="1" x14ac:dyDescent="0.25"/>
    <row r="7288" s="42" customFormat="1" x14ac:dyDescent="0.25"/>
    <row r="7289" s="42" customFormat="1" x14ac:dyDescent="0.25"/>
    <row r="7290" s="42" customFormat="1" x14ac:dyDescent="0.25"/>
    <row r="7291" s="42" customFormat="1" x14ac:dyDescent="0.25"/>
    <row r="7292" s="42" customFormat="1" x14ac:dyDescent="0.25"/>
    <row r="7293" s="42" customFormat="1" x14ac:dyDescent="0.25"/>
    <row r="7294" s="42" customFormat="1" x14ac:dyDescent="0.25"/>
    <row r="7295" s="42" customFormat="1" x14ac:dyDescent="0.25"/>
    <row r="7296" s="42" customFormat="1" x14ac:dyDescent="0.25"/>
    <row r="7297" s="42" customFormat="1" x14ac:dyDescent="0.25"/>
    <row r="7298" s="42" customFormat="1" x14ac:dyDescent="0.25"/>
    <row r="7299" s="42" customFormat="1" x14ac:dyDescent="0.25"/>
    <row r="7300" s="42" customFormat="1" x14ac:dyDescent="0.25"/>
    <row r="7301" s="42" customFormat="1" x14ac:dyDescent="0.25"/>
    <row r="7302" s="42" customFormat="1" x14ac:dyDescent="0.25"/>
    <row r="7303" s="42" customFormat="1" x14ac:dyDescent="0.25"/>
    <row r="7304" s="42" customFormat="1" x14ac:dyDescent="0.25"/>
    <row r="7305" s="42" customFormat="1" x14ac:dyDescent="0.25"/>
    <row r="7306" s="42" customFormat="1" x14ac:dyDescent="0.25"/>
    <row r="7307" s="42" customFormat="1" x14ac:dyDescent="0.25"/>
    <row r="7308" s="42" customFormat="1" x14ac:dyDescent="0.25"/>
    <row r="7309" s="42" customFormat="1" x14ac:dyDescent="0.25"/>
    <row r="7310" s="42" customFormat="1" x14ac:dyDescent="0.25"/>
    <row r="7311" s="42" customFormat="1" x14ac:dyDescent="0.25"/>
    <row r="7312" s="42" customFormat="1" x14ac:dyDescent="0.25"/>
    <row r="7313" s="42" customFormat="1" x14ac:dyDescent="0.25"/>
    <row r="7314" s="42" customFormat="1" x14ac:dyDescent="0.25"/>
    <row r="7315" s="42" customFormat="1" x14ac:dyDescent="0.25"/>
    <row r="7316" s="42" customFormat="1" x14ac:dyDescent="0.25"/>
    <row r="7317" s="42" customFormat="1" x14ac:dyDescent="0.25"/>
    <row r="7318" s="42" customFormat="1" x14ac:dyDescent="0.25"/>
    <row r="7319" s="42" customFormat="1" x14ac:dyDescent="0.25"/>
    <row r="7320" s="42" customFormat="1" x14ac:dyDescent="0.25"/>
    <row r="7321" s="42" customFormat="1" x14ac:dyDescent="0.25"/>
    <row r="7322" s="42" customFormat="1" x14ac:dyDescent="0.25"/>
    <row r="7323" s="42" customFormat="1" x14ac:dyDescent="0.25"/>
    <row r="7324" s="42" customFormat="1" x14ac:dyDescent="0.25"/>
    <row r="7325" s="42" customFormat="1" x14ac:dyDescent="0.25"/>
    <row r="7326" s="42" customFormat="1" x14ac:dyDescent="0.25"/>
    <row r="7327" s="42" customFormat="1" x14ac:dyDescent="0.25"/>
    <row r="7328" s="42" customFormat="1" x14ac:dyDescent="0.25"/>
    <row r="7329" s="42" customFormat="1" x14ac:dyDescent="0.25"/>
    <row r="7330" s="42" customFormat="1" x14ac:dyDescent="0.25"/>
    <row r="7331" s="42" customFormat="1" x14ac:dyDescent="0.25"/>
    <row r="7332" s="42" customFormat="1" x14ac:dyDescent="0.25"/>
    <row r="7333" s="42" customFormat="1" x14ac:dyDescent="0.25"/>
    <row r="7334" s="42" customFormat="1" x14ac:dyDescent="0.25"/>
    <row r="7335" s="42" customFormat="1" x14ac:dyDescent="0.25"/>
    <row r="7336" s="42" customFormat="1" x14ac:dyDescent="0.25"/>
    <row r="7337" s="42" customFormat="1" x14ac:dyDescent="0.25"/>
    <row r="7338" s="42" customFormat="1" x14ac:dyDescent="0.25"/>
    <row r="7339" s="42" customFormat="1" x14ac:dyDescent="0.25"/>
    <row r="7340" s="42" customFormat="1" x14ac:dyDescent="0.25"/>
    <row r="7341" s="42" customFormat="1" x14ac:dyDescent="0.25"/>
    <row r="7342" s="42" customFormat="1" x14ac:dyDescent="0.25"/>
    <row r="7343" s="42" customFormat="1" x14ac:dyDescent="0.25"/>
    <row r="7344" s="42" customFormat="1" x14ac:dyDescent="0.25"/>
    <row r="7345" s="42" customFormat="1" x14ac:dyDescent="0.25"/>
    <row r="7346" s="42" customFormat="1" x14ac:dyDescent="0.25"/>
    <row r="7347" s="42" customFormat="1" x14ac:dyDescent="0.25"/>
    <row r="7348" s="42" customFormat="1" x14ac:dyDescent="0.25"/>
    <row r="7349" s="42" customFormat="1" x14ac:dyDescent="0.25"/>
    <row r="7350" s="42" customFormat="1" x14ac:dyDescent="0.25"/>
    <row r="7351" s="42" customFormat="1" x14ac:dyDescent="0.25"/>
    <row r="7352" s="42" customFormat="1" x14ac:dyDescent="0.25"/>
    <row r="7353" s="42" customFormat="1" x14ac:dyDescent="0.25"/>
    <row r="7354" s="42" customFormat="1" x14ac:dyDescent="0.25"/>
    <row r="7355" s="42" customFormat="1" x14ac:dyDescent="0.25"/>
    <row r="7356" s="42" customFormat="1" x14ac:dyDescent="0.25"/>
    <row r="7357" s="42" customFormat="1" x14ac:dyDescent="0.25"/>
    <row r="7358" s="42" customFormat="1" x14ac:dyDescent="0.25"/>
    <row r="7359" s="42" customFormat="1" x14ac:dyDescent="0.25"/>
    <row r="7360" s="42" customFormat="1" x14ac:dyDescent="0.25"/>
    <row r="7361" s="42" customFormat="1" x14ac:dyDescent="0.25"/>
    <row r="7362" s="42" customFormat="1" x14ac:dyDescent="0.25"/>
    <row r="7363" s="42" customFormat="1" x14ac:dyDescent="0.25"/>
    <row r="7364" s="42" customFormat="1" x14ac:dyDescent="0.25"/>
    <row r="7365" s="42" customFormat="1" x14ac:dyDescent="0.25"/>
    <row r="7366" s="42" customFormat="1" x14ac:dyDescent="0.25"/>
    <row r="7367" s="42" customFormat="1" x14ac:dyDescent="0.25"/>
    <row r="7368" s="42" customFormat="1" x14ac:dyDescent="0.25"/>
    <row r="7369" s="42" customFormat="1" x14ac:dyDescent="0.25"/>
    <row r="7370" s="42" customFormat="1" x14ac:dyDescent="0.25"/>
    <row r="7371" s="42" customFormat="1" x14ac:dyDescent="0.25"/>
    <row r="7372" s="42" customFormat="1" x14ac:dyDescent="0.25"/>
    <row r="7373" s="42" customFormat="1" x14ac:dyDescent="0.25"/>
    <row r="7374" s="42" customFormat="1" x14ac:dyDescent="0.25"/>
    <row r="7375" s="42" customFormat="1" x14ac:dyDescent="0.25"/>
    <row r="7376" s="42" customFormat="1" x14ac:dyDescent="0.25"/>
    <row r="7377" s="42" customFormat="1" x14ac:dyDescent="0.25"/>
    <row r="7378" s="42" customFormat="1" x14ac:dyDescent="0.25"/>
    <row r="7379" s="42" customFormat="1" x14ac:dyDescent="0.25"/>
    <row r="7380" s="42" customFormat="1" x14ac:dyDescent="0.25"/>
    <row r="7381" s="42" customFormat="1" x14ac:dyDescent="0.25"/>
    <row r="7382" s="42" customFormat="1" x14ac:dyDescent="0.25"/>
    <row r="7383" s="42" customFormat="1" x14ac:dyDescent="0.25"/>
    <row r="7384" s="42" customFormat="1" x14ac:dyDescent="0.25"/>
    <row r="7385" s="42" customFormat="1" x14ac:dyDescent="0.25"/>
    <row r="7386" s="42" customFormat="1" x14ac:dyDescent="0.25"/>
    <row r="7387" s="42" customFormat="1" x14ac:dyDescent="0.25"/>
    <row r="7388" s="42" customFormat="1" x14ac:dyDescent="0.25"/>
    <row r="7389" s="42" customFormat="1" x14ac:dyDescent="0.25"/>
    <row r="7390" s="42" customFormat="1" x14ac:dyDescent="0.25"/>
    <row r="7391" s="42" customFormat="1" x14ac:dyDescent="0.25"/>
    <row r="7392" s="42" customFormat="1" x14ac:dyDescent="0.25"/>
    <row r="7393" s="42" customFormat="1" x14ac:dyDescent="0.25"/>
    <row r="7394" s="42" customFormat="1" x14ac:dyDescent="0.25"/>
    <row r="7395" s="42" customFormat="1" x14ac:dyDescent="0.25"/>
    <row r="7396" s="42" customFormat="1" x14ac:dyDescent="0.25"/>
    <row r="7397" s="42" customFormat="1" x14ac:dyDescent="0.25"/>
    <row r="7398" s="42" customFormat="1" x14ac:dyDescent="0.25"/>
    <row r="7399" s="42" customFormat="1" x14ac:dyDescent="0.25"/>
    <row r="7400" s="42" customFormat="1" x14ac:dyDescent="0.25"/>
    <row r="7401" s="42" customFormat="1" x14ac:dyDescent="0.25"/>
    <row r="7402" s="42" customFormat="1" x14ac:dyDescent="0.25"/>
    <row r="7403" s="42" customFormat="1" x14ac:dyDescent="0.25"/>
    <row r="7404" s="42" customFormat="1" x14ac:dyDescent="0.25"/>
    <row r="7405" s="42" customFormat="1" x14ac:dyDescent="0.25"/>
    <row r="7406" s="42" customFormat="1" x14ac:dyDescent="0.25"/>
    <row r="7407" s="42" customFormat="1" x14ac:dyDescent="0.25"/>
    <row r="7408" s="42" customFormat="1" x14ac:dyDescent="0.25"/>
    <row r="7409" s="42" customFormat="1" x14ac:dyDescent="0.25"/>
    <row r="7410" s="42" customFormat="1" x14ac:dyDescent="0.25"/>
    <row r="7411" s="42" customFormat="1" x14ac:dyDescent="0.25"/>
    <row r="7412" s="42" customFormat="1" x14ac:dyDescent="0.25"/>
    <row r="7413" s="42" customFormat="1" x14ac:dyDescent="0.25"/>
    <row r="7414" s="42" customFormat="1" x14ac:dyDescent="0.25"/>
    <row r="7415" s="42" customFormat="1" x14ac:dyDescent="0.25"/>
    <row r="7416" s="42" customFormat="1" x14ac:dyDescent="0.25"/>
    <row r="7417" s="42" customFormat="1" x14ac:dyDescent="0.25"/>
    <row r="7418" s="42" customFormat="1" x14ac:dyDescent="0.25"/>
    <row r="7419" s="42" customFormat="1" x14ac:dyDescent="0.25"/>
    <row r="7420" s="42" customFormat="1" x14ac:dyDescent="0.25"/>
    <row r="7421" s="42" customFormat="1" x14ac:dyDescent="0.25"/>
    <row r="7422" s="42" customFormat="1" x14ac:dyDescent="0.25"/>
    <row r="7423" s="42" customFormat="1" x14ac:dyDescent="0.25"/>
    <row r="7424" s="42" customFormat="1" x14ac:dyDescent="0.25"/>
    <row r="7425" s="42" customFormat="1" x14ac:dyDescent="0.25"/>
    <row r="7426" s="42" customFormat="1" x14ac:dyDescent="0.25"/>
    <row r="7427" s="42" customFormat="1" x14ac:dyDescent="0.25"/>
    <row r="7428" s="42" customFormat="1" x14ac:dyDescent="0.25"/>
    <row r="7429" s="42" customFormat="1" x14ac:dyDescent="0.25"/>
    <row r="7430" s="42" customFormat="1" x14ac:dyDescent="0.25"/>
    <row r="7431" s="42" customFormat="1" x14ac:dyDescent="0.25"/>
    <row r="7432" s="42" customFormat="1" x14ac:dyDescent="0.25"/>
    <row r="7433" s="42" customFormat="1" x14ac:dyDescent="0.25"/>
    <row r="7434" s="42" customFormat="1" x14ac:dyDescent="0.25"/>
    <row r="7435" s="42" customFormat="1" x14ac:dyDescent="0.25"/>
    <row r="7436" s="42" customFormat="1" x14ac:dyDescent="0.25"/>
    <row r="7437" s="42" customFormat="1" x14ac:dyDescent="0.25"/>
    <row r="7438" s="42" customFormat="1" x14ac:dyDescent="0.25"/>
    <row r="7439" s="42" customFormat="1" x14ac:dyDescent="0.25"/>
    <row r="7440" s="42" customFormat="1" x14ac:dyDescent="0.25"/>
    <row r="7441" s="42" customFormat="1" x14ac:dyDescent="0.25"/>
    <row r="7442" s="42" customFormat="1" x14ac:dyDescent="0.25"/>
    <row r="7443" s="42" customFormat="1" x14ac:dyDescent="0.25"/>
    <row r="7444" s="42" customFormat="1" x14ac:dyDescent="0.25"/>
    <row r="7445" s="42" customFormat="1" x14ac:dyDescent="0.25"/>
    <row r="7446" s="42" customFormat="1" x14ac:dyDescent="0.25"/>
    <row r="7447" s="42" customFormat="1" x14ac:dyDescent="0.25"/>
    <row r="7448" s="42" customFormat="1" x14ac:dyDescent="0.25"/>
    <row r="7449" s="42" customFormat="1" x14ac:dyDescent="0.25"/>
    <row r="7450" s="42" customFormat="1" x14ac:dyDescent="0.25"/>
    <row r="7451" s="42" customFormat="1" x14ac:dyDescent="0.25"/>
    <row r="7452" s="42" customFormat="1" x14ac:dyDescent="0.25"/>
    <row r="7453" s="42" customFormat="1" x14ac:dyDescent="0.25"/>
    <row r="7454" s="42" customFormat="1" x14ac:dyDescent="0.25"/>
    <row r="7455" s="42" customFormat="1" x14ac:dyDescent="0.25"/>
    <row r="7456" s="42" customFormat="1" x14ac:dyDescent="0.25"/>
    <row r="7457" s="42" customFormat="1" x14ac:dyDescent="0.25"/>
    <row r="7458" s="42" customFormat="1" x14ac:dyDescent="0.25"/>
    <row r="7459" s="42" customFormat="1" x14ac:dyDescent="0.25"/>
    <row r="7460" s="42" customFormat="1" x14ac:dyDescent="0.25"/>
    <row r="7461" s="42" customFormat="1" x14ac:dyDescent="0.25"/>
    <row r="7462" s="42" customFormat="1" x14ac:dyDescent="0.25"/>
    <row r="7463" s="42" customFormat="1" x14ac:dyDescent="0.25"/>
    <row r="7464" s="42" customFormat="1" x14ac:dyDescent="0.25"/>
    <row r="7465" s="42" customFormat="1" x14ac:dyDescent="0.25"/>
    <row r="7466" s="42" customFormat="1" x14ac:dyDescent="0.25"/>
    <row r="7467" s="42" customFormat="1" x14ac:dyDescent="0.25"/>
    <row r="7468" s="42" customFormat="1" x14ac:dyDescent="0.25"/>
    <row r="7469" s="42" customFormat="1" x14ac:dyDescent="0.25"/>
    <row r="7470" s="42" customFormat="1" x14ac:dyDescent="0.25"/>
    <row r="7471" s="42" customFormat="1" x14ac:dyDescent="0.25"/>
    <row r="7472" s="42" customFormat="1" x14ac:dyDescent="0.25"/>
    <row r="7473" s="42" customFormat="1" x14ac:dyDescent="0.25"/>
    <row r="7474" s="42" customFormat="1" x14ac:dyDescent="0.25"/>
    <row r="7475" s="42" customFormat="1" x14ac:dyDescent="0.25"/>
    <row r="7476" s="42" customFormat="1" x14ac:dyDescent="0.25"/>
    <row r="7477" s="42" customFormat="1" x14ac:dyDescent="0.25"/>
    <row r="7478" s="42" customFormat="1" x14ac:dyDescent="0.25"/>
    <row r="7479" s="42" customFormat="1" x14ac:dyDescent="0.25"/>
    <row r="7480" s="42" customFormat="1" x14ac:dyDescent="0.25"/>
    <row r="7481" s="42" customFormat="1" x14ac:dyDescent="0.25"/>
    <row r="7482" s="42" customFormat="1" x14ac:dyDescent="0.25"/>
    <row r="7483" s="42" customFormat="1" x14ac:dyDescent="0.25"/>
    <row r="7484" s="42" customFormat="1" x14ac:dyDescent="0.25"/>
    <row r="7485" s="42" customFormat="1" x14ac:dyDescent="0.25"/>
    <row r="7486" s="42" customFormat="1" x14ac:dyDescent="0.25"/>
    <row r="7487" s="42" customFormat="1" x14ac:dyDescent="0.25"/>
    <row r="7488" s="42" customFormat="1" x14ac:dyDescent="0.25"/>
    <row r="7489" s="42" customFormat="1" x14ac:dyDescent="0.25"/>
    <row r="7490" s="42" customFormat="1" x14ac:dyDescent="0.25"/>
    <row r="7491" s="42" customFormat="1" x14ac:dyDescent="0.25"/>
    <row r="7492" s="42" customFormat="1" x14ac:dyDescent="0.25"/>
    <row r="7493" s="42" customFormat="1" x14ac:dyDescent="0.25"/>
    <row r="7494" s="42" customFormat="1" x14ac:dyDescent="0.25"/>
    <row r="7495" s="42" customFormat="1" x14ac:dyDescent="0.25"/>
    <row r="7496" s="42" customFormat="1" x14ac:dyDescent="0.25"/>
    <row r="7497" s="42" customFormat="1" x14ac:dyDescent="0.25"/>
    <row r="7498" s="42" customFormat="1" x14ac:dyDescent="0.25"/>
    <row r="7499" s="42" customFormat="1" x14ac:dyDescent="0.25"/>
    <row r="7500" s="42" customFormat="1" x14ac:dyDescent="0.25"/>
    <row r="7501" s="42" customFormat="1" x14ac:dyDescent="0.25"/>
    <row r="7502" s="42" customFormat="1" x14ac:dyDescent="0.25"/>
    <row r="7503" s="42" customFormat="1" x14ac:dyDescent="0.25"/>
    <row r="7504" s="42" customFormat="1" x14ac:dyDescent="0.25"/>
    <row r="7505" s="42" customFormat="1" x14ac:dyDescent="0.25"/>
    <row r="7506" s="42" customFormat="1" x14ac:dyDescent="0.25"/>
    <row r="7507" s="42" customFormat="1" x14ac:dyDescent="0.25"/>
    <row r="7508" s="42" customFormat="1" x14ac:dyDescent="0.25"/>
    <row r="7509" s="42" customFormat="1" x14ac:dyDescent="0.25"/>
    <row r="7510" s="42" customFormat="1" x14ac:dyDescent="0.25"/>
    <row r="7511" s="42" customFormat="1" x14ac:dyDescent="0.25"/>
    <row r="7512" s="42" customFormat="1" x14ac:dyDescent="0.25"/>
    <row r="7513" s="42" customFormat="1" x14ac:dyDescent="0.25"/>
    <row r="7514" s="42" customFormat="1" x14ac:dyDescent="0.25"/>
    <row r="7515" s="42" customFormat="1" x14ac:dyDescent="0.25"/>
    <row r="7516" s="42" customFormat="1" x14ac:dyDescent="0.25"/>
    <row r="7517" s="42" customFormat="1" x14ac:dyDescent="0.25"/>
    <row r="7518" s="42" customFormat="1" x14ac:dyDescent="0.25"/>
    <row r="7519" s="42" customFormat="1" x14ac:dyDescent="0.25"/>
    <row r="7520" s="42" customFormat="1" x14ac:dyDescent="0.25"/>
    <row r="7521" s="42" customFormat="1" x14ac:dyDescent="0.25"/>
    <row r="7522" s="42" customFormat="1" x14ac:dyDescent="0.25"/>
    <row r="7523" s="42" customFormat="1" x14ac:dyDescent="0.25"/>
    <row r="7524" s="42" customFormat="1" x14ac:dyDescent="0.25"/>
    <row r="7525" s="42" customFormat="1" x14ac:dyDescent="0.25"/>
    <row r="7526" s="42" customFormat="1" x14ac:dyDescent="0.25"/>
    <row r="7527" s="42" customFormat="1" x14ac:dyDescent="0.25"/>
    <row r="7528" s="42" customFormat="1" x14ac:dyDescent="0.25"/>
    <row r="7529" s="42" customFormat="1" x14ac:dyDescent="0.25"/>
    <row r="7530" s="42" customFormat="1" x14ac:dyDescent="0.25"/>
    <row r="7531" s="42" customFormat="1" x14ac:dyDescent="0.25"/>
    <row r="7532" s="42" customFormat="1" x14ac:dyDescent="0.25"/>
    <row r="7533" s="42" customFormat="1" x14ac:dyDescent="0.25"/>
    <row r="7534" s="42" customFormat="1" x14ac:dyDescent="0.25"/>
    <row r="7535" s="42" customFormat="1" x14ac:dyDescent="0.25"/>
    <row r="7536" s="42" customFormat="1" x14ac:dyDescent="0.25"/>
    <row r="7537" s="42" customFormat="1" x14ac:dyDescent="0.25"/>
    <row r="7538" s="42" customFormat="1" x14ac:dyDescent="0.25"/>
    <row r="7539" s="42" customFormat="1" x14ac:dyDescent="0.25"/>
    <row r="7540" s="42" customFormat="1" x14ac:dyDescent="0.25"/>
    <row r="7541" s="42" customFormat="1" x14ac:dyDescent="0.25"/>
    <row r="7542" s="42" customFormat="1" x14ac:dyDescent="0.25"/>
    <row r="7543" s="42" customFormat="1" x14ac:dyDescent="0.25"/>
    <row r="7544" s="42" customFormat="1" x14ac:dyDescent="0.25"/>
    <row r="7545" s="42" customFormat="1" x14ac:dyDescent="0.25"/>
    <row r="7546" s="42" customFormat="1" x14ac:dyDescent="0.25"/>
    <row r="7547" s="42" customFormat="1" x14ac:dyDescent="0.25"/>
    <row r="7548" s="42" customFormat="1" x14ac:dyDescent="0.25"/>
    <row r="7549" s="42" customFormat="1" x14ac:dyDescent="0.25"/>
    <row r="7550" s="42" customFormat="1" x14ac:dyDescent="0.25"/>
    <row r="7551" s="42" customFormat="1" x14ac:dyDescent="0.25"/>
    <row r="7552" s="42" customFormat="1" x14ac:dyDescent="0.25"/>
    <row r="7553" s="42" customFormat="1" x14ac:dyDescent="0.25"/>
    <row r="7554" s="42" customFormat="1" x14ac:dyDescent="0.25"/>
    <row r="7555" s="42" customFormat="1" x14ac:dyDescent="0.25"/>
    <row r="7556" s="42" customFormat="1" x14ac:dyDescent="0.25"/>
    <row r="7557" s="42" customFormat="1" x14ac:dyDescent="0.25"/>
    <row r="7558" s="42" customFormat="1" x14ac:dyDescent="0.25"/>
    <row r="7559" s="42" customFormat="1" x14ac:dyDescent="0.25"/>
    <row r="7560" s="42" customFormat="1" x14ac:dyDescent="0.25"/>
    <row r="7561" s="42" customFormat="1" x14ac:dyDescent="0.25"/>
    <row r="7562" s="42" customFormat="1" x14ac:dyDescent="0.25"/>
    <row r="7563" s="42" customFormat="1" x14ac:dyDescent="0.25"/>
    <row r="7564" s="42" customFormat="1" x14ac:dyDescent="0.25"/>
    <row r="7565" s="42" customFormat="1" x14ac:dyDescent="0.25"/>
    <row r="7566" s="42" customFormat="1" x14ac:dyDescent="0.25"/>
    <row r="7567" s="42" customFormat="1" x14ac:dyDescent="0.25"/>
    <row r="7568" s="42" customFormat="1" x14ac:dyDescent="0.25"/>
    <row r="7569" s="42" customFormat="1" x14ac:dyDescent="0.25"/>
    <row r="7570" s="42" customFormat="1" x14ac:dyDescent="0.25"/>
    <row r="7571" s="42" customFormat="1" x14ac:dyDescent="0.25"/>
    <row r="7572" s="42" customFormat="1" x14ac:dyDescent="0.25"/>
    <row r="7573" s="42" customFormat="1" x14ac:dyDescent="0.25"/>
    <row r="7574" s="42" customFormat="1" x14ac:dyDescent="0.25"/>
    <row r="7575" s="42" customFormat="1" x14ac:dyDescent="0.25"/>
    <row r="7576" s="42" customFormat="1" x14ac:dyDescent="0.25"/>
    <row r="7577" s="42" customFormat="1" x14ac:dyDescent="0.25"/>
    <row r="7578" s="42" customFormat="1" x14ac:dyDescent="0.25"/>
    <row r="7579" s="42" customFormat="1" x14ac:dyDescent="0.25"/>
    <row r="7580" s="42" customFormat="1" x14ac:dyDescent="0.25"/>
    <row r="7581" s="42" customFormat="1" x14ac:dyDescent="0.25"/>
    <row r="7582" s="42" customFormat="1" x14ac:dyDescent="0.25"/>
    <row r="7583" s="42" customFormat="1" x14ac:dyDescent="0.25"/>
    <row r="7584" s="42" customFormat="1" x14ac:dyDescent="0.25"/>
    <row r="7585" s="42" customFormat="1" x14ac:dyDescent="0.25"/>
    <row r="7586" s="42" customFormat="1" x14ac:dyDescent="0.25"/>
    <row r="7587" s="42" customFormat="1" x14ac:dyDescent="0.25"/>
    <row r="7588" s="42" customFormat="1" x14ac:dyDescent="0.25"/>
    <row r="7589" s="42" customFormat="1" x14ac:dyDescent="0.25"/>
    <row r="7590" s="42" customFormat="1" x14ac:dyDescent="0.25"/>
    <row r="7591" s="42" customFormat="1" x14ac:dyDescent="0.25"/>
    <row r="7592" s="42" customFormat="1" x14ac:dyDescent="0.25"/>
    <row r="7593" s="42" customFormat="1" x14ac:dyDescent="0.25"/>
    <row r="7594" s="42" customFormat="1" x14ac:dyDescent="0.25"/>
    <row r="7595" s="42" customFormat="1" x14ac:dyDescent="0.25"/>
    <row r="7596" s="42" customFormat="1" x14ac:dyDescent="0.25"/>
    <row r="7597" s="42" customFormat="1" x14ac:dyDescent="0.25"/>
    <row r="7598" s="42" customFormat="1" x14ac:dyDescent="0.25"/>
    <row r="7599" s="42" customFormat="1" x14ac:dyDescent="0.25"/>
    <row r="7600" s="42" customFormat="1" x14ac:dyDescent="0.25"/>
    <row r="7601" s="42" customFormat="1" x14ac:dyDescent="0.25"/>
    <row r="7602" s="42" customFormat="1" x14ac:dyDescent="0.25"/>
    <row r="7603" s="42" customFormat="1" x14ac:dyDescent="0.25"/>
    <row r="7604" s="42" customFormat="1" x14ac:dyDescent="0.25"/>
    <row r="7605" s="42" customFormat="1" x14ac:dyDescent="0.25"/>
    <row r="7606" s="42" customFormat="1" x14ac:dyDescent="0.25"/>
    <row r="7607" s="42" customFormat="1" x14ac:dyDescent="0.25"/>
    <row r="7608" s="42" customFormat="1" x14ac:dyDescent="0.25"/>
    <row r="7609" s="42" customFormat="1" x14ac:dyDescent="0.25"/>
    <row r="7610" s="42" customFormat="1" x14ac:dyDescent="0.25"/>
    <row r="7611" s="42" customFormat="1" x14ac:dyDescent="0.25"/>
    <row r="7612" s="42" customFormat="1" x14ac:dyDescent="0.25"/>
    <row r="7613" s="42" customFormat="1" x14ac:dyDescent="0.25"/>
    <row r="7614" s="42" customFormat="1" x14ac:dyDescent="0.25"/>
    <row r="7615" s="42" customFormat="1" x14ac:dyDescent="0.25"/>
    <row r="7616" s="42" customFormat="1" x14ac:dyDescent="0.25"/>
    <row r="7617" s="42" customFormat="1" x14ac:dyDescent="0.25"/>
    <row r="7618" s="42" customFormat="1" x14ac:dyDescent="0.25"/>
    <row r="7619" s="42" customFormat="1" x14ac:dyDescent="0.25"/>
    <row r="7620" s="42" customFormat="1" x14ac:dyDescent="0.25"/>
    <row r="7621" s="42" customFormat="1" x14ac:dyDescent="0.25"/>
    <row r="7622" s="42" customFormat="1" x14ac:dyDescent="0.25"/>
    <row r="7623" s="42" customFormat="1" x14ac:dyDescent="0.25"/>
    <row r="7624" s="42" customFormat="1" x14ac:dyDescent="0.25"/>
    <row r="7625" s="42" customFormat="1" x14ac:dyDescent="0.25"/>
    <row r="7626" s="42" customFormat="1" x14ac:dyDescent="0.25"/>
    <row r="7627" s="42" customFormat="1" x14ac:dyDescent="0.25"/>
    <row r="7628" s="42" customFormat="1" x14ac:dyDescent="0.25"/>
    <row r="7629" s="42" customFormat="1" x14ac:dyDescent="0.25"/>
    <row r="7630" s="42" customFormat="1" x14ac:dyDescent="0.25"/>
    <row r="7631" s="42" customFormat="1" x14ac:dyDescent="0.25"/>
    <row r="7632" s="42" customFormat="1" x14ac:dyDescent="0.25"/>
    <row r="7633" s="42" customFormat="1" x14ac:dyDescent="0.25"/>
    <row r="7634" s="42" customFormat="1" x14ac:dyDescent="0.25"/>
    <row r="7635" s="42" customFormat="1" x14ac:dyDescent="0.25"/>
    <row r="7636" s="42" customFormat="1" x14ac:dyDescent="0.25"/>
    <row r="7637" s="42" customFormat="1" x14ac:dyDescent="0.25"/>
    <row r="7638" s="42" customFormat="1" x14ac:dyDescent="0.25"/>
    <row r="7639" s="42" customFormat="1" x14ac:dyDescent="0.25"/>
    <row r="7640" s="42" customFormat="1" x14ac:dyDescent="0.25"/>
    <row r="7641" s="42" customFormat="1" x14ac:dyDescent="0.25"/>
    <row r="7642" s="42" customFormat="1" x14ac:dyDescent="0.25"/>
    <row r="7643" s="42" customFormat="1" x14ac:dyDescent="0.25"/>
    <row r="7644" s="42" customFormat="1" x14ac:dyDescent="0.25"/>
    <row r="7645" s="42" customFormat="1" x14ac:dyDescent="0.25"/>
    <row r="7646" s="42" customFormat="1" x14ac:dyDescent="0.25"/>
    <row r="7647" s="42" customFormat="1" x14ac:dyDescent="0.25"/>
    <row r="7648" s="42" customFormat="1" x14ac:dyDescent="0.25"/>
    <row r="7649" s="42" customFormat="1" x14ac:dyDescent="0.25"/>
    <row r="7650" s="42" customFormat="1" x14ac:dyDescent="0.25"/>
    <row r="7651" s="42" customFormat="1" x14ac:dyDescent="0.25"/>
    <row r="7652" s="42" customFormat="1" x14ac:dyDescent="0.25"/>
    <row r="7653" s="42" customFormat="1" x14ac:dyDescent="0.25"/>
    <row r="7654" s="42" customFormat="1" x14ac:dyDescent="0.25"/>
    <row r="7655" s="42" customFormat="1" x14ac:dyDescent="0.25"/>
    <row r="7656" s="42" customFormat="1" x14ac:dyDescent="0.25"/>
    <row r="7657" s="42" customFormat="1" x14ac:dyDescent="0.25"/>
    <row r="7658" s="42" customFormat="1" x14ac:dyDescent="0.25"/>
    <row r="7659" s="42" customFormat="1" x14ac:dyDescent="0.25"/>
    <row r="7660" s="42" customFormat="1" x14ac:dyDescent="0.25"/>
    <row r="7661" s="42" customFormat="1" x14ac:dyDescent="0.25"/>
    <row r="7662" s="42" customFormat="1" x14ac:dyDescent="0.25"/>
    <row r="7663" s="42" customFormat="1" x14ac:dyDescent="0.25"/>
    <row r="7664" s="42" customFormat="1" x14ac:dyDescent="0.25"/>
    <row r="7665" s="42" customFormat="1" x14ac:dyDescent="0.25"/>
    <row r="7666" s="42" customFormat="1" x14ac:dyDescent="0.25"/>
    <row r="7667" s="42" customFormat="1" x14ac:dyDescent="0.25"/>
    <row r="7668" s="42" customFormat="1" x14ac:dyDescent="0.25"/>
    <row r="7669" s="42" customFormat="1" x14ac:dyDescent="0.25"/>
    <row r="7670" s="42" customFormat="1" x14ac:dyDescent="0.25"/>
    <row r="7671" s="42" customFormat="1" x14ac:dyDescent="0.25"/>
    <row r="7672" s="42" customFormat="1" x14ac:dyDescent="0.25"/>
    <row r="7673" s="42" customFormat="1" x14ac:dyDescent="0.25"/>
    <row r="7674" s="42" customFormat="1" x14ac:dyDescent="0.25"/>
    <row r="7675" s="42" customFormat="1" x14ac:dyDescent="0.25"/>
    <row r="7676" s="42" customFormat="1" x14ac:dyDescent="0.25"/>
    <row r="7677" s="42" customFormat="1" x14ac:dyDescent="0.25"/>
    <row r="7678" s="42" customFormat="1" x14ac:dyDescent="0.25"/>
    <row r="7679" s="42" customFormat="1" x14ac:dyDescent="0.25"/>
    <row r="7680" s="42" customFormat="1" x14ac:dyDescent="0.25"/>
    <row r="7681" s="42" customFormat="1" x14ac:dyDescent="0.25"/>
    <row r="7682" s="42" customFormat="1" x14ac:dyDescent="0.25"/>
    <row r="7683" s="42" customFormat="1" x14ac:dyDescent="0.25"/>
    <row r="7684" s="42" customFormat="1" x14ac:dyDescent="0.25"/>
    <row r="7685" s="42" customFormat="1" x14ac:dyDescent="0.25"/>
    <row r="7686" s="42" customFormat="1" x14ac:dyDescent="0.25"/>
    <row r="7687" s="42" customFormat="1" x14ac:dyDescent="0.25"/>
    <row r="7688" s="42" customFormat="1" x14ac:dyDescent="0.25"/>
    <row r="7689" s="42" customFormat="1" x14ac:dyDescent="0.25"/>
    <row r="7690" s="42" customFormat="1" x14ac:dyDescent="0.25"/>
    <row r="7691" s="42" customFormat="1" x14ac:dyDescent="0.25"/>
    <row r="7692" s="42" customFormat="1" x14ac:dyDescent="0.25"/>
    <row r="7693" s="42" customFormat="1" x14ac:dyDescent="0.25"/>
    <row r="7694" s="42" customFormat="1" x14ac:dyDescent="0.25"/>
    <row r="7695" s="42" customFormat="1" x14ac:dyDescent="0.25"/>
    <row r="7696" s="42" customFormat="1" x14ac:dyDescent="0.25"/>
    <row r="7697" s="42" customFormat="1" x14ac:dyDescent="0.25"/>
    <row r="7698" s="42" customFormat="1" x14ac:dyDescent="0.25"/>
    <row r="7699" s="42" customFormat="1" x14ac:dyDescent="0.25"/>
    <row r="7700" s="42" customFormat="1" x14ac:dyDescent="0.25"/>
    <row r="7701" s="42" customFormat="1" x14ac:dyDescent="0.25"/>
    <row r="7702" s="42" customFormat="1" x14ac:dyDescent="0.25"/>
    <row r="7703" s="42" customFormat="1" x14ac:dyDescent="0.25"/>
    <row r="7704" s="42" customFormat="1" x14ac:dyDescent="0.25"/>
    <row r="7705" s="42" customFormat="1" x14ac:dyDescent="0.25"/>
    <row r="7706" s="42" customFormat="1" x14ac:dyDescent="0.25"/>
    <row r="7707" s="42" customFormat="1" x14ac:dyDescent="0.25"/>
    <row r="7708" s="42" customFormat="1" x14ac:dyDescent="0.25"/>
    <row r="7709" s="42" customFormat="1" x14ac:dyDescent="0.25"/>
    <row r="7710" s="42" customFormat="1" x14ac:dyDescent="0.25"/>
    <row r="7711" s="42" customFormat="1" x14ac:dyDescent="0.25"/>
    <row r="7712" s="42" customFormat="1" x14ac:dyDescent="0.25"/>
    <row r="7713" s="42" customFormat="1" x14ac:dyDescent="0.25"/>
    <row r="7714" s="42" customFormat="1" x14ac:dyDescent="0.25"/>
    <row r="7715" s="42" customFormat="1" x14ac:dyDescent="0.25"/>
    <row r="7716" s="42" customFormat="1" x14ac:dyDescent="0.25"/>
    <row r="7717" s="42" customFormat="1" x14ac:dyDescent="0.25"/>
    <row r="7718" s="42" customFormat="1" x14ac:dyDescent="0.25"/>
    <row r="7719" s="42" customFormat="1" x14ac:dyDescent="0.25"/>
    <row r="7720" s="42" customFormat="1" x14ac:dyDescent="0.25"/>
    <row r="7721" s="42" customFormat="1" x14ac:dyDescent="0.25"/>
    <row r="7722" s="42" customFormat="1" x14ac:dyDescent="0.25"/>
    <row r="7723" s="42" customFormat="1" x14ac:dyDescent="0.25"/>
    <row r="7724" s="42" customFormat="1" x14ac:dyDescent="0.25"/>
    <row r="7725" s="42" customFormat="1" x14ac:dyDescent="0.25"/>
    <row r="7726" s="42" customFormat="1" x14ac:dyDescent="0.25"/>
    <row r="7727" s="42" customFormat="1" x14ac:dyDescent="0.25"/>
    <row r="7728" s="42" customFormat="1" x14ac:dyDescent="0.25"/>
    <row r="7729" s="42" customFormat="1" x14ac:dyDescent="0.25"/>
    <row r="7730" s="42" customFormat="1" x14ac:dyDescent="0.25"/>
    <row r="7731" s="42" customFormat="1" x14ac:dyDescent="0.25"/>
    <row r="7732" s="42" customFormat="1" x14ac:dyDescent="0.25"/>
    <row r="7733" s="42" customFormat="1" x14ac:dyDescent="0.25"/>
    <row r="7734" s="42" customFormat="1" x14ac:dyDescent="0.25"/>
    <row r="7735" s="42" customFormat="1" x14ac:dyDescent="0.25"/>
    <row r="7736" s="42" customFormat="1" x14ac:dyDescent="0.25"/>
    <row r="7737" s="42" customFormat="1" x14ac:dyDescent="0.25"/>
    <row r="7738" s="42" customFormat="1" x14ac:dyDescent="0.25"/>
    <row r="7739" s="42" customFormat="1" x14ac:dyDescent="0.25"/>
    <row r="7740" s="42" customFormat="1" x14ac:dyDescent="0.25"/>
    <row r="7741" s="42" customFormat="1" x14ac:dyDescent="0.25"/>
    <row r="7742" s="42" customFormat="1" x14ac:dyDescent="0.25"/>
    <row r="7743" s="42" customFormat="1" x14ac:dyDescent="0.25"/>
    <row r="7744" s="42" customFormat="1" x14ac:dyDescent="0.25"/>
    <row r="7745" s="42" customFormat="1" x14ac:dyDescent="0.25"/>
    <row r="7746" s="42" customFormat="1" x14ac:dyDescent="0.25"/>
    <row r="7747" s="42" customFormat="1" x14ac:dyDescent="0.25"/>
    <row r="7748" s="42" customFormat="1" x14ac:dyDescent="0.25"/>
    <row r="7749" s="42" customFormat="1" x14ac:dyDescent="0.25"/>
    <row r="7750" s="42" customFormat="1" x14ac:dyDescent="0.25"/>
    <row r="7751" s="42" customFormat="1" x14ac:dyDescent="0.25"/>
    <row r="7752" s="42" customFormat="1" x14ac:dyDescent="0.25"/>
    <row r="7753" s="42" customFormat="1" x14ac:dyDescent="0.25"/>
    <row r="7754" s="42" customFormat="1" x14ac:dyDescent="0.25"/>
    <row r="7755" s="42" customFormat="1" x14ac:dyDescent="0.25"/>
    <row r="7756" s="42" customFormat="1" x14ac:dyDescent="0.25"/>
    <row r="7757" s="42" customFormat="1" x14ac:dyDescent="0.25"/>
    <row r="7758" s="42" customFormat="1" x14ac:dyDescent="0.25"/>
    <row r="7759" s="42" customFormat="1" x14ac:dyDescent="0.25"/>
    <row r="7760" s="42" customFormat="1" x14ac:dyDescent="0.25"/>
    <row r="7761" s="42" customFormat="1" x14ac:dyDescent="0.25"/>
    <row r="7762" s="42" customFormat="1" x14ac:dyDescent="0.25"/>
    <row r="7763" s="42" customFormat="1" x14ac:dyDescent="0.25"/>
    <row r="7764" s="42" customFormat="1" x14ac:dyDescent="0.25"/>
    <row r="7765" s="42" customFormat="1" x14ac:dyDescent="0.25"/>
    <row r="7766" s="42" customFormat="1" x14ac:dyDescent="0.25"/>
    <row r="7767" s="42" customFormat="1" x14ac:dyDescent="0.25"/>
    <row r="7768" s="42" customFormat="1" x14ac:dyDescent="0.25"/>
    <row r="7769" s="42" customFormat="1" x14ac:dyDescent="0.25"/>
    <row r="7770" s="42" customFormat="1" x14ac:dyDescent="0.25"/>
    <row r="7771" s="42" customFormat="1" x14ac:dyDescent="0.25"/>
    <row r="7772" s="42" customFormat="1" x14ac:dyDescent="0.25"/>
    <row r="7773" s="42" customFormat="1" x14ac:dyDescent="0.25"/>
    <row r="7774" s="42" customFormat="1" x14ac:dyDescent="0.25"/>
    <row r="7775" s="42" customFormat="1" x14ac:dyDescent="0.25"/>
    <row r="7776" s="42" customFormat="1" x14ac:dyDescent="0.25"/>
    <row r="7777" s="42" customFormat="1" x14ac:dyDescent="0.25"/>
    <row r="7778" s="42" customFormat="1" x14ac:dyDescent="0.25"/>
    <row r="7779" s="42" customFormat="1" x14ac:dyDescent="0.25"/>
    <row r="7780" s="42" customFormat="1" x14ac:dyDescent="0.25"/>
    <row r="7781" s="42" customFormat="1" x14ac:dyDescent="0.25"/>
    <row r="7782" s="42" customFormat="1" x14ac:dyDescent="0.25"/>
    <row r="7783" s="42" customFormat="1" x14ac:dyDescent="0.25"/>
    <row r="7784" s="42" customFormat="1" x14ac:dyDescent="0.25"/>
    <row r="7785" s="42" customFormat="1" x14ac:dyDescent="0.25"/>
    <row r="7786" s="42" customFormat="1" x14ac:dyDescent="0.25"/>
    <row r="7787" s="42" customFormat="1" x14ac:dyDescent="0.25"/>
    <row r="7788" s="42" customFormat="1" x14ac:dyDescent="0.25"/>
    <row r="7789" s="42" customFormat="1" x14ac:dyDescent="0.25"/>
    <row r="7790" s="42" customFormat="1" x14ac:dyDescent="0.25"/>
    <row r="7791" s="42" customFormat="1" x14ac:dyDescent="0.25"/>
    <row r="7792" s="42" customFormat="1" x14ac:dyDescent="0.25"/>
    <row r="7793" s="42" customFormat="1" x14ac:dyDescent="0.25"/>
    <row r="7794" s="42" customFormat="1" x14ac:dyDescent="0.25"/>
    <row r="7795" s="42" customFormat="1" x14ac:dyDescent="0.25"/>
    <row r="7796" s="42" customFormat="1" x14ac:dyDescent="0.25"/>
    <row r="7797" s="42" customFormat="1" x14ac:dyDescent="0.25"/>
    <row r="7798" s="42" customFormat="1" x14ac:dyDescent="0.25"/>
    <row r="7799" s="42" customFormat="1" x14ac:dyDescent="0.25"/>
    <row r="7800" s="42" customFormat="1" x14ac:dyDescent="0.25"/>
    <row r="7801" s="42" customFormat="1" x14ac:dyDescent="0.25"/>
    <row r="7802" s="42" customFormat="1" x14ac:dyDescent="0.25"/>
    <row r="7803" s="42" customFormat="1" x14ac:dyDescent="0.25"/>
    <row r="7804" s="42" customFormat="1" x14ac:dyDescent="0.25"/>
    <row r="7805" s="42" customFormat="1" x14ac:dyDescent="0.25"/>
    <row r="7806" s="42" customFormat="1" x14ac:dyDescent="0.25"/>
    <row r="7807" s="42" customFormat="1" x14ac:dyDescent="0.25"/>
    <row r="7808" s="42" customFormat="1" x14ac:dyDescent="0.25"/>
    <row r="7809" s="42" customFormat="1" x14ac:dyDescent="0.25"/>
    <row r="7810" s="42" customFormat="1" x14ac:dyDescent="0.25"/>
    <row r="7811" s="42" customFormat="1" x14ac:dyDescent="0.25"/>
    <row r="7812" s="42" customFormat="1" x14ac:dyDescent="0.25"/>
    <row r="7813" s="42" customFormat="1" x14ac:dyDescent="0.25"/>
    <row r="7814" s="42" customFormat="1" x14ac:dyDescent="0.25"/>
    <row r="7815" s="42" customFormat="1" x14ac:dyDescent="0.25"/>
    <row r="7816" s="42" customFormat="1" x14ac:dyDescent="0.25"/>
    <row r="7817" s="42" customFormat="1" x14ac:dyDescent="0.25"/>
    <row r="7818" s="42" customFormat="1" x14ac:dyDescent="0.25"/>
    <row r="7819" s="42" customFormat="1" x14ac:dyDescent="0.25"/>
    <row r="7820" s="42" customFormat="1" x14ac:dyDescent="0.25"/>
    <row r="7821" s="42" customFormat="1" x14ac:dyDescent="0.25"/>
    <row r="7822" s="42" customFormat="1" x14ac:dyDescent="0.25"/>
    <row r="7823" s="42" customFormat="1" x14ac:dyDescent="0.25"/>
    <row r="7824" s="42" customFormat="1" x14ac:dyDescent="0.25"/>
    <row r="7825" s="42" customFormat="1" x14ac:dyDescent="0.25"/>
    <row r="7826" s="42" customFormat="1" x14ac:dyDescent="0.25"/>
    <row r="7827" s="42" customFormat="1" x14ac:dyDescent="0.25"/>
    <row r="7828" s="42" customFormat="1" x14ac:dyDescent="0.25"/>
    <row r="7829" s="42" customFormat="1" x14ac:dyDescent="0.25"/>
    <row r="7830" s="42" customFormat="1" x14ac:dyDescent="0.25"/>
    <row r="7831" s="42" customFormat="1" x14ac:dyDescent="0.25"/>
    <row r="7832" s="42" customFormat="1" x14ac:dyDescent="0.25"/>
    <row r="7833" s="42" customFormat="1" x14ac:dyDescent="0.25"/>
    <row r="7834" s="42" customFormat="1" x14ac:dyDescent="0.25"/>
    <row r="7835" s="42" customFormat="1" x14ac:dyDescent="0.25"/>
    <row r="7836" s="42" customFormat="1" x14ac:dyDescent="0.25"/>
    <row r="7837" s="42" customFormat="1" x14ac:dyDescent="0.25"/>
    <row r="7838" s="42" customFormat="1" x14ac:dyDescent="0.25"/>
    <row r="7839" s="42" customFormat="1" x14ac:dyDescent="0.25"/>
    <row r="7840" s="42" customFormat="1" x14ac:dyDescent="0.25"/>
    <row r="7841" s="42" customFormat="1" x14ac:dyDescent="0.25"/>
    <row r="7842" s="42" customFormat="1" x14ac:dyDescent="0.25"/>
    <row r="7843" s="42" customFormat="1" x14ac:dyDescent="0.25"/>
    <row r="7844" s="42" customFormat="1" x14ac:dyDescent="0.25"/>
    <row r="7845" s="42" customFormat="1" x14ac:dyDescent="0.25"/>
    <row r="7846" s="42" customFormat="1" x14ac:dyDescent="0.25"/>
    <row r="7847" s="42" customFormat="1" x14ac:dyDescent="0.25"/>
    <row r="7848" s="42" customFormat="1" x14ac:dyDescent="0.25"/>
    <row r="7849" s="42" customFormat="1" x14ac:dyDescent="0.25"/>
    <row r="7850" s="42" customFormat="1" x14ac:dyDescent="0.25"/>
    <row r="7851" s="42" customFormat="1" x14ac:dyDescent="0.25"/>
    <row r="7852" s="42" customFormat="1" x14ac:dyDescent="0.25"/>
    <row r="7853" s="42" customFormat="1" x14ac:dyDescent="0.25"/>
    <row r="7854" s="42" customFormat="1" x14ac:dyDescent="0.25"/>
    <row r="7855" s="42" customFormat="1" x14ac:dyDescent="0.25"/>
    <row r="7856" s="42" customFormat="1" x14ac:dyDescent="0.25"/>
    <row r="7857" s="42" customFormat="1" x14ac:dyDescent="0.25"/>
    <row r="7858" s="42" customFormat="1" x14ac:dyDescent="0.25"/>
    <row r="7859" s="42" customFormat="1" x14ac:dyDescent="0.25"/>
    <row r="7860" s="42" customFormat="1" x14ac:dyDescent="0.25"/>
    <row r="7861" s="42" customFormat="1" x14ac:dyDescent="0.25"/>
    <row r="7862" s="42" customFormat="1" x14ac:dyDescent="0.25"/>
    <row r="7863" s="42" customFormat="1" x14ac:dyDescent="0.25"/>
    <row r="7864" s="42" customFormat="1" x14ac:dyDescent="0.25"/>
    <row r="7865" s="42" customFormat="1" x14ac:dyDescent="0.25"/>
    <row r="7866" s="42" customFormat="1" x14ac:dyDescent="0.25"/>
    <row r="7867" s="42" customFormat="1" x14ac:dyDescent="0.25"/>
    <row r="7868" s="42" customFormat="1" x14ac:dyDescent="0.25"/>
    <row r="7869" s="42" customFormat="1" x14ac:dyDescent="0.25"/>
    <row r="7870" s="42" customFormat="1" x14ac:dyDescent="0.25"/>
    <row r="7871" s="42" customFormat="1" x14ac:dyDescent="0.25"/>
    <row r="7872" s="42" customFormat="1" x14ac:dyDescent="0.25"/>
    <row r="7873" s="42" customFormat="1" x14ac:dyDescent="0.25"/>
    <row r="7874" s="42" customFormat="1" x14ac:dyDescent="0.25"/>
    <row r="7875" s="42" customFormat="1" x14ac:dyDescent="0.25"/>
    <row r="7876" s="42" customFormat="1" x14ac:dyDescent="0.25"/>
    <row r="7877" s="42" customFormat="1" x14ac:dyDescent="0.25"/>
    <row r="7878" s="42" customFormat="1" x14ac:dyDescent="0.25"/>
    <row r="7879" s="42" customFormat="1" x14ac:dyDescent="0.25"/>
    <row r="7880" s="42" customFormat="1" x14ac:dyDescent="0.25"/>
    <row r="7881" s="42" customFormat="1" x14ac:dyDescent="0.25"/>
    <row r="7882" s="42" customFormat="1" x14ac:dyDescent="0.25"/>
    <row r="7883" s="42" customFormat="1" x14ac:dyDescent="0.25"/>
    <row r="7884" s="42" customFormat="1" x14ac:dyDescent="0.25"/>
    <row r="7885" s="42" customFormat="1" x14ac:dyDescent="0.25"/>
    <row r="7886" s="42" customFormat="1" x14ac:dyDescent="0.25"/>
    <row r="7887" s="42" customFormat="1" x14ac:dyDescent="0.25"/>
    <row r="7888" s="42" customFormat="1" x14ac:dyDescent="0.25"/>
    <row r="7889" s="42" customFormat="1" x14ac:dyDescent="0.25"/>
    <row r="7890" s="42" customFormat="1" x14ac:dyDescent="0.25"/>
    <row r="7891" s="42" customFormat="1" x14ac:dyDescent="0.25"/>
    <row r="7892" s="42" customFormat="1" x14ac:dyDescent="0.25"/>
    <row r="7893" s="42" customFormat="1" x14ac:dyDescent="0.25"/>
    <row r="7894" s="42" customFormat="1" x14ac:dyDescent="0.25"/>
    <row r="7895" s="42" customFormat="1" x14ac:dyDescent="0.25"/>
    <row r="7896" s="42" customFormat="1" x14ac:dyDescent="0.25"/>
    <row r="7897" s="42" customFormat="1" x14ac:dyDescent="0.25"/>
    <row r="7898" s="42" customFormat="1" x14ac:dyDescent="0.25"/>
    <row r="7899" s="42" customFormat="1" x14ac:dyDescent="0.25"/>
    <row r="7900" s="42" customFormat="1" x14ac:dyDescent="0.25"/>
    <row r="7901" s="42" customFormat="1" x14ac:dyDescent="0.25"/>
    <row r="7902" s="42" customFormat="1" x14ac:dyDescent="0.25"/>
    <row r="7903" s="42" customFormat="1" x14ac:dyDescent="0.25"/>
    <row r="7904" s="42" customFormat="1" x14ac:dyDescent="0.25"/>
    <row r="7905" s="42" customFormat="1" x14ac:dyDescent="0.25"/>
    <row r="7906" s="42" customFormat="1" x14ac:dyDescent="0.25"/>
    <row r="7907" s="42" customFormat="1" x14ac:dyDescent="0.25"/>
    <row r="7908" s="42" customFormat="1" x14ac:dyDescent="0.25"/>
    <row r="7909" s="42" customFormat="1" x14ac:dyDescent="0.25"/>
    <row r="7910" s="42" customFormat="1" x14ac:dyDescent="0.25"/>
    <row r="7911" s="42" customFormat="1" x14ac:dyDescent="0.25"/>
    <row r="7912" s="42" customFormat="1" x14ac:dyDescent="0.25"/>
    <row r="7913" s="42" customFormat="1" x14ac:dyDescent="0.25"/>
    <row r="7914" s="42" customFormat="1" x14ac:dyDescent="0.25"/>
    <row r="7915" s="42" customFormat="1" x14ac:dyDescent="0.25"/>
    <row r="7916" s="42" customFormat="1" x14ac:dyDescent="0.25"/>
    <row r="7917" s="42" customFormat="1" x14ac:dyDescent="0.25"/>
    <row r="7918" s="42" customFormat="1" x14ac:dyDescent="0.25"/>
    <row r="7919" s="42" customFormat="1" x14ac:dyDescent="0.25"/>
    <row r="7920" s="42" customFormat="1" x14ac:dyDescent="0.25"/>
    <row r="7921" s="42" customFormat="1" x14ac:dyDescent="0.25"/>
    <row r="7922" s="42" customFormat="1" x14ac:dyDescent="0.25"/>
    <row r="7923" s="42" customFormat="1" x14ac:dyDescent="0.25"/>
    <row r="7924" s="42" customFormat="1" x14ac:dyDescent="0.25"/>
    <row r="7925" s="42" customFormat="1" x14ac:dyDescent="0.25"/>
    <row r="7926" s="42" customFormat="1" x14ac:dyDescent="0.25"/>
    <row r="7927" s="42" customFormat="1" x14ac:dyDescent="0.25"/>
    <row r="7928" s="42" customFormat="1" x14ac:dyDescent="0.25"/>
    <row r="7929" s="42" customFormat="1" x14ac:dyDescent="0.25"/>
    <row r="7930" s="42" customFormat="1" x14ac:dyDescent="0.25"/>
    <row r="7931" s="42" customFormat="1" x14ac:dyDescent="0.25"/>
    <row r="7932" s="42" customFormat="1" x14ac:dyDescent="0.25"/>
    <row r="7933" s="42" customFormat="1" x14ac:dyDescent="0.25"/>
    <row r="7934" s="42" customFormat="1" x14ac:dyDescent="0.25"/>
    <row r="7935" s="42" customFormat="1" x14ac:dyDescent="0.25"/>
    <row r="7936" s="42" customFormat="1" x14ac:dyDescent="0.25"/>
    <row r="7937" s="42" customFormat="1" x14ac:dyDescent="0.25"/>
    <row r="7938" s="42" customFormat="1" x14ac:dyDescent="0.25"/>
    <row r="7939" s="42" customFormat="1" x14ac:dyDescent="0.25"/>
    <row r="7940" s="42" customFormat="1" x14ac:dyDescent="0.25"/>
    <row r="7941" s="42" customFormat="1" x14ac:dyDescent="0.25"/>
    <row r="7942" s="42" customFormat="1" x14ac:dyDescent="0.25"/>
    <row r="7943" s="42" customFormat="1" x14ac:dyDescent="0.25"/>
    <row r="7944" s="42" customFormat="1" x14ac:dyDescent="0.25"/>
    <row r="7945" s="42" customFormat="1" x14ac:dyDescent="0.25"/>
    <row r="7946" s="42" customFormat="1" x14ac:dyDescent="0.25"/>
    <row r="7947" s="42" customFormat="1" x14ac:dyDescent="0.25"/>
    <row r="7948" s="42" customFormat="1" x14ac:dyDescent="0.25"/>
    <row r="7949" s="42" customFormat="1" x14ac:dyDescent="0.25"/>
    <row r="7950" s="42" customFormat="1" x14ac:dyDescent="0.25"/>
    <row r="7951" s="42" customFormat="1" x14ac:dyDescent="0.25"/>
    <row r="7952" s="42" customFormat="1" x14ac:dyDescent="0.25"/>
    <row r="7953" s="42" customFormat="1" x14ac:dyDescent="0.25"/>
    <row r="7954" s="42" customFormat="1" x14ac:dyDescent="0.25"/>
    <row r="7955" s="42" customFormat="1" x14ac:dyDescent="0.25"/>
    <row r="7956" s="42" customFormat="1" x14ac:dyDescent="0.25"/>
    <row r="7957" s="42" customFormat="1" x14ac:dyDescent="0.25"/>
    <row r="7958" s="42" customFormat="1" x14ac:dyDescent="0.25"/>
    <row r="7959" s="42" customFormat="1" x14ac:dyDescent="0.25"/>
    <row r="7960" s="42" customFormat="1" x14ac:dyDescent="0.25"/>
    <row r="7961" s="42" customFormat="1" x14ac:dyDescent="0.25"/>
    <row r="7962" s="42" customFormat="1" x14ac:dyDescent="0.25"/>
    <row r="7963" s="42" customFormat="1" x14ac:dyDescent="0.25"/>
    <row r="7964" s="42" customFormat="1" x14ac:dyDescent="0.25"/>
    <row r="7965" s="42" customFormat="1" x14ac:dyDescent="0.25"/>
    <row r="7966" s="42" customFormat="1" x14ac:dyDescent="0.25"/>
    <row r="7967" s="42" customFormat="1" x14ac:dyDescent="0.25"/>
    <row r="7968" s="42" customFormat="1" x14ac:dyDescent="0.25"/>
    <row r="7969" s="42" customFormat="1" x14ac:dyDescent="0.25"/>
    <row r="7970" s="42" customFormat="1" x14ac:dyDescent="0.25"/>
    <row r="7971" s="42" customFormat="1" x14ac:dyDescent="0.25"/>
    <row r="7972" s="42" customFormat="1" x14ac:dyDescent="0.25"/>
    <row r="7973" s="42" customFormat="1" x14ac:dyDescent="0.25"/>
    <row r="7974" s="42" customFormat="1" x14ac:dyDescent="0.25"/>
    <row r="7975" s="42" customFormat="1" x14ac:dyDescent="0.25"/>
    <row r="7976" s="42" customFormat="1" x14ac:dyDescent="0.25"/>
    <row r="7977" s="42" customFormat="1" x14ac:dyDescent="0.25"/>
    <row r="7978" s="42" customFormat="1" x14ac:dyDescent="0.25"/>
    <row r="7979" s="42" customFormat="1" x14ac:dyDescent="0.25"/>
    <row r="7980" s="42" customFormat="1" x14ac:dyDescent="0.25"/>
    <row r="7981" s="42" customFormat="1" x14ac:dyDescent="0.25"/>
    <row r="7982" s="42" customFormat="1" x14ac:dyDescent="0.25"/>
    <row r="7983" s="42" customFormat="1" x14ac:dyDescent="0.25"/>
    <row r="7984" s="42" customFormat="1" x14ac:dyDescent="0.25"/>
    <row r="7985" s="42" customFormat="1" x14ac:dyDescent="0.25"/>
    <row r="7986" s="42" customFormat="1" x14ac:dyDescent="0.25"/>
    <row r="7987" s="42" customFormat="1" x14ac:dyDescent="0.25"/>
    <row r="7988" s="42" customFormat="1" x14ac:dyDescent="0.25"/>
    <row r="7989" s="42" customFormat="1" x14ac:dyDescent="0.25"/>
    <row r="7990" s="42" customFormat="1" x14ac:dyDescent="0.25"/>
    <row r="7991" s="42" customFormat="1" x14ac:dyDescent="0.25"/>
    <row r="7992" s="42" customFormat="1" x14ac:dyDescent="0.25"/>
    <row r="7993" s="42" customFormat="1" x14ac:dyDescent="0.25"/>
    <row r="7994" s="42" customFormat="1" x14ac:dyDescent="0.25"/>
    <row r="7995" s="42" customFormat="1" x14ac:dyDescent="0.25"/>
    <row r="7996" s="42" customFormat="1" x14ac:dyDescent="0.25"/>
    <row r="7997" s="42" customFormat="1" x14ac:dyDescent="0.25"/>
    <row r="7998" s="42" customFormat="1" x14ac:dyDescent="0.25"/>
    <row r="7999" s="42" customFormat="1" x14ac:dyDescent="0.25"/>
    <row r="8000" s="42" customFormat="1" x14ac:dyDescent="0.25"/>
    <row r="8001" s="42" customFormat="1" x14ac:dyDescent="0.25"/>
    <row r="8002" s="42" customFormat="1" x14ac:dyDescent="0.25"/>
    <row r="8003" s="42" customFormat="1" x14ac:dyDescent="0.25"/>
    <row r="8004" s="42" customFormat="1" x14ac:dyDescent="0.25"/>
    <row r="8005" s="42" customFormat="1" x14ac:dyDescent="0.25"/>
    <row r="8006" s="42" customFormat="1" x14ac:dyDescent="0.25"/>
    <row r="8007" s="42" customFormat="1" x14ac:dyDescent="0.25"/>
    <row r="8008" s="42" customFormat="1" x14ac:dyDescent="0.25"/>
    <row r="8009" s="42" customFormat="1" x14ac:dyDescent="0.25"/>
    <row r="8010" s="42" customFormat="1" x14ac:dyDescent="0.25"/>
    <row r="8011" s="42" customFormat="1" x14ac:dyDescent="0.25"/>
    <row r="8012" s="42" customFormat="1" x14ac:dyDescent="0.25"/>
    <row r="8013" s="42" customFormat="1" x14ac:dyDescent="0.25"/>
    <row r="8014" s="42" customFormat="1" x14ac:dyDescent="0.25"/>
    <row r="8015" s="42" customFormat="1" x14ac:dyDescent="0.25"/>
    <row r="8016" s="42" customFormat="1" x14ac:dyDescent="0.25"/>
    <row r="8017" s="42" customFormat="1" x14ac:dyDescent="0.25"/>
    <row r="8018" s="42" customFormat="1" x14ac:dyDescent="0.25"/>
    <row r="8019" s="42" customFormat="1" x14ac:dyDescent="0.25"/>
    <row r="8020" s="42" customFormat="1" x14ac:dyDescent="0.25"/>
    <row r="8021" s="42" customFormat="1" x14ac:dyDescent="0.25"/>
    <row r="8022" s="42" customFormat="1" x14ac:dyDescent="0.25"/>
    <row r="8023" s="42" customFormat="1" x14ac:dyDescent="0.25"/>
    <row r="8024" s="42" customFormat="1" x14ac:dyDescent="0.25"/>
    <row r="8025" s="42" customFormat="1" x14ac:dyDescent="0.25"/>
    <row r="8026" s="42" customFormat="1" x14ac:dyDescent="0.25"/>
    <row r="8027" s="42" customFormat="1" x14ac:dyDescent="0.25"/>
    <row r="8028" s="42" customFormat="1" x14ac:dyDescent="0.25"/>
    <row r="8029" s="42" customFormat="1" x14ac:dyDescent="0.25"/>
    <row r="8030" s="42" customFormat="1" x14ac:dyDescent="0.25"/>
    <row r="8031" s="42" customFormat="1" x14ac:dyDescent="0.25"/>
    <row r="8032" s="42" customFormat="1" x14ac:dyDescent="0.25"/>
    <row r="8033" s="42" customFormat="1" x14ac:dyDescent="0.25"/>
    <row r="8034" s="42" customFormat="1" x14ac:dyDescent="0.25"/>
    <row r="8035" s="42" customFormat="1" x14ac:dyDescent="0.25"/>
    <row r="8036" s="42" customFormat="1" x14ac:dyDescent="0.25"/>
    <row r="8037" s="42" customFormat="1" x14ac:dyDescent="0.25"/>
    <row r="8038" s="42" customFormat="1" x14ac:dyDescent="0.25"/>
    <row r="8039" s="42" customFormat="1" x14ac:dyDescent="0.25"/>
    <row r="8040" s="42" customFormat="1" x14ac:dyDescent="0.25"/>
    <row r="8041" s="42" customFormat="1" x14ac:dyDescent="0.25"/>
    <row r="8042" s="42" customFormat="1" x14ac:dyDescent="0.25"/>
    <row r="8043" s="42" customFormat="1" x14ac:dyDescent="0.25"/>
    <row r="8044" s="42" customFormat="1" x14ac:dyDescent="0.25"/>
    <row r="8045" s="42" customFormat="1" x14ac:dyDescent="0.25"/>
    <row r="8046" s="42" customFormat="1" x14ac:dyDescent="0.25"/>
    <row r="8047" s="42" customFormat="1" x14ac:dyDescent="0.25"/>
    <row r="8048" s="42" customFormat="1" x14ac:dyDescent="0.25"/>
    <row r="8049" s="42" customFormat="1" x14ac:dyDescent="0.25"/>
    <row r="8050" s="42" customFormat="1" x14ac:dyDescent="0.25"/>
    <row r="8051" s="42" customFormat="1" x14ac:dyDescent="0.25"/>
    <row r="8052" s="42" customFormat="1" x14ac:dyDescent="0.25"/>
    <row r="8053" s="42" customFormat="1" x14ac:dyDescent="0.25"/>
    <row r="8054" s="42" customFormat="1" x14ac:dyDescent="0.25"/>
    <row r="8055" s="42" customFormat="1" x14ac:dyDescent="0.25"/>
    <row r="8056" s="42" customFormat="1" x14ac:dyDescent="0.25"/>
    <row r="8057" s="42" customFormat="1" x14ac:dyDescent="0.25"/>
    <row r="8058" s="42" customFormat="1" x14ac:dyDescent="0.25"/>
    <row r="8059" s="42" customFormat="1" x14ac:dyDescent="0.25"/>
    <row r="8060" s="42" customFormat="1" x14ac:dyDescent="0.25"/>
    <row r="8061" s="42" customFormat="1" x14ac:dyDescent="0.25"/>
    <row r="8062" s="42" customFormat="1" x14ac:dyDescent="0.25"/>
    <row r="8063" s="42" customFormat="1" x14ac:dyDescent="0.25"/>
    <row r="8064" s="42" customFormat="1" x14ac:dyDescent="0.25"/>
    <row r="8065" s="42" customFormat="1" x14ac:dyDescent="0.25"/>
    <row r="8066" s="42" customFormat="1" x14ac:dyDescent="0.25"/>
    <row r="8067" s="42" customFormat="1" x14ac:dyDescent="0.25"/>
    <row r="8068" s="42" customFormat="1" x14ac:dyDescent="0.25"/>
    <row r="8069" s="42" customFormat="1" x14ac:dyDescent="0.25"/>
    <row r="8070" s="42" customFormat="1" x14ac:dyDescent="0.25"/>
    <row r="8071" s="42" customFormat="1" x14ac:dyDescent="0.25"/>
    <row r="8072" s="42" customFormat="1" x14ac:dyDescent="0.25"/>
    <row r="8073" s="42" customFormat="1" x14ac:dyDescent="0.25"/>
    <row r="8074" s="42" customFormat="1" x14ac:dyDescent="0.25"/>
    <row r="8075" s="42" customFormat="1" x14ac:dyDescent="0.25"/>
    <row r="8076" s="42" customFormat="1" x14ac:dyDescent="0.25"/>
    <row r="8077" s="42" customFormat="1" x14ac:dyDescent="0.25"/>
    <row r="8078" s="42" customFormat="1" x14ac:dyDescent="0.25"/>
    <row r="8079" s="42" customFormat="1" x14ac:dyDescent="0.25"/>
    <row r="8080" s="42" customFormat="1" x14ac:dyDescent="0.25"/>
    <row r="8081" s="42" customFormat="1" x14ac:dyDescent="0.25"/>
    <row r="8082" s="42" customFormat="1" x14ac:dyDescent="0.25"/>
    <row r="8083" s="42" customFormat="1" x14ac:dyDescent="0.25"/>
    <row r="8084" s="42" customFormat="1" x14ac:dyDescent="0.25"/>
    <row r="8085" s="42" customFormat="1" x14ac:dyDescent="0.25"/>
    <row r="8086" s="42" customFormat="1" x14ac:dyDescent="0.25"/>
    <row r="8087" s="42" customFormat="1" x14ac:dyDescent="0.25"/>
    <row r="8088" s="42" customFormat="1" x14ac:dyDescent="0.25"/>
    <row r="8089" s="42" customFormat="1" x14ac:dyDescent="0.25"/>
    <row r="8090" s="42" customFormat="1" x14ac:dyDescent="0.25"/>
    <row r="8091" s="42" customFormat="1" x14ac:dyDescent="0.25"/>
    <row r="8092" s="42" customFormat="1" x14ac:dyDescent="0.25"/>
    <row r="8093" s="42" customFormat="1" x14ac:dyDescent="0.25"/>
    <row r="8094" s="42" customFormat="1" x14ac:dyDescent="0.25"/>
    <row r="8095" s="42" customFormat="1" x14ac:dyDescent="0.25"/>
    <row r="8096" s="42" customFormat="1" x14ac:dyDescent="0.25"/>
    <row r="8097" s="42" customFormat="1" x14ac:dyDescent="0.25"/>
    <row r="8098" s="42" customFormat="1" x14ac:dyDescent="0.25"/>
    <row r="8099" s="42" customFormat="1" x14ac:dyDescent="0.25"/>
    <row r="8100" s="42" customFormat="1" x14ac:dyDescent="0.25"/>
    <row r="8101" s="42" customFormat="1" x14ac:dyDescent="0.25"/>
    <row r="8102" s="42" customFormat="1" x14ac:dyDescent="0.25"/>
    <row r="8103" s="42" customFormat="1" x14ac:dyDescent="0.25"/>
    <row r="8104" s="42" customFormat="1" x14ac:dyDescent="0.25"/>
    <row r="8105" s="42" customFormat="1" x14ac:dyDescent="0.25"/>
    <row r="8106" s="42" customFormat="1" x14ac:dyDescent="0.25"/>
    <row r="8107" s="42" customFormat="1" x14ac:dyDescent="0.25"/>
    <row r="8108" s="42" customFormat="1" x14ac:dyDescent="0.25"/>
    <row r="8109" s="42" customFormat="1" x14ac:dyDescent="0.25"/>
    <row r="8110" s="42" customFormat="1" x14ac:dyDescent="0.25"/>
    <row r="8111" s="42" customFormat="1" x14ac:dyDescent="0.25"/>
    <row r="8112" s="42" customFormat="1" x14ac:dyDescent="0.25"/>
    <row r="8113" s="42" customFormat="1" x14ac:dyDescent="0.25"/>
    <row r="8114" s="42" customFormat="1" x14ac:dyDescent="0.25"/>
    <row r="8115" s="42" customFormat="1" x14ac:dyDescent="0.25"/>
    <row r="8116" s="42" customFormat="1" x14ac:dyDescent="0.25"/>
    <row r="8117" s="42" customFormat="1" x14ac:dyDescent="0.25"/>
    <row r="8118" s="42" customFormat="1" x14ac:dyDescent="0.25"/>
    <row r="8119" s="42" customFormat="1" x14ac:dyDescent="0.25"/>
    <row r="8120" s="42" customFormat="1" x14ac:dyDescent="0.25"/>
    <row r="8121" s="42" customFormat="1" x14ac:dyDescent="0.25"/>
    <row r="8122" s="42" customFormat="1" x14ac:dyDescent="0.25"/>
    <row r="8123" s="42" customFormat="1" x14ac:dyDescent="0.25"/>
    <row r="8124" s="42" customFormat="1" x14ac:dyDescent="0.25"/>
    <row r="8125" s="42" customFormat="1" x14ac:dyDescent="0.25"/>
    <row r="8126" s="42" customFormat="1" x14ac:dyDescent="0.25"/>
    <row r="8127" s="42" customFormat="1" x14ac:dyDescent="0.25"/>
    <row r="8128" s="42" customFormat="1" x14ac:dyDescent="0.25"/>
    <row r="8129" s="42" customFormat="1" x14ac:dyDescent="0.25"/>
    <row r="8130" s="42" customFormat="1" x14ac:dyDescent="0.25"/>
    <row r="8131" s="42" customFormat="1" x14ac:dyDescent="0.25"/>
    <row r="8132" s="42" customFormat="1" x14ac:dyDescent="0.25"/>
    <row r="8133" s="42" customFormat="1" x14ac:dyDescent="0.25"/>
    <row r="8134" s="42" customFormat="1" x14ac:dyDescent="0.25"/>
    <row r="8135" s="42" customFormat="1" x14ac:dyDescent="0.25"/>
    <row r="8136" s="42" customFormat="1" x14ac:dyDescent="0.25"/>
    <row r="8137" s="42" customFormat="1" x14ac:dyDescent="0.25"/>
    <row r="8138" s="42" customFormat="1" x14ac:dyDescent="0.25"/>
    <row r="8139" s="42" customFormat="1" x14ac:dyDescent="0.25"/>
    <row r="8140" s="42" customFormat="1" x14ac:dyDescent="0.25"/>
    <row r="8141" s="42" customFormat="1" x14ac:dyDescent="0.25"/>
    <row r="8142" s="42" customFormat="1" x14ac:dyDescent="0.25"/>
    <row r="8143" s="42" customFormat="1" x14ac:dyDescent="0.25"/>
    <row r="8144" s="42" customFormat="1" x14ac:dyDescent="0.25"/>
    <row r="8145" s="42" customFormat="1" x14ac:dyDescent="0.25"/>
    <row r="8146" s="42" customFormat="1" x14ac:dyDescent="0.25"/>
    <row r="8147" s="42" customFormat="1" x14ac:dyDescent="0.25"/>
    <row r="8148" s="42" customFormat="1" x14ac:dyDescent="0.25"/>
    <row r="8149" s="42" customFormat="1" x14ac:dyDescent="0.25"/>
    <row r="8150" s="42" customFormat="1" x14ac:dyDescent="0.25"/>
    <row r="8151" s="42" customFormat="1" x14ac:dyDescent="0.25"/>
    <row r="8152" s="42" customFormat="1" x14ac:dyDescent="0.25"/>
    <row r="8153" s="42" customFormat="1" x14ac:dyDescent="0.25"/>
    <row r="8154" s="42" customFormat="1" x14ac:dyDescent="0.25"/>
    <row r="8155" s="42" customFormat="1" x14ac:dyDescent="0.25"/>
    <row r="8156" s="42" customFormat="1" x14ac:dyDescent="0.25"/>
    <row r="8157" s="42" customFormat="1" x14ac:dyDescent="0.25"/>
    <row r="8158" s="42" customFormat="1" x14ac:dyDescent="0.25"/>
    <row r="8159" s="42" customFormat="1" x14ac:dyDescent="0.25"/>
    <row r="8160" s="42" customFormat="1" x14ac:dyDescent="0.25"/>
    <row r="8161" s="42" customFormat="1" x14ac:dyDescent="0.25"/>
    <row r="8162" s="42" customFormat="1" x14ac:dyDescent="0.25"/>
    <row r="8163" s="42" customFormat="1" x14ac:dyDescent="0.25"/>
    <row r="8164" s="42" customFormat="1" x14ac:dyDescent="0.25"/>
    <row r="8165" s="42" customFormat="1" x14ac:dyDescent="0.25"/>
    <row r="8166" s="42" customFormat="1" x14ac:dyDescent="0.25"/>
    <row r="8167" s="42" customFormat="1" x14ac:dyDescent="0.25"/>
    <row r="8168" s="42" customFormat="1" x14ac:dyDescent="0.25"/>
    <row r="8169" s="42" customFormat="1" x14ac:dyDescent="0.25"/>
    <row r="8170" s="42" customFormat="1" x14ac:dyDescent="0.25"/>
    <row r="8171" s="42" customFormat="1" x14ac:dyDescent="0.25"/>
    <row r="8172" s="42" customFormat="1" x14ac:dyDescent="0.25"/>
    <row r="8173" s="42" customFormat="1" x14ac:dyDescent="0.25"/>
    <row r="8174" s="42" customFormat="1" x14ac:dyDescent="0.25"/>
    <row r="8175" s="42" customFormat="1" x14ac:dyDescent="0.25"/>
    <row r="8176" s="42" customFormat="1" x14ac:dyDescent="0.25"/>
    <row r="8177" s="42" customFormat="1" x14ac:dyDescent="0.25"/>
    <row r="8178" s="42" customFormat="1" x14ac:dyDescent="0.25"/>
    <row r="8179" s="42" customFormat="1" x14ac:dyDescent="0.25"/>
    <row r="8180" s="42" customFormat="1" x14ac:dyDescent="0.25"/>
    <row r="8181" s="42" customFormat="1" x14ac:dyDescent="0.25"/>
    <row r="8182" s="42" customFormat="1" x14ac:dyDescent="0.25"/>
    <row r="8183" s="42" customFormat="1" x14ac:dyDescent="0.25"/>
    <row r="8184" s="42" customFormat="1" x14ac:dyDescent="0.25"/>
    <row r="8185" s="42" customFormat="1" x14ac:dyDescent="0.25"/>
    <row r="8186" s="42" customFormat="1" x14ac:dyDescent="0.25"/>
    <row r="8187" s="42" customFormat="1" x14ac:dyDescent="0.25"/>
    <row r="8188" s="42" customFormat="1" x14ac:dyDescent="0.25"/>
    <row r="8189" s="42" customFormat="1" x14ac:dyDescent="0.25"/>
    <row r="8190" s="42" customFormat="1" x14ac:dyDescent="0.25"/>
    <row r="8191" s="42" customFormat="1" x14ac:dyDescent="0.25"/>
    <row r="8192" s="42" customFormat="1" x14ac:dyDescent="0.25"/>
    <row r="8193" s="42" customFormat="1" x14ac:dyDescent="0.25"/>
    <row r="8194" s="42" customFormat="1" x14ac:dyDescent="0.25"/>
    <row r="8195" s="42" customFormat="1" x14ac:dyDescent="0.25"/>
    <row r="8196" s="42" customFormat="1" x14ac:dyDescent="0.25"/>
    <row r="8197" s="42" customFormat="1" x14ac:dyDescent="0.25"/>
    <row r="8198" s="42" customFormat="1" x14ac:dyDescent="0.25"/>
    <row r="8199" s="42" customFormat="1" x14ac:dyDescent="0.25"/>
    <row r="8200" s="42" customFormat="1" x14ac:dyDescent="0.25"/>
    <row r="8201" s="42" customFormat="1" x14ac:dyDescent="0.25"/>
    <row r="8202" s="42" customFormat="1" x14ac:dyDescent="0.25"/>
    <row r="8203" s="42" customFormat="1" x14ac:dyDescent="0.25"/>
    <row r="8204" s="42" customFormat="1" x14ac:dyDescent="0.25"/>
    <row r="8205" s="42" customFormat="1" x14ac:dyDescent="0.25"/>
    <row r="8206" s="42" customFormat="1" x14ac:dyDescent="0.25"/>
    <row r="8207" s="42" customFormat="1" x14ac:dyDescent="0.25"/>
    <row r="8208" s="42" customFormat="1" x14ac:dyDescent="0.25"/>
    <row r="8209" s="42" customFormat="1" x14ac:dyDescent="0.25"/>
    <row r="8210" s="42" customFormat="1" x14ac:dyDescent="0.25"/>
    <row r="8211" s="42" customFormat="1" x14ac:dyDescent="0.25"/>
    <row r="8212" s="42" customFormat="1" x14ac:dyDescent="0.25"/>
    <row r="8213" s="42" customFormat="1" x14ac:dyDescent="0.25"/>
    <row r="8214" s="42" customFormat="1" x14ac:dyDescent="0.25"/>
    <row r="8215" s="42" customFormat="1" x14ac:dyDescent="0.25"/>
    <row r="8216" s="42" customFormat="1" x14ac:dyDescent="0.25"/>
    <row r="8217" s="42" customFormat="1" x14ac:dyDescent="0.25"/>
    <row r="8218" s="42" customFormat="1" x14ac:dyDescent="0.25"/>
    <row r="8219" s="42" customFormat="1" x14ac:dyDescent="0.25"/>
    <row r="8220" s="42" customFormat="1" x14ac:dyDescent="0.25"/>
    <row r="8221" s="42" customFormat="1" x14ac:dyDescent="0.25"/>
    <row r="8222" s="42" customFormat="1" x14ac:dyDescent="0.25"/>
    <row r="8223" s="42" customFormat="1" x14ac:dyDescent="0.25"/>
    <row r="8224" s="42" customFormat="1" x14ac:dyDescent="0.25"/>
    <row r="8225" s="42" customFormat="1" x14ac:dyDescent="0.25"/>
    <row r="8226" s="42" customFormat="1" x14ac:dyDescent="0.25"/>
    <row r="8227" s="42" customFormat="1" x14ac:dyDescent="0.25"/>
    <row r="8228" s="42" customFormat="1" x14ac:dyDescent="0.25"/>
    <row r="8229" s="42" customFormat="1" x14ac:dyDescent="0.25"/>
    <row r="8230" s="42" customFormat="1" x14ac:dyDescent="0.25"/>
    <row r="8231" s="42" customFormat="1" x14ac:dyDescent="0.25"/>
    <row r="8232" s="42" customFormat="1" x14ac:dyDescent="0.25"/>
    <row r="8233" s="42" customFormat="1" x14ac:dyDescent="0.25"/>
    <row r="8234" s="42" customFormat="1" x14ac:dyDescent="0.25"/>
    <row r="8235" s="42" customFormat="1" x14ac:dyDescent="0.25"/>
    <row r="8236" s="42" customFormat="1" x14ac:dyDescent="0.25"/>
    <row r="8237" s="42" customFormat="1" x14ac:dyDescent="0.25"/>
    <row r="8238" s="42" customFormat="1" x14ac:dyDescent="0.25"/>
    <row r="8239" s="42" customFormat="1" x14ac:dyDescent="0.25"/>
    <row r="8240" s="42" customFormat="1" x14ac:dyDescent="0.25"/>
    <row r="8241" s="42" customFormat="1" x14ac:dyDescent="0.25"/>
    <row r="8242" s="42" customFormat="1" x14ac:dyDescent="0.25"/>
    <row r="8243" s="42" customFormat="1" x14ac:dyDescent="0.25"/>
    <row r="8244" s="42" customFormat="1" x14ac:dyDescent="0.25"/>
    <row r="8245" s="42" customFormat="1" x14ac:dyDescent="0.25"/>
    <row r="8246" s="42" customFormat="1" x14ac:dyDescent="0.25"/>
    <row r="8247" s="42" customFormat="1" x14ac:dyDescent="0.25"/>
    <row r="8248" s="42" customFormat="1" x14ac:dyDescent="0.25"/>
    <row r="8249" s="42" customFormat="1" x14ac:dyDescent="0.25"/>
    <row r="8250" s="42" customFormat="1" x14ac:dyDescent="0.25"/>
    <row r="8251" s="42" customFormat="1" x14ac:dyDescent="0.25"/>
    <row r="8252" s="42" customFormat="1" x14ac:dyDescent="0.25"/>
    <row r="8253" s="42" customFormat="1" x14ac:dyDescent="0.25"/>
    <row r="8254" s="42" customFormat="1" x14ac:dyDescent="0.25"/>
    <row r="8255" s="42" customFormat="1" x14ac:dyDescent="0.25"/>
    <row r="8256" s="42" customFormat="1" x14ac:dyDescent="0.25"/>
    <row r="8257" s="42" customFormat="1" x14ac:dyDescent="0.25"/>
    <row r="8258" s="42" customFormat="1" x14ac:dyDescent="0.25"/>
    <row r="8259" s="42" customFormat="1" x14ac:dyDescent="0.25"/>
    <row r="8260" s="42" customFormat="1" x14ac:dyDescent="0.25"/>
    <row r="8261" s="42" customFormat="1" x14ac:dyDescent="0.25"/>
    <row r="8262" s="42" customFormat="1" x14ac:dyDescent="0.25"/>
    <row r="8263" s="42" customFormat="1" x14ac:dyDescent="0.25"/>
    <row r="8264" s="42" customFormat="1" x14ac:dyDescent="0.25"/>
    <row r="8265" s="42" customFormat="1" x14ac:dyDescent="0.25"/>
    <row r="8266" s="42" customFormat="1" x14ac:dyDescent="0.25"/>
    <row r="8267" s="42" customFormat="1" x14ac:dyDescent="0.25"/>
    <row r="8268" s="42" customFormat="1" x14ac:dyDescent="0.25"/>
    <row r="8269" s="42" customFormat="1" x14ac:dyDescent="0.25"/>
    <row r="8270" s="42" customFormat="1" x14ac:dyDescent="0.25"/>
    <row r="8271" s="42" customFormat="1" x14ac:dyDescent="0.25"/>
    <row r="8272" s="42" customFormat="1" x14ac:dyDescent="0.25"/>
    <row r="8273" s="42" customFormat="1" x14ac:dyDescent="0.25"/>
    <row r="8274" s="42" customFormat="1" x14ac:dyDescent="0.25"/>
    <row r="8275" s="42" customFormat="1" x14ac:dyDescent="0.25"/>
    <row r="8276" s="42" customFormat="1" x14ac:dyDescent="0.25"/>
    <row r="8277" s="42" customFormat="1" x14ac:dyDescent="0.25"/>
    <row r="8278" s="42" customFormat="1" x14ac:dyDescent="0.25"/>
    <row r="8279" s="42" customFormat="1" x14ac:dyDescent="0.25"/>
    <row r="8280" s="42" customFormat="1" x14ac:dyDescent="0.25"/>
    <row r="8281" s="42" customFormat="1" x14ac:dyDescent="0.25"/>
    <row r="8282" s="42" customFormat="1" x14ac:dyDescent="0.25"/>
    <row r="8283" s="42" customFormat="1" x14ac:dyDescent="0.25"/>
    <row r="8284" s="42" customFormat="1" x14ac:dyDescent="0.25"/>
    <row r="8285" s="42" customFormat="1" x14ac:dyDescent="0.25"/>
    <row r="8286" s="42" customFormat="1" x14ac:dyDescent="0.25"/>
    <row r="8287" s="42" customFormat="1" x14ac:dyDescent="0.25"/>
    <row r="8288" s="42" customFormat="1" x14ac:dyDescent="0.25"/>
    <row r="8289" s="42" customFormat="1" x14ac:dyDescent="0.25"/>
    <row r="8290" s="42" customFormat="1" x14ac:dyDescent="0.25"/>
    <row r="8291" s="42" customFormat="1" x14ac:dyDescent="0.25"/>
    <row r="8292" s="42" customFormat="1" x14ac:dyDescent="0.25"/>
    <row r="8293" s="42" customFormat="1" x14ac:dyDescent="0.25"/>
    <row r="8294" s="42" customFormat="1" x14ac:dyDescent="0.25"/>
    <row r="8295" s="42" customFormat="1" x14ac:dyDescent="0.25"/>
    <row r="8296" s="42" customFormat="1" x14ac:dyDescent="0.25"/>
    <row r="8297" s="42" customFormat="1" x14ac:dyDescent="0.25"/>
    <row r="8298" s="42" customFormat="1" x14ac:dyDescent="0.25"/>
    <row r="8299" s="42" customFormat="1" x14ac:dyDescent="0.25"/>
    <row r="8300" s="42" customFormat="1" x14ac:dyDescent="0.25"/>
    <row r="8301" s="42" customFormat="1" x14ac:dyDescent="0.25"/>
    <row r="8302" s="42" customFormat="1" x14ac:dyDescent="0.25"/>
    <row r="8303" s="42" customFormat="1" x14ac:dyDescent="0.25"/>
    <row r="8304" s="42" customFormat="1" x14ac:dyDescent="0.25"/>
    <row r="8305" s="42" customFormat="1" x14ac:dyDescent="0.25"/>
    <row r="8306" s="42" customFormat="1" x14ac:dyDescent="0.25"/>
    <row r="8307" s="42" customFormat="1" x14ac:dyDescent="0.25"/>
    <row r="8308" s="42" customFormat="1" x14ac:dyDescent="0.25"/>
    <row r="8309" s="42" customFormat="1" x14ac:dyDescent="0.25"/>
    <row r="8310" s="42" customFormat="1" x14ac:dyDescent="0.25"/>
    <row r="8311" s="42" customFormat="1" x14ac:dyDescent="0.25"/>
    <row r="8312" s="42" customFormat="1" x14ac:dyDescent="0.25"/>
    <row r="8313" s="42" customFormat="1" x14ac:dyDescent="0.25"/>
    <row r="8314" s="42" customFormat="1" x14ac:dyDescent="0.25"/>
    <row r="8315" s="42" customFormat="1" x14ac:dyDescent="0.25"/>
    <row r="8316" s="42" customFormat="1" x14ac:dyDescent="0.25"/>
    <row r="8317" s="42" customFormat="1" x14ac:dyDescent="0.25"/>
    <row r="8318" s="42" customFormat="1" x14ac:dyDescent="0.25"/>
    <row r="8319" s="42" customFormat="1" x14ac:dyDescent="0.25"/>
    <row r="8320" s="42" customFormat="1" x14ac:dyDescent="0.25"/>
    <row r="8321" s="42" customFormat="1" x14ac:dyDescent="0.25"/>
    <row r="8322" s="42" customFormat="1" x14ac:dyDescent="0.25"/>
    <row r="8323" s="42" customFormat="1" x14ac:dyDescent="0.25"/>
    <row r="8324" s="42" customFormat="1" x14ac:dyDescent="0.25"/>
    <row r="8325" s="42" customFormat="1" x14ac:dyDescent="0.25"/>
    <row r="8326" s="42" customFormat="1" x14ac:dyDescent="0.25"/>
    <row r="8327" s="42" customFormat="1" x14ac:dyDescent="0.25"/>
    <row r="8328" s="42" customFormat="1" x14ac:dyDescent="0.25"/>
    <row r="8329" s="42" customFormat="1" x14ac:dyDescent="0.25"/>
    <row r="8330" s="42" customFormat="1" x14ac:dyDescent="0.25"/>
    <row r="8331" s="42" customFormat="1" x14ac:dyDescent="0.25"/>
    <row r="8332" s="42" customFormat="1" x14ac:dyDescent="0.25"/>
    <row r="8333" s="42" customFormat="1" x14ac:dyDescent="0.25"/>
    <row r="8334" s="42" customFormat="1" x14ac:dyDescent="0.25"/>
    <row r="8335" s="42" customFormat="1" x14ac:dyDescent="0.25"/>
    <row r="8336" s="42" customFormat="1" x14ac:dyDescent="0.25"/>
    <row r="8337" s="42" customFormat="1" x14ac:dyDescent="0.25"/>
    <row r="8338" s="42" customFormat="1" x14ac:dyDescent="0.25"/>
    <row r="8339" s="42" customFormat="1" x14ac:dyDescent="0.25"/>
    <row r="8340" s="42" customFormat="1" x14ac:dyDescent="0.25"/>
    <row r="8341" s="42" customFormat="1" x14ac:dyDescent="0.25"/>
    <row r="8342" s="42" customFormat="1" x14ac:dyDescent="0.25"/>
    <row r="8343" s="42" customFormat="1" x14ac:dyDescent="0.25"/>
    <row r="8344" s="42" customFormat="1" x14ac:dyDescent="0.25"/>
    <row r="8345" s="42" customFormat="1" x14ac:dyDescent="0.25"/>
    <row r="8346" s="42" customFormat="1" x14ac:dyDescent="0.25"/>
    <row r="8347" s="42" customFormat="1" x14ac:dyDescent="0.25"/>
    <row r="8348" s="42" customFormat="1" x14ac:dyDescent="0.25"/>
    <row r="8349" s="42" customFormat="1" x14ac:dyDescent="0.25"/>
    <row r="8350" s="42" customFormat="1" x14ac:dyDescent="0.25"/>
    <row r="8351" s="42" customFormat="1" x14ac:dyDescent="0.25"/>
    <row r="8352" s="42" customFormat="1" x14ac:dyDescent="0.25"/>
    <row r="8353" s="42" customFormat="1" x14ac:dyDescent="0.25"/>
    <row r="8354" s="42" customFormat="1" x14ac:dyDescent="0.25"/>
    <row r="8355" s="42" customFormat="1" x14ac:dyDescent="0.25"/>
    <row r="8356" s="42" customFormat="1" x14ac:dyDescent="0.25"/>
    <row r="8357" s="42" customFormat="1" x14ac:dyDescent="0.25"/>
    <row r="8358" s="42" customFormat="1" x14ac:dyDescent="0.25"/>
    <row r="8359" s="42" customFormat="1" x14ac:dyDescent="0.25"/>
    <row r="8360" s="42" customFormat="1" x14ac:dyDescent="0.25"/>
    <row r="8361" s="42" customFormat="1" x14ac:dyDescent="0.25"/>
    <row r="8362" s="42" customFormat="1" x14ac:dyDescent="0.25"/>
    <row r="8363" s="42" customFormat="1" x14ac:dyDescent="0.25"/>
    <row r="8364" s="42" customFormat="1" x14ac:dyDescent="0.25"/>
    <row r="8365" s="42" customFormat="1" x14ac:dyDescent="0.25"/>
    <row r="8366" s="42" customFormat="1" x14ac:dyDescent="0.25"/>
    <row r="8367" s="42" customFormat="1" x14ac:dyDescent="0.25"/>
    <row r="8368" s="42" customFormat="1" x14ac:dyDescent="0.25"/>
    <row r="8369" s="42" customFormat="1" x14ac:dyDescent="0.25"/>
    <row r="8370" s="42" customFormat="1" x14ac:dyDescent="0.25"/>
    <row r="8371" s="42" customFormat="1" x14ac:dyDescent="0.25"/>
    <row r="8372" s="42" customFormat="1" x14ac:dyDescent="0.25"/>
    <row r="8373" s="42" customFormat="1" x14ac:dyDescent="0.25"/>
    <row r="8374" s="42" customFormat="1" x14ac:dyDescent="0.25"/>
    <row r="8375" s="42" customFormat="1" x14ac:dyDescent="0.25"/>
    <row r="8376" s="42" customFormat="1" x14ac:dyDescent="0.25"/>
    <row r="8377" s="42" customFormat="1" x14ac:dyDescent="0.25"/>
    <row r="8378" s="42" customFormat="1" x14ac:dyDescent="0.25"/>
    <row r="8379" s="42" customFormat="1" x14ac:dyDescent="0.25"/>
    <row r="8380" s="42" customFormat="1" x14ac:dyDescent="0.25"/>
    <row r="8381" s="42" customFormat="1" x14ac:dyDescent="0.25"/>
    <row r="8382" s="42" customFormat="1" x14ac:dyDescent="0.25"/>
    <row r="8383" s="42" customFormat="1" x14ac:dyDescent="0.25"/>
    <row r="8384" s="42" customFormat="1" x14ac:dyDescent="0.25"/>
    <row r="8385" s="42" customFormat="1" x14ac:dyDescent="0.25"/>
    <row r="8386" s="42" customFormat="1" x14ac:dyDescent="0.25"/>
    <row r="8387" s="42" customFormat="1" x14ac:dyDescent="0.25"/>
    <row r="8388" s="42" customFormat="1" x14ac:dyDescent="0.25"/>
    <row r="8389" s="42" customFormat="1" x14ac:dyDescent="0.25"/>
    <row r="8390" s="42" customFormat="1" x14ac:dyDescent="0.25"/>
    <row r="8391" s="42" customFormat="1" x14ac:dyDescent="0.25"/>
    <row r="8392" s="42" customFormat="1" x14ac:dyDescent="0.25"/>
    <row r="8393" s="42" customFormat="1" x14ac:dyDescent="0.25"/>
    <row r="8394" s="42" customFormat="1" x14ac:dyDescent="0.25"/>
    <row r="8395" s="42" customFormat="1" x14ac:dyDescent="0.25"/>
    <row r="8396" s="42" customFormat="1" x14ac:dyDescent="0.25"/>
    <row r="8397" s="42" customFormat="1" x14ac:dyDescent="0.25"/>
    <row r="8398" s="42" customFormat="1" x14ac:dyDescent="0.25"/>
    <row r="8399" s="42" customFormat="1" x14ac:dyDescent="0.25"/>
    <row r="8400" s="42" customFormat="1" x14ac:dyDescent="0.25"/>
    <row r="8401" s="42" customFormat="1" x14ac:dyDescent="0.25"/>
    <row r="8402" s="42" customFormat="1" x14ac:dyDescent="0.25"/>
    <row r="8403" s="42" customFormat="1" x14ac:dyDescent="0.25"/>
    <row r="8404" s="42" customFormat="1" x14ac:dyDescent="0.25"/>
    <row r="8405" s="42" customFormat="1" x14ac:dyDescent="0.25"/>
    <row r="8406" s="42" customFormat="1" x14ac:dyDescent="0.25"/>
    <row r="8407" s="42" customFormat="1" x14ac:dyDescent="0.25"/>
    <row r="8408" s="42" customFormat="1" x14ac:dyDescent="0.25"/>
    <row r="8409" s="42" customFormat="1" x14ac:dyDescent="0.25"/>
    <row r="8410" s="42" customFormat="1" x14ac:dyDescent="0.25"/>
    <row r="8411" s="42" customFormat="1" x14ac:dyDescent="0.25"/>
    <row r="8412" s="42" customFormat="1" x14ac:dyDescent="0.25"/>
    <row r="8413" s="42" customFormat="1" x14ac:dyDescent="0.25"/>
    <row r="8414" s="42" customFormat="1" x14ac:dyDescent="0.25"/>
    <row r="8415" s="42" customFormat="1" x14ac:dyDescent="0.25"/>
    <row r="8416" s="42" customFormat="1" x14ac:dyDescent="0.25"/>
    <row r="8417" s="42" customFormat="1" x14ac:dyDescent="0.25"/>
    <row r="8418" s="42" customFormat="1" x14ac:dyDescent="0.25"/>
    <row r="8419" s="42" customFormat="1" x14ac:dyDescent="0.25"/>
    <row r="8420" s="42" customFormat="1" x14ac:dyDescent="0.25"/>
    <row r="8421" s="42" customFormat="1" x14ac:dyDescent="0.25"/>
    <row r="8422" s="42" customFormat="1" x14ac:dyDescent="0.25"/>
    <row r="8423" s="42" customFormat="1" x14ac:dyDescent="0.25"/>
    <row r="8424" s="42" customFormat="1" x14ac:dyDescent="0.25"/>
    <row r="8425" s="42" customFormat="1" x14ac:dyDescent="0.25"/>
    <row r="8426" s="42" customFormat="1" x14ac:dyDescent="0.25"/>
    <row r="8427" s="42" customFormat="1" x14ac:dyDescent="0.25"/>
    <row r="8428" s="42" customFormat="1" x14ac:dyDescent="0.25"/>
    <row r="8429" s="42" customFormat="1" x14ac:dyDescent="0.25"/>
    <row r="8430" s="42" customFormat="1" x14ac:dyDescent="0.25"/>
    <row r="8431" s="42" customFormat="1" x14ac:dyDescent="0.25"/>
    <row r="8432" s="42" customFormat="1" x14ac:dyDescent="0.25"/>
    <row r="8433" s="42" customFormat="1" x14ac:dyDescent="0.25"/>
    <row r="8434" s="42" customFormat="1" x14ac:dyDescent="0.25"/>
    <row r="8435" s="42" customFormat="1" x14ac:dyDescent="0.25"/>
    <row r="8436" s="42" customFormat="1" x14ac:dyDescent="0.25"/>
    <row r="8437" s="42" customFormat="1" x14ac:dyDescent="0.25"/>
    <row r="8438" s="42" customFormat="1" x14ac:dyDescent="0.25"/>
    <row r="8439" s="42" customFormat="1" x14ac:dyDescent="0.25"/>
    <row r="8440" s="42" customFormat="1" x14ac:dyDescent="0.25"/>
    <row r="8441" s="42" customFormat="1" x14ac:dyDescent="0.25"/>
    <row r="8442" s="42" customFormat="1" x14ac:dyDescent="0.25"/>
    <row r="8443" s="42" customFormat="1" x14ac:dyDescent="0.25"/>
    <row r="8444" s="42" customFormat="1" x14ac:dyDescent="0.25"/>
    <row r="8445" s="42" customFormat="1" x14ac:dyDescent="0.25"/>
    <row r="8446" s="42" customFormat="1" x14ac:dyDescent="0.25"/>
    <row r="8447" s="42" customFormat="1" x14ac:dyDescent="0.25"/>
    <row r="8448" s="42" customFormat="1" x14ac:dyDescent="0.25"/>
    <row r="8449" s="42" customFormat="1" x14ac:dyDescent="0.25"/>
    <row r="8450" s="42" customFormat="1" x14ac:dyDescent="0.25"/>
    <row r="8451" s="42" customFormat="1" x14ac:dyDescent="0.25"/>
    <row r="8452" s="42" customFormat="1" x14ac:dyDescent="0.25"/>
    <row r="8453" s="42" customFormat="1" x14ac:dyDescent="0.25"/>
    <row r="8454" s="42" customFormat="1" x14ac:dyDescent="0.25"/>
    <row r="8455" s="42" customFormat="1" x14ac:dyDescent="0.25"/>
    <row r="8456" s="42" customFormat="1" x14ac:dyDescent="0.25"/>
    <row r="8457" s="42" customFormat="1" x14ac:dyDescent="0.25"/>
    <row r="8458" s="42" customFormat="1" x14ac:dyDescent="0.25"/>
    <row r="8459" s="42" customFormat="1" x14ac:dyDescent="0.25"/>
    <row r="8460" s="42" customFormat="1" x14ac:dyDescent="0.25"/>
    <row r="8461" s="42" customFormat="1" x14ac:dyDescent="0.25"/>
    <row r="8462" s="42" customFormat="1" x14ac:dyDescent="0.25"/>
    <row r="8463" s="42" customFormat="1" x14ac:dyDescent="0.25"/>
    <row r="8464" s="42" customFormat="1" x14ac:dyDescent="0.25"/>
    <row r="8465" s="42" customFormat="1" x14ac:dyDescent="0.25"/>
    <row r="8466" s="42" customFormat="1" x14ac:dyDescent="0.25"/>
    <row r="8467" s="42" customFormat="1" x14ac:dyDescent="0.25"/>
    <row r="8468" s="42" customFormat="1" x14ac:dyDescent="0.25"/>
    <row r="8469" s="42" customFormat="1" x14ac:dyDescent="0.25"/>
    <row r="8470" s="42" customFormat="1" x14ac:dyDescent="0.25"/>
    <row r="8471" s="42" customFormat="1" x14ac:dyDescent="0.25"/>
    <row r="8472" s="42" customFormat="1" x14ac:dyDescent="0.25"/>
    <row r="8473" s="42" customFormat="1" x14ac:dyDescent="0.25"/>
    <row r="8474" s="42" customFormat="1" x14ac:dyDescent="0.25"/>
    <row r="8475" s="42" customFormat="1" x14ac:dyDescent="0.25"/>
    <row r="8476" s="42" customFormat="1" x14ac:dyDescent="0.25"/>
    <row r="8477" s="42" customFormat="1" x14ac:dyDescent="0.25"/>
    <row r="8478" s="42" customFormat="1" x14ac:dyDescent="0.25"/>
    <row r="8479" s="42" customFormat="1" x14ac:dyDescent="0.25"/>
    <row r="8480" s="42" customFormat="1" x14ac:dyDescent="0.25"/>
    <row r="8481" s="42" customFormat="1" x14ac:dyDescent="0.25"/>
    <row r="8482" s="42" customFormat="1" x14ac:dyDescent="0.25"/>
    <row r="8483" s="42" customFormat="1" x14ac:dyDescent="0.25"/>
    <row r="8484" s="42" customFormat="1" x14ac:dyDescent="0.25"/>
    <row r="8485" s="42" customFormat="1" x14ac:dyDescent="0.25"/>
    <row r="8486" s="42" customFormat="1" x14ac:dyDescent="0.25"/>
    <row r="8487" s="42" customFormat="1" x14ac:dyDescent="0.25"/>
    <row r="8488" s="42" customFormat="1" x14ac:dyDescent="0.25"/>
    <row r="8489" s="42" customFormat="1" x14ac:dyDescent="0.25"/>
    <row r="8490" s="42" customFormat="1" x14ac:dyDescent="0.25"/>
    <row r="8491" s="42" customFormat="1" x14ac:dyDescent="0.25"/>
    <row r="8492" s="42" customFormat="1" x14ac:dyDescent="0.25"/>
    <row r="8493" s="42" customFormat="1" x14ac:dyDescent="0.25"/>
    <row r="8494" s="42" customFormat="1" x14ac:dyDescent="0.25"/>
    <row r="8495" s="42" customFormat="1" x14ac:dyDescent="0.25"/>
    <row r="8496" s="42" customFormat="1" x14ac:dyDescent="0.25"/>
    <row r="8497" s="42" customFormat="1" x14ac:dyDescent="0.25"/>
    <row r="8498" s="42" customFormat="1" x14ac:dyDescent="0.25"/>
    <row r="8499" s="42" customFormat="1" x14ac:dyDescent="0.25"/>
    <row r="8500" s="42" customFormat="1" x14ac:dyDescent="0.25"/>
    <row r="8501" s="42" customFormat="1" x14ac:dyDescent="0.25"/>
    <row r="8502" s="42" customFormat="1" x14ac:dyDescent="0.25"/>
    <row r="8503" s="42" customFormat="1" x14ac:dyDescent="0.25"/>
    <row r="8504" s="42" customFormat="1" x14ac:dyDescent="0.25"/>
    <row r="8505" s="42" customFormat="1" x14ac:dyDescent="0.25"/>
    <row r="8506" s="42" customFormat="1" x14ac:dyDescent="0.25"/>
    <row r="8507" s="42" customFormat="1" x14ac:dyDescent="0.25"/>
    <row r="8508" s="42" customFormat="1" x14ac:dyDescent="0.25"/>
    <row r="8509" s="42" customFormat="1" x14ac:dyDescent="0.25"/>
    <row r="8510" s="42" customFormat="1" x14ac:dyDescent="0.25"/>
    <row r="8511" s="42" customFormat="1" x14ac:dyDescent="0.25"/>
    <row r="8512" s="42" customFormat="1" x14ac:dyDescent="0.25"/>
    <row r="8513" s="42" customFormat="1" x14ac:dyDescent="0.25"/>
    <row r="8514" s="42" customFormat="1" x14ac:dyDescent="0.25"/>
    <row r="8515" s="42" customFormat="1" x14ac:dyDescent="0.25"/>
    <row r="8516" s="42" customFormat="1" x14ac:dyDescent="0.25"/>
    <row r="8517" s="42" customFormat="1" x14ac:dyDescent="0.25"/>
    <row r="8518" s="42" customFormat="1" x14ac:dyDescent="0.25"/>
    <row r="8519" s="42" customFormat="1" x14ac:dyDescent="0.25"/>
    <row r="8520" s="42" customFormat="1" x14ac:dyDescent="0.25"/>
    <row r="8521" s="42" customFormat="1" x14ac:dyDescent="0.25"/>
    <row r="8522" s="42" customFormat="1" x14ac:dyDescent="0.25"/>
    <row r="8523" s="42" customFormat="1" x14ac:dyDescent="0.25"/>
    <row r="8524" s="42" customFormat="1" x14ac:dyDescent="0.25"/>
    <row r="8525" s="42" customFormat="1" x14ac:dyDescent="0.25"/>
    <row r="8526" s="42" customFormat="1" x14ac:dyDescent="0.25"/>
    <row r="8527" s="42" customFormat="1" x14ac:dyDescent="0.25"/>
    <row r="8528" s="42" customFormat="1" x14ac:dyDescent="0.25"/>
    <row r="8529" s="42" customFormat="1" x14ac:dyDescent="0.25"/>
    <row r="8530" s="42" customFormat="1" x14ac:dyDescent="0.25"/>
    <row r="8531" s="42" customFormat="1" x14ac:dyDescent="0.25"/>
    <row r="8532" s="42" customFormat="1" x14ac:dyDescent="0.25"/>
    <row r="8533" s="42" customFormat="1" x14ac:dyDescent="0.25"/>
    <row r="8534" s="42" customFormat="1" x14ac:dyDescent="0.25"/>
    <row r="8535" s="42" customFormat="1" x14ac:dyDescent="0.25"/>
    <row r="8536" s="42" customFormat="1" x14ac:dyDescent="0.25"/>
    <row r="8537" s="42" customFormat="1" x14ac:dyDescent="0.25"/>
    <row r="8538" s="42" customFormat="1" x14ac:dyDescent="0.25"/>
    <row r="8539" s="42" customFormat="1" x14ac:dyDescent="0.25"/>
    <row r="8540" s="42" customFormat="1" x14ac:dyDescent="0.25"/>
    <row r="8541" s="42" customFormat="1" x14ac:dyDescent="0.25"/>
    <row r="8542" s="42" customFormat="1" x14ac:dyDescent="0.25"/>
    <row r="8543" s="42" customFormat="1" x14ac:dyDescent="0.25"/>
    <row r="8544" s="42" customFormat="1" x14ac:dyDescent="0.25"/>
    <row r="8545" s="42" customFormat="1" x14ac:dyDescent="0.25"/>
    <row r="8546" s="42" customFormat="1" x14ac:dyDescent="0.25"/>
    <row r="8547" s="42" customFormat="1" x14ac:dyDescent="0.25"/>
    <row r="8548" s="42" customFormat="1" x14ac:dyDescent="0.25"/>
    <row r="8549" s="42" customFormat="1" x14ac:dyDescent="0.25"/>
    <row r="8550" s="42" customFormat="1" x14ac:dyDescent="0.25"/>
    <row r="8551" s="42" customFormat="1" x14ac:dyDescent="0.25"/>
    <row r="8552" s="42" customFormat="1" x14ac:dyDescent="0.25"/>
    <row r="8553" s="42" customFormat="1" x14ac:dyDescent="0.25"/>
    <row r="8554" s="42" customFormat="1" x14ac:dyDescent="0.25"/>
    <row r="8555" s="42" customFormat="1" x14ac:dyDescent="0.25"/>
    <row r="8556" s="42" customFormat="1" x14ac:dyDescent="0.25"/>
    <row r="8557" s="42" customFormat="1" x14ac:dyDescent="0.25"/>
    <row r="8558" s="42" customFormat="1" x14ac:dyDescent="0.25"/>
    <row r="8559" s="42" customFormat="1" x14ac:dyDescent="0.25"/>
    <row r="8560" s="42" customFormat="1" x14ac:dyDescent="0.25"/>
    <row r="8561" s="42" customFormat="1" x14ac:dyDescent="0.25"/>
    <row r="8562" s="42" customFormat="1" x14ac:dyDescent="0.25"/>
    <row r="8563" s="42" customFormat="1" x14ac:dyDescent="0.25"/>
    <row r="8564" s="42" customFormat="1" x14ac:dyDescent="0.25"/>
    <row r="8565" s="42" customFormat="1" x14ac:dyDescent="0.25"/>
    <row r="8566" s="42" customFormat="1" x14ac:dyDescent="0.25"/>
    <row r="8567" s="42" customFormat="1" x14ac:dyDescent="0.25"/>
    <row r="8568" s="42" customFormat="1" x14ac:dyDescent="0.25"/>
    <row r="8569" s="42" customFormat="1" x14ac:dyDescent="0.25"/>
    <row r="8570" s="42" customFormat="1" x14ac:dyDescent="0.25"/>
    <row r="8571" s="42" customFormat="1" x14ac:dyDescent="0.25"/>
    <row r="8572" s="42" customFormat="1" x14ac:dyDescent="0.25"/>
    <row r="8573" s="42" customFormat="1" x14ac:dyDescent="0.25"/>
    <row r="8574" s="42" customFormat="1" x14ac:dyDescent="0.25"/>
    <row r="8575" s="42" customFormat="1" x14ac:dyDescent="0.25"/>
    <row r="8576" s="42" customFormat="1" x14ac:dyDescent="0.25"/>
    <row r="8577" s="42" customFormat="1" x14ac:dyDescent="0.25"/>
    <row r="8578" s="42" customFormat="1" x14ac:dyDescent="0.25"/>
    <row r="8579" s="42" customFormat="1" x14ac:dyDescent="0.25"/>
    <row r="8580" s="42" customFormat="1" x14ac:dyDescent="0.25"/>
    <row r="8581" s="42" customFormat="1" x14ac:dyDescent="0.25"/>
    <row r="8582" s="42" customFormat="1" x14ac:dyDescent="0.25"/>
    <row r="8583" s="42" customFormat="1" x14ac:dyDescent="0.25"/>
    <row r="8584" s="42" customFormat="1" x14ac:dyDescent="0.25"/>
    <row r="8585" s="42" customFormat="1" x14ac:dyDescent="0.25"/>
    <row r="8586" s="42" customFormat="1" x14ac:dyDescent="0.25"/>
    <row r="8587" s="42" customFormat="1" x14ac:dyDescent="0.25"/>
    <row r="8588" s="42" customFormat="1" x14ac:dyDescent="0.25"/>
    <row r="8589" s="42" customFormat="1" x14ac:dyDescent="0.25"/>
    <row r="8590" s="42" customFormat="1" x14ac:dyDescent="0.25"/>
    <row r="8591" s="42" customFormat="1" x14ac:dyDescent="0.25"/>
    <row r="8592" s="42" customFormat="1" x14ac:dyDescent="0.25"/>
    <row r="8593" s="42" customFormat="1" x14ac:dyDescent="0.25"/>
    <row r="8594" s="42" customFormat="1" x14ac:dyDescent="0.25"/>
    <row r="8595" s="42" customFormat="1" x14ac:dyDescent="0.25"/>
    <row r="8596" s="42" customFormat="1" x14ac:dyDescent="0.25"/>
    <row r="8597" s="42" customFormat="1" x14ac:dyDescent="0.25"/>
    <row r="8598" s="42" customFormat="1" x14ac:dyDescent="0.25"/>
    <row r="8599" s="42" customFormat="1" x14ac:dyDescent="0.25"/>
    <row r="8600" s="42" customFormat="1" x14ac:dyDescent="0.25"/>
    <row r="8601" s="42" customFormat="1" x14ac:dyDescent="0.25"/>
    <row r="8602" s="42" customFormat="1" x14ac:dyDescent="0.25"/>
    <row r="8603" s="42" customFormat="1" x14ac:dyDescent="0.25"/>
    <row r="8604" s="42" customFormat="1" x14ac:dyDescent="0.25"/>
    <row r="8605" s="42" customFormat="1" x14ac:dyDescent="0.25"/>
    <row r="8606" s="42" customFormat="1" x14ac:dyDescent="0.25"/>
    <row r="8607" s="42" customFormat="1" x14ac:dyDescent="0.25"/>
    <row r="8608" s="42" customFormat="1" x14ac:dyDescent="0.25"/>
    <row r="8609" s="42" customFormat="1" x14ac:dyDescent="0.25"/>
    <row r="8610" s="42" customFormat="1" x14ac:dyDescent="0.25"/>
    <row r="8611" s="42" customFormat="1" x14ac:dyDescent="0.25"/>
    <row r="8612" s="42" customFormat="1" x14ac:dyDescent="0.25"/>
    <row r="8613" s="42" customFormat="1" x14ac:dyDescent="0.25"/>
    <row r="8614" s="42" customFormat="1" x14ac:dyDescent="0.25"/>
    <row r="8615" s="42" customFormat="1" x14ac:dyDescent="0.25"/>
    <row r="8616" s="42" customFormat="1" x14ac:dyDescent="0.25"/>
    <row r="8617" s="42" customFormat="1" x14ac:dyDescent="0.25"/>
    <row r="8618" s="42" customFormat="1" x14ac:dyDescent="0.25"/>
    <row r="8619" s="42" customFormat="1" x14ac:dyDescent="0.25"/>
    <row r="8620" s="42" customFormat="1" x14ac:dyDescent="0.25"/>
    <row r="8621" s="42" customFormat="1" x14ac:dyDescent="0.25"/>
    <row r="8622" s="42" customFormat="1" x14ac:dyDescent="0.25"/>
    <row r="8623" s="42" customFormat="1" x14ac:dyDescent="0.25"/>
    <row r="8624" s="42" customFormat="1" x14ac:dyDescent="0.25"/>
    <row r="8625" s="42" customFormat="1" x14ac:dyDescent="0.25"/>
    <row r="8626" s="42" customFormat="1" x14ac:dyDescent="0.25"/>
    <row r="8627" s="42" customFormat="1" x14ac:dyDescent="0.25"/>
    <row r="8628" s="42" customFormat="1" x14ac:dyDescent="0.25"/>
    <row r="8629" s="42" customFormat="1" x14ac:dyDescent="0.25"/>
    <row r="8630" s="42" customFormat="1" x14ac:dyDescent="0.25"/>
    <row r="8631" s="42" customFormat="1" x14ac:dyDescent="0.25"/>
    <row r="8632" s="42" customFormat="1" x14ac:dyDescent="0.25"/>
    <row r="8633" s="42" customFormat="1" x14ac:dyDescent="0.25"/>
    <row r="8634" s="42" customFormat="1" x14ac:dyDescent="0.25"/>
    <row r="8635" s="42" customFormat="1" x14ac:dyDescent="0.25"/>
    <row r="8636" s="42" customFormat="1" x14ac:dyDescent="0.25"/>
    <row r="8637" s="42" customFormat="1" x14ac:dyDescent="0.25"/>
    <row r="8638" s="42" customFormat="1" x14ac:dyDescent="0.25"/>
    <row r="8639" s="42" customFormat="1" x14ac:dyDescent="0.25"/>
    <row r="8640" s="42" customFormat="1" x14ac:dyDescent="0.25"/>
    <row r="8641" s="42" customFormat="1" x14ac:dyDescent="0.25"/>
    <row r="8642" s="42" customFormat="1" x14ac:dyDescent="0.25"/>
    <row r="8643" s="42" customFormat="1" x14ac:dyDescent="0.25"/>
    <row r="8644" s="42" customFormat="1" x14ac:dyDescent="0.25"/>
    <row r="8645" s="42" customFormat="1" x14ac:dyDescent="0.25"/>
    <row r="8646" s="42" customFormat="1" x14ac:dyDescent="0.25"/>
    <row r="8647" s="42" customFormat="1" x14ac:dyDescent="0.25"/>
    <row r="8648" s="42" customFormat="1" x14ac:dyDescent="0.25"/>
    <row r="8649" s="42" customFormat="1" x14ac:dyDescent="0.25"/>
    <row r="8650" s="42" customFormat="1" x14ac:dyDescent="0.25"/>
    <row r="8651" s="42" customFormat="1" x14ac:dyDescent="0.25"/>
    <row r="8652" s="42" customFormat="1" x14ac:dyDescent="0.25"/>
    <row r="8653" s="42" customFormat="1" x14ac:dyDescent="0.25"/>
    <row r="8654" s="42" customFormat="1" x14ac:dyDescent="0.25"/>
    <row r="8655" s="42" customFormat="1" x14ac:dyDescent="0.25"/>
    <row r="8656" s="42" customFormat="1" x14ac:dyDescent="0.25"/>
    <row r="8657" s="42" customFormat="1" x14ac:dyDescent="0.25"/>
    <row r="8658" s="42" customFormat="1" x14ac:dyDescent="0.25"/>
    <row r="8659" s="42" customFormat="1" x14ac:dyDescent="0.25"/>
    <row r="8660" s="42" customFormat="1" x14ac:dyDescent="0.25"/>
    <row r="8661" s="42" customFormat="1" x14ac:dyDescent="0.25"/>
    <row r="8662" s="42" customFormat="1" x14ac:dyDescent="0.25"/>
    <row r="8663" s="42" customFormat="1" x14ac:dyDescent="0.25"/>
    <row r="8664" s="42" customFormat="1" x14ac:dyDescent="0.25"/>
    <row r="8665" s="42" customFormat="1" x14ac:dyDescent="0.25"/>
    <row r="8666" s="42" customFormat="1" x14ac:dyDescent="0.25"/>
    <row r="8667" s="42" customFormat="1" x14ac:dyDescent="0.25"/>
    <row r="8668" s="42" customFormat="1" x14ac:dyDescent="0.25"/>
    <row r="8669" s="42" customFormat="1" x14ac:dyDescent="0.25"/>
    <row r="8670" s="42" customFormat="1" x14ac:dyDescent="0.25"/>
    <row r="8671" s="42" customFormat="1" x14ac:dyDescent="0.25"/>
    <row r="8672" s="42" customFormat="1" x14ac:dyDescent="0.25"/>
    <row r="8673" s="42" customFormat="1" x14ac:dyDescent="0.25"/>
    <row r="8674" s="42" customFormat="1" x14ac:dyDescent="0.25"/>
    <row r="8675" s="42" customFormat="1" x14ac:dyDescent="0.25"/>
    <row r="8676" s="42" customFormat="1" x14ac:dyDescent="0.25"/>
    <row r="8677" s="42" customFormat="1" x14ac:dyDescent="0.25"/>
    <row r="8678" s="42" customFormat="1" x14ac:dyDescent="0.25"/>
    <row r="8679" s="42" customFormat="1" x14ac:dyDescent="0.25"/>
    <row r="8680" s="42" customFormat="1" x14ac:dyDescent="0.25"/>
    <row r="8681" s="42" customFormat="1" x14ac:dyDescent="0.25"/>
    <row r="8682" s="42" customFormat="1" x14ac:dyDescent="0.25"/>
    <row r="8683" s="42" customFormat="1" x14ac:dyDescent="0.25"/>
    <row r="8684" s="42" customFormat="1" x14ac:dyDescent="0.25"/>
    <row r="8685" s="42" customFormat="1" x14ac:dyDescent="0.25"/>
    <row r="8686" s="42" customFormat="1" x14ac:dyDescent="0.25"/>
    <row r="8687" s="42" customFormat="1" x14ac:dyDescent="0.25"/>
    <row r="8688" s="42" customFormat="1" x14ac:dyDescent="0.25"/>
    <row r="8689" s="42" customFormat="1" x14ac:dyDescent="0.25"/>
    <row r="8690" s="42" customFormat="1" x14ac:dyDescent="0.25"/>
    <row r="8691" s="42" customFormat="1" x14ac:dyDescent="0.25"/>
    <row r="8692" s="42" customFormat="1" x14ac:dyDescent="0.25"/>
    <row r="8693" s="42" customFormat="1" x14ac:dyDescent="0.25"/>
    <row r="8694" s="42" customFormat="1" x14ac:dyDescent="0.25"/>
    <row r="8695" s="42" customFormat="1" x14ac:dyDescent="0.25"/>
    <row r="8696" s="42" customFormat="1" x14ac:dyDescent="0.25"/>
    <row r="8697" s="42" customFormat="1" x14ac:dyDescent="0.25"/>
    <row r="8698" s="42" customFormat="1" x14ac:dyDescent="0.25"/>
    <row r="8699" s="42" customFormat="1" x14ac:dyDescent="0.25"/>
    <row r="8700" s="42" customFormat="1" x14ac:dyDescent="0.25"/>
    <row r="8701" s="42" customFormat="1" x14ac:dyDescent="0.25"/>
    <row r="8702" s="42" customFormat="1" x14ac:dyDescent="0.25"/>
    <row r="8703" s="42" customFormat="1" x14ac:dyDescent="0.25"/>
    <row r="8704" s="42" customFormat="1" x14ac:dyDescent="0.25"/>
    <row r="8705" s="42" customFormat="1" x14ac:dyDescent="0.25"/>
    <row r="8706" s="42" customFormat="1" x14ac:dyDescent="0.25"/>
    <row r="8707" s="42" customFormat="1" x14ac:dyDescent="0.25"/>
    <row r="8708" s="42" customFormat="1" x14ac:dyDescent="0.25"/>
    <row r="8709" s="42" customFormat="1" x14ac:dyDescent="0.25"/>
    <row r="8710" s="42" customFormat="1" x14ac:dyDescent="0.25"/>
    <row r="8711" s="42" customFormat="1" x14ac:dyDescent="0.25"/>
    <row r="8712" s="42" customFormat="1" x14ac:dyDescent="0.25"/>
    <row r="8713" s="42" customFormat="1" x14ac:dyDescent="0.25"/>
    <row r="8714" s="42" customFormat="1" x14ac:dyDescent="0.25"/>
    <row r="8715" s="42" customFormat="1" x14ac:dyDescent="0.25"/>
    <row r="8716" s="42" customFormat="1" x14ac:dyDescent="0.25"/>
    <row r="8717" s="42" customFormat="1" x14ac:dyDescent="0.25"/>
    <row r="8718" s="42" customFormat="1" x14ac:dyDescent="0.25"/>
    <row r="8719" s="42" customFormat="1" x14ac:dyDescent="0.25"/>
    <row r="8720" s="42" customFormat="1" x14ac:dyDescent="0.25"/>
    <row r="8721" s="42" customFormat="1" x14ac:dyDescent="0.25"/>
    <row r="8722" s="42" customFormat="1" x14ac:dyDescent="0.25"/>
    <row r="8723" s="42" customFormat="1" x14ac:dyDescent="0.25"/>
    <row r="8724" s="42" customFormat="1" x14ac:dyDescent="0.25"/>
    <row r="8725" s="42" customFormat="1" x14ac:dyDescent="0.25"/>
    <row r="8726" s="42" customFormat="1" x14ac:dyDescent="0.25"/>
    <row r="8727" s="42" customFormat="1" x14ac:dyDescent="0.25"/>
    <row r="8728" s="42" customFormat="1" x14ac:dyDescent="0.25"/>
    <row r="8729" s="42" customFormat="1" x14ac:dyDescent="0.25"/>
    <row r="8730" s="42" customFormat="1" x14ac:dyDescent="0.25"/>
    <row r="8731" s="42" customFormat="1" x14ac:dyDescent="0.25"/>
    <row r="8732" s="42" customFormat="1" x14ac:dyDescent="0.25"/>
    <row r="8733" s="42" customFormat="1" x14ac:dyDescent="0.25"/>
    <row r="8734" s="42" customFormat="1" x14ac:dyDescent="0.25"/>
    <row r="8735" s="42" customFormat="1" x14ac:dyDescent="0.25"/>
    <row r="8736" s="42" customFormat="1" x14ac:dyDescent="0.25"/>
    <row r="8737" s="42" customFormat="1" x14ac:dyDescent="0.25"/>
    <row r="8738" s="42" customFormat="1" x14ac:dyDescent="0.25"/>
    <row r="8739" s="42" customFormat="1" x14ac:dyDescent="0.25"/>
    <row r="8740" s="42" customFormat="1" x14ac:dyDescent="0.25"/>
    <row r="8741" s="42" customFormat="1" x14ac:dyDescent="0.25"/>
    <row r="8742" s="42" customFormat="1" x14ac:dyDescent="0.25"/>
    <row r="8743" s="42" customFormat="1" x14ac:dyDescent="0.25"/>
    <row r="8744" s="42" customFormat="1" x14ac:dyDescent="0.25"/>
    <row r="8745" s="42" customFormat="1" x14ac:dyDescent="0.25"/>
    <row r="8746" s="42" customFormat="1" x14ac:dyDescent="0.25"/>
    <row r="8747" s="42" customFormat="1" x14ac:dyDescent="0.25"/>
    <row r="8748" s="42" customFormat="1" x14ac:dyDescent="0.25"/>
    <row r="8749" s="42" customFormat="1" x14ac:dyDescent="0.25"/>
    <row r="8750" s="42" customFormat="1" x14ac:dyDescent="0.25"/>
    <row r="8751" s="42" customFormat="1" x14ac:dyDescent="0.25"/>
    <row r="8752" s="42" customFormat="1" x14ac:dyDescent="0.25"/>
    <row r="8753" s="42" customFormat="1" x14ac:dyDescent="0.25"/>
    <row r="8754" s="42" customFormat="1" x14ac:dyDescent="0.25"/>
    <row r="8755" s="42" customFormat="1" x14ac:dyDescent="0.25"/>
    <row r="8756" s="42" customFormat="1" x14ac:dyDescent="0.25"/>
    <row r="8757" s="42" customFormat="1" x14ac:dyDescent="0.25"/>
    <row r="8758" s="42" customFormat="1" x14ac:dyDescent="0.25"/>
    <row r="8759" s="42" customFormat="1" x14ac:dyDescent="0.25"/>
    <row r="8760" s="42" customFormat="1" x14ac:dyDescent="0.25"/>
    <row r="8761" s="42" customFormat="1" x14ac:dyDescent="0.25"/>
    <row r="8762" s="42" customFormat="1" x14ac:dyDescent="0.25"/>
    <row r="8763" s="42" customFormat="1" x14ac:dyDescent="0.25"/>
    <row r="8764" s="42" customFormat="1" x14ac:dyDescent="0.25"/>
    <row r="8765" s="42" customFormat="1" x14ac:dyDescent="0.25"/>
    <row r="8766" s="42" customFormat="1" x14ac:dyDescent="0.25"/>
    <row r="8767" s="42" customFormat="1" x14ac:dyDescent="0.25"/>
    <row r="8768" s="42" customFormat="1" x14ac:dyDescent="0.25"/>
    <row r="8769" s="42" customFormat="1" x14ac:dyDescent="0.25"/>
    <row r="8770" s="42" customFormat="1" x14ac:dyDescent="0.25"/>
    <row r="8771" s="42" customFormat="1" x14ac:dyDescent="0.25"/>
    <row r="8772" s="42" customFormat="1" x14ac:dyDescent="0.25"/>
    <row r="8773" s="42" customFormat="1" x14ac:dyDescent="0.25"/>
    <row r="8774" s="42" customFormat="1" x14ac:dyDescent="0.25"/>
    <row r="8775" s="42" customFormat="1" x14ac:dyDescent="0.25"/>
    <row r="8776" s="42" customFormat="1" x14ac:dyDescent="0.25"/>
    <row r="8777" s="42" customFormat="1" x14ac:dyDescent="0.25"/>
    <row r="8778" s="42" customFormat="1" x14ac:dyDescent="0.25"/>
    <row r="8779" s="42" customFormat="1" x14ac:dyDescent="0.25"/>
    <row r="8780" s="42" customFormat="1" x14ac:dyDescent="0.25"/>
    <row r="8781" s="42" customFormat="1" x14ac:dyDescent="0.25"/>
    <row r="8782" s="42" customFormat="1" x14ac:dyDescent="0.25"/>
    <row r="8783" s="42" customFormat="1" x14ac:dyDescent="0.25"/>
    <row r="8784" s="42" customFormat="1" x14ac:dyDescent="0.25"/>
    <row r="8785" s="42" customFormat="1" x14ac:dyDescent="0.25"/>
    <row r="8786" s="42" customFormat="1" x14ac:dyDescent="0.25"/>
    <row r="8787" s="42" customFormat="1" x14ac:dyDescent="0.25"/>
    <row r="8788" s="42" customFormat="1" x14ac:dyDescent="0.25"/>
    <row r="8789" s="42" customFormat="1" x14ac:dyDescent="0.25"/>
    <row r="8790" s="42" customFormat="1" x14ac:dyDescent="0.25"/>
    <row r="8791" s="42" customFormat="1" x14ac:dyDescent="0.25"/>
    <row r="8792" s="42" customFormat="1" x14ac:dyDescent="0.25"/>
    <row r="8793" s="42" customFormat="1" x14ac:dyDescent="0.25"/>
    <row r="8794" s="42" customFormat="1" x14ac:dyDescent="0.25"/>
    <row r="8795" s="42" customFormat="1" x14ac:dyDescent="0.25"/>
    <row r="8796" s="42" customFormat="1" x14ac:dyDescent="0.25"/>
    <row r="8797" s="42" customFormat="1" x14ac:dyDescent="0.25"/>
    <row r="8798" s="42" customFormat="1" x14ac:dyDescent="0.25"/>
    <row r="8799" s="42" customFormat="1" x14ac:dyDescent="0.25"/>
    <row r="8800" s="42" customFormat="1" x14ac:dyDescent="0.25"/>
    <row r="8801" s="42" customFormat="1" x14ac:dyDescent="0.25"/>
    <row r="8802" s="42" customFormat="1" x14ac:dyDescent="0.25"/>
    <row r="8803" s="42" customFormat="1" x14ac:dyDescent="0.25"/>
    <row r="8804" s="42" customFormat="1" x14ac:dyDescent="0.25"/>
    <row r="8805" s="42" customFormat="1" x14ac:dyDescent="0.25"/>
    <row r="8806" s="42" customFormat="1" x14ac:dyDescent="0.25"/>
    <row r="8807" s="42" customFormat="1" x14ac:dyDescent="0.25"/>
    <row r="8808" s="42" customFormat="1" x14ac:dyDescent="0.25"/>
    <row r="8809" s="42" customFormat="1" x14ac:dyDescent="0.25"/>
    <row r="8810" s="42" customFormat="1" x14ac:dyDescent="0.25"/>
    <row r="8811" s="42" customFormat="1" x14ac:dyDescent="0.25"/>
    <row r="8812" s="42" customFormat="1" x14ac:dyDescent="0.25"/>
    <row r="8813" s="42" customFormat="1" x14ac:dyDescent="0.25"/>
    <row r="8814" s="42" customFormat="1" x14ac:dyDescent="0.25"/>
    <row r="8815" s="42" customFormat="1" x14ac:dyDescent="0.25"/>
    <row r="8816" s="42" customFormat="1" x14ac:dyDescent="0.25"/>
    <row r="8817" s="42" customFormat="1" x14ac:dyDescent="0.25"/>
    <row r="8818" s="42" customFormat="1" x14ac:dyDescent="0.25"/>
    <row r="8819" s="42" customFormat="1" x14ac:dyDescent="0.25"/>
    <row r="8820" s="42" customFormat="1" x14ac:dyDescent="0.25"/>
    <row r="8821" s="42" customFormat="1" x14ac:dyDescent="0.25"/>
    <row r="8822" s="42" customFormat="1" x14ac:dyDescent="0.25"/>
    <row r="8823" s="42" customFormat="1" x14ac:dyDescent="0.25"/>
    <row r="8824" s="42" customFormat="1" x14ac:dyDescent="0.25"/>
    <row r="8825" s="42" customFormat="1" x14ac:dyDescent="0.25"/>
    <row r="8826" s="42" customFormat="1" x14ac:dyDescent="0.25"/>
    <row r="8827" s="42" customFormat="1" x14ac:dyDescent="0.25"/>
    <row r="8828" s="42" customFormat="1" x14ac:dyDescent="0.25"/>
    <row r="8829" s="42" customFormat="1" x14ac:dyDescent="0.25"/>
    <row r="8830" s="42" customFormat="1" x14ac:dyDescent="0.25"/>
    <row r="8831" s="42" customFormat="1" x14ac:dyDescent="0.25"/>
    <row r="8832" s="42" customFormat="1" x14ac:dyDescent="0.25"/>
    <row r="8833" s="42" customFormat="1" x14ac:dyDescent="0.25"/>
    <row r="8834" s="42" customFormat="1" x14ac:dyDescent="0.25"/>
    <row r="8835" s="42" customFormat="1" x14ac:dyDescent="0.25"/>
    <row r="8836" s="42" customFormat="1" x14ac:dyDescent="0.25"/>
    <row r="8837" s="42" customFormat="1" x14ac:dyDescent="0.25"/>
    <row r="8838" s="42" customFormat="1" x14ac:dyDescent="0.25"/>
    <row r="8839" s="42" customFormat="1" x14ac:dyDescent="0.25"/>
    <row r="8840" s="42" customFormat="1" x14ac:dyDescent="0.25"/>
    <row r="8841" s="42" customFormat="1" x14ac:dyDescent="0.25"/>
    <row r="8842" s="42" customFormat="1" x14ac:dyDescent="0.25"/>
    <row r="8843" s="42" customFormat="1" x14ac:dyDescent="0.25"/>
    <row r="8844" s="42" customFormat="1" x14ac:dyDescent="0.25"/>
    <row r="8845" s="42" customFormat="1" x14ac:dyDescent="0.25"/>
    <row r="8846" s="42" customFormat="1" x14ac:dyDescent="0.25"/>
    <row r="8847" s="42" customFormat="1" x14ac:dyDescent="0.25"/>
    <row r="8848" s="42" customFormat="1" x14ac:dyDescent="0.25"/>
    <row r="8849" s="42" customFormat="1" x14ac:dyDescent="0.25"/>
    <row r="8850" s="42" customFormat="1" x14ac:dyDescent="0.25"/>
    <row r="8851" s="42" customFormat="1" x14ac:dyDescent="0.25"/>
    <row r="8852" s="42" customFormat="1" x14ac:dyDescent="0.25"/>
    <row r="8853" s="42" customFormat="1" x14ac:dyDescent="0.25"/>
    <row r="8854" s="42" customFormat="1" x14ac:dyDescent="0.25"/>
    <row r="8855" s="42" customFormat="1" x14ac:dyDescent="0.25"/>
    <row r="8856" s="42" customFormat="1" x14ac:dyDescent="0.25"/>
    <row r="8857" s="42" customFormat="1" x14ac:dyDescent="0.25"/>
    <row r="8858" s="42" customFormat="1" x14ac:dyDescent="0.25"/>
    <row r="8859" s="42" customFormat="1" x14ac:dyDescent="0.25"/>
    <row r="8860" s="42" customFormat="1" x14ac:dyDescent="0.25"/>
    <row r="8861" s="42" customFormat="1" x14ac:dyDescent="0.25"/>
    <row r="8862" s="42" customFormat="1" x14ac:dyDescent="0.25"/>
    <row r="8863" s="42" customFormat="1" x14ac:dyDescent="0.25"/>
    <row r="8864" s="42" customFormat="1" x14ac:dyDescent="0.25"/>
    <row r="8865" s="42" customFormat="1" x14ac:dyDescent="0.25"/>
    <row r="8866" s="42" customFormat="1" x14ac:dyDescent="0.25"/>
    <row r="8867" s="42" customFormat="1" x14ac:dyDescent="0.25"/>
    <row r="8868" s="42" customFormat="1" x14ac:dyDescent="0.25"/>
    <row r="8869" s="42" customFormat="1" x14ac:dyDescent="0.25"/>
    <row r="8870" s="42" customFormat="1" x14ac:dyDescent="0.25"/>
    <row r="8871" s="42" customFormat="1" x14ac:dyDescent="0.25"/>
    <row r="8872" s="42" customFormat="1" x14ac:dyDescent="0.25"/>
    <row r="8873" s="42" customFormat="1" x14ac:dyDescent="0.25"/>
    <row r="8874" s="42" customFormat="1" x14ac:dyDescent="0.25"/>
    <row r="8875" s="42" customFormat="1" x14ac:dyDescent="0.25"/>
    <row r="8876" s="42" customFormat="1" x14ac:dyDescent="0.25"/>
    <row r="8877" s="42" customFormat="1" x14ac:dyDescent="0.25"/>
    <row r="8878" s="42" customFormat="1" x14ac:dyDescent="0.25"/>
    <row r="8879" s="42" customFormat="1" x14ac:dyDescent="0.25"/>
    <row r="8880" s="42" customFormat="1" x14ac:dyDescent="0.25"/>
    <row r="8881" s="42" customFormat="1" x14ac:dyDescent="0.25"/>
    <row r="8882" s="42" customFormat="1" x14ac:dyDescent="0.25"/>
    <row r="8883" s="42" customFormat="1" x14ac:dyDescent="0.25"/>
    <row r="8884" s="42" customFormat="1" x14ac:dyDescent="0.25"/>
    <row r="8885" s="42" customFormat="1" x14ac:dyDescent="0.25"/>
    <row r="8886" s="42" customFormat="1" x14ac:dyDescent="0.25"/>
    <row r="8887" s="42" customFormat="1" x14ac:dyDescent="0.25"/>
    <row r="8888" s="42" customFormat="1" x14ac:dyDescent="0.25"/>
    <row r="8889" s="42" customFormat="1" x14ac:dyDescent="0.25"/>
    <row r="8890" s="42" customFormat="1" x14ac:dyDescent="0.25"/>
    <row r="8891" s="42" customFormat="1" x14ac:dyDescent="0.25"/>
    <row r="8892" s="42" customFormat="1" x14ac:dyDescent="0.25"/>
    <row r="8893" s="42" customFormat="1" x14ac:dyDescent="0.25"/>
    <row r="8894" s="42" customFormat="1" x14ac:dyDescent="0.25"/>
    <row r="8895" s="42" customFormat="1" x14ac:dyDescent="0.25"/>
    <row r="8896" s="42" customFormat="1" x14ac:dyDescent="0.25"/>
    <row r="8897" s="42" customFormat="1" x14ac:dyDescent="0.25"/>
    <row r="8898" s="42" customFormat="1" x14ac:dyDescent="0.25"/>
    <row r="8899" s="42" customFormat="1" x14ac:dyDescent="0.25"/>
    <row r="8900" s="42" customFormat="1" x14ac:dyDescent="0.25"/>
    <row r="8901" s="42" customFormat="1" x14ac:dyDescent="0.25"/>
    <row r="8902" s="42" customFormat="1" x14ac:dyDescent="0.25"/>
    <row r="8903" s="42" customFormat="1" x14ac:dyDescent="0.25"/>
    <row r="8904" s="42" customFormat="1" x14ac:dyDescent="0.25"/>
    <row r="8905" s="42" customFormat="1" x14ac:dyDescent="0.25"/>
    <row r="8906" s="42" customFormat="1" x14ac:dyDescent="0.25"/>
    <row r="8907" s="42" customFormat="1" x14ac:dyDescent="0.25"/>
    <row r="8908" s="42" customFormat="1" x14ac:dyDescent="0.25"/>
    <row r="8909" s="42" customFormat="1" x14ac:dyDescent="0.25"/>
    <row r="8910" s="42" customFormat="1" x14ac:dyDescent="0.25"/>
    <row r="8911" s="42" customFormat="1" x14ac:dyDescent="0.25"/>
    <row r="8912" s="42" customFormat="1" x14ac:dyDescent="0.25"/>
    <row r="8913" s="42" customFormat="1" x14ac:dyDescent="0.25"/>
    <row r="8914" s="42" customFormat="1" x14ac:dyDescent="0.25"/>
    <row r="8915" s="42" customFormat="1" x14ac:dyDescent="0.25"/>
    <row r="8916" s="42" customFormat="1" x14ac:dyDescent="0.25"/>
    <row r="8917" s="42" customFormat="1" x14ac:dyDescent="0.25"/>
    <row r="8918" s="42" customFormat="1" x14ac:dyDescent="0.25"/>
    <row r="8919" s="42" customFormat="1" x14ac:dyDescent="0.25"/>
    <row r="8920" s="42" customFormat="1" x14ac:dyDescent="0.25"/>
    <row r="8921" s="42" customFormat="1" x14ac:dyDescent="0.25"/>
    <row r="8922" s="42" customFormat="1" x14ac:dyDescent="0.25"/>
    <row r="8923" s="42" customFormat="1" x14ac:dyDescent="0.25"/>
    <row r="8924" s="42" customFormat="1" x14ac:dyDescent="0.25"/>
    <row r="8925" s="42" customFormat="1" x14ac:dyDescent="0.25"/>
    <row r="8926" s="42" customFormat="1" x14ac:dyDescent="0.25"/>
    <row r="8927" s="42" customFormat="1" x14ac:dyDescent="0.25"/>
    <row r="8928" s="42" customFormat="1" x14ac:dyDescent="0.25"/>
    <row r="8929" s="42" customFormat="1" x14ac:dyDescent="0.25"/>
    <row r="8930" s="42" customFormat="1" x14ac:dyDescent="0.25"/>
    <row r="8931" s="42" customFormat="1" x14ac:dyDescent="0.25"/>
    <row r="8932" s="42" customFormat="1" x14ac:dyDescent="0.25"/>
    <row r="8933" s="42" customFormat="1" x14ac:dyDescent="0.25"/>
    <row r="8934" s="42" customFormat="1" x14ac:dyDescent="0.25"/>
    <row r="8935" s="42" customFormat="1" x14ac:dyDescent="0.25"/>
    <row r="8936" s="42" customFormat="1" x14ac:dyDescent="0.25"/>
    <row r="8937" s="42" customFormat="1" x14ac:dyDescent="0.25"/>
    <row r="8938" s="42" customFormat="1" x14ac:dyDescent="0.25"/>
    <row r="8939" s="42" customFormat="1" x14ac:dyDescent="0.25"/>
    <row r="8940" s="42" customFormat="1" x14ac:dyDescent="0.25"/>
    <row r="8941" s="42" customFormat="1" x14ac:dyDescent="0.25"/>
    <row r="8942" s="42" customFormat="1" x14ac:dyDescent="0.25"/>
    <row r="8943" s="42" customFormat="1" x14ac:dyDescent="0.25"/>
    <row r="8944" s="42" customFormat="1" x14ac:dyDescent="0.25"/>
    <row r="8945" s="42" customFormat="1" x14ac:dyDescent="0.25"/>
    <row r="8946" s="42" customFormat="1" x14ac:dyDescent="0.25"/>
    <row r="8947" s="42" customFormat="1" x14ac:dyDescent="0.25"/>
    <row r="8948" s="42" customFormat="1" x14ac:dyDescent="0.25"/>
    <row r="8949" s="42" customFormat="1" x14ac:dyDescent="0.25"/>
    <row r="8950" s="42" customFormat="1" x14ac:dyDescent="0.25"/>
    <row r="8951" s="42" customFormat="1" x14ac:dyDescent="0.25"/>
    <row r="8952" s="42" customFormat="1" x14ac:dyDescent="0.25"/>
    <row r="8953" s="42" customFormat="1" x14ac:dyDescent="0.25"/>
    <row r="8954" s="42" customFormat="1" x14ac:dyDescent="0.25"/>
    <row r="8955" s="42" customFormat="1" x14ac:dyDescent="0.25"/>
    <row r="8956" s="42" customFormat="1" x14ac:dyDescent="0.25"/>
    <row r="8957" s="42" customFormat="1" x14ac:dyDescent="0.25"/>
    <row r="8958" s="42" customFormat="1" x14ac:dyDescent="0.25"/>
    <row r="8959" s="42" customFormat="1" x14ac:dyDescent="0.25"/>
    <row r="8960" s="42" customFormat="1" x14ac:dyDescent="0.25"/>
    <row r="8961" s="42" customFormat="1" x14ac:dyDescent="0.25"/>
    <row r="8962" s="42" customFormat="1" x14ac:dyDescent="0.25"/>
    <row r="8963" s="42" customFormat="1" x14ac:dyDescent="0.25"/>
    <row r="8964" s="42" customFormat="1" x14ac:dyDescent="0.25"/>
    <row r="8965" s="42" customFormat="1" x14ac:dyDescent="0.25"/>
    <row r="8966" s="42" customFormat="1" x14ac:dyDescent="0.25"/>
    <row r="8967" s="42" customFormat="1" x14ac:dyDescent="0.25"/>
    <row r="8968" s="42" customFormat="1" x14ac:dyDescent="0.25"/>
    <row r="8969" s="42" customFormat="1" x14ac:dyDescent="0.25"/>
    <row r="8970" s="42" customFormat="1" x14ac:dyDescent="0.25"/>
    <row r="8971" s="42" customFormat="1" x14ac:dyDescent="0.25"/>
    <row r="8972" s="42" customFormat="1" x14ac:dyDescent="0.25"/>
    <row r="8973" s="42" customFormat="1" x14ac:dyDescent="0.25"/>
    <row r="8974" s="42" customFormat="1" x14ac:dyDescent="0.25"/>
    <row r="8975" s="42" customFormat="1" x14ac:dyDescent="0.25"/>
    <row r="8976" s="42" customFormat="1" x14ac:dyDescent="0.25"/>
    <row r="8977" s="42" customFormat="1" x14ac:dyDescent="0.25"/>
    <row r="8978" s="42" customFormat="1" x14ac:dyDescent="0.25"/>
    <row r="8979" s="42" customFormat="1" x14ac:dyDescent="0.25"/>
    <row r="8980" s="42" customFormat="1" x14ac:dyDescent="0.25"/>
    <row r="8981" s="42" customFormat="1" x14ac:dyDescent="0.25"/>
    <row r="8982" s="42" customFormat="1" x14ac:dyDescent="0.25"/>
    <row r="8983" s="42" customFormat="1" x14ac:dyDescent="0.25"/>
    <row r="8984" s="42" customFormat="1" x14ac:dyDescent="0.25"/>
    <row r="8985" s="42" customFormat="1" x14ac:dyDescent="0.25"/>
    <row r="8986" s="42" customFormat="1" x14ac:dyDescent="0.25"/>
    <row r="8987" s="42" customFormat="1" x14ac:dyDescent="0.25"/>
    <row r="8988" s="42" customFormat="1" x14ac:dyDescent="0.25"/>
    <row r="8989" s="42" customFormat="1" x14ac:dyDescent="0.25"/>
    <row r="8990" s="42" customFormat="1" x14ac:dyDescent="0.25"/>
    <row r="8991" s="42" customFormat="1" x14ac:dyDescent="0.25"/>
    <row r="8992" s="42" customFormat="1" x14ac:dyDescent="0.25"/>
    <row r="8993" s="42" customFormat="1" x14ac:dyDescent="0.25"/>
    <row r="8994" s="42" customFormat="1" x14ac:dyDescent="0.25"/>
    <row r="8995" s="42" customFormat="1" x14ac:dyDescent="0.25"/>
    <row r="8996" s="42" customFormat="1" x14ac:dyDescent="0.25"/>
    <row r="8997" s="42" customFormat="1" x14ac:dyDescent="0.25"/>
    <row r="8998" s="42" customFormat="1" x14ac:dyDescent="0.25"/>
    <row r="8999" s="42" customFormat="1" x14ac:dyDescent="0.25"/>
    <row r="9000" s="42" customFormat="1" x14ac:dyDescent="0.25"/>
    <row r="9001" s="42" customFormat="1" x14ac:dyDescent="0.25"/>
    <row r="9002" s="42" customFormat="1" x14ac:dyDescent="0.25"/>
    <row r="9003" s="42" customFormat="1" x14ac:dyDescent="0.25"/>
    <row r="9004" s="42" customFormat="1" x14ac:dyDescent="0.25"/>
    <row r="9005" s="42" customFormat="1" x14ac:dyDescent="0.25"/>
    <row r="9006" s="42" customFormat="1" x14ac:dyDescent="0.25"/>
    <row r="9007" s="42" customFormat="1" x14ac:dyDescent="0.25"/>
    <row r="9008" s="42" customFormat="1" x14ac:dyDescent="0.25"/>
    <row r="9009" s="42" customFormat="1" x14ac:dyDescent="0.25"/>
    <row r="9010" s="42" customFormat="1" x14ac:dyDescent="0.25"/>
    <row r="9011" s="42" customFormat="1" x14ac:dyDescent="0.25"/>
    <row r="9012" s="42" customFormat="1" x14ac:dyDescent="0.25"/>
    <row r="9013" s="42" customFormat="1" x14ac:dyDescent="0.25"/>
    <row r="9014" s="42" customFormat="1" x14ac:dyDescent="0.25"/>
    <row r="9015" s="42" customFormat="1" x14ac:dyDescent="0.25"/>
    <row r="9016" s="42" customFormat="1" x14ac:dyDescent="0.25"/>
    <row r="9017" s="42" customFormat="1" x14ac:dyDescent="0.25"/>
    <row r="9018" s="42" customFormat="1" x14ac:dyDescent="0.25"/>
    <row r="9019" s="42" customFormat="1" x14ac:dyDescent="0.25"/>
    <row r="9020" s="42" customFormat="1" x14ac:dyDescent="0.25"/>
    <row r="9021" s="42" customFormat="1" x14ac:dyDescent="0.25"/>
    <row r="9022" s="42" customFormat="1" x14ac:dyDescent="0.25"/>
    <row r="9023" s="42" customFormat="1" x14ac:dyDescent="0.25"/>
    <row r="9024" s="42" customFormat="1" x14ac:dyDescent="0.25"/>
    <row r="9025" s="42" customFormat="1" x14ac:dyDescent="0.25"/>
    <row r="9026" s="42" customFormat="1" x14ac:dyDescent="0.25"/>
    <row r="9027" s="42" customFormat="1" x14ac:dyDescent="0.25"/>
    <row r="9028" s="42" customFormat="1" x14ac:dyDescent="0.25"/>
    <row r="9029" s="42" customFormat="1" x14ac:dyDescent="0.25"/>
    <row r="9030" s="42" customFormat="1" x14ac:dyDescent="0.25"/>
    <row r="9031" s="42" customFormat="1" x14ac:dyDescent="0.25"/>
    <row r="9032" s="42" customFormat="1" x14ac:dyDescent="0.25"/>
    <row r="9033" s="42" customFormat="1" x14ac:dyDescent="0.25"/>
    <row r="9034" s="42" customFormat="1" x14ac:dyDescent="0.25"/>
    <row r="9035" s="42" customFormat="1" x14ac:dyDescent="0.25"/>
    <row r="9036" s="42" customFormat="1" x14ac:dyDescent="0.25"/>
    <row r="9037" s="42" customFormat="1" x14ac:dyDescent="0.25"/>
    <row r="9038" s="42" customFormat="1" x14ac:dyDescent="0.25"/>
    <row r="9039" s="42" customFormat="1" x14ac:dyDescent="0.25"/>
    <row r="9040" s="42" customFormat="1" x14ac:dyDescent="0.25"/>
    <row r="9041" s="42" customFormat="1" x14ac:dyDescent="0.25"/>
    <row r="9042" s="42" customFormat="1" x14ac:dyDescent="0.25"/>
    <row r="9043" s="42" customFormat="1" x14ac:dyDescent="0.25"/>
    <row r="9044" s="42" customFormat="1" x14ac:dyDescent="0.25"/>
    <row r="9045" s="42" customFormat="1" x14ac:dyDescent="0.25"/>
    <row r="9046" s="42" customFormat="1" x14ac:dyDescent="0.25"/>
    <row r="9047" s="42" customFormat="1" x14ac:dyDescent="0.25"/>
    <row r="9048" s="42" customFormat="1" x14ac:dyDescent="0.25"/>
    <row r="9049" s="42" customFormat="1" x14ac:dyDescent="0.25"/>
    <row r="9050" s="42" customFormat="1" x14ac:dyDescent="0.25"/>
    <row r="9051" s="42" customFormat="1" x14ac:dyDescent="0.25"/>
    <row r="9052" s="42" customFormat="1" x14ac:dyDescent="0.25"/>
    <row r="9053" s="42" customFormat="1" x14ac:dyDescent="0.25"/>
    <row r="9054" s="42" customFormat="1" x14ac:dyDescent="0.25"/>
    <row r="9055" s="42" customFormat="1" x14ac:dyDescent="0.25"/>
    <row r="9056" s="42" customFormat="1" x14ac:dyDescent="0.25"/>
    <row r="9057" s="42" customFormat="1" x14ac:dyDescent="0.25"/>
    <row r="9058" s="42" customFormat="1" x14ac:dyDescent="0.25"/>
    <row r="9059" s="42" customFormat="1" x14ac:dyDescent="0.25"/>
    <row r="9060" s="42" customFormat="1" x14ac:dyDescent="0.25"/>
    <row r="9061" s="42" customFormat="1" x14ac:dyDescent="0.25"/>
    <row r="9062" s="42" customFormat="1" x14ac:dyDescent="0.25"/>
    <row r="9063" s="42" customFormat="1" x14ac:dyDescent="0.25"/>
    <row r="9064" s="42" customFormat="1" x14ac:dyDescent="0.25"/>
    <row r="9065" s="42" customFormat="1" x14ac:dyDescent="0.25"/>
    <row r="9066" s="42" customFormat="1" x14ac:dyDescent="0.25"/>
    <row r="9067" s="42" customFormat="1" x14ac:dyDescent="0.25"/>
    <row r="9068" s="42" customFormat="1" x14ac:dyDescent="0.25"/>
    <row r="9069" s="42" customFormat="1" x14ac:dyDescent="0.25"/>
    <row r="9070" s="42" customFormat="1" x14ac:dyDescent="0.25"/>
    <row r="9071" s="42" customFormat="1" x14ac:dyDescent="0.25"/>
    <row r="9072" s="42" customFormat="1" x14ac:dyDescent="0.25"/>
    <row r="9073" s="42" customFormat="1" x14ac:dyDescent="0.25"/>
    <row r="9074" s="42" customFormat="1" x14ac:dyDescent="0.25"/>
    <row r="9075" s="42" customFormat="1" x14ac:dyDescent="0.25"/>
    <row r="9076" s="42" customFormat="1" x14ac:dyDescent="0.25"/>
    <row r="9077" s="42" customFormat="1" x14ac:dyDescent="0.25"/>
    <row r="9078" s="42" customFormat="1" x14ac:dyDescent="0.25"/>
    <row r="9079" s="42" customFormat="1" x14ac:dyDescent="0.25"/>
    <row r="9080" s="42" customFormat="1" x14ac:dyDescent="0.25"/>
    <row r="9081" s="42" customFormat="1" x14ac:dyDescent="0.25"/>
    <row r="9082" s="42" customFormat="1" x14ac:dyDescent="0.25"/>
    <row r="9083" s="42" customFormat="1" x14ac:dyDescent="0.25"/>
    <row r="9084" s="42" customFormat="1" x14ac:dyDescent="0.25"/>
    <row r="9085" s="42" customFormat="1" x14ac:dyDescent="0.25"/>
    <row r="9086" s="42" customFormat="1" x14ac:dyDescent="0.25"/>
    <row r="9087" s="42" customFormat="1" x14ac:dyDescent="0.25"/>
    <row r="9088" s="42" customFormat="1" x14ac:dyDescent="0.25"/>
    <row r="9089" s="42" customFormat="1" x14ac:dyDescent="0.25"/>
    <row r="9090" s="42" customFormat="1" x14ac:dyDescent="0.25"/>
    <row r="9091" s="42" customFormat="1" x14ac:dyDescent="0.25"/>
    <row r="9092" s="42" customFormat="1" x14ac:dyDescent="0.25"/>
    <row r="9093" s="42" customFormat="1" x14ac:dyDescent="0.25"/>
    <row r="9094" s="42" customFormat="1" x14ac:dyDescent="0.25"/>
    <row r="9095" s="42" customFormat="1" x14ac:dyDescent="0.25"/>
    <row r="9096" s="42" customFormat="1" x14ac:dyDescent="0.25"/>
    <row r="9097" s="42" customFormat="1" x14ac:dyDescent="0.25"/>
    <row r="9098" s="42" customFormat="1" x14ac:dyDescent="0.25"/>
    <row r="9099" s="42" customFormat="1" x14ac:dyDescent="0.25"/>
    <row r="9100" s="42" customFormat="1" x14ac:dyDescent="0.25"/>
    <row r="9101" s="42" customFormat="1" x14ac:dyDescent="0.25"/>
    <row r="9102" s="42" customFormat="1" x14ac:dyDescent="0.25"/>
    <row r="9103" s="42" customFormat="1" x14ac:dyDescent="0.25"/>
    <row r="9104" s="42" customFormat="1" x14ac:dyDescent="0.25"/>
    <row r="9105" s="42" customFormat="1" x14ac:dyDescent="0.25"/>
    <row r="9106" s="42" customFormat="1" x14ac:dyDescent="0.25"/>
    <row r="9107" s="42" customFormat="1" x14ac:dyDescent="0.25"/>
    <row r="9108" s="42" customFormat="1" x14ac:dyDescent="0.25"/>
    <row r="9109" s="42" customFormat="1" x14ac:dyDescent="0.25"/>
    <row r="9110" s="42" customFormat="1" x14ac:dyDescent="0.25"/>
    <row r="9111" s="42" customFormat="1" x14ac:dyDescent="0.25"/>
    <row r="9112" s="42" customFormat="1" x14ac:dyDescent="0.25"/>
    <row r="9113" s="42" customFormat="1" x14ac:dyDescent="0.25"/>
    <row r="9114" s="42" customFormat="1" x14ac:dyDescent="0.25"/>
    <row r="9115" s="42" customFormat="1" x14ac:dyDescent="0.25"/>
    <row r="9116" s="42" customFormat="1" x14ac:dyDescent="0.25"/>
    <row r="9117" s="42" customFormat="1" x14ac:dyDescent="0.25"/>
    <row r="9118" s="42" customFormat="1" x14ac:dyDescent="0.25"/>
    <row r="9119" s="42" customFormat="1" x14ac:dyDescent="0.25"/>
    <row r="9120" s="42" customFormat="1" x14ac:dyDescent="0.25"/>
    <row r="9121" s="42" customFormat="1" x14ac:dyDescent="0.25"/>
    <row r="9122" s="42" customFormat="1" x14ac:dyDescent="0.25"/>
    <row r="9123" s="42" customFormat="1" x14ac:dyDescent="0.25"/>
    <row r="9124" s="42" customFormat="1" x14ac:dyDescent="0.25"/>
    <row r="9125" s="42" customFormat="1" x14ac:dyDescent="0.25"/>
    <row r="9126" s="42" customFormat="1" x14ac:dyDescent="0.25"/>
    <row r="9127" s="42" customFormat="1" x14ac:dyDescent="0.25"/>
    <row r="9128" s="42" customFormat="1" x14ac:dyDescent="0.25"/>
    <row r="9129" s="42" customFormat="1" x14ac:dyDescent="0.25"/>
    <row r="9130" s="42" customFormat="1" x14ac:dyDescent="0.25"/>
    <row r="9131" s="42" customFormat="1" x14ac:dyDescent="0.25"/>
    <row r="9132" s="42" customFormat="1" x14ac:dyDescent="0.25"/>
    <row r="9133" s="42" customFormat="1" x14ac:dyDescent="0.25"/>
    <row r="9134" s="42" customFormat="1" x14ac:dyDescent="0.25"/>
    <row r="9135" s="42" customFormat="1" x14ac:dyDescent="0.25"/>
    <row r="9136" s="42" customFormat="1" x14ac:dyDescent="0.25"/>
    <row r="9137" s="42" customFormat="1" x14ac:dyDescent="0.25"/>
    <row r="9138" s="42" customFormat="1" x14ac:dyDescent="0.25"/>
    <row r="9139" s="42" customFormat="1" x14ac:dyDescent="0.25"/>
    <row r="9140" s="42" customFormat="1" x14ac:dyDescent="0.25"/>
    <row r="9141" s="42" customFormat="1" x14ac:dyDescent="0.25"/>
    <row r="9142" s="42" customFormat="1" x14ac:dyDescent="0.25"/>
    <row r="9143" s="42" customFormat="1" x14ac:dyDescent="0.25"/>
    <row r="9144" s="42" customFormat="1" x14ac:dyDescent="0.25"/>
    <row r="9145" s="42" customFormat="1" x14ac:dyDescent="0.25"/>
    <row r="9146" s="42" customFormat="1" x14ac:dyDescent="0.25"/>
    <row r="9147" s="42" customFormat="1" x14ac:dyDescent="0.25"/>
    <row r="9148" s="42" customFormat="1" x14ac:dyDescent="0.25"/>
    <row r="9149" s="42" customFormat="1" x14ac:dyDescent="0.25"/>
    <row r="9150" s="42" customFormat="1" x14ac:dyDescent="0.25"/>
    <row r="9151" s="42" customFormat="1" x14ac:dyDescent="0.25"/>
    <row r="9152" s="42" customFormat="1" x14ac:dyDescent="0.25"/>
    <row r="9153" s="42" customFormat="1" x14ac:dyDescent="0.25"/>
    <row r="9154" s="42" customFormat="1" x14ac:dyDescent="0.25"/>
    <row r="9155" s="42" customFormat="1" x14ac:dyDescent="0.25"/>
    <row r="9156" s="42" customFormat="1" x14ac:dyDescent="0.25"/>
    <row r="9157" s="42" customFormat="1" x14ac:dyDescent="0.25"/>
    <row r="9158" s="42" customFormat="1" x14ac:dyDescent="0.25"/>
    <row r="9159" s="42" customFormat="1" x14ac:dyDescent="0.25"/>
    <row r="9160" s="42" customFormat="1" x14ac:dyDescent="0.25"/>
    <row r="9161" s="42" customFormat="1" x14ac:dyDescent="0.25"/>
    <row r="9162" s="42" customFormat="1" x14ac:dyDescent="0.25"/>
    <row r="9163" s="42" customFormat="1" x14ac:dyDescent="0.25"/>
    <row r="9164" s="42" customFormat="1" x14ac:dyDescent="0.25"/>
    <row r="9165" s="42" customFormat="1" x14ac:dyDescent="0.25"/>
    <row r="9166" s="42" customFormat="1" x14ac:dyDescent="0.25"/>
    <row r="9167" s="42" customFormat="1" x14ac:dyDescent="0.25"/>
    <row r="9168" s="42" customFormat="1" x14ac:dyDescent="0.25"/>
    <row r="9169" s="42" customFormat="1" x14ac:dyDescent="0.25"/>
    <row r="9170" s="42" customFormat="1" x14ac:dyDescent="0.25"/>
    <row r="9171" s="42" customFormat="1" x14ac:dyDescent="0.25"/>
    <row r="9172" s="42" customFormat="1" x14ac:dyDescent="0.25"/>
    <row r="9173" s="42" customFormat="1" x14ac:dyDescent="0.25"/>
    <row r="9174" s="42" customFormat="1" x14ac:dyDescent="0.25"/>
    <row r="9175" s="42" customFormat="1" x14ac:dyDescent="0.25"/>
    <row r="9176" s="42" customFormat="1" x14ac:dyDescent="0.25"/>
    <row r="9177" s="42" customFormat="1" x14ac:dyDescent="0.25"/>
    <row r="9178" s="42" customFormat="1" x14ac:dyDescent="0.25"/>
    <row r="9179" s="42" customFormat="1" x14ac:dyDescent="0.25"/>
    <row r="9180" s="42" customFormat="1" x14ac:dyDescent="0.25"/>
    <row r="9181" s="42" customFormat="1" x14ac:dyDescent="0.25"/>
    <row r="9182" s="42" customFormat="1" x14ac:dyDescent="0.25"/>
    <row r="9183" s="42" customFormat="1" x14ac:dyDescent="0.25"/>
    <row r="9184" s="42" customFormat="1" x14ac:dyDescent="0.25"/>
    <row r="9185" s="42" customFormat="1" x14ac:dyDescent="0.25"/>
    <row r="9186" s="42" customFormat="1" x14ac:dyDescent="0.25"/>
    <row r="9187" s="42" customFormat="1" x14ac:dyDescent="0.25"/>
    <row r="9188" s="42" customFormat="1" x14ac:dyDescent="0.25"/>
    <row r="9189" s="42" customFormat="1" x14ac:dyDescent="0.25"/>
    <row r="9190" s="42" customFormat="1" x14ac:dyDescent="0.25"/>
    <row r="9191" s="42" customFormat="1" x14ac:dyDescent="0.25"/>
    <row r="9192" s="42" customFormat="1" x14ac:dyDescent="0.25"/>
    <row r="9193" s="42" customFormat="1" x14ac:dyDescent="0.25"/>
    <row r="9194" s="42" customFormat="1" x14ac:dyDescent="0.25"/>
    <row r="9195" s="42" customFormat="1" x14ac:dyDescent="0.25"/>
    <row r="9196" s="42" customFormat="1" x14ac:dyDescent="0.25"/>
    <row r="9197" s="42" customFormat="1" x14ac:dyDescent="0.25"/>
    <row r="9198" s="42" customFormat="1" x14ac:dyDescent="0.25"/>
    <row r="9199" s="42" customFormat="1" x14ac:dyDescent="0.25"/>
    <row r="9200" s="42" customFormat="1" x14ac:dyDescent="0.25"/>
    <row r="9201" s="42" customFormat="1" x14ac:dyDescent="0.25"/>
    <row r="9202" s="42" customFormat="1" x14ac:dyDescent="0.25"/>
    <row r="9203" s="42" customFormat="1" x14ac:dyDescent="0.25"/>
    <row r="9204" s="42" customFormat="1" x14ac:dyDescent="0.25"/>
    <row r="9205" s="42" customFormat="1" x14ac:dyDescent="0.25"/>
    <row r="9206" s="42" customFormat="1" x14ac:dyDescent="0.25"/>
    <row r="9207" s="42" customFormat="1" x14ac:dyDescent="0.25"/>
    <row r="9208" s="42" customFormat="1" x14ac:dyDescent="0.25"/>
    <row r="9209" s="42" customFormat="1" x14ac:dyDescent="0.25"/>
    <row r="9210" s="42" customFormat="1" x14ac:dyDescent="0.25"/>
    <row r="9211" s="42" customFormat="1" x14ac:dyDescent="0.25"/>
    <row r="9212" s="42" customFormat="1" x14ac:dyDescent="0.25"/>
    <row r="9213" s="42" customFormat="1" x14ac:dyDescent="0.25"/>
    <row r="9214" s="42" customFormat="1" x14ac:dyDescent="0.25"/>
    <row r="9215" s="42" customFormat="1" x14ac:dyDescent="0.25"/>
    <row r="9216" s="42" customFormat="1" x14ac:dyDescent="0.25"/>
    <row r="9217" s="42" customFormat="1" x14ac:dyDescent="0.25"/>
    <row r="9218" s="42" customFormat="1" x14ac:dyDescent="0.25"/>
    <row r="9219" s="42" customFormat="1" x14ac:dyDescent="0.25"/>
    <row r="9220" s="42" customFormat="1" x14ac:dyDescent="0.25"/>
    <row r="9221" s="42" customFormat="1" x14ac:dyDescent="0.25"/>
    <row r="9222" s="42" customFormat="1" x14ac:dyDescent="0.25"/>
    <row r="9223" s="42" customFormat="1" x14ac:dyDescent="0.25"/>
    <row r="9224" s="42" customFormat="1" x14ac:dyDescent="0.25"/>
    <row r="9225" s="42" customFormat="1" x14ac:dyDescent="0.25"/>
    <row r="9226" s="42" customFormat="1" x14ac:dyDescent="0.25"/>
    <row r="9227" s="42" customFormat="1" x14ac:dyDescent="0.25"/>
    <row r="9228" s="42" customFormat="1" x14ac:dyDescent="0.25"/>
    <row r="9229" s="42" customFormat="1" x14ac:dyDescent="0.25"/>
    <row r="9230" s="42" customFormat="1" x14ac:dyDescent="0.25"/>
    <row r="9231" s="42" customFormat="1" x14ac:dyDescent="0.25"/>
    <row r="9232" s="42" customFormat="1" x14ac:dyDescent="0.25"/>
    <row r="9233" s="42" customFormat="1" x14ac:dyDescent="0.25"/>
    <row r="9234" s="42" customFormat="1" x14ac:dyDescent="0.25"/>
    <row r="9235" s="42" customFormat="1" x14ac:dyDescent="0.25"/>
    <row r="9236" s="42" customFormat="1" x14ac:dyDescent="0.25"/>
    <row r="9237" s="42" customFormat="1" x14ac:dyDescent="0.25"/>
    <row r="9238" s="42" customFormat="1" x14ac:dyDescent="0.25"/>
    <row r="9239" s="42" customFormat="1" x14ac:dyDescent="0.25"/>
    <row r="9240" s="42" customFormat="1" x14ac:dyDescent="0.25"/>
    <row r="9241" s="42" customFormat="1" x14ac:dyDescent="0.25"/>
    <row r="9242" s="42" customFormat="1" x14ac:dyDescent="0.25"/>
    <row r="9243" s="42" customFormat="1" x14ac:dyDescent="0.25"/>
    <row r="9244" s="42" customFormat="1" x14ac:dyDescent="0.25"/>
    <row r="9245" s="42" customFormat="1" x14ac:dyDescent="0.25"/>
    <row r="9246" s="42" customFormat="1" x14ac:dyDescent="0.25"/>
    <row r="9247" s="42" customFormat="1" x14ac:dyDescent="0.25"/>
    <row r="9248" s="42" customFormat="1" x14ac:dyDescent="0.25"/>
    <row r="9249" s="42" customFormat="1" x14ac:dyDescent="0.25"/>
    <row r="9250" s="42" customFormat="1" x14ac:dyDescent="0.25"/>
    <row r="9251" s="42" customFormat="1" x14ac:dyDescent="0.25"/>
    <row r="9252" s="42" customFormat="1" x14ac:dyDescent="0.25"/>
    <row r="9253" s="42" customFormat="1" x14ac:dyDescent="0.25"/>
    <row r="9254" s="42" customFormat="1" x14ac:dyDescent="0.25"/>
    <row r="9255" s="42" customFormat="1" x14ac:dyDescent="0.25"/>
    <row r="9256" s="42" customFormat="1" x14ac:dyDescent="0.25"/>
    <row r="9257" s="42" customFormat="1" x14ac:dyDescent="0.25"/>
    <row r="9258" s="42" customFormat="1" x14ac:dyDescent="0.25"/>
    <row r="9259" s="42" customFormat="1" x14ac:dyDescent="0.25"/>
    <row r="9260" s="42" customFormat="1" x14ac:dyDescent="0.25"/>
    <row r="9261" s="42" customFormat="1" x14ac:dyDescent="0.25"/>
    <row r="9262" s="42" customFormat="1" x14ac:dyDescent="0.25"/>
    <row r="9263" s="42" customFormat="1" x14ac:dyDescent="0.25"/>
    <row r="9264" s="42" customFormat="1" x14ac:dyDescent="0.25"/>
    <row r="9265" s="42" customFormat="1" x14ac:dyDescent="0.25"/>
    <row r="9266" s="42" customFormat="1" x14ac:dyDescent="0.25"/>
    <row r="9267" s="42" customFormat="1" x14ac:dyDescent="0.25"/>
    <row r="9268" s="42" customFormat="1" x14ac:dyDescent="0.25"/>
    <row r="9269" s="42" customFormat="1" x14ac:dyDescent="0.25"/>
    <row r="9270" s="42" customFormat="1" x14ac:dyDescent="0.25"/>
    <row r="9271" s="42" customFormat="1" x14ac:dyDescent="0.25"/>
    <row r="9272" s="42" customFormat="1" x14ac:dyDescent="0.25"/>
    <row r="9273" s="42" customFormat="1" x14ac:dyDescent="0.25"/>
    <row r="9274" s="42" customFormat="1" x14ac:dyDescent="0.25"/>
    <row r="9275" s="42" customFormat="1" x14ac:dyDescent="0.25"/>
    <row r="9276" s="42" customFormat="1" x14ac:dyDescent="0.25"/>
    <row r="9277" s="42" customFormat="1" x14ac:dyDescent="0.25"/>
    <row r="9278" s="42" customFormat="1" x14ac:dyDescent="0.25"/>
    <row r="9279" s="42" customFormat="1" x14ac:dyDescent="0.25"/>
    <row r="9280" s="42" customFormat="1" x14ac:dyDescent="0.25"/>
    <row r="9281" s="42" customFormat="1" x14ac:dyDescent="0.25"/>
    <row r="9282" s="42" customFormat="1" x14ac:dyDescent="0.25"/>
    <row r="9283" s="42" customFormat="1" x14ac:dyDescent="0.25"/>
    <row r="9284" s="42" customFormat="1" x14ac:dyDescent="0.25"/>
    <row r="9285" s="42" customFormat="1" x14ac:dyDescent="0.25"/>
    <row r="9286" s="42" customFormat="1" x14ac:dyDescent="0.25"/>
    <row r="9287" s="42" customFormat="1" x14ac:dyDescent="0.25"/>
    <row r="9288" s="42" customFormat="1" x14ac:dyDescent="0.25"/>
    <row r="9289" s="42" customFormat="1" x14ac:dyDescent="0.25"/>
    <row r="9290" s="42" customFormat="1" x14ac:dyDescent="0.25"/>
    <row r="9291" s="42" customFormat="1" x14ac:dyDescent="0.25"/>
    <row r="9292" s="42" customFormat="1" x14ac:dyDescent="0.25"/>
    <row r="9293" s="42" customFormat="1" x14ac:dyDescent="0.25"/>
    <row r="9294" s="42" customFormat="1" x14ac:dyDescent="0.25"/>
    <row r="9295" s="42" customFormat="1" x14ac:dyDescent="0.25"/>
    <row r="9296" s="42" customFormat="1" x14ac:dyDescent="0.25"/>
    <row r="9297" s="42" customFormat="1" x14ac:dyDescent="0.25"/>
    <row r="9298" s="42" customFormat="1" x14ac:dyDescent="0.25"/>
    <row r="9299" s="42" customFormat="1" x14ac:dyDescent="0.25"/>
    <row r="9300" s="42" customFormat="1" x14ac:dyDescent="0.25"/>
    <row r="9301" s="42" customFormat="1" x14ac:dyDescent="0.25"/>
    <row r="9302" s="42" customFormat="1" x14ac:dyDescent="0.25"/>
    <row r="9303" s="42" customFormat="1" x14ac:dyDescent="0.25"/>
    <row r="9304" s="42" customFormat="1" x14ac:dyDescent="0.25"/>
    <row r="9305" s="42" customFormat="1" x14ac:dyDescent="0.25"/>
    <row r="9306" s="42" customFormat="1" x14ac:dyDescent="0.25"/>
    <row r="9307" s="42" customFormat="1" x14ac:dyDescent="0.25"/>
    <row r="9308" s="42" customFormat="1" x14ac:dyDescent="0.25"/>
    <row r="9309" s="42" customFormat="1" x14ac:dyDescent="0.25"/>
    <row r="9310" s="42" customFormat="1" x14ac:dyDescent="0.25"/>
    <row r="9311" s="42" customFormat="1" x14ac:dyDescent="0.25"/>
    <row r="9312" s="42" customFormat="1" x14ac:dyDescent="0.25"/>
    <row r="9313" s="42" customFormat="1" x14ac:dyDescent="0.25"/>
    <row r="9314" s="42" customFormat="1" x14ac:dyDescent="0.25"/>
    <row r="9315" s="42" customFormat="1" x14ac:dyDescent="0.25"/>
    <row r="9316" s="42" customFormat="1" x14ac:dyDescent="0.25"/>
    <row r="9317" s="42" customFormat="1" x14ac:dyDescent="0.25"/>
    <row r="9318" s="42" customFormat="1" x14ac:dyDescent="0.25"/>
    <row r="9319" s="42" customFormat="1" x14ac:dyDescent="0.25"/>
    <row r="9320" s="42" customFormat="1" x14ac:dyDescent="0.25"/>
    <row r="9321" s="42" customFormat="1" x14ac:dyDescent="0.25"/>
    <row r="9322" s="42" customFormat="1" x14ac:dyDescent="0.25"/>
    <row r="9323" s="42" customFormat="1" x14ac:dyDescent="0.25"/>
    <row r="9324" s="42" customFormat="1" x14ac:dyDescent="0.25"/>
    <row r="9325" s="42" customFormat="1" x14ac:dyDescent="0.25"/>
    <row r="9326" s="42" customFormat="1" x14ac:dyDescent="0.25"/>
    <row r="9327" s="42" customFormat="1" x14ac:dyDescent="0.25"/>
    <row r="9328" s="42" customFormat="1" x14ac:dyDescent="0.25"/>
    <row r="9329" s="42" customFormat="1" x14ac:dyDescent="0.25"/>
    <row r="9330" s="42" customFormat="1" x14ac:dyDescent="0.25"/>
    <row r="9331" s="42" customFormat="1" x14ac:dyDescent="0.25"/>
    <row r="9332" s="42" customFormat="1" x14ac:dyDescent="0.25"/>
    <row r="9333" s="42" customFormat="1" x14ac:dyDescent="0.25"/>
    <row r="9334" s="42" customFormat="1" x14ac:dyDescent="0.25"/>
    <row r="9335" s="42" customFormat="1" x14ac:dyDescent="0.25"/>
    <row r="9336" s="42" customFormat="1" x14ac:dyDescent="0.25"/>
    <row r="9337" s="42" customFormat="1" x14ac:dyDescent="0.25"/>
    <row r="9338" s="42" customFormat="1" x14ac:dyDescent="0.25"/>
    <row r="9339" s="42" customFormat="1" x14ac:dyDescent="0.25"/>
    <row r="9340" s="42" customFormat="1" x14ac:dyDescent="0.25"/>
    <row r="9341" s="42" customFormat="1" x14ac:dyDescent="0.25"/>
    <row r="9342" s="42" customFormat="1" x14ac:dyDescent="0.25"/>
    <row r="9343" s="42" customFormat="1" x14ac:dyDescent="0.25"/>
    <row r="9344" s="42" customFormat="1" x14ac:dyDescent="0.25"/>
    <row r="9345" s="42" customFormat="1" x14ac:dyDescent="0.25"/>
    <row r="9346" s="42" customFormat="1" x14ac:dyDescent="0.25"/>
    <row r="9347" s="42" customFormat="1" x14ac:dyDescent="0.25"/>
    <row r="9348" s="42" customFormat="1" x14ac:dyDescent="0.25"/>
    <row r="9349" s="42" customFormat="1" x14ac:dyDescent="0.25"/>
    <row r="9350" s="42" customFormat="1" x14ac:dyDescent="0.25"/>
    <row r="9351" s="42" customFormat="1" x14ac:dyDescent="0.25"/>
    <row r="9352" s="42" customFormat="1" x14ac:dyDescent="0.25"/>
    <row r="9353" s="42" customFormat="1" x14ac:dyDescent="0.25"/>
    <row r="9354" s="42" customFormat="1" x14ac:dyDescent="0.25"/>
    <row r="9355" s="42" customFormat="1" x14ac:dyDescent="0.25"/>
    <row r="9356" s="42" customFormat="1" x14ac:dyDescent="0.25"/>
    <row r="9357" s="42" customFormat="1" x14ac:dyDescent="0.25"/>
    <row r="9358" s="42" customFormat="1" x14ac:dyDescent="0.25"/>
    <row r="9359" s="42" customFormat="1" x14ac:dyDescent="0.25"/>
    <row r="9360" s="42" customFormat="1" x14ac:dyDescent="0.25"/>
    <row r="9361" s="42" customFormat="1" x14ac:dyDescent="0.25"/>
    <row r="9362" s="42" customFormat="1" x14ac:dyDescent="0.25"/>
    <row r="9363" s="42" customFormat="1" x14ac:dyDescent="0.25"/>
    <row r="9364" s="42" customFormat="1" x14ac:dyDescent="0.25"/>
    <row r="9365" s="42" customFormat="1" x14ac:dyDescent="0.25"/>
    <row r="9366" s="42" customFormat="1" x14ac:dyDescent="0.25"/>
    <row r="9367" s="42" customFormat="1" x14ac:dyDescent="0.25"/>
    <row r="9368" s="42" customFormat="1" x14ac:dyDescent="0.25"/>
    <row r="9369" s="42" customFormat="1" x14ac:dyDescent="0.25"/>
    <row r="9370" s="42" customFormat="1" x14ac:dyDescent="0.25"/>
    <row r="9371" s="42" customFormat="1" x14ac:dyDescent="0.25"/>
    <row r="9372" s="42" customFormat="1" x14ac:dyDescent="0.25"/>
    <row r="9373" s="42" customFormat="1" x14ac:dyDescent="0.25"/>
    <row r="9374" s="42" customFormat="1" x14ac:dyDescent="0.25"/>
    <row r="9375" s="42" customFormat="1" x14ac:dyDescent="0.25"/>
    <row r="9376" s="42" customFormat="1" x14ac:dyDescent="0.25"/>
    <row r="9377" s="42" customFormat="1" x14ac:dyDescent="0.25"/>
    <row r="9378" s="42" customFormat="1" x14ac:dyDescent="0.25"/>
    <row r="9379" s="42" customFormat="1" x14ac:dyDescent="0.25"/>
    <row r="9380" s="42" customFormat="1" x14ac:dyDescent="0.25"/>
    <row r="9381" s="42" customFormat="1" x14ac:dyDescent="0.25"/>
    <row r="9382" s="42" customFormat="1" x14ac:dyDescent="0.25"/>
    <row r="9383" s="42" customFormat="1" x14ac:dyDescent="0.25"/>
    <row r="9384" s="42" customFormat="1" x14ac:dyDescent="0.25"/>
    <row r="9385" s="42" customFormat="1" x14ac:dyDescent="0.25"/>
    <row r="9386" s="42" customFormat="1" x14ac:dyDescent="0.25"/>
    <row r="9387" s="42" customFormat="1" x14ac:dyDescent="0.25"/>
    <row r="9388" s="42" customFormat="1" x14ac:dyDescent="0.25"/>
    <row r="9389" s="42" customFormat="1" x14ac:dyDescent="0.25"/>
    <row r="9390" s="42" customFormat="1" x14ac:dyDescent="0.25"/>
    <row r="9391" s="42" customFormat="1" x14ac:dyDescent="0.25"/>
    <row r="9392" s="42" customFormat="1" x14ac:dyDescent="0.25"/>
    <row r="9393" s="42" customFormat="1" x14ac:dyDescent="0.25"/>
    <row r="9394" s="42" customFormat="1" x14ac:dyDescent="0.25"/>
    <row r="9395" s="42" customFormat="1" x14ac:dyDescent="0.25"/>
    <row r="9396" s="42" customFormat="1" x14ac:dyDescent="0.25"/>
    <row r="9397" s="42" customFormat="1" x14ac:dyDescent="0.25"/>
    <row r="9398" s="42" customFormat="1" x14ac:dyDescent="0.25"/>
    <row r="9399" s="42" customFormat="1" x14ac:dyDescent="0.25"/>
    <row r="9400" s="42" customFormat="1" x14ac:dyDescent="0.25"/>
    <row r="9401" s="42" customFormat="1" x14ac:dyDescent="0.25"/>
    <row r="9402" s="42" customFormat="1" x14ac:dyDescent="0.25"/>
    <row r="9403" s="42" customFormat="1" x14ac:dyDescent="0.25"/>
    <row r="9404" s="42" customFormat="1" x14ac:dyDescent="0.25"/>
    <row r="9405" s="42" customFormat="1" x14ac:dyDescent="0.25"/>
    <row r="9406" s="42" customFormat="1" x14ac:dyDescent="0.25"/>
    <row r="9407" s="42" customFormat="1" x14ac:dyDescent="0.25"/>
    <row r="9408" s="42" customFormat="1" x14ac:dyDescent="0.25"/>
    <row r="9409" s="42" customFormat="1" x14ac:dyDescent="0.25"/>
    <row r="9410" s="42" customFormat="1" x14ac:dyDescent="0.25"/>
    <row r="9411" s="42" customFormat="1" x14ac:dyDescent="0.25"/>
    <row r="9412" s="42" customFormat="1" x14ac:dyDescent="0.25"/>
    <row r="9413" s="42" customFormat="1" x14ac:dyDescent="0.25"/>
    <row r="9414" s="42" customFormat="1" x14ac:dyDescent="0.25"/>
    <row r="9415" s="42" customFormat="1" x14ac:dyDescent="0.25"/>
    <row r="9416" s="42" customFormat="1" x14ac:dyDescent="0.25"/>
    <row r="9417" s="42" customFormat="1" x14ac:dyDescent="0.25"/>
    <row r="9418" s="42" customFormat="1" x14ac:dyDescent="0.25"/>
    <row r="9419" s="42" customFormat="1" x14ac:dyDescent="0.25"/>
    <row r="9420" s="42" customFormat="1" x14ac:dyDescent="0.25"/>
    <row r="9421" s="42" customFormat="1" x14ac:dyDescent="0.25"/>
    <row r="9422" s="42" customFormat="1" x14ac:dyDescent="0.25"/>
    <row r="9423" s="42" customFormat="1" x14ac:dyDescent="0.25"/>
    <row r="9424" s="42" customFormat="1" x14ac:dyDescent="0.25"/>
    <row r="9425" s="42" customFormat="1" x14ac:dyDescent="0.25"/>
    <row r="9426" s="42" customFormat="1" x14ac:dyDescent="0.25"/>
    <row r="9427" s="42" customFormat="1" x14ac:dyDescent="0.25"/>
    <row r="9428" s="42" customFormat="1" x14ac:dyDescent="0.25"/>
    <row r="9429" s="42" customFormat="1" x14ac:dyDescent="0.25"/>
    <row r="9430" s="42" customFormat="1" x14ac:dyDescent="0.25"/>
    <row r="9431" s="42" customFormat="1" x14ac:dyDescent="0.25"/>
    <row r="9432" s="42" customFormat="1" x14ac:dyDescent="0.25"/>
    <row r="9433" s="42" customFormat="1" x14ac:dyDescent="0.25"/>
    <row r="9434" s="42" customFormat="1" x14ac:dyDescent="0.25"/>
    <row r="9435" s="42" customFormat="1" x14ac:dyDescent="0.25"/>
    <row r="9436" s="42" customFormat="1" x14ac:dyDescent="0.25"/>
    <row r="9437" s="42" customFormat="1" x14ac:dyDescent="0.25"/>
    <row r="9438" s="42" customFormat="1" x14ac:dyDescent="0.25"/>
    <row r="9439" s="42" customFormat="1" x14ac:dyDescent="0.25"/>
    <row r="9440" s="42" customFormat="1" x14ac:dyDescent="0.25"/>
    <row r="9441" s="42" customFormat="1" x14ac:dyDescent="0.25"/>
    <row r="9442" s="42" customFormat="1" x14ac:dyDescent="0.25"/>
    <row r="9443" s="42" customFormat="1" x14ac:dyDescent="0.25"/>
    <row r="9444" s="42" customFormat="1" x14ac:dyDescent="0.25"/>
    <row r="9445" s="42" customFormat="1" x14ac:dyDescent="0.25"/>
    <row r="9446" s="42" customFormat="1" x14ac:dyDescent="0.25"/>
    <row r="9447" s="42" customFormat="1" x14ac:dyDescent="0.25"/>
    <row r="9448" s="42" customFormat="1" x14ac:dyDescent="0.25"/>
    <row r="9449" s="42" customFormat="1" x14ac:dyDescent="0.25"/>
    <row r="9450" s="42" customFormat="1" x14ac:dyDescent="0.25"/>
    <row r="9451" s="42" customFormat="1" x14ac:dyDescent="0.25"/>
    <row r="9452" s="42" customFormat="1" x14ac:dyDescent="0.25"/>
    <row r="9453" s="42" customFormat="1" x14ac:dyDescent="0.25"/>
    <row r="9454" s="42" customFormat="1" x14ac:dyDescent="0.25"/>
    <row r="9455" s="42" customFormat="1" x14ac:dyDescent="0.25"/>
    <row r="9456" s="42" customFormat="1" x14ac:dyDescent="0.25"/>
    <row r="9457" s="42" customFormat="1" x14ac:dyDescent="0.25"/>
    <row r="9458" s="42" customFormat="1" x14ac:dyDescent="0.25"/>
    <row r="9459" s="42" customFormat="1" x14ac:dyDescent="0.25"/>
    <row r="9460" s="42" customFormat="1" x14ac:dyDescent="0.25"/>
    <row r="9461" s="42" customFormat="1" x14ac:dyDescent="0.25"/>
    <row r="9462" s="42" customFormat="1" x14ac:dyDescent="0.25"/>
    <row r="9463" s="42" customFormat="1" x14ac:dyDescent="0.25"/>
    <row r="9464" s="42" customFormat="1" x14ac:dyDescent="0.25"/>
    <row r="9465" s="42" customFormat="1" x14ac:dyDescent="0.25"/>
    <row r="9466" s="42" customFormat="1" x14ac:dyDescent="0.25"/>
    <row r="9467" s="42" customFormat="1" x14ac:dyDescent="0.25"/>
    <row r="9468" s="42" customFormat="1" x14ac:dyDescent="0.25"/>
    <row r="9469" s="42" customFormat="1" x14ac:dyDescent="0.25"/>
    <row r="9470" s="42" customFormat="1" x14ac:dyDescent="0.25"/>
    <row r="9471" s="42" customFormat="1" x14ac:dyDescent="0.25"/>
    <row r="9472" s="42" customFormat="1" x14ac:dyDescent="0.25"/>
    <row r="9473" s="42" customFormat="1" x14ac:dyDescent="0.25"/>
    <row r="9474" s="42" customFormat="1" x14ac:dyDescent="0.25"/>
    <row r="9475" s="42" customFormat="1" x14ac:dyDescent="0.25"/>
    <row r="9476" s="42" customFormat="1" x14ac:dyDescent="0.25"/>
    <row r="9477" s="42" customFormat="1" x14ac:dyDescent="0.25"/>
    <row r="9478" s="42" customFormat="1" x14ac:dyDescent="0.25"/>
    <row r="9479" s="42" customFormat="1" x14ac:dyDescent="0.25"/>
    <row r="9480" s="42" customFormat="1" x14ac:dyDescent="0.25"/>
    <row r="9481" s="42" customFormat="1" x14ac:dyDescent="0.25"/>
    <row r="9482" s="42" customFormat="1" x14ac:dyDescent="0.25"/>
    <row r="9483" s="42" customFormat="1" x14ac:dyDescent="0.25"/>
    <row r="9484" s="42" customFormat="1" x14ac:dyDescent="0.25"/>
    <row r="9485" s="42" customFormat="1" x14ac:dyDescent="0.25"/>
    <row r="9486" s="42" customFormat="1" x14ac:dyDescent="0.25"/>
    <row r="9487" s="42" customFormat="1" x14ac:dyDescent="0.25"/>
    <row r="9488" s="42" customFormat="1" x14ac:dyDescent="0.25"/>
    <row r="9489" s="42" customFormat="1" x14ac:dyDescent="0.25"/>
    <row r="9490" s="42" customFormat="1" x14ac:dyDescent="0.25"/>
    <row r="9491" s="42" customFormat="1" x14ac:dyDescent="0.25"/>
    <row r="9492" s="42" customFormat="1" x14ac:dyDescent="0.25"/>
    <row r="9493" s="42" customFormat="1" x14ac:dyDescent="0.25"/>
    <row r="9494" s="42" customFormat="1" x14ac:dyDescent="0.25"/>
    <row r="9495" s="42" customFormat="1" x14ac:dyDescent="0.25"/>
    <row r="9496" s="42" customFormat="1" x14ac:dyDescent="0.25"/>
    <row r="9497" s="42" customFormat="1" x14ac:dyDescent="0.25"/>
    <row r="9498" s="42" customFormat="1" x14ac:dyDescent="0.25"/>
    <row r="9499" s="42" customFormat="1" x14ac:dyDescent="0.25"/>
    <row r="9500" s="42" customFormat="1" x14ac:dyDescent="0.25"/>
    <row r="9501" s="42" customFormat="1" x14ac:dyDescent="0.25"/>
    <row r="9502" s="42" customFormat="1" x14ac:dyDescent="0.25"/>
    <row r="9503" s="42" customFormat="1" x14ac:dyDescent="0.25"/>
    <row r="9504" s="42" customFormat="1" x14ac:dyDescent="0.25"/>
    <row r="9505" s="42" customFormat="1" x14ac:dyDescent="0.25"/>
    <row r="9506" s="42" customFormat="1" x14ac:dyDescent="0.25"/>
    <row r="9507" s="42" customFormat="1" x14ac:dyDescent="0.25"/>
    <row r="9508" s="42" customFormat="1" x14ac:dyDescent="0.25"/>
    <row r="9509" s="42" customFormat="1" x14ac:dyDescent="0.25"/>
    <row r="9510" s="42" customFormat="1" x14ac:dyDescent="0.25"/>
    <row r="9511" s="42" customFormat="1" x14ac:dyDescent="0.25"/>
    <row r="9512" s="42" customFormat="1" x14ac:dyDescent="0.25"/>
    <row r="9513" s="42" customFormat="1" x14ac:dyDescent="0.25"/>
    <row r="9514" s="42" customFormat="1" x14ac:dyDescent="0.25"/>
    <row r="9515" s="42" customFormat="1" x14ac:dyDescent="0.25"/>
    <row r="9516" s="42" customFormat="1" x14ac:dyDescent="0.25"/>
    <row r="9517" s="42" customFormat="1" x14ac:dyDescent="0.25"/>
    <row r="9518" s="42" customFormat="1" x14ac:dyDescent="0.25"/>
    <row r="9519" s="42" customFormat="1" x14ac:dyDescent="0.25"/>
    <row r="9520" s="42" customFormat="1" x14ac:dyDescent="0.25"/>
    <row r="9521" s="42" customFormat="1" x14ac:dyDescent="0.25"/>
    <row r="9522" s="42" customFormat="1" x14ac:dyDescent="0.25"/>
    <row r="9523" s="42" customFormat="1" x14ac:dyDescent="0.25"/>
    <row r="9524" s="42" customFormat="1" x14ac:dyDescent="0.25"/>
    <row r="9525" s="42" customFormat="1" x14ac:dyDescent="0.25"/>
    <row r="9526" s="42" customFormat="1" x14ac:dyDescent="0.25"/>
    <row r="9527" s="42" customFormat="1" x14ac:dyDescent="0.25"/>
    <row r="9528" s="42" customFormat="1" x14ac:dyDescent="0.25"/>
    <row r="9529" s="42" customFormat="1" x14ac:dyDescent="0.25"/>
    <row r="9530" s="42" customFormat="1" x14ac:dyDescent="0.25"/>
    <row r="9531" s="42" customFormat="1" x14ac:dyDescent="0.25"/>
    <row r="9532" s="42" customFormat="1" x14ac:dyDescent="0.25"/>
    <row r="9533" s="42" customFormat="1" x14ac:dyDescent="0.25"/>
    <row r="9534" s="42" customFormat="1" x14ac:dyDescent="0.25"/>
    <row r="9535" s="42" customFormat="1" x14ac:dyDescent="0.25"/>
    <row r="9536" s="42" customFormat="1" x14ac:dyDescent="0.25"/>
    <row r="9537" s="42" customFormat="1" x14ac:dyDescent="0.25"/>
    <row r="9538" s="42" customFormat="1" x14ac:dyDescent="0.25"/>
    <row r="9539" s="42" customFormat="1" x14ac:dyDescent="0.25"/>
    <row r="9540" s="42" customFormat="1" x14ac:dyDescent="0.25"/>
    <row r="9541" s="42" customFormat="1" x14ac:dyDescent="0.25"/>
    <row r="9542" s="42" customFormat="1" x14ac:dyDescent="0.25"/>
    <row r="9543" s="42" customFormat="1" x14ac:dyDescent="0.25"/>
    <row r="9544" s="42" customFormat="1" x14ac:dyDescent="0.25"/>
    <row r="9545" s="42" customFormat="1" x14ac:dyDescent="0.25"/>
    <row r="9546" s="42" customFormat="1" x14ac:dyDescent="0.25"/>
    <row r="9547" s="42" customFormat="1" x14ac:dyDescent="0.25"/>
    <row r="9548" s="42" customFormat="1" x14ac:dyDescent="0.25"/>
    <row r="9549" s="42" customFormat="1" x14ac:dyDescent="0.25"/>
    <row r="9550" s="42" customFormat="1" x14ac:dyDescent="0.25"/>
    <row r="9551" s="42" customFormat="1" x14ac:dyDescent="0.25"/>
    <row r="9552" s="42" customFormat="1" x14ac:dyDescent="0.25"/>
    <row r="9553" s="42" customFormat="1" x14ac:dyDescent="0.25"/>
    <row r="9554" s="42" customFormat="1" x14ac:dyDescent="0.25"/>
    <row r="9555" s="42" customFormat="1" x14ac:dyDescent="0.25"/>
    <row r="9556" s="42" customFormat="1" x14ac:dyDescent="0.25"/>
    <row r="9557" s="42" customFormat="1" x14ac:dyDescent="0.25"/>
    <row r="9558" s="42" customFormat="1" x14ac:dyDescent="0.25"/>
    <row r="9559" s="42" customFormat="1" x14ac:dyDescent="0.25"/>
    <row r="9560" s="42" customFormat="1" x14ac:dyDescent="0.25"/>
    <row r="9561" s="42" customFormat="1" x14ac:dyDescent="0.25"/>
    <row r="9562" s="42" customFormat="1" x14ac:dyDescent="0.25"/>
    <row r="9563" s="42" customFormat="1" x14ac:dyDescent="0.25"/>
    <row r="9564" s="42" customFormat="1" x14ac:dyDescent="0.25"/>
    <row r="9565" s="42" customFormat="1" x14ac:dyDescent="0.25"/>
    <row r="9566" s="42" customFormat="1" x14ac:dyDescent="0.25"/>
    <row r="9567" s="42" customFormat="1" x14ac:dyDescent="0.25"/>
    <row r="9568" s="42" customFormat="1" x14ac:dyDescent="0.25"/>
    <row r="9569" s="42" customFormat="1" x14ac:dyDescent="0.25"/>
    <row r="9570" s="42" customFormat="1" x14ac:dyDescent="0.25"/>
    <row r="9571" s="42" customFormat="1" x14ac:dyDescent="0.25"/>
    <row r="9572" s="42" customFormat="1" x14ac:dyDescent="0.25"/>
    <row r="9573" s="42" customFormat="1" x14ac:dyDescent="0.25"/>
    <row r="9574" s="42" customFormat="1" x14ac:dyDescent="0.25"/>
    <row r="9575" s="42" customFormat="1" x14ac:dyDescent="0.25"/>
    <row r="9576" s="42" customFormat="1" x14ac:dyDescent="0.25"/>
    <row r="9577" s="42" customFormat="1" x14ac:dyDescent="0.25"/>
    <row r="9578" s="42" customFormat="1" x14ac:dyDescent="0.25"/>
    <row r="9579" s="42" customFormat="1" x14ac:dyDescent="0.25"/>
    <row r="9580" s="42" customFormat="1" x14ac:dyDescent="0.25"/>
    <row r="9581" s="42" customFormat="1" x14ac:dyDescent="0.25"/>
    <row r="9582" s="42" customFormat="1" x14ac:dyDescent="0.25"/>
    <row r="9583" s="42" customFormat="1" x14ac:dyDescent="0.25"/>
    <row r="9584" s="42" customFormat="1" x14ac:dyDescent="0.25"/>
    <row r="9585" s="42" customFormat="1" x14ac:dyDescent="0.25"/>
    <row r="9586" s="42" customFormat="1" x14ac:dyDescent="0.25"/>
    <row r="9587" s="42" customFormat="1" x14ac:dyDescent="0.25"/>
    <row r="9588" s="42" customFormat="1" x14ac:dyDescent="0.25"/>
    <row r="9589" s="42" customFormat="1" x14ac:dyDescent="0.25"/>
    <row r="9590" s="42" customFormat="1" x14ac:dyDescent="0.25"/>
    <row r="9591" s="42" customFormat="1" x14ac:dyDescent="0.25"/>
    <row r="9592" s="42" customFormat="1" x14ac:dyDescent="0.25"/>
    <row r="9593" s="42" customFormat="1" x14ac:dyDescent="0.25"/>
    <row r="9594" s="42" customFormat="1" x14ac:dyDescent="0.25"/>
    <row r="9595" s="42" customFormat="1" x14ac:dyDescent="0.25"/>
    <row r="9596" s="42" customFormat="1" x14ac:dyDescent="0.25"/>
    <row r="9597" s="42" customFormat="1" x14ac:dyDescent="0.25"/>
    <row r="9598" s="42" customFormat="1" x14ac:dyDescent="0.25"/>
    <row r="9599" s="42" customFormat="1" x14ac:dyDescent="0.25"/>
    <row r="9600" s="42" customFormat="1" x14ac:dyDescent="0.25"/>
    <row r="9601" s="42" customFormat="1" x14ac:dyDescent="0.25"/>
    <row r="9602" s="42" customFormat="1" x14ac:dyDescent="0.25"/>
    <row r="9603" s="42" customFormat="1" x14ac:dyDescent="0.25"/>
    <row r="9604" s="42" customFormat="1" x14ac:dyDescent="0.25"/>
    <row r="9605" s="42" customFormat="1" x14ac:dyDescent="0.25"/>
    <row r="9606" s="42" customFormat="1" x14ac:dyDescent="0.25"/>
    <row r="9607" s="42" customFormat="1" x14ac:dyDescent="0.25"/>
    <row r="9608" s="42" customFormat="1" x14ac:dyDescent="0.25"/>
    <row r="9609" s="42" customFormat="1" x14ac:dyDescent="0.25"/>
    <row r="9610" s="42" customFormat="1" x14ac:dyDescent="0.25"/>
    <row r="9611" s="42" customFormat="1" x14ac:dyDescent="0.25"/>
    <row r="9612" s="42" customFormat="1" x14ac:dyDescent="0.25"/>
    <row r="9613" s="42" customFormat="1" x14ac:dyDescent="0.25"/>
    <row r="9614" s="42" customFormat="1" x14ac:dyDescent="0.25"/>
    <row r="9615" s="42" customFormat="1" x14ac:dyDescent="0.25"/>
    <row r="9616" s="42" customFormat="1" x14ac:dyDescent="0.25"/>
    <row r="9617" s="42" customFormat="1" x14ac:dyDescent="0.25"/>
    <row r="9618" s="42" customFormat="1" x14ac:dyDescent="0.25"/>
    <row r="9619" s="42" customFormat="1" x14ac:dyDescent="0.25"/>
    <row r="9620" s="42" customFormat="1" x14ac:dyDescent="0.25"/>
    <row r="9621" s="42" customFormat="1" x14ac:dyDescent="0.25"/>
    <row r="9622" s="42" customFormat="1" x14ac:dyDescent="0.25"/>
    <row r="9623" s="42" customFormat="1" x14ac:dyDescent="0.25"/>
    <row r="9624" s="42" customFormat="1" x14ac:dyDescent="0.25"/>
    <row r="9625" s="42" customFormat="1" x14ac:dyDescent="0.25"/>
    <row r="9626" s="42" customFormat="1" x14ac:dyDescent="0.25"/>
    <row r="9627" s="42" customFormat="1" x14ac:dyDescent="0.25"/>
    <row r="9628" s="42" customFormat="1" x14ac:dyDescent="0.25"/>
    <row r="9629" s="42" customFormat="1" x14ac:dyDescent="0.25"/>
    <row r="9630" s="42" customFormat="1" x14ac:dyDescent="0.25"/>
    <row r="9631" s="42" customFormat="1" x14ac:dyDescent="0.25"/>
    <row r="9632" s="42" customFormat="1" x14ac:dyDescent="0.25"/>
    <row r="9633" s="42" customFormat="1" x14ac:dyDescent="0.25"/>
    <row r="9634" s="42" customFormat="1" x14ac:dyDescent="0.25"/>
    <row r="9635" s="42" customFormat="1" x14ac:dyDescent="0.25"/>
    <row r="9636" s="42" customFormat="1" x14ac:dyDescent="0.25"/>
    <row r="9637" s="42" customFormat="1" x14ac:dyDescent="0.25"/>
    <row r="9638" s="42" customFormat="1" x14ac:dyDescent="0.25"/>
    <row r="9639" s="42" customFormat="1" x14ac:dyDescent="0.25"/>
    <row r="9640" s="42" customFormat="1" x14ac:dyDescent="0.25"/>
    <row r="9641" s="42" customFormat="1" x14ac:dyDescent="0.25"/>
    <row r="9642" s="42" customFormat="1" x14ac:dyDescent="0.25"/>
    <row r="9643" s="42" customFormat="1" x14ac:dyDescent="0.25"/>
    <row r="9644" s="42" customFormat="1" x14ac:dyDescent="0.25"/>
    <row r="9645" s="42" customFormat="1" x14ac:dyDescent="0.25"/>
    <row r="9646" s="42" customFormat="1" x14ac:dyDescent="0.25"/>
    <row r="9647" s="42" customFormat="1" x14ac:dyDescent="0.25"/>
    <row r="9648" s="42" customFormat="1" x14ac:dyDescent="0.25"/>
    <row r="9649" s="42" customFormat="1" x14ac:dyDescent="0.25"/>
    <row r="9650" s="42" customFormat="1" x14ac:dyDescent="0.25"/>
    <row r="9651" s="42" customFormat="1" x14ac:dyDescent="0.25"/>
    <row r="9652" s="42" customFormat="1" x14ac:dyDescent="0.25"/>
    <row r="9653" s="42" customFormat="1" x14ac:dyDescent="0.25"/>
    <row r="9654" s="42" customFormat="1" x14ac:dyDescent="0.25"/>
    <row r="9655" s="42" customFormat="1" x14ac:dyDescent="0.25"/>
    <row r="9656" s="42" customFormat="1" x14ac:dyDescent="0.25"/>
    <row r="9657" s="42" customFormat="1" x14ac:dyDescent="0.25"/>
    <row r="9658" s="42" customFormat="1" x14ac:dyDescent="0.25"/>
    <row r="9659" s="42" customFormat="1" x14ac:dyDescent="0.25"/>
    <row r="9660" s="42" customFormat="1" x14ac:dyDescent="0.25"/>
    <row r="9661" s="42" customFormat="1" x14ac:dyDescent="0.25"/>
    <row r="9662" s="42" customFormat="1" x14ac:dyDescent="0.25"/>
    <row r="9663" s="42" customFormat="1" x14ac:dyDescent="0.25"/>
    <row r="9664" s="42" customFormat="1" x14ac:dyDescent="0.25"/>
    <row r="9665" s="42" customFormat="1" x14ac:dyDescent="0.25"/>
    <row r="9666" s="42" customFormat="1" x14ac:dyDescent="0.25"/>
    <row r="9667" s="42" customFormat="1" x14ac:dyDescent="0.25"/>
    <row r="9668" s="42" customFormat="1" x14ac:dyDescent="0.25"/>
    <row r="9669" s="42" customFormat="1" x14ac:dyDescent="0.25"/>
    <row r="9670" s="42" customFormat="1" x14ac:dyDescent="0.25"/>
    <row r="9671" s="42" customFormat="1" x14ac:dyDescent="0.25"/>
    <row r="9672" s="42" customFormat="1" x14ac:dyDescent="0.25"/>
    <row r="9673" s="42" customFormat="1" x14ac:dyDescent="0.25"/>
    <row r="9674" s="42" customFormat="1" x14ac:dyDescent="0.25"/>
    <row r="9675" s="42" customFormat="1" x14ac:dyDescent="0.25"/>
    <row r="9676" s="42" customFormat="1" x14ac:dyDescent="0.25"/>
    <row r="9677" s="42" customFormat="1" x14ac:dyDescent="0.25"/>
    <row r="9678" s="42" customFormat="1" x14ac:dyDescent="0.25"/>
    <row r="9679" s="42" customFormat="1" x14ac:dyDescent="0.25"/>
    <row r="9680" s="42" customFormat="1" x14ac:dyDescent="0.25"/>
    <row r="9681" s="42" customFormat="1" x14ac:dyDescent="0.25"/>
    <row r="9682" s="42" customFormat="1" x14ac:dyDescent="0.25"/>
    <row r="9683" s="42" customFormat="1" x14ac:dyDescent="0.25"/>
    <row r="9684" s="42" customFormat="1" x14ac:dyDescent="0.25"/>
    <row r="9685" s="42" customFormat="1" x14ac:dyDescent="0.25"/>
    <row r="9686" s="42" customFormat="1" x14ac:dyDescent="0.25"/>
    <row r="9687" s="42" customFormat="1" x14ac:dyDescent="0.25"/>
    <row r="9688" s="42" customFormat="1" x14ac:dyDescent="0.25"/>
    <row r="9689" s="42" customFormat="1" x14ac:dyDescent="0.25"/>
    <row r="9690" s="42" customFormat="1" x14ac:dyDescent="0.25"/>
    <row r="9691" s="42" customFormat="1" x14ac:dyDescent="0.25"/>
    <row r="9692" s="42" customFormat="1" x14ac:dyDescent="0.25"/>
    <row r="9693" s="42" customFormat="1" x14ac:dyDescent="0.25"/>
    <row r="9694" s="42" customFormat="1" x14ac:dyDescent="0.25"/>
    <row r="9695" s="42" customFormat="1" x14ac:dyDescent="0.25"/>
    <row r="9696" s="42" customFormat="1" x14ac:dyDescent="0.25"/>
    <row r="9697" s="42" customFormat="1" x14ac:dyDescent="0.25"/>
    <row r="9698" s="42" customFormat="1" x14ac:dyDescent="0.25"/>
    <row r="9699" s="42" customFormat="1" x14ac:dyDescent="0.25"/>
    <row r="9700" s="42" customFormat="1" x14ac:dyDescent="0.25"/>
    <row r="9701" s="42" customFormat="1" x14ac:dyDescent="0.25"/>
    <row r="9702" s="42" customFormat="1" x14ac:dyDescent="0.25"/>
    <row r="9703" s="42" customFormat="1" x14ac:dyDescent="0.25"/>
    <row r="9704" s="42" customFormat="1" x14ac:dyDescent="0.25"/>
    <row r="9705" s="42" customFormat="1" x14ac:dyDescent="0.25"/>
    <row r="9706" s="42" customFormat="1" x14ac:dyDescent="0.25"/>
    <row r="9707" s="42" customFormat="1" x14ac:dyDescent="0.25"/>
    <row r="9708" s="42" customFormat="1" x14ac:dyDescent="0.25"/>
    <row r="9709" s="42" customFormat="1" x14ac:dyDescent="0.25"/>
    <row r="9710" s="42" customFormat="1" x14ac:dyDescent="0.25"/>
    <row r="9711" s="42" customFormat="1" x14ac:dyDescent="0.25"/>
    <row r="9712" s="42" customFormat="1" x14ac:dyDescent="0.25"/>
    <row r="9713" s="42" customFormat="1" x14ac:dyDescent="0.25"/>
    <row r="9714" s="42" customFormat="1" x14ac:dyDescent="0.25"/>
    <row r="9715" s="42" customFormat="1" x14ac:dyDescent="0.25"/>
    <row r="9716" s="42" customFormat="1" x14ac:dyDescent="0.25"/>
    <row r="9717" s="42" customFormat="1" x14ac:dyDescent="0.25"/>
    <row r="9718" s="42" customFormat="1" x14ac:dyDescent="0.25"/>
    <row r="9719" s="42" customFormat="1" x14ac:dyDescent="0.25"/>
    <row r="9720" s="42" customFormat="1" x14ac:dyDescent="0.25"/>
    <row r="9721" s="42" customFormat="1" x14ac:dyDescent="0.25"/>
    <row r="9722" s="42" customFormat="1" x14ac:dyDescent="0.25"/>
    <row r="9723" s="42" customFormat="1" x14ac:dyDescent="0.25"/>
    <row r="9724" s="42" customFormat="1" x14ac:dyDescent="0.25"/>
    <row r="9725" s="42" customFormat="1" x14ac:dyDescent="0.25"/>
    <row r="9726" s="42" customFormat="1" x14ac:dyDescent="0.25"/>
    <row r="9727" s="42" customFormat="1" x14ac:dyDescent="0.25"/>
    <row r="9728" s="42" customFormat="1" x14ac:dyDescent="0.25"/>
    <row r="9729" s="42" customFormat="1" x14ac:dyDescent="0.25"/>
    <row r="9730" s="42" customFormat="1" x14ac:dyDescent="0.25"/>
    <row r="9731" s="42" customFormat="1" x14ac:dyDescent="0.25"/>
    <row r="9732" s="42" customFormat="1" x14ac:dyDescent="0.25"/>
    <row r="9733" s="42" customFormat="1" x14ac:dyDescent="0.25"/>
    <row r="9734" s="42" customFormat="1" x14ac:dyDescent="0.25"/>
    <row r="9735" s="42" customFormat="1" x14ac:dyDescent="0.25"/>
    <row r="9736" s="42" customFormat="1" x14ac:dyDescent="0.25"/>
    <row r="9737" s="42" customFormat="1" x14ac:dyDescent="0.25"/>
    <row r="9738" s="42" customFormat="1" x14ac:dyDescent="0.25"/>
    <row r="9739" s="42" customFormat="1" x14ac:dyDescent="0.25"/>
    <row r="9740" s="42" customFormat="1" x14ac:dyDescent="0.25"/>
    <row r="9741" s="42" customFormat="1" x14ac:dyDescent="0.25"/>
    <row r="9742" s="42" customFormat="1" x14ac:dyDescent="0.25"/>
    <row r="9743" s="42" customFormat="1" x14ac:dyDescent="0.25"/>
    <row r="9744" s="42" customFormat="1" x14ac:dyDescent="0.25"/>
    <row r="9745" s="42" customFormat="1" x14ac:dyDescent="0.25"/>
    <row r="9746" s="42" customFormat="1" x14ac:dyDescent="0.25"/>
    <row r="9747" s="42" customFormat="1" x14ac:dyDescent="0.25"/>
    <row r="9748" s="42" customFormat="1" x14ac:dyDescent="0.25"/>
    <row r="9749" s="42" customFormat="1" x14ac:dyDescent="0.25"/>
    <row r="9750" s="42" customFormat="1" x14ac:dyDescent="0.25"/>
    <row r="9751" s="42" customFormat="1" x14ac:dyDescent="0.25"/>
    <row r="9752" s="42" customFormat="1" x14ac:dyDescent="0.25"/>
    <row r="9753" s="42" customFormat="1" x14ac:dyDescent="0.25"/>
    <row r="9754" s="42" customFormat="1" x14ac:dyDescent="0.25"/>
    <row r="9755" s="42" customFormat="1" x14ac:dyDescent="0.25"/>
    <row r="9756" s="42" customFormat="1" x14ac:dyDescent="0.25"/>
    <row r="9757" s="42" customFormat="1" x14ac:dyDescent="0.25"/>
    <row r="9758" s="42" customFormat="1" x14ac:dyDescent="0.25"/>
    <row r="9759" s="42" customFormat="1" x14ac:dyDescent="0.25"/>
    <row r="9760" s="42" customFormat="1" x14ac:dyDescent="0.25"/>
    <row r="9761" s="42" customFormat="1" x14ac:dyDescent="0.25"/>
    <row r="9762" s="42" customFormat="1" x14ac:dyDescent="0.25"/>
    <row r="9763" s="42" customFormat="1" x14ac:dyDescent="0.25"/>
    <row r="9764" s="42" customFormat="1" x14ac:dyDescent="0.25"/>
    <row r="9765" s="42" customFormat="1" x14ac:dyDescent="0.25"/>
    <row r="9766" s="42" customFormat="1" x14ac:dyDescent="0.25"/>
    <row r="9767" s="42" customFormat="1" x14ac:dyDescent="0.25"/>
    <row r="9768" s="42" customFormat="1" x14ac:dyDescent="0.25"/>
    <row r="9769" s="42" customFormat="1" x14ac:dyDescent="0.25"/>
    <row r="9770" s="42" customFormat="1" x14ac:dyDescent="0.25"/>
    <row r="9771" s="42" customFormat="1" x14ac:dyDescent="0.25"/>
    <row r="9772" s="42" customFormat="1" x14ac:dyDescent="0.25"/>
    <row r="9773" s="42" customFormat="1" x14ac:dyDescent="0.25"/>
    <row r="9774" s="42" customFormat="1" x14ac:dyDescent="0.25"/>
    <row r="9775" s="42" customFormat="1" x14ac:dyDescent="0.25"/>
    <row r="9776" s="42" customFormat="1" x14ac:dyDescent="0.25"/>
    <row r="9777" s="42" customFormat="1" x14ac:dyDescent="0.25"/>
    <row r="9778" s="42" customFormat="1" x14ac:dyDescent="0.25"/>
    <row r="9779" s="42" customFormat="1" x14ac:dyDescent="0.25"/>
    <row r="9780" s="42" customFormat="1" x14ac:dyDescent="0.25"/>
    <row r="9781" s="42" customFormat="1" x14ac:dyDescent="0.25"/>
    <row r="9782" s="42" customFormat="1" x14ac:dyDescent="0.25"/>
    <row r="9783" s="42" customFormat="1" x14ac:dyDescent="0.25"/>
    <row r="9784" s="42" customFormat="1" x14ac:dyDescent="0.25"/>
    <row r="9785" s="42" customFormat="1" x14ac:dyDescent="0.25"/>
    <row r="9786" s="42" customFormat="1" x14ac:dyDescent="0.25"/>
    <row r="9787" s="42" customFormat="1" x14ac:dyDescent="0.25"/>
    <row r="9788" s="42" customFormat="1" x14ac:dyDescent="0.25"/>
    <row r="9789" s="42" customFormat="1" x14ac:dyDescent="0.25"/>
    <row r="9790" s="42" customFormat="1" x14ac:dyDescent="0.25"/>
    <row r="9791" s="42" customFormat="1" x14ac:dyDescent="0.25"/>
    <row r="9792" s="42" customFormat="1" x14ac:dyDescent="0.25"/>
    <row r="9793" s="42" customFormat="1" x14ac:dyDescent="0.25"/>
    <row r="9794" s="42" customFormat="1" x14ac:dyDescent="0.25"/>
    <row r="9795" s="42" customFormat="1" x14ac:dyDescent="0.25"/>
    <row r="9796" s="42" customFormat="1" x14ac:dyDescent="0.25"/>
    <row r="9797" s="42" customFormat="1" x14ac:dyDescent="0.25"/>
    <row r="9798" s="42" customFormat="1" x14ac:dyDescent="0.25"/>
    <row r="9799" s="42" customFormat="1" x14ac:dyDescent="0.25"/>
    <row r="9800" s="42" customFormat="1" x14ac:dyDescent="0.25"/>
    <row r="9801" s="42" customFormat="1" x14ac:dyDescent="0.25"/>
    <row r="9802" s="42" customFormat="1" x14ac:dyDescent="0.25"/>
    <row r="9803" s="42" customFormat="1" x14ac:dyDescent="0.25"/>
    <row r="9804" s="42" customFormat="1" x14ac:dyDescent="0.25"/>
    <row r="9805" s="42" customFormat="1" x14ac:dyDescent="0.25"/>
    <row r="9806" s="42" customFormat="1" x14ac:dyDescent="0.25"/>
    <row r="9807" s="42" customFormat="1" x14ac:dyDescent="0.25"/>
    <row r="9808" s="42" customFormat="1" x14ac:dyDescent="0.25"/>
    <row r="9809" s="42" customFormat="1" x14ac:dyDescent="0.25"/>
    <row r="9810" s="42" customFormat="1" x14ac:dyDescent="0.25"/>
    <row r="9811" s="42" customFormat="1" x14ac:dyDescent="0.25"/>
    <row r="9812" s="42" customFormat="1" x14ac:dyDescent="0.25"/>
    <row r="9813" s="42" customFormat="1" x14ac:dyDescent="0.25"/>
    <row r="9814" s="42" customFormat="1" x14ac:dyDescent="0.25"/>
    <row r="9815" s="42" customFormat="1" x14ac:dyDescent="0.25"/>
    <row r="9816" s="42" customFormat="1" x14ac:dyDescent="0.25"/>
    <row r="9817" s="42" customFormat="1" x14ac:dyDescent="0.25"/>
    <row r="9818" s="42" customFormat="1" x14ac:dyDescent="0.25"/>
    <row r="9819" s="42" customFormat="1" x14ac:dyDescent="0.25"/>
    <row r="9820" s="42" customFormat="1" x14ac:dyDescent="0.25"/>
    <row r="9821" s="42" customFormat="1" x14ac:dyDescent="0.25"/>
    <row r="9822" s="42" customFormat="1" x14ac:dyDescent="0.25"/>
    <row r="9823" s="42" customFormat="1" x14ac:dyDescent="0.25"/>
    <row r="9824" s="42" customFormat="1" x14ac:dyDescent="0.25"/>
    <row r="9825" s="42" customFormat="1" x14ac:dyDescent="0.25"/>
    <row r="9826" s="42" customFormat="1" x14ac:dyDescent="0.25"/>
    <row r="9827" s="42" customFormat="1" x14ac:dyDescent="0.25"/>
    <row r="9828" s="42" customFormat="1" x14ac:dyDescent="0.25"/>
    <row r="9829" s="42" customFormat="1" x14ac:dyDescent="0.25"/>
    <row r="9830" s="42" customFormat="1" x14ac:dyDescent="0.25"/>
    <row r="9831" s="42" customFormat="1" x14ac:dyDescent="0.25"/>
    <row r="9832" s="42" customFormat="1" x14ac:dyDescent="0.25"/>
    <row r="9833" s="42" customFormat="1" x14ac:dyDescent="0.25"/>
    <row r="9834" s="42" customFormat="1" x14ac:dyDescent="0.25"/>
    <row r="9835" s="42" customFormat="1" x14ac:dyDescent="0.25"/>
    <row r="9836" s="42" customFormat="1" x14ac:dyDescent="0.25"/>
    <row r="9837" s="42" customFormat="1" x14ac:dyDescent="0.25"/>
    <row r="9838" s="42" customFormat="1" x14ac:dyDescent="0.25"/>
    <row r="9839" s="42" customFormat="1" x14ac:dyDescent="0.25"/>
    <row r="9840" s="42" customFormat="1" x14ac:dyDescent="0.25"/>
    <row r="9841" s="42" customFormat="1" x14ac:dyDescent="0.25"/>
    <row r="9842" s="42" customFormat="1" x14ac:dyDescent="0.25"/>
    <row r="9843" s="42" customFormat="1" x14ac:dyDescent="0.25"/>
    <row r="9844" s="42" customFormat="1" x14ac:dyDescent="0.25"/>
    <row r="9845" s="42" customFormat="1" x14ac:dyDescent="0.25"/>
    <row r="9846" s="42" customFormat="1" x14ac:dyDescent="0.25"/>
    <row r="9847" s="42" customFormat="1" x14ac:dyDescent="0.25"/>
    <row r="9848" s="42" customFormat="1" x14ac:dyDescent="0.25"/>
    <row r="9849" s="42" customFormat="1" x14ac:dyDescent="0.25"/>
    <row r="9850" s="42" customFormat="1" x14ac:dyDescent="0.25"/>
    <row r="9851" s="42" customFormat="1" x14ac:dyDescent="0.25"/>
    <row r="9852" s="42" customFormat="1" x14ac:dyDescent="0.25"/>
    <row r="9853" s="42" customFormat="1" x14ac:dyDescent="0.25"/>
    <row r="9854" s="42" customFormat="1" x14ac:dyDescent="0.25"/>
    <row r="9855" s="42" customFormat="1" x14ac:dyDescent="0.25"/>
    <row r="9856" s="42" customFormat="1" x14ac:dyDescent="0.25"/>
    <row r="9857" s="42" customFormat="1" x14ac:dyDescent="0.25"/>
    <row r="9858" s="42" customFormat="1" x14ac:dyDescent="0.25"/>
    <row r="9859" s="42" customFormat="1" x14ac:dyDescent="0.25"/>
    <row r="9860" s="42" customFormat="1" x14ac:dyDescent="0.25"/>
    <row r="9861" s="42" customFormat="1" x14ac:dyDescent="0.25"/>
    <row r="9862" s="42" customFormat="1" x14ac:dyDescent="0.25"/>
    <row r="9863" s="42" customFormat="1" x14ac:dyDescent="0.25"/>
    <row r="9864" s="42" customFormat="1" x14ac:dyDescent="0.25"/>
    <row r="9865" s="42" customFormat="1" x14ac:dyDescent="0.25"/>
    <row r="9866" s="42" customFormat="1" x14ac:dyDescent="0.25"/>
    <row r="9867" s="42" customFormat="1" x14ac:dyDescent="0.25"/>
    <row r="9868" s="42" customFormat="1" x14ac:dyDescent="0.25"/>
    <row r="9869" s="42" customFormat="1" x14ac:dyDescent="0.25"/>
    <row r="9870" s="42" customFormat="1" x14ac:dyDescent="0.25"/>
    <row r="9871" s="42" customFormat="1" x14ac:dyDescent="0.25"/>
    <row r="9872" s="42" customFormat="1" x14ac:dyDescent="0.25"/>
    <row r="9873" s="42" customFormat="1" x14ac:dyDescent="0.25"/>
    <row r="9874" s="42" customFormat="1" x14ac:dyDescent="0.25"/>
    <row r="9875" s="42" customFormat="1" x14ac:dyDescent="0.25"/>
    <row r="9876" s="42" customFormat="1" x14ac:dyDescent="0.25"/>
    <row r="9877" s="42" customFormat="1" x14ac:dyDescent="0.25"/>
    <row r="9878" s="42" customFormat="1" x14ac:dyDescent="0.25"/>
    <row r="9879" s="42" customFormat="1" x14ac:dyDescent="0.25"/>
    <row r="9880" s="42" customFormat="1" x14ac:dyDescent="0.25"/>
    <row r="9881" s="42" customFormat="1" x14ac:dyDescent="0.25"/>
    <row r="9882" s="42" customFormat="1" x14ac:dyDescent="0.25"/>
    <row r="9883" s="42" customFormat="1" x14ac:dyDescent="0.25"/>
    <row r="9884" s="42" customFormat="1" x14ac:dyDescent="0.25"/>
    <row r="9885" s="42" customFormat="1" x14ac:dyDescent="0.25"/>
    <row r="9886" s="42" customFormat="1" x14ac:dyDescent="0.25"/>
    <row r="9887" s="42" customFormat="1" x14ac:dyDescent="0.25"/>
    <row r="9888" s="42" customFormat="1" x14ac:dyDescent="0.25"/>
    <row r="9889" s="42" customFormat="1" x14ac:dyDescent="0.25"/>
    <row r="9890" s="42" customFormat="1" x14ac:dyDescent="0.25"/>
    <row r="9891" s="42" customFormat="1" x14ac:dyDescent="0.25"/>
    <row r="9892" s="42" customFormat="1" x14ac:dyDescent="0.25"/>
    <row r="9893" s="42" customFormat="1" x14ac:dyDescent="0.25"/>
    <row r="9894" s="42" customFormat="1" x14ac:dyDescent="0.25"/>
    <row r="9895" s="42" customFormat="1" x14ac:dyDescent="0.25"/>
    <row r="9896" s="42" customFormat="1" x14ac:dyDescent="0.25"/>
    <row r="9897" s="42" customFormat="1" x14ac:dyDescent="0.25"/>
    <row r="9898" s="42" customFormat="1" x14ac:dyDescent="0.25"/>
    <row r="9899" s="42" customFormat="1" x14ac:dyDescent="0.25"/>
    <row r="9900" s="42" customFormat="1" x14ac:dyDescent="0.25"/>
    <row r="9901" s="42" customFormat="1" x14ac:dyDescent="0.25"/>
    <row r="9902" s="42" customFormat="1" x14ac:dyDescent="0.25"/>
    <row r="9903" s="42" customFormat="1" x14ac:dyDescent="0.25"/>
    <row r="9904" s="42" customFormat="1" x14ac:dyDescent="0.25"/>
    <row r="9905" s="42" customFormat="1" x14ac:dyDescent="0.25"/>
    <row r="9906" s="42" customFormat="1" x14ac:dyDescent="0.25"/>
    <row r="9907" s="42" customFormat="1" x14ac:dyDescent="0.25"/>
    <row r="9908" s="42" customFormat="1" x14ac:dyDescent="0.25"/>
    <row r="9909" s="42" customFormat="1" x14ac:dyDescent="0.25"/>
    <row r="9910" s="42" customFormat="1" x14ac:dyDescent="0.25"/>
    <row r="9911" s="42" customFormat="1" x14ac:dyDescent="0.25"/>
    <row r="9912" s="42" customFormat="1" x14ac:dyDescent="0.25"/>
    <row r="9913" s="42" customFormat="1" x14ac:dyDescent="0.25"/>
    <row r="9914" s="42" customFormat="1" x14ac:dyDescent="0.25"/>
    <row r="9915" s="42" customFormat="1" x14ac:dyDescent="0.25"/>
    <row r="9916" s="42" customFormat="1" x14ac:dyDescent="0.25"/>
    <row r="9917" s="42" customFormat="1" x14ac:dyDescent="0.25"/>
    <row r="9918" s="42" customFormat="1" x14ac:dyDescent="0.25"/>
    <row r="9919" s="42" customFormat="1" x14ac:dyDescent="0.25"/>
    <row r="9920" s="42" customFormat="1" x14ac:dyDescent="0.25"/>
    <row r="9921" s="42" customFormat="1" x14ac:dyDescent="0.25"/>
    <row r="9922" s="42" customFormat="1" x14ac:dyDescent="0.25"/>
    <row r="9923" s="42" customFormat="1" x14ac:dyDescent="0.25"/>
    <row r="9924" s="42" customFormat="1" x14ac:dyDescent="0.25"/>
    <row r="9925" s="42" customFormat="1" x14ac:dyDescent="0.25"/>
    <row r="9926" s="42" customFormat="1" x14ac:dyDescent="0.25"/>
    <row r="9927" s="42" customFormat="1" x14ac:dyDescent="0.25"/>
    <row r="9928" s="42" customFormat="1" x14ac:dyDescent="0.25"/>
    <row r="9929" s="42" customFormat="1" x14ac:dyDescent="0.25"/>
    <row r="9930" s="42" customFormat="1" x14ac:dyDescent="0.25"/>
    <row r="9931" s="42" customFormat="1" x14ac:dyDescent="0.25"/>
    <row r="9932" s="42" customFormat="1" x14ac:dyDescent="0.25"/>
    <row r="9933" s="42" customFormat="1" x14ac:dyDescent="0.25"/>
    <row r="9934" s="42" customFormat="1" x14ac:dyDescent="0.25"/>
    <row r="9935" s="42" customFormat="1" x14ac:dyDescent="0.25"/>
    <row r="9936" s="42" customFormat="1" x14ac:dyDescent="0.25"/>
    <row r="9937" s="42" customFormat="1" x14ac:dyDescent="0.25"/>
    <row r="9938" s="42" customFormat="1" x14ac:dyDescent="0.25"/>
    <row r="9939" s="42" customFormat="1" x14ac:dyDescent="0.25"/>
    <row r="9940" s="42" customFormat="1" x14ac:dyDescent="0.25"/>
    <row r="9941" s="42" customFormat="1" x14ac:dyDescent="0.25"/>
    <row r="9942" s="42" customFormat="1" x14ac:dyDescent="0.25"/>
    <row r="9943" s="42" customFormat="1" x14ac:dyDescent="0.25"/>
    <row r="9944" s="42" customFormat="1" x14ac:dyDescent="0.25"/>
    <row r="9945" s="42" customFormat="1" x14ac:dyDescent="0.25"/>
    <row r="9946" s="42" customFormat="1" x14ac:dyDescent="0.25"/>
    <row r="9947" s="42" customFormat="1" x14ac:dyDescent="0.25"/>
    <row r="9948" s="42" customFormat="1" x14ac:dyDescent="0.25"/>
    <row r="9949" s="42" customFormat="1" x14ac:dyDescent="0.25"/>
    <row r="9950" s="42" customFormat="1" x14ac:dyDescent="0.25"/>
    <row r="9951" s="42" customFormat="1" x14ac:dyDescent="0.25"/>
    <row r="9952" s="42" customFormat="1" x14ac:dyDescent="0.25"/>
    <row r="9953" s="42" customFormat="1" x14ac:dyDescent="0.25"/>
    <row r="9954" s="42" customFormat="1" x14ac:dyDescent="0.25"/>
    <row r="9955" s="42" customFormat="1" x14ac:dyDescent="0.25"/>
    <row r="9956" s="42" customFormat="1" x14ac:dyDescent="0.25"/>
    <row r="9957" s="42" customFormat="1" x14ac:dyDescent="0.25"/>
    <row r="9958" s="42" customFormat="1" x14ac:dyDescent="0.25"/>
    <row r="9959" s="42" customFormat="1" x14ac:dyDescent="0.25"/>
    <row r="9960" s="42" customFormat="1" x14ac:dyDescent="0.25"/>
    <row r="9961" s="42" customFormat="1" x14ac:dyDescent="0.25"/>
    <row r="9962" s="42" customFormat="1" x14ac:dyDescent="0.25"/>
    <row r="9963" s="42" customFormat="1" x14ac:dyDescent="0.25"/>
    <row r="9964" s="42" customFormat="1" x14ac:dyDescent="0.25"/>
    <row r="9965" s="42" customFormat="1" x14ac:dyDescent="0.25"/>
    <row r="9966" s="42" customFormat="1" x14ac:dyDescent="0.25"/>
    <row r="9967" s="42" customFormat="1" x14ac:dyDescent="0.25"/>
    <row r="9968" s="42" customFormat="1" x14ac:dyDescent="0.25"/>
    <row r="9969" s="42" customFormat="1" x14ac:dyDescent="0.25"/>
    <row r="9970" s="42" customFormat="1" x14ac:dyDescent="0.25"/>
    <row r="9971" s="42" customFormat="1" x14ac:dyDescent="0.25"/>
    <row r="9972" s="42" customFormat="1" x14ac:dyDescent="0.25"/>
    <row r="9973" s="42" customFormat="1" x14ac:dyDescent="0.25"/>
    <row r="9974" s="42" customFormat="1" x14ac:dyDescent="0.25"/>
    <row r="9975" s="42" customFormat="1" x14ac:dyDescent="0.25"/>
    <row r="9976" s="42" customFormat="1" x14ac:dyDescent="0.25"/>
    <row r="9977" s="42" customFormat="1" x14ac:dyDescent="0.25"/>
    <row r="9978" s="42" customFormat="1" x14ac:dyDescent="0.25"/>
    <row r="9979" s="42" customFormat="1" x14ac:dyDescent="0.25"/>
    <row r="9980" s="42" customFormat="1" x14ac:dyDescent="0.25"/>
    <row r="9981" s="42" customFormat="1" x14ac:dyDescent="0.25"/>
    <row r="9982" s="42" customFormat="1" x14ac:dyDescent="0.25"/>
    <row r="9983" s="42" customFormat="1" x14ac:dyDescent="0.25"/>
    <row r="9984" s="42" customFormat="1" x14ac:dyDescent="0.25"/>
    <row r="9985" s="42" customFormat="1" x14ac:dyDescent="0.25"/>
    <row r="9986" s="42" customFormat="1" x14ac:dyDescent="0.25"/>
    <row r="9987" s="42" customFormat="1" x14ac:dyDescent="0.25"/>
    <row r="9988" s="42" customFormat="1" x14ac:dyDescent="0.25"/>
    <row r="9989" s="42" customFormat="1" x14ac:dyDescent="0.25"/>
    <row r="9990" s="42" customFormat="1" x14ac:dyDescent="0.25"/>
    <row r="9991" s="42" customFormat="1" x14ac:dyDescent="0.25"/>
    <row r="9992" s="42" customFormat="1" x14ac:dyDescent="0.25"/>
    <row r="9993" s="42" customFormat="1" x14ac:dyDescent="0.25"/>
    <row r="9994" s="42" customFormat="1" x14ac:dyDescent="0.25"/>
    <row r="9995" s="42" customFormat="1" x14ac:dyDescent="0.25"/>
    <row r="9996" s="42" customFormat="1" x14ac:dyDescent="0.25"/>
    <row r="9997" s="42" customFormat="1" x14ac:dyDescent="0.25"/>
    <row r="9998" s="42" customFormat="1" x14ac:dyDescent="0.25"/>
    <row r="9999" s="42" customFormat="1" x14ac:dyDescent="0.25"/>
    <row r="10000" s="42" customFormat="1" x14ac:dyDescent="0.25"/>
    <row r="10001" s="42" customFormat="1" x14ac:dyDescent="0.25"/>
    <row r="10002" s="42" customFormat="1" x14ac:dyDescent="0.25"/>
    <row r="10003" s="42" customFormat="1" x14ac:dyDescent="0.25"/>
    <row r="10004" s="42" customFormat="1" x14ac:dyDescent="0.25"/>
    <row r="10005" s="42" customFormat="1" x14ac:dyDescent="0.25"/>
    <row r="10006" s="42" customFormat="1" x14ac:dyDescent="0.25"/>
    <row r="10007" s="42" customFormat="1" x14ac:dyDescent="0.25"/>
    <row r="10008" s="42" customFormat="1" x14ac:dyDescent="0.25"/>
    <row r="10009" s="42" customFormat="1" x14ac:dyDescent="0.25"/>
    <row r="10010" s="42" customFormat="1" x14ac:dyDescent="0.25"/>
    <row r="10011" s="42" customFormat="1" x14ac:dyDescent="0.25"/>
    <row r="10012" s="42" customFormat="1" x14ac:dyDescent="0.25"/>
    <row r="10013" s="42" customFormat="1" x14ac:dyDescent="0.25"/>
    <row r="10014" s="42" customFormat="1" x14ac:dyDescent="0.25"/>
    <row r="10015" s="42" customFormat="1" x14ac:dyDescent="0.25"/>
    <row r="10016" s="42" customFormat="1" x14ac:dyDescent="0.25"/>
    <row r="10017" s="42" customFormat="1" x14ac:dyDescent="0.25"/>
    <row r="10018" s="42" customFormat="1" x14ac:dyDescent="0.25"/>
    <row r="10019" s="42" customFormat="1" x14ac:dyDescent="0.25"/>
    <row r="10020" s="42" customFormat="1" x14ac:dyDescent="0.25"/>
    <row r="10021" s="42" customFormat="1" x14ac:dyDescent="0.25"/>
    <row r="10022" s="42" customFormat="1" x14ac:dyDescent="0.25"/>
    <row r="10023" s="42" customFormat="1" x14ac:dyDescent="0.25"/>
    <row r="10024" s="42" customFormat="1" x14ac:dyDescent="0.25"/>
    <row r="10025" s="42" customFormat="1" x14ac:dyDescent="0.25"/>
    <row r="10026" s="42" customFormat="1" x14ac:dyDescent="0.25"/>
    <row r="10027" s="42" customFormat="1" x14ac:dyDescent="0.25"/>
    <row r="10028" s="42" customFormat="1" x14ac:dyDescent="0.25"/>
    <row r="10029" s="42" customFormat="1" x14ac:dyDescent="0.25"/>
    <row r="10030" s="42" customFormat="1" x14ac:dyDescent="0.25"/>
    <row r="10031" s="42" customFormat="1" x14ac:dyDescent="0.25"/>
    <row r="10032" s="42" customFormat="1" x14ac:dyDescent="0.25"/>
    <row r="10033" s="42" customFormat="1" x14ac:dyDescent="0.25"/>
    <row r="10034" s="42" customFormat="1" x14ac:dyDescent="0.25"/>
    <row r="10035" s="42" customFormat="1" x14ac:dyDescent="0.25"/>
    <row r="10036" s="42" customFormat="1" x14ac:dyDescent="0.25"/>
    <row r="10037" s="42" customFormat="1" x14ac:dyDescent="0.25"/>
    <row r="10038" s="42" customFormat="1" x14ac:dyDescent="0.25"/>
    <row r="10039" s="42" customFormat="1" x14ac:dyDescent="0.25"/>
    <row r="10040" s="42" customFormat="1" x14ac:dyDescent="0.25"/>
    <row r="10041" s="42" customFormat="1" x14ac:dyDescent="0.25"/>
    <row r="10042" s="42" customFormat="1" x14ac:dyDescent="0.25"/>
    <row r="10043" s="42" customFormat="1" x14ac:dyDescent="0.25"/>
    <row r="10044" s="42" customFormat="1" x14ac:dyDescent="0.25"/>
    <row r="10045" s="42" customFormat="1" x14ac:dyDescent="0.25"/>
    <row r="10046" s="42" customFormat="1" x14ac:dyDescent="0.25"/>
    <row r="10047" s="42" customFormat="1" x14ac:dyDescent="0.25"/>
    <row r="10048" s="42" customFormat="1" x14ac:dyDescent="0.25"/>
    <row r="10049" s="42" customFormat="1" x14ac:dyDescent="0.25"/>
    <row r="10050" s="42" customFormat="1" x14ac:dyDescent="0.25"/>
    <row r="10051" s="42" customFormat="1" x14ac:dyDescent="0.25"/>
    <row r="10052" s="42" customFormat="1" x14ac:dyDescent="0.25"/>
    <row r="10053" s="42" customFormat="1" x14ac:dyDescent="0.25"/>
    <row r="10054" s="42" customFormat="1" x14ac:dyDescent="0.25"/>
    <row r="10055" s="42" customFormat="1" x14ac:dyDescent="0.25"/>
    <row r="10056" s="42" customFormat="1" x14ac:dyDescent="0.25"/>
    <row r="10057" s="42" customFormat="1" x14ac:dyDescent="0.25"/>
    <row r="10058" s="42" customFormat="1" x14ac:dyDescent="0.25"/>
    <row r="10059" s="42" customFormat="1" x14ac:dyDescent="0.25"/>
    <row r="10060" s="42" customFormat="1" x14ac:dyDescent="0.25"/>
    <row r="10061" s="42" customFormat="1" x14ac:dyDescent="0.25"/>
    <row r="10062" s="42" customFormat="1" x14ac:dyDescent="0.25"/>
    <row r="10063" s="42" customFormat="1" x14ac:dyDescent="0.25"/>
    <row r="10064" s="42" customFormat="1" x14ac:dyDescent="0.25"/>
    <row r="10065" s="42" customFormat="1" x14ac:dyDescent="0.25"/>
    <row r="10066" s="42" customFormat="1" x14ac:dyDescent="0.25"/>
    <row r="10067" s="42" customFormat="1" x14ac:dyDescent="0.25"/>
    <row r="10068" s="42" customFormat="1" x14ac:dyDescent="0.25"/>
    <row r="10069" s="42" customFormat="1" x14ac:dyDescent="0.25"/>
    <row r="10070" s="42" customFormat="1" x14ac:dyDescent="0.25"/>
    <row r="10071" s="42" customFormat="1" x14ac:dyDescent="0.25"/>
    <row r="10072" s="42" customFormat="1" x14ac:dyDescent="0.25"/>
    <row r="10073" s="42" customFormat="1" x14ac:dyDescent="0.25"/>
    <row r="10074" s="42" customFormat="1" x14ac:dyDescent="0.25"/>
    <row r="10075" s="42" customFormat="1" x14ac:dyDescent="0.25"/>
    <row r="10076" s="42" customFormat="1" x14ac:dyDescent="0.25"/>
    <row r="10077" s="42" customFormat="1" x14ac:dyDescent="0.25"/>
    <row r="10078" s="42" customFormat="1" x14ac:dyDescent="0.25"/>
    <row r="10079" s="42" customFormat="1" x14ac:dyDescent="0.25"/>
    <row r="10080" s="42" customFormat="1" x14ac:dyDescent="0.25"/>
    <row r="10081" s="42" customFormat="1" x14ac:dyDescent="0.25"/>
    <row r="10082" s="42" customFormat="1" x14ac:dyDescent="0.25"/>
    <row r="10083" s="42" customFormat="1" x14ac:dyDescent="0.25"/>
    <row r="10084" s="42" customFormat="1" x14ac:dyDescent="0.25"/>
    <row r="10085" s="42" customFormat="1" x14ac:dyDescent="0.25"/>
    <row r="10086" s="42" customFormat="1" x14ac:dyDescent="0.25"/>
    <row r="10087" s="42" customFormat="1" x14ac:dyDescent="0.25"/>
    <row r="10088" s="42" customFormat="1" x14ac:dyDescent="0.25"/>
    <row r="10089" s="42" customFormat="1" x14ac:dyDescent="0.25"/>
    <row r="10090" s="42" customFormat="1" x14ac:dyDescent="0.25"/>
    <row r="10091" s="42" customFormat="1" x14ac:dyDescent="0.25"/>
    <row r="10092" s="42" customFormat="1" x14ac:dyDescent="0.25"/>
    <row r="10093" s="42" customFormat="1" x14ac:dyDescent="0.25"/>
    <row r="10094" s="42" customFormat="1" x14ac:dyDescent="0.25"/>
    <row r="10095" s="42" customFormat="1" x14ac:dyDescent="0.25"/>
    <row r="10096" s="42" customFormat="1" x14ac:dyDescent="0.25"/>
    <row r="10097" s="42" customFormat="1" x14ac:dyDescent="0.25"/>
    <row r="10098" s="42" customFormat="1" x14ac:dyDescent="0.25"/>
    <row r="10099" s="42" customFormat="1" x14ac:dyDescent="0.25"/>
    <row r="10100" s="42" customFormat="1" x14ac:dyDescent="0.25"/>
    <row r="10101" s="42" customFormat="1" x14ac:dyDescent="0.25"/>
    <row r="10102" s="42" customFormat="1" x14ac:dyDescent="0.25"/>
    <row r="10103" s="42" customFormat="1" x14ac:dyDescent="0.25"/>
    <row r="10104" s="42" customFormat="1" x14ac:dyDescent="0.25"/>
    <row r="10105" s="42" customFormat="1" x14ac:dyDescent="0.25"/>
    <row r="10106" s="42" customFormat="1" x14ac:dyDescent="0.25"/>
    <row r="10107" s="42" customFormat="1" x14ac:dyDescent="0.25"/>
    <row r="10108" s="42" customFormat="1" x14ac:dyDescent="0.25"/>
    <row r="10109" s="42" customFormat="1" x14ac:dyDescent="0.25"/>
    <row r="10110" s="42" customFormat="1" x14ac:dyDescent="0.25"/>
    <row r="10111" s="42" customFormat="1" x14ac:dyDescent="0.25"/>
    <row r="10112" s="42" customFormat="1" x14ac:dyDescent="0.25"/>
    <row r="10113" s="42" customFormat="1" x14ac:dyDescent="0.25"/>
    <row r="10114" s="42" customFormat="1" x14ac:dyDescent="0.25"/>
    <row r="10115" s="42" customFormat="1" x14ac:dyDescent="0.25"/>
    <row r="10116" s="42" customFormat="1" x14ac:dyDescent="0.25"/>
    <row r="10117" s="42" customFormat="1" x14ac:dyDescent="0.25"/>
    <row r="10118" s="42" customFormat="1" x14ac:dyDescent="0.25"/>
    <row r="10119" s="42" customFormat="1" x14ac:dyDescent="0.25"/>
    <row r="10120" s="42" customFormat="1" x14ac:dyDescent="0.25"/>
    <row r="10121" s="42" customFormat="1" x14ac:dyDescent="0.25"/>
    <row r="10122" s="42" customFormat="1" x14ac:dyDescent="0.25"/>
    <row r="10123" s="42" customFormat="1" x14ac:dyDescent="0.25"/>
    <row r="10124" s="42" customFormat="1" x14ac:dyDescent="0.25"/>
    <row r="10125" s="42" customFormat="1" x14ac:dyDescent="0.25"/>
    <row r="10126" s="42" customFormat="1" x14ac:dyDescent="0.25"/>
    <row r="10127" s="42" customFormat="1" x14ac:dyDescent="0.25"/>
    <row r="10128" s="42" customFormat="1" x14ac:dyDescent="0.25"/>
    <row r="10129" s="42" customFormat="1" x14ac:dyDescent="0.25"/>
    <row r="10130" s="42" customFormat="1" x14ac:dyDescent="0.25"/>
    <row r="10131" s="42" customFormat="1" x14ac:dyDescent="0.25"/>
    <row r="10132" s="42" customFormat="1" x14ac:dyDescent="0.25"/>
    <row r="10133" s="42" customFormat="1" x14ac:dyDescent="0.25"/>
    <row r="10134" s="42" customFormat="1" x14ac:dyDescent="0.25"/>
    <row r="10135" s="42" customFormat="1" x14ac:dyDescent="0.25"/>
    <row r="10136" s="42" customFormat="1" x14ac:dyDescent="0.25"/>
    <row r="10137" s="42" customFormat="1" x14ac:dyDescent="0.25"/>
    <row r="10138" s="42" customFormat="1" x14ac:dyDescent="0.25"/>
    <row r="10139" s="42" customFormat="1" x14ac:dyDescent="0.25"/>
    <row r="10140" s="42" customFormat="1" x14ac:dyDescent="0.25"/>
    <row r="10141" s="42" customFormat="1" x14ac:dyDescent="0.25"/>
    <row r="10142" s="42" customFormat="1" x14ac:dyDescent="0.25"/>
    <row r="10143" s="42" customFormat="1" x14ac:dyDescent="0.25"/>
    <row r="10144" s="42" customFormat="1" x14ac:dyDescent="0.25"/>
    <row r="10145" s="42" customFormat="1" x14ac:dyDescent="0.25"/>
    <row r="10146" s="42" customFormat="1" x14ac:dyDescent="0.25"/>
    <row r="10147" s="42" customFormat="1" x14ac:dyDescent="0.25"/>
    <row r="10148" s="42" customFormat="1" x14ac:dyDescent="0.25"/>
    <row r="10149" s="42" customFormat="1" x14ac:dyDescent="0.25"/>
    <row r="10150" s="42" customFormat="1" x14ac:dyDescent="0.25"/>
    <row r="10151" s="42" customFormat="1" x14ac:dyDescent="0.25"/>
    <row r="10152" s="42" customFormat="1" x14ac:dyDescent="0.25"/>
    <row r="10153" s="42" customFormat="1" x14ac:dyDescent="0.25"/>
    <row r="10154" s="42" customFormat="1" x14ac:dyDescent="0.25"/>
    <row r="10155" s="42" customFormat="1" x14ac:dyDescent="0.25"/>
    <row r="10156" s="42" customFormat="1" x14ac:dyDescent="0.25"/>
    <row r="10157" s="42" customFormat="1" x14ac:dyDescent="0.25"/>
    <row r="10158" s="42" customFormat="1" x14ac:dyDescent="0.25"/>
    <row r="10159" s="42" customFormat="1" x14ac:dyDescent="0.25"/>
    <row r="10160" s="42" customFormat="1" x14ac:dyDescent="0.25"/>
    <row r="10161" s="42" customFormat="1" x14ac:dyDescent="0.25"/>
    <row r="10162" s="42" customFormat="1" x14ac:dyDescent="0.25"/>
    <row r="10163" s="42" customFormat="1" x14ac:dyDescent="0.25"/>
    <row r="10164" s="42" customFormat="1" x14ac:dyDescent="0.25"/>
    <row r="10165" s="42" customFormat="1" x14ac:dyDescent="0.25"/>
    <row r="10166" s="42" customFormat="1" x14ac:dyDescent="0.25"/>
    <row r="10167" s="42" customFormat="1" x14ac:dyDescent="0.25"/>
    <row r="10168" s="42" customFormat="1" x14ac:dyDescent="0.25"/>
    <row r="10169" s="42" customFormat="1" x14ac:dyDescent="0.25"/>
    <row r="10170" s="42" customFormat="1" x14ac:dyDescent="0.25"/>
    <row r="10171" s="42" customFormat="1" x14ac:dyDescent="0.25"/>
    <row r="10172" s="42" customFormat="1" x14ac:dyDescent="0.25"/>
    <row r="10173" s="42" customFormat="1" x14ac:dyDescent="0.25"/>
    <row r="10174" s="42" customFormat="1" x14ac:dyDescent="0.25"/>
    <row r="10175" s="42" customFormat="1" x14ac:dyDescent="0.25"/>
    <row r="10176" s="42" customFormat="1" x14ac:dyDescent="0.25"/>
    <row r="10177" s="42" customFormat="1" x14ac:dyDescent="0.25"/>
    <row r="10178" s="42" customFormat="1" x14ac:dyDescent="0.25"/>
    <row r="10179" s="42" customFormat="1" x14ac:dyDescent="0.25"/>
    <row r="10180" s="42" customFormat="1" x14ac:dyDescent="0.25"/>
    <row r="10181" s="42" customFormat="1" x14ac:dyDescent="0.25"/>
    <row r="10182" s="42" customFormat="1" x14ac:dyDescent="0.25"/>
    <row r="10183" s="42" customFormat="1" x14ac:dyDescent="0.25"/>
    <row r="10184" s="42" customFormat="1" x14ac:dyDescent="0.25"/>
    <row r="10185" s="42" customFormat="1" x14ac:dyDescent="0.25"/>
    <row r="10186" s="42" customFormat="1" x14ac:dyDescent="0.25"/>
    <row r="10187" s="42" customFormat="1" x14ac:dyDescent="0.25"/>
    <row r="10188" s="42" customFormat="1" x14ac:dyDescent="0.25"/>
    <row r="10189" s="42" customFormat="1" x14ac:dyDescent="0.25"/>
    <row r="10190" s="42" customFormat="1" x14ac:dyDescent="0.25"/>
    <row r="10191" s="42" customFormat="1" x14ac:dyDescent="0.25"/>
    <row r="10192" s="42" customFormat="1" x14ac:dyDescent="0.25"/>
    <row r="10193" s="42" customFormat="1" x14ac:dyDescent="0.25"/>
    <row r="10194" s="42" customFormat="1" x14ac:dyDescent="0.25"/>
    <row r="10195" s="42" customFormat="1" x14ac:dyDescent="0.25"/>
    <row r="10196" s="42" customFormat="1" x14ac:dyDescent="0.25"/>
    <row r="10197" s="42" customFormat="1" x14ac:dyDescent="0.25"/>
    <row r="10198" s="42" customFormat="1" x14ac:dyDescent="0.25"/>
    <row r="10199" s="42" customFormat="1" x14ac:dyDescent="0.25"/>
    <row r="10200" s="42" customFormat="1" x14ac:dyDescent="0.25"/>
    <row r="10201" s="42" customFormat="1" x14ac:dyDescent="0.25"/>
    <row r="10202" s="42" customFormat="1" x14ac:dyDescent="0.25"/>
    <row r="10203" s="42" customFormat="1" x14ac:dyDescent="0.25"/>
    <row r="10204" s="42" customFormat="1" x14ac:dyDescent="0.25"/>
    <row r="10205" s="42" customFormat="1" x14ac:dyDescent="0.25"/>
    <row r="10206" s="42" customFormat="1" x14ac:dyDescent="0.25"/>
    <row r="10207" s="42" customFormat="1" x14ac:dyDescent="0.25"/>
    <row r="10208" s="42" customFormat="1" x14ac:dyDescent="0.25"/>
    <row r="10209" s="42" customFormat="1" x14ac:dyDescent="0.25"/>
    <row r="10210" s="42" customFormat="1" x14ac:dyDescent="0.25"/>
    <row r="10211" s="42" customFormat="1" x14ac:dyDescent="0.25"/>
    <row r="10212" s="42" customFormat="1" x14ac:dyDescent="0.25"/>
    <row r="10213" s="42" customFormat="1" x14ac:dyDescent="0.25"/>
    <row r="10214" s="42" customFormat="1" x14ac:dyDescent="0.25"/>
    <row r="10215" s="42" customFormat="1" x14ac:dyDescent="0.25"/>
    <row r="10216" s="42" customFormat="1" x14ac:dyDescent="0.25"/>
    <row r="10217" s="42" customFormat="1" x14ac:dyDescent="0.25"/>
    <row r="10218" s="42" customFormat="1" x14ac:dyDescent="0.25"/>
    <row r="10219" s="42" customFormat="1" x14ac:dyDescent="0.25"/>
    <row r="10220" s="42" customFormat="1" x14ac:dyDescent="0.25"/>
    <row r="10221" s="42" customFormat="1" x14ac:dyDescent="0.25"/>
    <row r="10222" s="42" customFormat="1" x14ac:dyDescent="0.25"/>
    <row r="10223" s="42" customFormat="1" x14ac:dyDescent="0.25"/>
    <row r="10224" s="42" customFormat="1" x14ac:dyDescent="0.25"/>
    <row r="10225" s="42" customFormat="1" x14ac:dyDescent="0.25"/>
    <row r="10226" s="42" customFormat="1" x14ac:dyDescent="0.25"/>
    <row r="10227" s="42" customFormat="1" x14ac:dyDescent="0.25"/>
    <row r="10228" s="42" customFormat="1" x14ac:dyDescent="0.25"/>
    <row r="10229" s="42" customFormat="1" x14ac:dyDescent="0.25"/>
    <row r="10230" s="42" customFormat="1" x14ac:dyDescent="0.25"/>
    <row r="10231" s="42" customFormat="1" x14ac:dyDescent="0.25"/>
    <row r="10232" s="42" customFormat="1" x14ac:dyDescent="0.25"/>
    <row r="10233" s="42" customFormat="1" x14ac:dyDescent="0.25"/>
    <row r="10234" s="42" customFormat="1" x14ac:dyDescent="0.25"/>
    <row r="10235" s="42" customFormat="1" x14ac:dyDescent="0.25"/>
    <row r="10236" s="42" customFormat="1" x14ac:dyDescent="0.25"/>
    <row r="10237" s="42" customFormat="1" x14ac:dyDescent="0.25"/>
    <row r="10238" s="42" customFormat="1" x14ac:dyDescent="0.25"/>
    <row r="10239" s="42" customFormat="1" x14ac:dyDescent="0.25"/>
    <row r="10240" s="42" customFormat="1" x14ac:dyDescent="0.25"/>
    <row r="10241" s="42" customFormat="1" x14ac:dyDescent="0.25"/>
    <row r="10242" s="42" customFormat="1" x14ac:dyDescent="0.25"/>
    <row r="10243" s="42" customFormat="1" x14ac:dyDescent="0.25"/>
    <row r="10244" s="42" customFormat="1" x14ac:dyDescent="0.25"/>
    <row r="10245" s="42" customFormat="1" x14ac:dyDescent="0.25"/>
    <row r="10246" s="42" customFormat="1" x14ac:dyDescent="0.25"/>
    <row r="10247" s="42" customFormat="1" x14ac:dyDescent="0.25"/>
    <row r="10248" s="42" customFormat="1" x14ac:dyDescent="0.25"/>
    <row r="10249" s="42" customFormat="1" x14ac:dyDescent="0.25"/>
    <row r="10250" s="42" customFormat="1" x14ac:dyDescent="0.25"/>
    <row r="10251" s="42" customFormat="1" x14ac:dyDescent="0.25"/>
    <row r="10252" s="42" customFormat="1" x14ac:dyDescent="0.25"/>
    <row r="10253" s="42" customFormat="1" x14ac:dyDescent="0.25"/>
    <row r="10254" s="42" customFormat="1" x14ac:dyDescent="0.25"/>
    <row r="10255" s="42" customFormat="1" x14ac:dyDescent="0.25"/>
    <row r="10256" s="42" customFormat="1" x14ac:dyDescent="0.25"/>
    <row r="10257" s="42" customFormat="1" x14ac:dyDescent="0.25"/>
    <row r="10258" s="42" customFormat="1" x14ac:dyDescent="0.25"/>
    <row r="10259" s="42" customFormat="1" x14ac:dyDescent="0.25"/>
    <row r="10260" s="42" customFormat="1" x14ac:dyDescent="0.25"/>
    <row r="10261" s="42" customFormat="1" x14ac:dyDescent="0.25"/>
    <row r="10262" s="42" customFormat="1" x14ac:dyDescent="0.25"/>
    <row r="10263" s="42" customFormat="1" x14ac:dyDescent="0.25"/>
    <row r="10264" s="42" customFormat="1" x14ac:dyDescent="0.25"/>
    <row r="10265" s="42" customFormat="1" x14ac:dyDescent="0.25"/>
    <row r="10266" s="42" customFormat="1" x14ac:dyDescent="0.25"/>
    <row r="10267" s="42" customFormat="1" x14ac:dyDescent="0.25"/>
    <row r="10268" s="42" customFormat="1" x14ac:dyDescent="0.25"/>
    <row r="10269" s="42" customFormat="1" x14ac:dyDescent="0.25"/>
    <row r="10270" s="42" customFormat="1" x14ac:dyDescent="0.25"/>
    <row r="10271" s="42" customFormat="1" x14ac:dyDescent="0.25"/>
    <row r="10272" s="42" customFormat="1" x14ac:dyDescent="0.25"/>
    <row r="10273" s="42" customFormat="1" x14ac:dyDescent="0.25"/>
    <row r="10274" s="42" customFormat="1" x14ac:dyDescent="0.25"/>
    <row r="10275" s="42" customFormat="1" x14ac:dyDescent="0.25"/>
    <row r="10276" s="42" customFormat="1" x14ac:dyDescent="0.25"/>
    <row r="10277" s="42" customFormat="1" x14ac:dyDescent="0.25"/>
    <row r="10278" s="42" customFormat="1" x14ac:dyDescent="0.25"/>
    <row r="10279" s="42" customFormat="1" x14ac:dyDescent="0.25"/>
    <row r="10280" s="42" customFormat="1" x14ac:dyDescent="0.25"/>
    <row r="10281" s="42" customFormat="1" x14ac:dyDescent="0.25"/>
    <row r="10282" s="42" customFormat="1" x14ac:dyDescent="0.25"/>
    <row r="10283" s="42" customFormat="1" x14ac:dyDescent="0.25"/>
    <row r="10284" s="42" customFormat="1" x14ac:dyDescent="0.25"/>
    <row r="10285" s="42" customFormat="1" x14ac:dyDescent="0.25"/>
    <row r="10286" s="42" customFormat="1" x14ac:dyDescent="0.25"/>
    <row r="10287" s="42" customFormat="1" x14ac:dyDescent="0.25"/>
    <row r="10288" s="42" customFormat="1" x14ac:dyDescent="0.25"/>
    <row r="10289" s="42" customFormat="1" x14ac:dyDescent="0.25"/>
    <row r="10290" s="42" customFormat="1" x14ac:dyDescent="0.25"/>
    <row r="10291" s="42" customFormat="1" x14ac:dyDescent="0.25"/>
    <row r="10292" s="42" customFormat="1" x14ac:dyDescent="0.25"/>
    <row r="10293" s="42" customFormat="1" x14ac:dyDescent="0.25"/>
    <row r="10294" s="42" customFormat="1" x14ac:dyDescent="0.25"/>
    <row r="10295" s="42" customFormat="1" x14ac:dyDescent="0.25"/>
    <row r="10296" s="42" customFormat="1" x14ac:dyDescent="0.25"/>
    <row r="10297" s="42" customFormat="1" x14ac:dyDescent="0.25"/>
    <row r="10298" s="42" customFormat="1" x14ac:dyDescent="0.25"/>
    <row r="10299" s="42" customFormat="1" x14ac:dyDescent="0.25"/>
    <row r="10300" s="42" customFormat="1" x14ac:dyDescent="0.25"/>
    <row r="10301" s="42" customFormat="1" x14ac:dyDescent="0.25"/>
    <row r="10302" s="42" customFormat="1" x14ac:dyDescent="0.25"/>
    <row r="10303" s="42" customFormat="1" x14ac:dyDescent="0.25"/>
    <row r="10304" s="42" customFormat="1" x14ac:dyDescent="0.25"/>
    <row r="10305" s="42" customFormat="1" x14ac:dyDescent="0.25"/>
    <row r="10306" s="42" customFormat="1" x14ac:dyDescent="0.25"/>
    <row r="10307" s="42" customFormat="1" x14ac:dyDescent="0.25"/>
    <row r="10308" s="42" customFormat="1" x14ac:dyDescent="0.25"/>
    <row r="10309" s="42" customFormat="1" x14ac:dyDescent="0.25"/>
    <row r="10310" s="42" customFormat="1" x14ac:dyDescent="0.25"/>
    <row r="10311" s="42" customFormat="1" x14ac:dyDescent="0.25"/>
    <row r="10312" s="42" customFormat="1" x14ac:dyDescent="0.25"/>
    <row r="10313" s="42" customFormat="1" x14ac:dyDescent="0.25"/>
    <row r="10314" s="42" customFormat="1" x14ac:dyDescent="0.25"/>
    <row r="10315" s="42" customFormat="1" x14ac:dyDescent="0.25"/>
    <row r="10316" s="42" customFormat="1" x14ac:dyDescent="0.25"/>
    <row r="10317" s="42" customFormat="1" x14ac:dyDescent="0.25"/>
    <row r="10318" s="42" customFormat="1" x14ac:dyDescent="0.25"/>
    <row r="10319" s="42" customFormat="1" x14ac:dyDescent="0.25"/>
    <row r="10320" s="42" customFormat="1" x14ac:dyDescent="0.25"/>
    <row r="10321" s="42" customFormat="1" x14ac:dyDescent="0.25"/>
    <row r="10322" s="42" customFormat="1" x14ac:dyDescent="0.25"/>
    <row r="10323" s="42" customFormat="1" x14ac:dyDescent="0.25"/>
    <row r="10324" s="42" customFormat="1" x14ac:dyDescent="0.25"/>
    <row r="10325" s="42" customFormat="1" x14ac:dyDescent="0.25"/>
    <row r="10326" s="42" customFormat="1" x14ac:dyDescent="0.25"/>
    <row r="10327" s="42" customFormat="1" x14ac:dyDescent="0.25"/>
    <row r="10328" s="42" customFormat="1" x14ac:dyDescent="0.25"/>
    <row r="10329" s="42" customFormat="1" x14ac:dyDescent="0.25"/>
    <row r="10330" s="42" customFormat="1" x14ac:dyDescent="0.25"/>
    <row r="10331" s="42" customFormat="1" x14ac:dyDescent="0.25"/>
    <row r="10332" s="42" customFormat="1" x14ac:dyDescent="0.25"/>
    <row r="10333" s="42" customFormat="1" x14ac:dyDescent="0.25"/>
    <row r="10334" s="42" customFormat="1" x14ac:dyDescent="0.25"/>
    <row r="10335" s="42" customFormat="1" x14ac:dyDescent="0.25"/>
    <row r="10336" s="42" customFormat="1" x14ac:dyDescent="0.25"/>
    <row r="10337" s="42" customFormat="1" x14ac:dyDescent="0.25"/>
    <row r="10338" s="42" customFormat="1" x14ac:dyDescent="0.25"/>
    <row r="10339" s="42" customFormat="1" x14ac:dyDescent="0.25"/>
    <row r="10340" s="42" customFormat="1" x14ac:dyDescent="0.25"/>
    <row r="10341" s="42" customFormat="1" x14ac:dyDescent="0.25"/>
    <row r="10342" s="42" customFormat="1" x14ac:dyDescent="0.25"/>
    <row r="10343" s="42" customFormat="1" x14ac:dyDescent="0.25"/>
    <row r="10344" s="42" customFormat="1" x14ac:dyDescent="0.25"/>
    <row r="10345" s="42" customFormat="1" x14ac:dyDescent="0.25"/>
    <row r="10346" s="42" customFormat="1" x14ac:dyDescent="0.25"/>
    <row r="10347" s="42" customFormat="1" x14ac:dyDescent="0.25"/>
    <row r="10348" s="42" customFormat="1" x14ac:dyDescent="0.25"/>
    <row r="10349" s="42" customFormat="1" x14ac:dyDescent="0.25"/>
    <row r="10350" s="42" customFormat="1" x14ac:dyDescent="0.25"/>
    <row r="10351" s="42" customFormat="1" x14ac:dyDescent="0.25"/>
    <row r="10352" s="42" customFormat="1" x14ac:dyDescent="0.25"/>
    <row r="10353" s="42" customFormat="1" x14ac:dyDescent="0.25"/>
    <row r="10354" s="42" customFormat="1" x14ac:dyDescent="0.25"/>
    <row r="10355" s="42" customFormat="1" x14ac:dyDescent="0.25"/>
    <row r="10356" s="42" customFormat="1" x14ac:dyDescent="0.25"/>
    <row r="10357" s="42" customFormat="1" x14ac:dyDescent="0.25"/>
    <row r="10358" s="42" customFormat="1" x14ac:dyDescent="0.25"/>
    <row r="10359" s="42" customFormat="1" x14ac:dyDescent="0.25"/>
    <row r="10360" s="42" customFormat="1" x14ac:dyDescent="0.25"/>
    <row r="10361" s="42" customFormat="1" x14ac:dyDescent="0.25"/>
    <row r="10362" s="42" customFormat="1" x14ac:dyDescent="0.25"/>
    <row r="10363" s="42" customFormat="1" x14ac:dyDescent="0.25"/>
    <row r="10364" s="42" customFormat="1" x14ac:dyDescent="0.25"/>
    <row r="10365" s="42" customFormat="1" x14ac:dyDescent="0.25"/>
    <row r="10366" s="42" customFormat="1" x14ac:dyDescent="0.25"/>
    <row r="10367" s="42" customFormat="1" x14ac:dyDescent="0.25"/>
    <row r="10368" s="42" customFormat="1" x14ac:dyDescent="0.25"/>
    <row r="10369" s="42" customFormat="1" x14ac:dyDescent="0.25"/>
    <row r="10370" s="42" customFormat="1" x14ac:dyDescent="0.25"/>
    <row r="10371" s="42" customFormat="1" x14ac:dyDescent="0.25"/>
    <row r="10372" s="42" customFormat="1" x14ac:dyDescent="0.25"/>
    <row r="10373" s="42" customFormat="1" x14ac:dyDescent="0.25"/>
    <row r="10374" s="42" customFormat="1" x14ac:dyDescent="0.25"/>
    <row r="10375" s="42" customFormat="1" x14ac:dyDescent="0.25"/>
    <row r="10376" s="42" customFormat="1" x14ac:dyDescent="0.25"/>
    <row r="10377" s="42" customFormat="1" x14ac:dyDescent="0.25"/>
    <row r="10378" s="42" customFormat="1" x14ac:dyDescent="0.25"/>
    <row r="10379" s="42" customFormat="1" x14ac:dyDescent="0.25"/>
    <row r="10380" s="42" customFormat="1" x14ac:dyDescent="0.25"/>
    <row r="10381" s="42" customFormat="1" x14ac:dyDescent="0.25"/>
    <row r="10382" s="42" customFormat="1" x14ac:dyDescent="0.25"/>
    <row r="10383" s="42" customFormat="1" x14ac:dyDescent="0.25"/>
    <row r="10384" s="42" customFormat="1" x14ac:dyDescent="0.25"/>
    <row r="10385" s="42" customFormat="1" x14ac:dyDescent="0.25"/>
    <row r="10386" s="42" customFormat="1" x14ac:dyDescent="0.25"/>
    <row r="10387" s="42" customFormat="1" x14ac:dyDescent="0.25"/>
    <row r="10388" s="42" customFormat="1" x14ac:dyDescent="0.25"/>
    <row r="10389" s="42" customFormat="1" x14ac:dyDescent="0.25"/>
    <row r="10390" s="42" customFormat="1" x14ac:dyDescent="0.25"/>
    <row r="10391" s="42" customFormat="1" x14ac:dyDescent="0.25"/>
    <row r="10392" s="42" customFormat="1" x14ac:dyDescent="0.25"/>
    <row r="10393" s="42" customFormat="1" x14ac:dyDescent="0.25"/>
    <row r="10394" s="42" customFormat="1" x14ac:dyDescent="0.25"/>
    <row r="10395" s="42" customFormat="1" x14ac:dyDescent="0.25"/>
    <row r="10396" s="42" customFormat="1" x14ac:dyDescent="0.25"/>
    <row r="10397" s="42" customFormat="1" x14ac:dyDescent="0.25"/>
    <row r="10398" s="42" customFormat="1" x14ac:dyDescent="0.25"/>
    <row r="10399" s="42" customFormat="1" x14ac:dyDescent="0.25"/>
    <row r="10400" s="42" customFormat="1" x14ac:dyDescent="0.25"/>
    <row r="10401" s="42" customFormat="1" x14ac:dyDescent="0.25"/>
    <row r="10402" s="42" customFormat="1" x14ac:dyDescent="0.25"/>
    <row r="10403" s="42" customFormat="1" x14ac:dyDescent="0.25"/>
    <row r="10404" s="42" customFormat="1" x14ac:dyDescent="0.25"/>
    <row r="10405" s="42" customFormat="1" x14ac:dyDescent="0.25"/>
    <row r="10406" s="42" customFormat="1" x14ac:dyDescent="0.25"/>
    <row r="10407" s="42" customFormat="1" x14ac:dyDescent="0.25"/>
    <row r="10408" s="42" customFormat="1" x14ac:dyDescent="0.25"/>
    <row r="10409" s="42" customFormat="1" x14ac:dyDescent="0.25"/>
    <row r="10410" s="42" customFormat="1" x14ac:dyDescent="0.25"/>
    <row r="10411" s="42" customFormat="1" x14ac:dyDescent="0.25"/>
    <row r="10412" s="42" customFormat="1" x14ac:dyDescent="0.25"/>
    <row r="10413" s="42" customFormat="1" x14ac:dyDescent="0.25"/>
    <row r="10414" s="42" customFormat="1" x14ac:dyDescent="0.25"/>
    <row r="10415" s="42" customFormat="1" x14ac:dyDescent="0.25"/>
    <row r="10416" s="42" customFormat="1" x14ac:dyDescent="0.25"/>
    <row r="10417" s="42" customFormat="1" x14ac:dyDescent="0.25"/>
    <row r="10418" s="42" customFormat="1" x14ac:dyDescent="0.25"/>
    <row r="10419" s="42" customFormat="1" x14ac:dyDescent="0.25"/>
    <row r="10420" s="42" customFormat="1" x14ac:dyDescent="0.25"/>
    <row r="10421" s="42" customFormat="1" x14ac:dyDescent="0.25"/>
    <row r="10422" s="42" customFormat="1" x14ac:dyDescent="0.25"/>
    <row r="10423" s="42" customFormat="1" x14ac:dyDescent="0.25"/>
    <row r="10424" s="42" customFormat="1" x14ac:dyDescent="0.25"/>
    <row r="10425" s="42" customFormat="1" x14ac:dyDescent="0.25"/>
    <row r="10426" s="42" customFormat="1" x14ac:dyDescent="0.25"/>
    <row r="10427" s="42" customFormat="1" x14ac:dyDescent="0.25"/>
    <row r="10428" s="42" customFormat="1" x14ac:dyDescent="0.25"/>
    <row r="10429" s="42" customFormat="1" x14ac:dyDescent="0.25"/>
    <row r="10430" s="42" customFormat="1" x14ac:dyDescent="0.25"/>
    <row r="10431" s="42" customFormat="1" x14ac:dyDescent="0.25"/>
    <row r="10432" s="42" customFormat="1" x14ac:dyDescent="0.25"/>
    <row r="10433" s="42" customFormat="1" x14ac:dyDescent="0.25"/>
    <row r="10434" s="42" customFormat="1" x14ac:dyDescent="0.25"/>
    <row r="10435" s="42" customFormat="1" x14ac:dyDescent="0.25"/>
    <row r="10436" s="42" customFormat="1" x14ac:dyDescent="0.25"/>
    <row r="10437" s="42" customFormat="1" x14ac:dyDescent="0.25"/>
    <row r="10438" s="42" customFormat="1" x14ac:dyDescent="0.25"/>
    <row r="10439" s="42" customFormat="1" x14ac:dyDescent="0.25"/>
    <row r="10440" s="42" customFormat="1" x14ac:dyDescent="0.25"/>
    <row r="10441" s="42" customFormat="1" x14ac:dyDescent="0.25"/>
    <row r="10442" s="42" customFormat="1" x14ac:dyDescent="0.25"/>
    <row r="10443" s="42" customFormat="1" x14ac:dyDescent="0.25"/>
    <row r="10444" s="42" customFormat="1" x14ac:dyDescent="0.25"/>
    <row r="10445" s="42" customFormat="1" x14ac:dyDescent="0.25"/>
    <row r="10446" s="42" customFormat="1" x14ac:dyDescent="0.25"/>
    <row r="10447" s="42" customFormat="1" x14ac:dyDescent="0.25"/>
    <row r="10448" s="42" customFormat="1" x14ac:dyDescent="0.25"/>
    <row r="10449" s="42" customFormat="1" x14ac:dyDescent="0.25"/>
    <row r="10450" s="42" customFormat="1" x14ac:dyDescent="0.25"/>
    <row r="10451" s="42" customFormat="1" x14ac:dyDescent="0.25"/>
    <row r="10452" s="42" customFormat="1" x14ac:dyDescent="0.25"/>
    <row r="10453" s="42" customFormat="1" x14ac:dyDescent="0.25"/>
    <row r="10454" s="42" customFormat="1" x14ac:dyDescent="0.25"/>
    <row r="10455" s="42" customFormat="1" x14ac:dyDescent="0.25"/>
    <row r="10456" s="42" customFormat="1" x14ac:dyDescent="0.25"/>
    <row r="10457" s="42" customFormat="1" x14ac:dyDescent="0.25"/>
    <row r="10458" s="42" customFormat="1" x14ac:dyDescent="0.25"/>
    <row r="10459" s="42" customFormat="1" x14ac:dyDescent="0.25"/>
    <row r="10460" s="42" customFormat="1" x14ac:dyDescent="0.25"/>
    <row r="10461" s="42" customFormat="1" x14ac:dyDescent="0.25"/>
    <row r="10462" s="42" customFormat="1" x14ac:dyDescent="0.25"/>
    <row r="10463" s="42" customFormat="1" x14ac:dyDescent="0.25"/>
    <row r="10464" s="42" customFormat="1" x14ac:dyDescent="0.25"/>
    <row r="10465" s="42" customFormat="1" x14ac:dyDescent="0.25"/>
    <row r="10466" s="42" customFormat="1" x14ac:dyDescent="0.25"/>
    <row r="10467" s="42" customFormat="1" x14ac:dyDescent="0.25"/>
    <row r="10468" s="42" customFormat="1" x14ac:dyDescent="0.25"/>
    <row r="10469" s="42" customFormat="1" x14ac:dyDescent="0.25"/>
    <row r="10470" s="42" customFormat="1" x14ac:dyDescent="0.25"/>
    <row r="10471" s="42" customFormat="1" x14ac:dyDescent="0.25"/>
    <row r="10472" s="42" customFormat="1" x14ac:dyDescent="0.25"/>
    <row r="10473" s="42" customFormat="1" x14ac:dyDescent="0.25"/>
    <row r="10474" s="42" customFormat="1" x14ac:dyDescent="0.25"/>
    <row r="10475" s="42" customFormat="1" x14ac:dyDescent="0.25"/>
    <row r="10476" s="42" customFormat="1" x14ac:dyDescent="0.25"/>
    <row r="10477" s="42" customFormat="1" x14ac:dyDescent="0.25"/>
    <row r="10478" s="42" customFormat="1" x14ac:dyDescent="0.25"/>
    <row r="10479" s="42" customFormat="1" x14ac:dyDescent="0.25"/>
    <row r="10480" s="42" customFormat="1" x14ac:dyDescent="0.25"/>
    <row r="10481" s="42" customFormat="1" x14ac:dyDescent="0.25"/>
    <row r="10482" s="42" customFormat="1" x14ac:dyDescent="0.25"/>
    <row r="10483" s="42" customFormat="1" x14ac:dyDescent="0.25"/>
    <row r="10484" s="42" customFormat="1" x14ac:dyDescent="0.25"/>
    <row r="10485" s="42" customFormat="1" x14ac:dyDescent="0.25"/>
    <row r="10486" s="42" customFormat="1" x14ac:dyDescent="0.25"/>
    <row r="10487" s="42" customFormat="1" x14ac:dyDescent="0.25"/>
    <row r="10488" s="42" customFormat="1" x14ac:dyDescent="0.25"/>
    <row r="10489" s="42" customFormat="1" x14ac:dyDescent="0.25"/>
    <row r="10490" s="42" customFormat="1" x14ac:dyDescent="0.25"/>
    <row r="10491" s="42" customFormat="1" x14ac:dyDescent="0.25"/>
    <row r="10492" s="42" customFormat="1" x14ac:dyDescent="0.25"/>
    <row r="10493" s="42" customFormat="1" x14ac:dyDescent="0.25"/>
    <row r="10494" s="42" customFormat="1" x14ac:dyDescent="0.25"/>
    <row r="10495" s="42" customFormat="1" x14ac:dyDescent="0.25"/>
    <row r="10496" s="42" customFormat="1" x14ac:dyDescent="0.25"/>
    <row r="10497" s="42" customFormat="1" x14ac:dyDescent="0.25"/>
    <row r="10498" s="42" customFormat="1" x14ac:dyDescent="0.25"/>
    <row r="10499" s="42" customFormat="1" x14ac:dyDescent="0.25"/>
    <row r="10500" s="42" customFormat="1" x14ac:dyDescent="0.25"/>
    <row r="10501" s="42" customFormat="1" x14ac:dyDescent="0.25"/>
    <row r="10502" s="42" customFormat="1" x14ac:dyDescent="0.25"/>
    <row r="10503" s="42" customFormat="1" x14ac:dyDescent="0.25"/>
    <row r="10504" s="42" customFormat="1" x14ac:dyDescent="0.25"/>
    <row r="10505" s="42" customFormat="1" x14ac:dyDescent="0.25"/>
    <row r="10506" s="42" customFormat="1" x14ac:dyDescent="0.25"/>
    <row r="10507" s="42" customFormat="1" x14ac:dyDescent="0.25"/>
    <row r="10508" s="42" customFormat="1" x14ac:dyDescent="0.25"/>
    <row r="10509" s="42" customFormat="1" x14ac:dyDescent="0.25"/>
    <row r="10510" s="42" customFormat="1" x14ac:dyDescent="0.25"/>
    <row r="10511" s="42" customFormat="1" x14ac:dyDescent="0.25"/>
    <row r="10512" s="42" customFormat="1" x14ac:dyDescent="0.25"/>
    <row r="10513" s="42" customFormat="1" x14ac:dyDescent="0.25"/>
    <row r="10514" s="42" customFormat="1" x14ac:dyDescent="0.25"/>
    <row r="10515" s="42" customFormat="1" x14ac:dyDescent="0.25"/>
    <row r="10516" s="42" customFormat="1" x14ac:dyDescent="0.25"/>
    <row r="10517" s="42" customFormat="1" x14ac:dyDescent="0.25"/>
    <row r="10518" s="42" customFormat="1" x14ac:dyDescent="0.25"/>
    <row r="10519" s="42" customFormat="1" x14ac:dyDescent="0.25"/>
    <row r="10520" s="42" customFormat="1" x14ac:dyDescent="0.25"/>
    <row r="10521" s="42" customFormat="1" x14ac:dyDescent="0.25"/>
    <row r="10522" s="42" customFormat="1" x14ac:dyDescent="0.25"/>
    <row r="10523" s="42" customFormat="1" x14ac:dyDescent="0.25"/>
    <row r="10524" s="42" customFormat="1" x14ac:dyDescent="0.25"/>
    <row r="10525" s="42" customFormat="1" x14ac:dyDescent="0.25"/>
    <row r="10526" s="42" customFormat="1" x14ac:dyDescent="0.25"/>
    <row r="10527" s="42" customFormat="1" x14ac:dyDescent="0.25"/>
    <row r="10528" s="42" customFormat="1" x14ac:dyDescent="0.25"/>
    <row r="10529" s="42" customFormat="1" x14ac:dyDescent="0.25"/>
    <row r="10530" s="42" customFormat="1" x14ac:dyDescent="0.25"/>
    <row r="10531" s="42" customFormat="1" x14ac:dyDescent="0.25"/>
    <row r="10532" s="42" customFormat="1" x14ac:dyDescent="0.25"/>
    <row r="10533" s="42" customFormat="1" x14ac:dyDescent="0.25"/>
    <row r="10534" s="42" customFormat="1" x14ac:dyDescent="0.25"/>
    <row r="10535" s="42" customFormat="1" x14ac:dyDescent="0.25"/>
    <row r="10536" s="42" customFormat="1" x14ac:dyDescent="0.25"/>
    <row r="10537" s="42" customFormat="1" x14ac:dyDescent="0.25"/>
    <row r="10538" s="42" customFormat="1" x14ac:dyDescent="0.25"/>
    <row r="10539" s="42" customFormat="1" x14ac:dyDescent="0.25"/>
    <row r="10540" s="42" customFormat="1" x14ac:dyDescent="0.25"/>
    <row r="10541" s="42" customFormat="1" x14ac:dyDescent="0.25"/>
    <row r="10542" s="42" customFormat="1" x14ac:dyDescent="0.25"/>
    <row r="10543" s="42" customFormat="1" x14ac:dyDescent="0.25"/>
    <row r="10544" s="42" customFormat="1" x14ac:dyDescent="0.25"/>
    <row r="10545" s="42" customFormat="1" x14ac:dyDescent="0.25"/>
    <row r="10546" s="42" customFormat="1" x14ac:dyDescent="0.25"/>
    <row r="10547" s="42" customFormat="1" x14ac:dyDescent="0.25"/>
    <row r="10548" s="42" customFormat="1" x14ac:dyDescent="0.25"/>
    <row r="10549" s="42" customFormat="1" x14ac:dyDescent="0.25"/>
    <row r="10550" s="42" customFormat="1" x14ac:dyDescent="0.25"/>
    <row r="10551" s="42" customFormat="1" x14ac:dyDescent="0.25"/>
    <row r="10552" s="42" customFormat="1" x14ac:dyDescent="0.25"/>
    <row r="10553" s="42" customFormat="1" x14ac:dyDescent="0.25"/>
    <row r="10554" s="42" customFormat="1" x14ac:dyDescent="0.25"/>
    <row r="10555" s="42" customFormat="1" x14ac:dyDescent="0.25"/>
    <row r="10556" s="42" customFormat="1" x14ac:dyDescent="0.25"/>
    <row r="10557" s="42" customFormat="1" x14ac:dyDescent="0.25"/>
    <row r="10558" s="42" customFormat="1" x14ac:dyDescent="0.25"/>
    <row r="10559" s="42" customFormat="1" x14ac:dyDescent="0.25"/>
    <row r="10560" s="42" customFormat="1" x14ac:dyDescent="0.25"/>
    <row r="10561" s="42" customFormat="1" x14ac:dyDescent="0.25"/>
    <row r="10562" s="42" customFormat="1" x14ac:dyDescent="0.25"/>
    <row r="10563" s="42" customFormat="1" x14ac:dyDescent="0.25"/>
    <row r="10564" s="42" customFormat="1" x14ac:dyDescent="0.25"/>
    <row r="10565" s="42" customFormat="1" x14ac:dyDescent="0.25"/>
    <row r="10566" s="42" customFormat="1" x14ac:dyDescent="0.25"/>
    <row r="10567" s="42" customFormat="1" x14ac:dyDescent="0.25"/>
    <row r="10568" s="42" customFormat="1" x14ac:dyDescent="0.25"/>
    <row r="10569" s="42" customFormat="1" x14ac:dyDescent="0.25"/>
    <row r="10570" s="42" customFormat="1" x14ac:dyDescent="0.25"/>
    <row r="10571" s="42" customFormat="1" x14ac:dyDescent="0.25"/>
    <row r="10572" s="42" customFormat="1" x14ac:dyDescent="0.25"/>
    <row r="10573" s="42" customFormat="1" x14ac:dyDescent="0.25"/>
    <row r="10574" s="42" customFormat="1" x14ac:dyDescent="0.25"/>
    <row r="10575" s="42" customFormat="1" x14ac:dyDescent="0.25"/>
    <row r="10576" s="42" customFormat="1" x14ac:dyDescent="0.25"/>
    <row r="10577" s="42" customFormat="1" x14ac:dyDescent="0.25"/>
    <row r="10578" s="42" customFormat="1" x14ac:dyDescent="0.25"/>
    <row r="10579" s="42" customFormat="1" x14ac:dyDescent="0.25"/>
    <row r="10580" s="42" customFormat="1" x14ac:dyDescent="0.25"/>
    <row r="10581" s="42" customFormat="1" x14ac:dyDescent="0.25"/>
    <row r="10582" s="42" customFormat="1" x14ac:dyDescent="0.25"/>
    <row r="10583" s="42" customFormat="1" x14ac:dyDescent="0.25"/>
    <row r="10584" s="42" customFormat="1" x14ac:dyDescent="0.25"/>
    <row r="10585" s="42" customFormat="1" x14ac:dyDescent="0.25"/>
    <row r="10586" s="42" customFormat="1" x14ac:dyDescent="0.25"/>
    <row r="10587" s="42" customFormat="1" x14ac:dyDescent="0.25"/>
    <row r="10588" s="42" customFormat="1" x14ac:dyDescent="0.25"/>
    <row r="10589" s="42" customFormat="1" x14ac:dyDescent="0.25"/>
    <row r="10590" s="42" customFormat="1" x14ac:dyDescent="0.25"/>
    <row r="10591" s="42" customFormat="1" x14ac:dyDescent="0.25"/>
    <row r="10592" s="42" customFormat="1" x14ac:dyDescent="0.25"/>
    <row r="10593" s="42" customFormat="1" x14ac:dyDescent="0.25"/>
    <row r="10594" s="42" customFormat="1" x14ac:dyDescent="0.25"/>
    <row r="10595" s="42" customFormat="1" x14ac:dyDescent="0.25"/>
    <row r="10596" s="42" customFormat="1" x14ac:dyDescent="0.25"/>
    <row r="10597" s="42" customFormat="1" x14ac:dyDescent="0.25"/>
    <row r="10598" s="42" customFormat="1" x14ac:dyDescent="0.25"/>
    <row r="10599" s="42" customFormat="1" x14ac:dyDescent="0.25"/>
    <row r="10600" s="42" customFormat="1" x14ac:dyDescent="0.25"/>
    <row r="10601" s="42" customFormat="1" x14ac:dyDescent="0.25"/>
    <row r="10602" s="42" customFormat="1" x14ac:dyDescent="0.25"/>
    <row r="10603" s="42" customFormat="1" x14ac:dyDescent="0.25"/>
    <row r="10604" s="42" customFormat="1" x14ac:dyDescent="0.25"/>
    <row r="10605" s="42" customFormat="1" x14ac:dyDescent="0.25"/>
    <row r="10606" s="42" customFormat="1" x14ac:dyDescent="0.25"/>
    <row r="10607" s="42" customFormat="1" x14ac:dyDescent="0.25"/>
    <row r="10608" s="42" customFormat="1" x14ac:dyDescent="0.25"/>
    <row r="10609" s="42" customFormat="1" x14ac:dyDescent="0.25"/>
    <row r="10610" s="42" customFormat="1" x14ac:dyDescent="0.25"/>
    <row r="10611" s="42" customFormat="1" x14ac:dyDescent="0.25"/>
    <row r="10612" s="42" customFormat="1" x14ac:dyDescent="0.25"/>
    <row r="10613" s="42" customFormat="1" x14ac:dyDescent="0.25"/>
    <row r="10614" s="42" customFormat="1" x14ac:dyDescent="0.25"/>
    <row r="10615" s="42" customFormat="1" x14ac:dyDescent="0.25"/>
    <row r="10616" s="42" customFormat="1" x14ac:dyDescent="0.25"/>
    <row r="10617" s="42" customFormat="1" x14ac:dyDescent="0.25"/>
    <row r="10618" s="42" customFormat="1" x14ac:dyDescent="0.25"/>
    <row r="10619" s="42" customFormat="1" x14ac:dyDescent="0.25"/>
    <row r="10620" s="42" customFormat="1" x14ac:dyDescent="0.25"/>
    <row r="10621" s="42" customFormat="1" x14ac:dyDescent="0.25"/>
    <row r="10622" s="42" customFormat="1" x14ac:dyDescent="0.25"/>
    <row r="10623" s="42" customFormat="1" x14ac:dyDescent="0.25"/>
    <row r="10624" s="42" customFormat="1" x14ac:dyDescent="0.25"/>
    <row r="10625" s="42" customFormat="1" x14ac:dyDescent="0.25"/>
    <row r="10626" s="42" customFormat="1" x14ac:dyDescent="0.25"/>
    <row r="10627" s="42" customFormat="1" x14ac:dyDescent="0.25"/>
    <row r="10628" s="42" customFormat="1" x14ac:dyDescent="0.25"/>
    <row r="10629" s="42" customFormat="1" x14ac:dyDescent="0.25"/>
    <row r="10630" s="42" customFormat="1" x14ac:dyDescent="0.25"/>
    <row r="10631" s="42" customFormat="1" x14ac:dyDescent="0.25"/>
    <row r="10632" s="42" customFormat="1" x14ac:dyDescent="0.25"/>
    <row r="10633" s="42" customFormat="1" x14ac:dyDescent="0.25"/>
    <row r="10634" s="42" customFormat="1" x14ac:dyDescent="0.25"/>
    <row r="10635" s="42" customFormat="1" x14ac:dyDescent="0.25"/>
    <row r="10636" s="42" customFormat="1" x14ac:dyDescent="0.25"/>
    <row r="10637" s="42" customFormat="1" x14ac:dyDescent="0.25"/>
    <row r="10638" s="42" customFormat="1" x14ac:dyDescent="0.25"/>
    <row r="10639" s="42" customFormat="1" x14ac:dyDescent="0.25"/>
    <row r="10640" s="42" customFormat="1" x14ac:dyDescent="0.25"/>
    <row r="10641" s="42" customFormat="1" x14ac:dyDescent="0.25"/>
    <row r="10642" s="42" customFormat="1" x14ac:dyDescent="0.25"/>
    <row r="10643" s="42" customFormat="1" x14ac:dyDescent="0.25"/>
    <row r="10644" s="42" customFormat="1" x14ac:dyDescent="0.25"/>
    <row r="10645" s="42" customFormat="1" x14ac:dyDescent="0.25"/>
    <row r="10646" s="42" customFormat="1" x14ac:dyDescent="0.25"/>
    <row r="10647" s="42" customFormat="1" x14ac:dyDescent="0.25"/>
    <row r="10648" s="42" customFormat="1" x14ac:dyDescent="0.25"/>
    <row r="10649" s="42" customFormat="1" x14ac:dyDescent="0.25"/>
    <row r="10650" s="42" customFormat="1" x14ac:dyDescent="0.25"/>
    <row r="10651" s="42" customFormat="1" x14ac:dyDescent="0.25"/>
    <row r="10652" s="42" customFormat="1" x14ac:dyDescent="0.25"/>
    <row r="10653" s="42" customFormat="1" x14ac:dyDescent="0.25"/>
    <row r="10654" s="42" customFormat="1" x14ac:dyDescent="0.25"/>
    <row r="10655" s="42" customFormat="1" x14ac:dyDescent="0.25"/>
    <row r="10656" s="42" customFormat="1" x14ac:dyDescent="0.25"/>
    <row r="10657" s="42" customFormat="1" x14ac:dyDescent="0.25"/>
    <row r="10658" s="42" customFormat="1" x14ac:dyDescent="0.25"/>
    <row r="10659" s="42" customFormat="1" x14ac:dyDescent="0.25"/>
    <row r="10660" s="42" customFormat="1" x14ac:dyDescent="0.25"/>
    <row r="10661" s="42" customFormat="1" x14ac:dyDescent="0.25"/>
    <row r="10662" s="42" customFormat="1" x14ac:dyDescent="0.25"/>
    <row r="10663" s="42" customFormat="1" x14ac:dyDescent="0.25"/>
    <row r="10664" s="42" customFormat="1" x14ac:dyDescent="0.25"/>
    <row r="10665" s="42" customFormat="1" x14ac:dyDescent="0.25"/>
    <row r="10666" s="42" customFormat="1" x14ac:dyDescent="0.25"/>
    <row r="10667" s="42" customFormat="1" x14ac:dyDescent="0.25"/>
    <row r="10668" s="42" customFormat="1" x14ac:dyDescent="0.25"/>
    <row r="10669" s="42" customFormat="1" x14ac:dyDescent="0.25"/>
    <row r="10670" s="42" customFormat="1" x14ac:dyDescent="0.25"/>
    <row r="10671" s="42" customFormat="1" x14ac:dyDescent="0.25"/>
    <row r="10672" s="42" customFormat="1" x14ac:dyDescent="0.25"/>
    <row r="10673" s="42" customFormat="1" x14ac:dyDescent="0.25"/>
    <row r="10674" s="42" customFormat="1" x14ac:dyDescent="0.25"/>
    <row r="10675" s="42" customFormat="1" x14ac:dyDescent="0.25"/>
    <row r="10676" s="42" customFormat="1" x14ac:dyDescent="0.25"/>
    <row r="10677" s="42" customFormat="1" x14ac:dyDescent="0.25"/>
    <row r="10678" s="42" customFormat="1" x14ac:dyDescent="0.25"/>
    <row r="10679" s="42" customFormat="1" x14ac:dyDescent="0.25"/>
    <row r="10680" s="42" customFormat="1" x14ac:dyDescent="0.25"/>
    <row r="10681" s="42" customFormat="1" x14ac:dyDescent="0.25"/>
    <row r="10682" s="42" customFormat="1" x14ac:dyDescent="0.25"/>
    <row r="10683" s="42" customFormat="1" x14ac:dyDescent="0.25"/>
    <row r="10684" s="42" customFormat="1" x14ac:dyDescent="0.25"/>
    <row r="10685" s="42" customFormat="1" x14ac:dyDescent="0.25"/>
    <row r="10686" s="42" customFormat="1" x14ac:dyDescent="0.25"/>
    <row r="10687" s="42" customFormat="1" x14ac:dyDescent="0.25"/>
    <row r="10688" s="42" customFormat="1" x14ac:dyDescent="0.25"/>
    <row r="10689" s="42" customFormat="1" x14ac:dyDescent="0.25"/>
    <row r="10690" s="42" customFormat="1" x14ac:dyDescent="0.25"/>
    <row r="10691" s="42" customFormat="1" x14ac:dyDescent="0.25"/>
    <row r="10692" s="42" customFormat="1" x14ac:dyDescent="0.25"/>
    <row r="10693" s="42" customFormat="1" x14ac:dyDescent="0.25"/>
    <row r="10694" s="42" customFormat="1" x14ac:dyDescent="0.25"/>
    <row r="10695" s="42" customFormat="1" x14ac:dyDescent="0.25"/>
    <row r="10696" s="42" customFormat="1" x14ac:dyDescent="0.25"/>
    <row r="10697" s="42" customFormat="1" x14ac:dyDescent="0.25"/>
    <row r="10698" s="42" customFormat="1" x14ac:dyDescent="0.25"/>
    <row r="10699" s="42" customFormat="1" x14ac:dyDescent="0.25"/>
    <row r="10700" s="42" customFormat="1" x14ac:dyDescent="0.25"/>
    <row r="10701" s="42" customFormat="1" x14ac:dyDescent="0.25"/>
    <row r="10702" s="42" customFormat="1" x14ac:dyDescent="0.25"/>
    <row r="10703" s="42" customFormat="1" x14ac:dyDescent="0.25"/>
    <row r="10704" s="42" customFormat="1" x14ac:dyDescent="0.25"/>
    <row r="10705" s="42" customFormat="1" x14ac:dyDescent="0.25"/>
    <row r="10706" s="42" customFormat="1" x14ac:dyDescent="0.25"/>
    <row r="10707" s="42" customFormat="1" x14ac:dyDescent="0.25"/>
    <row r="10708" s="42" customFormat="1" x14ac:dyDescent="0.25"/>
    <row r="10709" s="42" customFormat="1" x14ac:dyDescent="0.25"/>
    <row r="10710" s="42" customFormat="1" x14ac:dyDescent="0.25"/>
    <row r="10711" s="42" customFormat="1" x14ac:dyDescent="0.25"/>
    <row r="10712" s="42" customFormat="1" x14ac:dyDescent="0.25"/>
    <row r="10713" s="42" customFormat="1" x14ac:dyDescent="0.25"/>
    <row r="10714" s="42" customFormat="1" x14ac:dyDescent="0.25"/>
    <row r="10715" s="42" customFormat="1" x14ac:dyDescent="0.25"/>
    <row r="10716" s="42" customFormat="1" x14ac:dyDescent="0.25"/>
    <row r="10717" s="42" customFormat="1" x14ac:dyDescent="0.25"/>
    <row r="10718" s="42" customFormat="1" x14ac:dyDescent="0.25"/>
    <row r="10719" s="42" customFormat="1" x14ac:dyDescent="0.25"/>
    <row r="10720" s="42" customFormat="1" x14ac:dyDescent="0.25"/>
    <row r="10721" s="42" customFormat="1" x14ac:dyDescent="0.25"/>
    <row r="10722" s="42" customFormat="1" x14ac:dyDescent="0.25"/>
    <row r="10723" s="42" customFormat="1" x14ac:dyDescent="0.25"/>
    <row r="10724" s="42" customFormat="1" x14ac:dyDescent="0.25"/>
    <row r="10725" s="42" customFormat="1" x14ac:dyDescent="0.25"/>
    <row r="10726" s="42" customFormat="1" x14ac:dyDescent="0.25"/>
    <row r="10727" s="42" customFormat="1" x14ac:dyDescent="0.25"/>
    <row r="10728" s="42" customFormat="1" x14ac:dyDescent="0.25"/>
    <row r="10729" s="42" customFormat="1" x14ac:dyDescent="0.25"/>
    <row r="10730" s="42" customFormat="1" x14ac:dyDescent="0.25"/>
    <row r="10731" s="42" customFormat="1" x14ac:dyDescent="0.25"/>
    <row r="10732" s="42" customFormat="1" x14ac:dyDescent="0.25"/>
    <row r="10733" s="42" customFormat="1" x14ac:dyDescent="0.25"/>
    <row r="10734" s="42" customFormat="1" x14ac:dyDescent="0.25"/>
    <row r="10735" s="42" customFormat="1" x14ac:dyDescent="0.25"/>
    <row r="10736" s="42" customFormat="1" x14ac:dyDescent="0.25"/>
    <row r="10737" s="42" customFormat="1" x14ac:dyDescent="0.25"/>
    <row r="10738" s="42" customFormat="1" x14ac:dyDescent="0.25"/>
    <row r="10739" s="42" customFormat="1" x14ac:dyDescent="0.25"/>
    <row r="10740" s="42" customFormat="1" x14ac:dyDescent="0.25"/>
    <row r="10741" s="42" customFormat="1" x14ac:dyDescent="0.25"/>
    <row r="10742" s="42" customFormat="1" x14ac:dyDescent="0.25"/>
    <row r="10743" s="42" customFormat="1" x14ac:dyDescent="0.25"/>
    <row r="10744" s="42" customFormat="1" x14ac:dyDescent="0.25"/>
    <row r="10745" s="42" customFormat="1" x14ac:dyDescent="0.25"/>
    <row r="10746" s="42" customFormat="1" x14ac:dyDescent="0.25"/>
    <row r="10747" s="42" customFormat="1" x14ac:dyDescent="0.25"/>
    <row r="10748" s="42" customFormat="1" x14ac:dyDescent="0.25"/>
    <row r="10749" s="42" customFormat="1" x14ac:dyDescent="0.25"/>
    <row r="10750" s="42" customFormat="1" x14ac:dyDescent="0.25"/>
    <row r="10751" s="42" customFormat="1" x14ac:dyDescent="0.25"/>
    <row r="10752" s="42" customFormat="1" x14ac:dyDescent="0.25"/>
    <row r="10753" s="42" customFormat="1" x14ac:dyDescent="0.25"/>
    <row r="10754" s="42" customFormat="1" x14ac:dyDescent="0.25"/>
    <row r="10755" s="42" customFormat="1" x14ac:dyDescent="0.25"/>
    <row r="10756" s="42" customFormat="1" x14ac:dyDescent="0.25"/>
    <row r="10757" s="42" customFormat="1" x14ac:dyDescent="0.25"/>
    <row r="10758" s="42" customFormat="1" x14ac:dyDescent="0.25"/>
    <row r="10759" s="42" customFormat="1" x14ac:dyDescent="0.25"/>
    <row r="10760" s="42" customFormat="1" x14ac:dyDescent="0.25"/>
    <row r="10761" s="42" customFormat="1" x14ac:dyDescent="0.25"/>
    <row r="10762" s="42" customFormat="1" x14ac:dyDescent="0.25"/>
    <row r="10763" s="42" customFormat="1" x14ac:dyDescent="0.25"/>
    <row r="10764" s="42" customFormat="1" x14ac:dyDescent="0.25"/>
    <row r="10765" s="42" customFormat="1" x14ac:dyDescent="0.25"/>
    <row r="10766" s="42" customFormat="1" x14ac:dyDescent="0.25"/>
    <row r="10767" s="42" customFormat="1" x14ac:dyDescent="0.25"/>
    <row r="10768" s="42" customFormat="1" x14ac:dyDescent="0.25"/>
    <row r="10769" s="42" customFormat="1" x14ac:dyDescent="0.25"/>
    <row r="10770" s="42" customFormat="1" x14ac:dyDescent="0.25"/>
    <row r="10771" s="42" customFormat="1" x14ac:dyDescent="0.25"/>
    <row r="10772" s="42" customFormat="1" x14ac:dyDescent="0.25"/>
    <row r="10773" s="42" customFormat="1" x14ac:dyDescent="0.25"/>
    <row r="10774" s="42" customFormat="1" x14ac:dyDescent="0.25"/>
    <row r="10775" s="42" customFormat="1" x14ac:dyDescent="0.25"/>
    <row r="10776" s="42" customFormat="1" x14ac:dyDescent="0.25"/>
    <row r="10777" s="42" customFormat="1" x14ac:dyDescent="0.25"/>
    <row r="10778" s="42" customFormat="1" x14ac:dyDescent="0.25"/>
    <row r="10779" s="42" customFormat="1" x14ac:dyDescent="0.25"/>
    <row r="10780" s="42" customFormat="1" x14ac:dyDescent="0.25"/>
    <row r="10781" s="42" customFormat="1" x14ac:dyDescent="0.25"/>
    <row r="10782" s="42" customFormat="1" x14ac:dyDescent="0.25"/>
    <row r="10783" s="42" customFormat="1" x14ac:dyDescent="0.25"/>
    <row r="10784" s="42" customFormat="1" x14ac:dyDescent="0.25"/>
    <row r="10785" s="42" customFormat="1" x14ac:dyDescent="0.25"/>
    <row r="10786" s="42" customFormat="1" x14ac:dyDescent="0.25"/>
    <row r="10787" s="42" customFormat="1" x14ac:dyDescent="0.25"/>
    <row r="10788" s="42" customFormat="1" x14ac:dyDescent="0.25"/>
    <row r="10789" s="42" customFormat="1" x14ac:dyDescent="0.25"/>
    <row r="10790" s="42" customFormat="1" x14ac:dyDescent="0.25"/>
    <row r="10791" s="42" customFormat="1" x14ac:dyDescent="0.25"/>
    <row r="10792" s="42" customFormat="1" x14ac:dyDescent="0.25"/>
    <row r="10793" s="42" customFormat="1" x14ac:dyDescent="0.25"/>
    <row r="10794" s="42" customFormat="1" x14ac:dyDescent="0.25"/>
    <row r="10795" s="42" customFormat="1" x14ac:dyDescent="0.25"/>
    <row r="10796" s="42" customFormat="1" x14ac:dyDescent="0.25"/>
    <row r="10797" s="42" customFormat="1" x14ac:dyDescent="0.25"/>
    <row r="10798" s="42" customFormat="1" x14ac:dyDescent="0.25"/>
    <row r="10799" s="42" customFormat="1" x14ac:dyDescent="0.25"/>
    <row r="10800" s="42" customFormat="1" x14ac:dyDescent="0.25"/>
    <row r="10801" s="42" customFormat="1" x14ac:dyDescent="0.25"/>
    <row r="10802" s="42" customFormat="1" x14ac:dyDescent="0.25"/>
    <row r="10803" s="42" customFormat="1" x14ac:dyDescent="0.25"/>
    <row r="10804" s="42" customFormat="1" x14ac:dyDescent="0.25"/>
    <row r="10805" s="42" customFormat="1" x14ac:dyDescent="0.25"/>
    <row r="10806" s="42" customFormat="1" x14ac:dyDescent="0.25"/>
    <row r="10807" s="42" customFormat="1" x14ac:dyDescent="0.25"/>
    <row r="10808" s="42" customFormat="1" x14ac:dyDescent="0.25"/>
    <row r="10809" s="42" customFormat="1" x14ac:dyDescent="0.25"/>
    <row r="10810" s="42" customFormat="1" x14ac:dyDescent="0.25"/>
    <row r="10811" s="42" customFormat="1" x14ac:dyDescent="0.25"/>
    <row r="10812" s="42" customFormat="1" x14ac:dyDescent="0.25"/>
    <row r="10813" s="42" customFormat="1" x14ac:dyDescent="0.25"/>
    <row r="10814" s="42" customFormat="1" x14ac:dyDescent="0.25"/>
    <row r="10815" s="42" customFormat="1" x14ac:dyDescent="0.25"/>
    <row r="10816" s="42" customFormat="1" x14ac:dyDescent="0.25"/>
    <row r="10817" s="42" customFormat="1" x14ac:dyDescent="0.25"/>
    <row r="10818" s="42" customFormat="1" x14ac:dyDescent="0.25"/>
    <row r="10819" s="42" customFormat="1" x14ac:dyDescent="0.25"/>
    <row r="10820" s="42" customFormat="1" x14ac:dyDescent="0.25"/>
    <row r="10821" s="42" customFormat="1" x14ac:dyDescent="0.25"/>
    <row r="10822" s="42" customFormat="1" x14ac:dyDescent="0.25"/>
    <row r="10823" s="42" customFormat="1" x14ac:dyDescent="0.25"/>
    <row r="10824" s="42" customFormat="1" x14ac:dyDescent="0.25"/>
    <row r="10825" s="42" customFormat="1" x14ac:dyDescent="0.25"/>
    <row r="10826" s="42" customFormat="1" x14ac:dyDescent="0.25"/>
    <row r="10827" s="42" customFormat="1" x14ac:dyDescent="0.25"/>
    <row r="10828" s="42" customFormat="1" x14ac:dyDescent="0.25"/>
    <row r="10829" s="42" customFormat="1" x14ac:dyDescent="0.25"/>
    <row r="10830" s="42" customFormat="1" x14ac:dyDescent="0.25"/>
    <row r="10831" s="42" customFormat="1" x14ac:dyDescent="0.25"/>
    <row r="10832" s="42" customFormat="1" x14ac:dyDescent="0.25"/>
    <row r="10833" s="42" customFormat="1" x14ac:dyDescent="0.25"/>
    <row r="10834" s="42" customFormat="1" x14ac:dyDescent="0.25"/>
    <row r="10835" s="42" customFormat="1" x14ac:dyDescent="0.25"/>
    <row r="10836" s="42" customFormat="1" x14ac:dyDescent="0.25"/>
    <row r="10837" s="42" customFormat="1" x14ac:dyDescent="0.25"/>
    <row r="10838" s="42" customFormat="1" x14ac:dyDescent="0.25"/>
    <row r="10839" s="42" customFormat="1" x14ac:dyDescent="0.25"/>
    <row r="10840" s="42" customFormat="1" x14ac:dyDescent="0.25"/>
    <row r="10841" s="42" customFormat="1" x14ac:dyDescent="0.25"/>
    <row r="10842" s="42" customFormat="1" x14ac:dyDescent="0.25"/>
    <row r="10843" s="42" customFormat="1" x14ac:dyDescent="0.25"/>
    <row r="10844" s="42" customFormat="1" x14ac:dyDescent="0.25"/>
    <row r="10845" s="42" customFormat="1" x14ac:dyDescent="0.25"/>
    <row r="10846" s="42" customFormat="1" x14ac:dyDescent="0.25"/>
    <row r="10847" s="42" customFormat="1" x14ac:dyDescent="0.25"/>
    <row r="10848" s="42" customFormat="1" x14ac:dyDescent="0.25"/>
    <row r="10849" s="42" customFormat="1" x14ac:dyDescent="0.25"/>
    <row r="10850" s="42" customFormat="1" x14ac:dyDescent="0.25"/>
    <row r="10851" s="42" customFormat="1" x14ac:dyDescent="0.25"/>
    <row r="10852" s="42" customFormat="1" x14ac:dyDescent="0.25"/>
    <row r="10853" s="42" customFormat="1" x14ac:dyDescent="0.25"/>
    <row r="10854" s="42" customFormat="1" x14ac:dyDescent="0.25"/>
    <row r="10855" s="42" customFormat="1" x14ac:dyDescent="0.25"/>
    <row r="10856" s="42" customFormat="1" x14ac:dyDescent="0.25"/>
    <row r="10857" s="42" customFormat="1" x14ac:dyDescent="0.25"/>
    <row r="10858" s="42" customFormat="1" x14ac:dyDescent="0.25"/>
    <row r="10859" s="42" customFormat="1" x14ac:dyDescent="0.25"/>
    <row r="10860" s="42" customFormat="1" x14ac:dyDescent="0.25"/>
    <row r="10861" s="42" customFormat="1" x14ac:dyDescent="0.25"/>
    <row r="10862" s="42" customFormat="1" x14ac:dyDescent="0.25"/>
    <row r="10863" s="42" customFormat="1" x14ac:dyDescent="0.25"/>
    <row r="10864" s="42" customFormat="1" x14ac:dyDescent="0.25"/>
    <row r="10865" s="42" customFormat="1" x14ac:dyDescent="0.25"/>
    <row r="10866" s="42" customFormat="1" x14ac:dyDescent="0.25"/>
    <row r="10867" s="42" customFormat="1" x14ac:dyDescent="0.25"/>
    <row r="10868" s="42" customFormat="1" x14ac:dyDescent="0.25"/>
    <row r="10869" s="42" customFormat="1" x14ac:dyDescent="0.25"/>
    <row r="10870" s="42" customFormat="1" x14ac:dyDescent="0.25"/>
    <row r="10871" s="42" customFormat="1" x14ac:dyDescent="0.25"/>
    <row r="10872" s="42" customFormat="1" x14ac:dyDescent="0.25"/>
    <row r="10873" s="42" customFormat="1" x14ac:dyDescent="0.25"/>
    <row r="10874" s="42" customFormat="1" x14ac:dyDescent="0.25"/>
    <row r="10875" s="42" customFormat="1" x14ac:dyDescent="0.25"/>
    <row r="10876" s="42" customFormat="1" x14ac:dyDescent="0.25"/>
    <row r="10877" s="42" customFormat="1" x14ac:dyDescent="0.25"/>
    <row r="10878" s="42" customFormat="1" x14ac:dyDescent="0.25"/>
    <row r="10879" s="42" customFormat="1" x14ac:dyDescent="0.25"/>
    <row r="10880" s="42" customFormat="1" x14ac:dyDescent="0.25"/>
    <row r="10881" s="42" customFormat="1" x14ac:dyDescent="0.25"/>
    <row r="10882" s="42" customFormat="1" x14ac:dyDescent="0.25"/>
    <row r="10883" s="42" customFormat="1" x14ac:dyDescent="0.25"/>
    <row r="10884" s="42" customFormat="1" x14ac:dyDescent="0.25"/>
    <row r="10885" s="42" customFormat="1" x14ac:dyDescent="0.25"/>
    <row r="10886" s="42" customFormat="1" x14ac:dyDescent="0.25"/>
    <row r="10887" s="42" customFormat="1" x14ac:dyDescent="0.25"/>
    <row r="10888" s="42" customFormat="1" x14ac:dyDescent="0.25"/>
    <row r="10889" s="42" customFormat="1" x14ac:dyDescent="0.25"/>
    <row r="10890" s="42" customFormat="1" x14ac:dyDescent="0.25"/>
    <row r="10891" s="42" customFormat="1" x14ac:dyDescent="0.25"/>
    <row r="10892" s="42" customFormat="1" x14ac:dyDescent="0.25"/>
    <row r="10893" s="42" customFormat="1" x14ac:dyDescent="0.25"/>
    <row r="10894" s="42" customFormat="1" x14ac:dyDescent="0.25"/>
    <row r="10895" s="42" customFormat="1" x14ac:dyDescent="0.25"/>
    <row r="10896" s="42" customFormat="1" x14ac:dyDescent="0.25"/>
    <row r="10897" s="42" customFormat="1" x14ac:dyDescent="0.25"/>
    <row r="10898" s="42" customFormat="1" x14ac:dyDescent="0.25"/>
    <row r="10899" s="42" customFormat="1" x14ac:dyDescent="0.25"/>
    <row r="10900" s="42" customFormat="1" x14ac:dyDescent="0.25"/>
    <row r="10901" s="42" customFormat="1" x14ac:dyDescent="0.25"/>
    <row r="10902" s="42" customFormat="1" x14ac:dyDescent="0.25"/>
    <row r="10903" s="42" customFormat="1" x14ac:dyDescent="0.25"/>
    <row r="10904" s="42" customFormat="1" x14ac:dyDescent="0.25"/>
    <row r="10905" s="42" customFormat="1" x14ac:dyDescent="0.25"/>
    <row r="10906" s="42" customFormat="1" x14ac:dyDescent="0.25"/>
    <row r="10907" s="42" customFormat="1" x14ac:dyDescent="0.25"/>
    <row r="10908" s="42" customFormat="1" x14ac:dyDescent="0.25"/>
    <row r="10909" s="42" customFormat="1" x14ac:dyDescent="0.25"/>
    <row r="10910" s="42" customFormat="1" x14ac:dyDescent="0.25"/>
    <row r="10911" s="42" customFormat="1" x14ac:dyDescent="0.25"/>
    <row r="10912" s="42" customFormat="1" x14ac:dyDescent="0.25"/>
    <row r="10913" s="42" customFormat="1" x14ac:dyDescent="0.25"/>
    <row r="10914" s="42" customFormat="1" x14ac:dyDescent="0.25"/>
    <row r="10915" s="42" customFormat="1" x14ac:dyDescent="0.25"/>
    <row r="10916" s="42" customFormat="1" x14ac:dyDescent="0.25"/>
    <row r="10917" s="42" customFormat="1" x14ac:dyDescent="0.25"/>
    <row r="10918" s="42" customFormat="1" x14ac:dyDescent="0.25"/>
    <row r="10919" s="42" customFormat="1" x14ac:dyDescent="0.25"/>
    <row r="10920" s="42" customFormat="1" x14ac:dyDescent="0.25"/>
    <row r="10921" s="42" customFormat="1" x14ac:dyDescent="0.25"/>
    <row r="10922" s="42" customFormat="1" x14ac:dyDescent="0.25"/>
    <row r="10923" s="42" customFormat="1" x14ac:dyDescent="0.25"/>
    <row r="10924" s="42" customFormat="1" x14ac:dyDescent="0.25"/>
    <row r="10925" s="42" customFormat="1" x14ac:dyDescent="0.25"/>
    <row r="10926" s="42" customFormat="1" x14ac:dyDescent="0.25"/>
    <row r="10927" s="42" customFormat="1" x14ac:dyDescent="0.25"/>
    <row r="10928" s="42" customFormat="1" x14ac:dyDescent="0.25"/>
    <row r="10929" s="42" customFormat="1" x14ac:dyDescent="0.25"/>
    <row r="10930" s="42" customFormat="1" x14ac:dyDescent="0.25"/>
    <row r="10931" s="42" customFormat="1" x14ac:dyDescent="0.25"/>
    <row r="10932" s="42" customFormat="1" x14ac:dyDescent="0.25"/>
    <row r="10933" s="42" customFormat="1" x14ac:dyDescent="0.25"/>
    <row r="10934" s="42" customFormat="1" x14ac:dyDescent="0.25"/>
    <row r="10935" s="42" customFormat="1" x14ac:dyDescent="0.25"/>
    <row r="10936" s="42" customFormat="1" x14ac:dyDescent="0.25"/>
    <row r="10937" s="42" customFormat="1" x14ac:dyDescent="0.25"/>
    <row r="10938" s="42" customFormat="1" x14ac:dyDescent="0.25"/>
    <row r="10939" s="42" customFormat="1" x14ac:dyDescent="0.25"/>
    <row r="10940" s="42" customFormat="1" x14ac:dyDescent="0.25"/>
    <row r="10941" s="42" customFormat="1" x14ac:dyDescent="0.25"/>
    <row r="10942" s="42" customFormat="1" x14ac:dyDescent="0.25"/>
    <row r="10943" s="42" customFormat="1" x14ac:dyDescent="0.25"/>
    <row r="10944" s="42" customFormat="1" x14ac:dyDescent="0.25"/>
    <row r="10945" s="42" customFormat="1" x14ac:dyDescent="0.25"/>
    <row r="10946" s="42" customFormat="1" x14ac:dyDescent="0.25"/>
    <row r="10947" s="42" customFormat="1" x14ac:dyDescent="0.25"/>
    <row r="10948" s="42" customFormat="1" x14ac:dyDescent="0.25"/>
    <row r="10949" s="42" customFormat="1" x14ac:dyDescent="0.25"/>
    <row r="10950" s="42" customFormat="1" x14ac:dyDescent="0.25"/>
    <row r="10951" s="42" customFormat="1" x14ac:dyDescent="0.25"/>
    <row r="10952" s="42" customFormat="1" x14ac:dyDescent="0.25"/>
    <row r="10953" s="42" customFormat="1" x14ac:dyDescent="0.25"/>
    <row r="10954" s="42" customFormat="1" x14ac:dyDescent="0.25"/>
    <row r="10955" s="42" customFormat="1" x14ac:dyDescent="0.25"/>
    <row r="10956" s="42" customFormat="1" x14ac:dyDescent="0.25"/>
    <row r="10957" s="42" customFormat="1" x14ac:dyDescent="0.25"/>
    <row r="10958" s="42" customFormat="1" x14ac:dyDescent="0.25"/>
    <row r="10959" s="42" customFormat="1" x14ac:dyDescent="0.25"/>
    <row r="10960" s="42" customFormat="1" x14ac:dyDescent="0.25"/>
    <row r="10961" s="42" customFormat="1" x14ac:dyDescent="0.25"/>
    <row r="10962" s="42" customFormat="1" x14ac:dyDescent="0.25"/>
    <row r="10963" s="42" customFormat="1" x14ac:dyDescent="0.25"/>
    <row r="10964" s="42" customFormat="1" x14ac:dyDescent="0.25"/>
    <row r="10965" s="42" customFormat="1" x14ac:dyDescent="0.25"/>
    <row r="10966" s="42" customFormat="1" x14ac:dyDescent="0.25"/>
    <row r="10967" s="42" customFormat="1" x14ac:dyDescent="0.25"/>
    <row r="10968" s="42" customFormat="1" x14ac:dyDescent="0.25"/>
    <row r="10969" s="42" customFormat="1" x14ac:dyDescent="0.25"/>
    <row r="10970" s="42" customFormat="1" x14ac:dyDescent="0.25"/>
    <row r="10971" s="42" customFormat="1" x14ac:dyDescent="0.25"/>
    <row r="10972" s="42" customFormat="1" x14ac:dyDescent="0.25"/>
    <row r="10973" s="42" customFormat="1" x14ac:dyDescent="0.25"/>
    <row r="10974" s="42" customFormat="1" x14ac:dyDescent="0.25"/>
    <row r="10975" s="42" customFormat="1" x14ac:dyDescent="0.25"/>
    <row r="10976" s="42" customFormat="1" x14ac:dyDescent="0.25"/>
    <row r="10977" s="42" customFormat="1" x14ac:dyDescent="0.25"/>
    <row r="10978" s="42" customFormat="1" x14ac:dyDescent="0.25"/>
    <row r="10979" s="42" customFormat="1" x14ac:dyDescent="0.25"/>
    <row r="10980" s="42" customFormat="1" x14ac:dyDescent="0.25"/>
    <row r="10981" s="42" customFormat="1" x14ac:dyDescent="0.25"/>
    <row r="10982" s="42" customFormat="1" x14ac:dyDescent="0.25"/>
    <row r="10983" s="42" customFormat="1" x14ac:dyDescent="0.25"/>
    <row r="10984" s="42" customFormat="1" x14ac:dyDescent="0.25"/>
    <row r="10985" s="42" customFormat="1" x14ac:dyDescent="0.25"/>
    <row r="10986" s="42" customFormat="1" x14ac:dyDescent="0.25"/>
    <row r="10987" s="42" customFormat="1" x14ac:dyDescent="0.25"/>
    <row r="10988" s="42" customFormat="1" x14ac:dyDescent="0.25"/>
    <row r="10989" s="42" customFormat="1" x14ac:dyDescent="0.25"/>
    <row r="10990" s="42" customFormat="1" x14ac:dyDescent="0.25"/>
    <row r="10991" s="42" customFormat="1" x14ac:dyDescent="0.25"/>
    <row r="10992" s="42" customFormat="1" x14ac:dyDescent="0.25"/>
    <row r="10993" s="42" customFormat="1" x14ac:dyDescent="0.25"/>
    <row r="10994" s="42" customFormat="1" x14ac:dyDescent="0.25"/>
    <row r="10995" s="42" customFormat="1" x14ac:dyDescent="0.25"/>
    <row r="10996" s="42" customFormat="1" x14ac:dyDescent="0.25"/>
    <row r="10997" s="42" customFormat="1" x14ac:dyDescent="0.25"/>
    <row r="10998" s="42" customFormat="1" x14ac:dyDescent="0.25"/>
    <row r="10999" s="42" customFormat="1" x14ac:dyDescent="0.25"/>
    <row r="11000" s="42" customFormat="1" x14ac:dyDescent="0.25"/>
    <row r="11001" s="42" customFormat="1" x14ac:dyDescent="0.25"/>
    <row r="11002" s="42" customFormat="1" x14ac:dyDescent="0.25"/>
    <row r="11003" s="42" customFormat="1" x14ac:dyDescent="0.25"/>
    <row r="11004" s="42" customFormat="1" x14ac:dyDescent="0.25"/>
    <row r="11005" s="42" customFormat="1" x14ac:dyDescent="0.25"/>
    <row r="11006" s="42" customFormat="1" x14ac:dyDescent="0.25"/>
    <row r="11007" s="42" customFormat="1" x14ac:dyDescent="0.25"/>
    <row r="11008" s="42" customFormat="1" x14ac:dyDescent="0.25"/>
    <row r="11009" s="42" customFormat="1" x14ac:dyDescent="0.25"/>
    <row r="11010" s="42" customFormat="1" x14ac:dyDescent="0.25"/>
    <row r="11011" s="42" customFormat="1" x14ac:dyDescent="0.25"/>
    <row r="11012" s="42" customFormat="1" x14ac:dyDescent="0.25"/>
    <row r="11013" s="42" customFormat="1" x14ac:dyDescent="0.25"/>
    <row r="11014" s="42" customFormat="1" x14ac:dyDescent="0.25"/>
    <row r="11015" s="42" customFormat="1" x14ac:dyDescent="0.25"/>
    <row r="11016" s="42" customFormat="1" x14ac:dyDescent="0.25"/>
    <row r="11017" s="42" customFormat="1" x14ac:dyDescent="0.25"/>
    <row r="11018" s="42" customFormat="1" x14ac:dyDescent="0.25"/>
    <row r="11019" s="42" customFormat="1" x14ac:dyDescent="0.25"/>
    <row r="11020" s="42" customFormat="1" x14ac:dyDescent="0.25"/>
    <row r="11021" s="42" customFormat="1" x14ac:dyDescent="0.25"/>
    <row r="11022" s="42" customFormat="1" x14ac:dyDescent="0.25"/>
    <row r="11023" s="42" customFormat="1" x14ac:dyDescent="0.25"/>
    <row r="11024" s="42" customFormat="1" x14ac:dyDescent="0.25"/>
    <row r="11025" s="42" customFormat="1" x14ac:dyDescent="0.25"/>
    <row r="11026" s="42" customFormat="1" x14ac:dyDescent="0.25"/>
    <row r="11027" s="42" customFormat="1" x14ac:dyDescent="0.25"/>
    <row r="11028" s="42" customFormat="1" x14ac:dyDescent="0.25"/>
    <row r="11029" s="42" customFormat="1" x14ac:dyDescent="0.25"/>
    <row r="11030" s="42" customFormat="1" x14ac:dyDescent="0.25"/>
    <row r="11031" s="42" customFormat="1" x14ac:dyDescent="0.25"/>
    <row r="11032" s="42" customFormat="1" x14ac:dyDescent="0.25"/>
    <row r="11033" s="42" customFormat="1" x14ac:dyDescent="0.25"/>
    <row r="11034" s="42" customFormat="1" x14ac:dyDescent="0.25"/>
    <row r="11035" s="42" customFormat="1" x14ac:dyDescent="0.25"/>
    <row r="11036" s="42" customFormat="1" x14ac:dyDescent="0.25"/>
    <row r="11037" s="42" customFormat="1" x14ac:dyDescent="0.25"/>
    <row r="11038" s="42" customFormat="1" x14ac:dyDescent="0.25"/>
    <row r="11039" s="42" customFormat="1" x14ac:dyDescent="0.25"/>
    <row r="11040" s="42" customFormat="1" x14ac:dyDescent="0.25"/>
    <row r="11041" s="42" customFormat="1" x14ac:dyDescent="0.25"/>
    <row r="11042" s="42" customFormat="1" x14ac:dyDescent="0.25"/>
    <row r="11043" s="42" customFormat="1" x14ac:dyDescent="0.25"/>
    <row r="11044" s="42" customFormat="1" x14ac:dyDescent="0.25"/>
    <row r="11045" s="42" customFormat="1" x14ac:dyDescent="0.25"/>
    <row r="11046" s="42" customFormat="1" x14ac:dyDescent="0.25"/>
    <row r="11047" s="42" customFormat="1" x14ac:dyDescent="0.25"/>
    <row r="11048" s="42" customFormat="1" x14ac:dyDescent="0.25"/>
    <row r="11049" s="42" customFormat="1" x14ac:dyDescent="0.25"/>
    <row r="11050" s="42" customFormat="1" x14ac:dyDescent="0.25"/>
    <row r="11051" s="42" customFormat="1" x14ac:dyDescent="0.25"/>
    <row r="11052" s="42" customFormat="1" x14ac:dyDescent="0.25"/>
    <row r="11053" s="42" customFormat="1" x14ac:dyDescent="0.25"/>
    <row r="11054" s="42" customFormat="1" x14ac:dyDescent="0.25"/>
    <row r="11055" s="42" customFormat="1" x14ac:dyDescent="0.25"/>
    <row r="11056" s="42" customFormat="1" x14ac:dyDescent="0.25"/>
    <row r="11057" s="42" customFormat="1" x14ac:dyDescent="0.25"/>
    <row r="11058" s="42" customFormat="1" x14ac:dyDescent="0.25"/>
    <row r="11059" s="42" customFormat="1" x14ac:dyDescent="0.25"/>
    <row r="11060" s="42" customFormat="1" x14ac:dyDescent="0.25"/>
    <row r="11061" s="42" customFormat="1" x14ac:dyDescent="0.25"/>
    <row r="11062" s="42" customFormat="1" x14ac:dyDescent="0.25"/>
    <row r="11063" s="42" customFormat="1" x14ac:dyDescent="0.25"/>
    <row r="11064" s="42" customFormat="1" x14ac:dyDescent="0.25"/>
    <row r="11065" s="42" customFormat="1" x14ac:dyDescent="0.25"/>
    <row r="11066" s="42" customFormat="1" x14ac:dyDescent="0.25"/>
    <row r="11067" s="42" customFormat="1" x14ac:dyDescent="0.25"/>
    <row r="11068" s="42" customFormat="1" x14ac:dyDescent="0.25"/>
    <row r="11069" s="42" customFormat="1" x14ac:dyDescent="0.25"/>
    <row r="11070" s="42" customFormat="1" x14ac:dyDescent="0.25"/>
    <row r="11071" s="42" customFormat="1" x14ac:dyDescent="0.25"/>
    <row r="11072" s="42" customFormat="1" x14ac:dyDescent="0.25"/>
    <row r="11073" s="42" customFormat="1" x14ac:dyDescent="0.25"/>
    <row r="11074" s="42" customFormat="1" x14ac:dyDescent="0.25"/>
    <row r="11075" s="42" customFormat="1" x14ac:dyDescent="0.25"/>
    <row r="11076" s="42" customFormat="1" x14ac:dyDescent="0.25"/>
    <row r="11077" s="42" customFormat="1" x14ac:dyDescent="0.25"/>
    <row r="11078" s="42" customFormat="1" x14ac:dyDescent="0.25"/>
    <row r="11079" s="42" customFormat="1" x14ac:dyDescent="0.25"/>
    <row r="11080" s="42" customFormat="1" x14ac:dyDescent="0.25"/>
    <row r="11081" s="42" customFormat="1" x14ac:dyDescent="0.25"/>
    <row r="11082" s="42" customFormat="1" x14ac:dyDescent="0.25"/>
    <row r="11083" s="42" customFormat="1" x14ac:dyDescent="0.25"/>
    <row r="11084" s="42" customFormat="1" x14ac:dyDescent="0.25"/>
    <row r="11085" s="42" customFormat="1" x14ac:dyDescent="0.25"/>
    <row r="11086" s="42" customFormat="1" x14ac:dyDescent="0.25"/>
    <row r="11087" s="42" customFormat="1" x14ac:dyDescent="0.25"/>
    <row r="11088" s="42" customFormat="1" x14ac:dyDescent="0.25"/>
    <row r="11089" s="42" customFormat="1" x14ac:dyDescent="0.25"/>
    <row r="11090" s="42" customFormat="1" x14ac:dyDescent="0.25"/>
    <row r="11091" s="42" customFormat="1" x14ac:dyDescent="0.25"/>
    <row r="11092" s="42" customFormat="1" x14ac:dyDescent="0.25"/>
    <row r="11093" s="42" customFormat="1" x14ac:dyDescent="0.25"/>
    <row r="11094" s="42" customFormat="1" x14ac:dyDescent="0.25"/>
    <row r="11095" s="42" customFormat="1" x14ac:dyDescent="0.25"/>
    <row r="11096" s="42" customFormat="1" x14ac:dyDescent="0.25"/>
    <row r="11097" s="42" customFormat="1" x14ac:dyDescent="0.25"/>
    <row r="11098" s="42" customFormat="1" x14ac:dyDescent="0.25"/>
    <row r="11099" s="42" customFormat="1" x14ac:dyDescent="0.25"/>
    <row r="11100" s="42" customFormat="1" x14ac:dyDescent="0.25"/>
    <row r="11101" s="42" customFormat="1" x14ac:dyDescent="0.25"/>
    <row r="11102" s="42" customFormat="1" x14ac:dyDescent="0.25"/>
    <row r="11103" s="42" customFormat="1" x14ac:dyDescent="0.25"/>
    <row r="11104" s="42" customFormat="1" x14ac:dyDescent="0.25"/>
    <row r="11105" s="42" customFormat="1" x14ac:dyDescent="0.25"/>
    <row r="11106" s="42" customFormat="1" x14ac:dyDescent="0.25"/>
    <row r="11107" s="42" customFormat="1" x14ac:dyDescent="0.25"/>
    <row r="11108" s="42" customFormat="1" x14ac:dyDescent="0.25"/>
    <row r="11109" s="42" customFormat="1" x14ac:dyDescent="0.25"/>
    <row r="11110" s="42" customFormat="1" x14ac:dyDescent="0.25"/>
    <row r="11111" s="42" customFormat="1" x14ac:dyDescent="0.25"/>
    <row r="11112" s="42" customFormat="1" x14ac:dyDescent="0.25"/>
    <row r="11113" s="42" customFormat="1" x14ac:dyDescent="0.25"/>
    <row r="11114" s="42" customFormat="1" x14ac:dyDescent="0.25"/>
    <row r="11115" s="42" customFormat="1" x14ac:dyDescent="0.25"/>
    <row r="11116" s="42" customFormat="1" x14ac:dyDescent="0.25"/>
    <row r="11117" s="42" customFormat="1" x14ac:dyDescent="0.25"/>
    <row r="11118" s="42" customFormat="1" x14ac:dyDescent="0.25"/>
    <row r="11119" s="42" customFormat="1" x14ac:dyDescent="0.25"/>
    <row r="11120" s="42" customFormat="1" x14ac:dyDescent="0.25"/>
    <row r="11121" s="42" customFormat="1" x14ac:dyDescent="0.25"/>
    <row r="11122" s="42" customFormat="1" x14ac:dyDescent="0.25"/>
    <row r="11123" s="42" customFormat="1" x14ac:dyDescent="0.25"/>
    <row r="11124" s="42" customFormat="1" x14ac:dyDescent="0.25"/>
    <row r="11125" s="42" customFormat="1" x14ac:dyDescent="0.25"/>
    <row r="11126" s="42" customFormat="1" x14ac:dyDescent="0.25"/>
    <row r="11127" s="42" customFormat="1" x14ac:dyDescent="0.25"/>
    <row r="11128" s="42" customFormat="1" x14ac:dyDescent="0.25"/>
    <row r="11129" s="42" customFormat="1" x14ac:dyDescent="0.25"/>
    <row r="11130" s="42" customFormat="1" x14ac:dyDescent="0.25"/>
    <row r="11131" s="42" customFormat="1" x14ac:dyDescent="0.25"/>
    <row r="11132" s="42" customFormat="1" x14ac:dyDescent="0.25"/>
    <row r="11133" s="42" customFormat="1" x14ac:dyDescent="0.25"/>
    <row r="11134" s="42" customFormat="1" x14ac:dyDescent="0.25"/>
    <row r="11135" s="42" customFormat="1" x14ac:dyDescent="0.25"/>
    <row r="11136" s="42" customFormat="1" x14ac:dyDescent="0.25"/>
    <row r="11137" s="42" customFormat="1" x14ac:dyDescent="0.25"/>
    <row r="11138" s="42" customFormat="1" x14ac:dyDescent="0.25"/>
    <row r="11139" s="42" customFormat="1" x14ac:dyDescent="0.25"/>
    <row r="11140" s="42" customFormat="1" x14ac:dyDescent="0.25"/>
    <row r="11141" s="42" customFormat="1" x14ac:dyDescent="0.25"/>
    <row r="11142" s="42" customFormat="1" x14ac:dyDescent="0.25"/>
    <row r="11143" s="42" customFormat="1" x14ac:dyDescent="0.25"/>
    <row r="11144" s="42" customFormat="1" x14ac:dyDescent="0.25"/>
    <row r="11145" s="42" customFormat="1" x14ac:dyDescent="0.25"/>
    <row r="11146" s="42" customFormat="1" x14ac:dyDescent="0.25"/>
    <row r="11147" s="42" customFormat="1" x14ac:dyDescent="0.25"/>
    <row r="11148" s="42" customFormat="1" x14ac:dyDescent="0.25"/>
    <row r="11149" s="42" customFormat="1" x14ac:dyDescent="0.25"/>
    <row r="11150" s="42" customFormat="1" x14ac:dyDescent="0.25"/>
    <row r="11151" s="42" customFormat="1" x14ac:dyDescent="0.25"/>
    <row r="11152" s="42" customFormat="1" x14ac:dyDescent="0.25"/>
    <row r="11153" s="42" customFormat="1" x14ac:dyDescent="0.25"/>
    <row r="11154" s="42" customFormat="1" x14ac:dyDescent="0.25"/>
    <row r="11155" s="42" customFormat="1" x14ac:dyDescent="0.25"/>
    <row r="11156" s="42" customFormat="1" x14ac:dyDescent="0.25"/>
    <row r="11157" s="42" customFormat="1" x14ac:dyDescent="0.25"/>
    <row r="11158" s="42" customFormat="1" x14ac:dyDescent="0.25"/>
    <row r="11159" s="42" customFormat="1" x14ac:dyDescent="0.25"/>
    <row r="11160" s="42" customFormat="1" x14ac:dyDescent="0.25"/>
    <row r="11161" s="42" customFormat="1" x14ac:dyDescent="0.25"/>
    <row r="11162" s="42" customFormat="1" x14ac:dyDescent="0.25"/>
    <row r="11163" s="42" customFormat="1" x14ac:dyDescent="0.25"/>
    <row r="11164" s="42" customFormat="1" x14ac:dyDescent="0.25"/>
    <row r="11165" s="42" customFormat="1" x14ac:dyDescent="0.25"/>
    <row r="11166" s="42" customFormat="1" x14ac:dyDescent="0.25"/>
    <row r="11167" s="42" customFormat="1" x14ac:dyDescent="0.25"/>
    <row r="11168" s="42" customFormat="1" x14ac:dyDescent="0.25"/>
    <row r="11169" s="42" customFormat="1" x14ac:dyDescent="0.25"/>
    <row r="11170" s="42" customFormat="1" x14ac:dyDescent="0.25"/>
    <row r="11171" s="42" customFormat="1" x14ac:dyDescent="0.25"/>
    <row r="11172" s="42" customFormat="1" x14ac:dyDescent="0.25"/>
    <row r="11173" s="42" customFormat="1" x14ac:dyDescent="0.25"/>
    <row r="11174" s="42" customFormat="1" x14ac:dyDescent="0.25"/>
    <row r="11175" s="42" customFormat="1" x14ac:dyDescent="0.25"/>
    <row r="11176" s="42" customFormat="1" x14ac:dyDescent="0.25"/>
    <row r="11177" s="42" customFormat="1" x14ac:dyDescent="0.25"/>
    <row r="11178" s="42" customFormat="1" x14ac:dyDescent="0.25"/>
    <row r="11179" s="42" customFormat="1" x14ac:dyDescent="0.25"/>
    <row r="11180" s="42" customFormat="1" x14ac:dyDescent="0.25"/>
    <row r="11181" s="42" customFormat="1" x14ac:dyDescent="0.25"/>
    <row r="11182" s="42" customFormat="1" x14ac:dyDescent="0.25"/>
    <row r="11183" s="42" customFormat="1" x14ac:dyDescent="0.25"/>
    <row r="11184" s="42" customFormat="1" x14ac:dyDescent="0.25"/>
    <row r="11185" s="42" customFormat="1" x14ac:dyDescent="0.25"/>
    <row r="11186" s="42" customFormat="1" x14ac:dyDescent="0.25"/>
    <row r="11187" s="42" customFormat="1" x14ac:dyDescent="0.25"/>
    <row r="11188" s="42" customFormat="1" x14ac:dyDescent="0.25"/>
    <row r="11189" s="42" customFormat="1" x14ac:dyDescent="0.25"/>
    <row r="11190" s="42" customFormat="1" x14ac:dyDescent="0.25"/>
    <row r="11191" s="42" customFormat="1" x14ac:dyDescent="0.25"/>
    <row r="11192" s="42" customFormat="1" x14ac:dyDescent="0.25"/>
    <row r="11193" s="42" customFormat="1" x14ac:dyDescent="0.25"/>
    <row r="11194" s="42" customFormat="1" x14ac:dyDescent="0.25"/>
    <row r="11195" s="42" customFormat="1" x14ac:dyDescent="0.25"/>
    <row r="11196" s="42" customFormat="1" x14ac:dyDescent="0.25"/>
    <row r="11197" s="42" customFormat="1" x14ac:dyDescent="0.25"/>
    <row r="11198" s="42" customFormat="1" x14ac:dyDescent="0.25"/>
    <row r="11199" s="42" customFormat="1" x14ac:dyDescent="0.25"/>
    <row r="11200" s="42" customFormat="1" x14ac:dyDescent="0.25"/>
    <row r="11201" s="42" customFormat="1" x14ac:dyDescent="0.25"/>
    <row r="11202" s="42" customFormat="1" x14ac:dyDescent="0.25"/>
    <row r="11203" s="42" customFormat="1" x14ac:dyDescent="0.25"/>
    <row r="11204" s="42" customFormat="1" x14ac:dyDescent="0.25"/>
    <row r="11205" s="42" customFormat="1" x14ac:dyDescent="0.25"/>
    <row r="11206" s="42" customFormat="1" x14ac:dyDescent="0.25"/>
    <row r="11207" s="42" customFormat="1" x14ac:dyDescent="0.25"/>
    <row r="11208" s="42" customFormat="1" x14ac:dyDescent="0.25"/>
    <row r="11209" s="42" customFormat="1" x14ac:dyDescent="0.25"/>
    <row r="11210" s="42" customFormat="1" x14ac:dyDescent="0.25"/>
    <row r="11211" s="42" customFormat="1" x14ac:dyDescent="0.25"/>
    <row r="11212" s="42" customFormat="1" x14ac:dyDescent="0.25"/>
    <row r="11213" s="42" customFormat="1" x14ac:dyDescent="0.25"/>
    <row r="11214" s="42" customFormat="1" x14ac:dyDescent="0.25"/>
    <row r="11215" s="42" customFormat="1" x14ac:dyDescent="0.25"/>
    <row r="11216" s="42" customFormat="1" x14ac:dyDescent="0.25"/>
    <row r="11217" s="42" customFormat="1" x14ac:dyDescent="0.25"/>
    <row r="11218" s="42" customFormat="1" x14ac:dyDescent="0.25"/>
    <row r="11219" s="42" customFormat="1" x14ac:dyDescent="0.25"/>
    <row r="11220" s="42" customFormat="1" x14ac:dyDescent="0.25"/>
    <row r="11221" s="42" customFormat="1" x14ac:dyDescent="0.25"/>
    <row r="11222" s="42" customFormat="1" x14ac:dyDescent="0.25"/>
    <row r="11223" s="42" customFormat="1" x14ac:dyDescent="0.25"/>
    <row r="11224" s="42" customFormat="1" x14ac:dyDescent="0.25"/>
    <row r="11225" s="42" customFormat="1" x14ac:dyDescent="0.25"/>
    <row r="11226" s="42" customFormat="1" x14ac:dyDescent="0.25"/>
    <row r="11227" s="42" customFormat="1" x14ac:dyDescent="0.25"/>
    <row r="11228" s="42" customFormat="1" x14ac:dyDescent="0.25"/>
    <row r="11229" s="42" customFormat="1" x14ac:dyDescent="0.25"/>
    <row r="11230" s="42" customFormat="1" x14ac:dyDescent="0.25"/>
    <row r="11231" s="42" customFormat="1" x14ac:dyDescent="0.25"/>
    <row r="11232" s="42" customFormat="1" x14ac:dyDescent="0.25"/>
    <row r="11233" s="42" customFormat="1" x14ac:dyDescent="0.25"/>
    <row r="11234" s="42" customFormat="1" x14ac:dyDescent="0.25"/>
    <row r="11235" s="42" customFormat="1" x14ac:dyDescent="0.25"/>
    <row r="11236" s="42" customFormat="1" x14ac:dyDescent="0.25"/>
    <row r="11237" s="42" customFormat="1" x14ac:dyDescent="0.25"/>
    <row r="11238" s="42" customFormat="1" x14ac:dyDescent="0.25"/>
    <row r="11239" s="42" customFormat="1" x14ac:dyDescent="0.25"/>
    <row r="11240" s="42" customFormat="1" x14ac:dyDescent="0.25"/>
    <row r="11241" s="42" customFormat="1" x14ac:dyDescent="0.25"/>
    <row r="11242" s="42" customFormat="1" x14ac:dyDescent="0.25"/>
    <row r="11243" s="42" customFormat="1" x14ac:dyDescent="0.25"/>
    <row r="11244" s="42" customFormat="1" x14ac:dyDescent="0.25"/>
    <row r="11245" s="42" customFormat="1" x14ac:dyDescent="0.25"/>
    <row r="11246" s="42" customFormat="1" x14ac:dyDescent="0.25"/>
    <row r="11247" s="42" customFormat="1" x14ac:dyDescent="0.25"/>
    <row r="11248" s="42" customFormat="1" x14ac:dyDescent="0.25"/>
    <row r="11249" s="42" customFormat="1" x14ac:dyDescent="0.25"/>
    <row r="11250" s="42" customFormat="1" x14ac:dyDescent="0.25"/>
    <row r="11251" s="42" customFormat="1" x14ac:dyDescent="0.25"/>
    <row r="11252" s="42" customFormat="1" x14ac:dyDescent="0.25"/>
    <row r="11253" s="42" customFormat="1" x14ac:dyDescent="0.25"/>
    <row r="11254" s="42" customFormat="1" x14ac:dyDescent="0.25"/>
    <row r="11255" s="42" customFormat="1" x14ac:dyDescent="0.25"/>
    <row r="11256" s="42" customFormat="1" x14ac:dyDescent="0.25"/>
    <row r="11257" s="42" customFormat="1" x14ac:dyDescent="0.25"/>
    <row r="11258" s="42" customFormat="1" x14ac:dyDescent="0.25"/>
    <row r="11259" s="42" customFormat="1" x14ac:dyDescent="0.25"/>
    <row r="11260" s="42" customFormat="1" x14ac:dyDescent="0.25"/>
    <row r="11261" s="42" customFormat="1" x14ac:dyDescent="0.25"/>
    <row r="11262" s="42" customFormat="1" x14ac:dyDescent="0.25"/>
    <row r="11263" s="42" customFormat="1" x14ac:dyDescent="0.25"/>
    <row r="11264" s="42" customFormat="1" x14ac:dyDescent="0.25"/>
    <row r="11265" s="42" customFormat="1" x14ac:dyDescent="0.25"/>
    <row r="11266" s="42" customFormat="1" x14ac:dyDescent="0.25"/>
    <row r="11267" s="42" customFormat="1" x14ac:dyDescent="0.25"/>
    <row r="11268" s="42" customFormat="1" x14ac:dyDescent="0.25"/>
    <row r="11269" s="42" customFormat="1" x14ac:dyDescent="0.25"/>
    <row r="11270" s="42" customFormat="1" x14ac:dyDescent="0.25"/>
    <row r="11271" s="42" customFormat="1" x14ac:dyDescent="0.25"/>
    <row r="11272" s="42" customFormat="1" x14ac:dyDescent="0.25"/>
    <row r="11273" s="42" customFormat="1" x14ac:dyDescent="0.25"/>
    <row r="11274" s="42" customFormat="1" x14ac:dyDescent="0.25"/>
    <row r="11275" s="42" customFormat="1" x14ac:dyDescent="0.25"/>
    <row r="11276" s="42" customFormat="1" x14ac:dyDescent="0.25"/>
    <row r="11277" s="42" customFormat="1" x14ac:dyDescent="0.25"/>
    <row r="11278" s="42" customFormat="1" x14ac:dyDescent="0.25"/>
    <row r="11279" s="42" customFormat="1" x14ac:dyDescent="0.25"/>
    <row r="11280" s="42" customFormat="1" x14ac:dyDescent="0.25"/>
    <row r="11281" s="42" customFormat="1" x14ac:dyDescent="0.25"/>
    <row r="11282" s="42" customFormat="1" x14ac:dyDescent="0.25"/>
    <row r="11283" s="42" customFormat="1" x14ac:dyDescent="0.25"/>
    <row r="11284" s="42" customFormat="1" x14ac:dyDescent="0.25"/>
    <row r="11285" s="42" customFormat="1" x14ac:dyDescent="0.25"/>
    <row r="11286" s="42" customFormat="1" x14ac:dyDescent="0.25"/>
    <row r="11287" s="42" customFormat="1" x14ac:dyDescent="0.25"/>
    <row r="11288" s="42" customFormat="1" x14ac:dyDescent="0.25"/>
    <row r="11289" s="42" customFormat="1" x14ac:dyDescent="0.25"/>
    <row r="11290" s="42" customFormat="1" x14ac:dyDescent="0.25"/>
    <row r="11291" s="42" customFormat="1" x14ac:dyDescent="0.25"/>
    <row r="11292" s="42" customFormat="1" x14ac:dyDescent="0.25"/>
    <row r="11293" s="42" customFormat="1" x14ac:dyDescent="0.25"/>
    <row r="11294" s="42" customFormat="1" x14ac:dyDescent="0.25"/>
    <row r="11295" s="42" customFormat="1" x14ac:dyDescent="0.25"/>
    <row r="11296" s="42" customFormat="1" x14ac:dyDescent="0.25"/>
    <row r="11297" s="42" customFormat="1" x14ac:dyDescent="0.25"/>
    <row r="11298" s="42" customFormat="1" x14ac:dyDescent="0.25"/>
    <row r="11299" s="42" customFormat="1" x14ac:dyDescent="0.25"/>
    <row r="11300" s="42" customFormat="1" x14ac:dyDescent="0.25"/>
    <row r="11301" s="42" customFormat="1" x14ac:dyDescent="0.25"/>
    <row r="11302" s="42" customFormat="1" x14ac:dyDescent="0.25"/>
    <row r="11303" s="42" customFormat="1" x14ac:dyDescent="0.25"/>
    <row r="11304" s="42" customFormat="1" x14ac:dyDescent="0.25"/>
    <row r="11305" s="42" customFormat="1" x14ac:dyDescent="0.25"/>
    <row r="11306" s="42" customFormat="1" x14ac:dyDescent="0.25"/>
    <row r="11307" s="42" customFormat="1" x14ac:dyDescent="0.25"/>
    <row r="11308" s="42" customFormat="1" x14ac:dyDescent="0.25"/>
    <row r="11309" s="42" customFormat="1" x14ac:dyDescent="0.25"/>
    <row r="11310" s="42" customFormat="1" x14ac:dyDescent="0.25"/>
    <row r="11311" s="42" customFormat="1" x14ac:dyDescent="0.25"/>
    <row r="11312" s="42" customFormat="1" x14ac:dyDescent="0.25"/>
    <row r="11313" s="42" customFormat="1" x14ac:dyDescent="0.25"/>
    <row r="11314" s="42" customFormat="1" x14ac:dyDescent="0.25"/>
    <row r="11315" s="42" customFormat="1" x14ac:dyDescent="0.25"/>
    <row r="11316" s="42" customFormat="1" x14ac:dyDescent="0.25"/>
    <row r="11317" s="42" customFormat="1" x14ac:dyDescent="0.25"/>
    <row r="11318" s="42" customFormat="1" x14ac:dyDescent="0.25"/>
    <row r="11319" s="42" customFormat="1" x14ac:dyDescent="0.25"/>
    <row r="11320" s="42" customFormat="1" x14ac:dyDescent="0.25"/>
    <row r="11321" s="42" customFormat="1" x14ac:dyDescent="0.25"/>
    <row r="11322" s="42" customFormat="1" x14ac:dyDescent="0.25"/>
    <row r="11323" s="42" customFormat="1" x14ac:dyDescent="0.25"/>
    <row r="11324" s="42" customFormat="1" x14ac:dyDescent="0.25"/>
    <row r="11325" s="42" customFormat="1" x14ac:dyDescent="0.25"/>
    <row r="11326" s="42" customFormat="1" x14ac:dyDescent="0.25"/>
    <row r="11327" s="42" customFormat="1" x14ac:dyDescent="0.25"/>
    <row r="11328" s="42" customFormat="1" x14ac:dyDescent="0.25"/>
    <row r="11329" s="42" customFormat="1" x14ac:dyDescent="0.25"/>
    <row r="11330" s="42" customFormat="1" x14ac:dyDescent="0.25"/>
    <row r="11331" s="42" customFormat="1" x14ac:dyDescent="0.25"/>
    <row r="11332" s="42" customFormat="1" x14ac:dyDescent="0.25"/>
    <row r="11333" s="42" customFormat="1" x14ac:dyDescent="0.25"/>
    <row r="11334" s="42" customFormat="1" x14ac:dyDescent="0.25"/>
    <row r="11335" s="42" customFormat="1" x14ac:dyDescent="0.25"/>
    <row r="11336" s="42" customFormat="1" x14ac:dyDescent="0.25"/>
    <row r="11337" s="42" customFormat="1" x14ac:dyDescent="0.25"/>
    <row r="11338" s="42" customFormat="1" x14ac:dyDescent="0.25"/>
    <row r="11339" s="42" customFormat="1" x14ac:dyDescent="0.25"/>
    <row r="11340" s="42" customFormat="1" x14ac:dyDescent="0.25"/>
    <row r="11341" s="42" customFormat="1" x14ac:dyDescent="0.25"/>
    <row r="11342" s="42" customFormat="1" x14ac:dyDescent="0.25"/>
    <row r="11343" s="42" customFormat="1" x14ac:dyDescent="0.25"/>
    <row r="11344" s="42" customFormat="1" x14ac:dyDescent="0.25"/>
    <row r="11345" s="42" customFormat="1" x14ac:dyDescent="0.25"/>
    <row r="11346" s="42" customFormat="1" x14ac:dyDescent="0.25"/>
    <row r="11347" s="42" customFormat="1" x14ac:dyDescent="0.25"/>
    <row r="11348" s="42" customFormat="1" x14ac:dyDescent="0.25"/>
    <row r="11349" s="42" customFormat="1" x14ac:dyDescent="0.25"/>
    <row r="11350" s="42" customFormat="1" x14ac:dyDescent="0.25"/>
    <row r="11351" s="42" customFormat="1" x14ac:dyDescent="0.25"/>
    <row r="11352" s="42" customFormat="1" x14ac:dyDescent="0.25"/>
    <row r="11353" s="42" customFormat="1" x14ac:dyDescent="0.25"/>
    <row r="11354" s="42" customFormat="1" x14ac:dyDescent="0.25"/>
    <row r="11355" s="42" customFormat="1" x14ac:dyDescent="0.25"/>
    <row r="11356" s="42" customFormat="1" x14ac:dyDescent="0.25"/>
    <row r="11357" s="42" customFormat="1" x14ac:dyDescent="0.25"/>
    <row r="11358" s="42" customFormat="1" x14ac:dyDescent="0.25"/>
    <row r="11359" s="42" customFormat="1" x14ac:dyDescent="0.25"/>
    <row r="11360" s="42" customFormat="1" x14ac:dyDescent="0.25"/>
    <row r="11361" s="42" customFormat="1" x14ac:dyDescent="0.25"/>
    <row r="11362" s="42" customFormat="1" x14ac:dyDescent="0.25"/>
    <row r="11363" s="42" customFormat="1" x14ac:dyDescent="0.25"/>
    <row r="11364" s="42" customFormat="1" x14ac:dyDescent="0.25"/>
    <row r="11365" s="42" customFormat="1" x14ac:dyDescent="0.25"/>
    <row r="11366" s="42" customFormat="1" x14ac:dyDescent="0.25"/>
    <row r="11367" s="42" customFormat="1" x14ac:dyDescent="0.25"/>
    <row r="11368" s="42" customFormat="1" x14ac:dyDescent="0.25"/>
    <row r="11369" s="42" customFormat="1" x14ac:dyDescent="0.25"/>
    <row r="11370" s="42" customFormat="1" x14ac:dyDescent="0.25"/>
    <row r="11371" s="42" customFormat="1" x14ac:dyDescent="0.25"/>
    <row r="11372" s="42" customFormat="1" x14ac:dyDescent="0.25"/>
    <row r="11373" s="42" customFormat="1" x14ac:dyDescent="0.25"/>
    <row r="11374" s="42" customFormat="1" x14ac:dyDescent="0.25"/>
    <row r="11375" s="42" customFormat="1" x14ac:dyDescent="0.25"/>
    <row r="11376" s="42" customFormat="1" x14ac:dyDescent="0.25"/>
    <row r="11377" s="42" customFormat="1" x14ac:dyDescent="0.25"/>
    <row r="11378" s="42" customFormat="1" x14ac:dyDescent="0.25"/>
    <row r="11379" s="42" customFormat="1" x14ac:dyDescent="0.25"/>
    <row r="11380" s="42" customFormat="1" x14ac:dyDescent="0.25"/>
    <row r="11381" s="42" customFormat="1" x14ac:dyDescent="0.25"/>
    <row r="11382" s="42" customFormat="1" x14ac:dyDescent="0.25"/>
    <row r="11383" s="42" customFormat="1" x14ac:dyDescent="0.25"/>
    <row r="11384" s="42" customFormat="1" x14ac:dyDescent="0.25"/>
    <row r="11385" s="42" customFormat="1" x14ac:dyDescent="0.25"/>
    <row r="11386" s="42" customFormat="1" x14ac:dyDescent="0.25"/>
    <row r="11387" s="42" customFormat="1" x14ac:dyDescent="0.25"/>
    <row r="11388" s="42" customFormat="1" x14ac:dyDescent="0.25"/>
    <row r="11389" s="42" customFormat="1" x14ac:dyDescent="0.25"/>
    <row r="11390" s="42" customFormat="1" x14ac:dyDescent="0.25"/>
    <row r="11391" s="42" customFormat="1" x14ac:dyDescent="0.25"/>
    <row r="11392" s="42" customFormat="1" x14ac:dyDescent="0.25"/>
    <row r="11393" s="42" customFormat="1" x14ac:dyDescent="0.25"/>
    <row r="11394" s="42" customFormat="1" x14ac:dyDescent="0.25"/>
    <row r="11395" s="42" customFormat="1" x14ac:dyDescent="0.25"/>
    <row r="11396" s="42" customFormat="1" x14ac:dyDescent="0.25"/>
    <row r="11397" s="42" customFormat="1" x14ac:dyDescent="0.25"/>
    <row r="11398" s="42" customFormat="1" x14ac:dyDescent="0.25"/>
    <row r="11399" s="42" customFormat="1" x14ac:dyDescent="0.25"/>
    <row r="11400" s="42" customFormat="1" x14ac:dyDescent="0.25"/>
    <row r="11401" s="42" customFormat="1" x14ac:dyDescent="0.25"/>
    <row r="11402" s="42" customFormat="1" x14ac:dyDescent="0.25"/>
    <row r="11403" s="42" customFormat="1" x14ac:dyDescent="0.25"/>
    <row r="11404" s="42" customFormat="1" x14ac:dyDescent="0.25"/>
    <row r="11405" s="42" customFormat="1" x14ac:dyDescent="0.25"/>
    <row r="11406" s="42" customFormat="1" x14ac:dyDescent="0.25"/>
    <row r="11407" s="42" customFormat="1" x14ac:dyDescent="0.25"/>
    <row r="11408" s="42" customFormat="1" x14ac:dyDescent="0.25"/>
    <row r="11409" s="42" customFormat="1" x14ac:dyDescent="0.25"/>
    <row r="11410" s="42" customFormat="1" x14ac:dyDescent="0.25"/>
    <row r="11411" s="42" customFormat="1" x14ac:dyDescent="0.25"/>
    <row r="11412" s="42" customFormat="1" x14ac:dyDescent="0.25"/>
    <row r="11413" s="42" customFormat="1" x14ac:dyDescent="0.25"/>
    <row r="11414" s="42" customFormat="1" x14ac:dyDescent="0.25"/>
    <row r="11415" s="42" customFormat="1" x14ac:dyDescent="0.25"/>
    <row r="11416" s="42" customFormat="1" x14ac:dyDescent="0.25"/>
    <row r="11417" s="42" customFormat="1" x14ac:dyDescent="0.25"/>
    <row r="11418" s="42" customFormat="1" x14ac:dyDescent="0.25"/>
    <row r="11419" s="42" customFormat="1" x14ac:dyDescent="0.25"/>
    <row r="11420" s="42" customFormat="1" x14ac:dyDescent="0.25"/>
    <row r="11421" s="42" customFormat="1" x14ac:dyDescent="0.25"/>
    <row r="11422" s="42" customFormat="1" x14ac:dyDescent="0.25"/>
    <row r="11423" s="42" customFormat="1" x14ac:dyDescent="0.25"/>
    <row r="11424" s="42" customFormat="1" x14ac:dyDescent="0.25"/>
    <row r="11425" s="42" customFormat="1" x14ac:dyDescent="0.25"/>
    <row r="11426" s="42" customFormat="1" x14ac:dyDescent="0.25"/>
    <row r="11427" s="42" customFormat="1" x14ac:dyDescent="0.25"/>
    <row r="11428" s="42" customFormat="1" x14ac:dyDescent="0.25"/>
    <row r="11429" s="42" customFormat="1" x14ac:dyDescent="0.25"/>
    <row r="11430" s="42" customFormat="1" x14ac:dyDescent="0.25"/>
    <row r="11431" s="42" customFormat="1" x14ac:dyDescent="0.25"/>
    <row r="11432" s="42" customFormat="1" x14ac:dyDescent="0.25"/>
    <row r="11433" s="42" customFormat="1" x14ac:dyDescent="0.25"/>
    <row r="11434" s="42" customFormat="1" x14ac:dyDescent="0.25"/>
    <row r="11435" s="42" customFormat="1" x14ac:dyDescent="0.25"/>
    <row r="11436" s="42" customFormat="1" x14ac:dyDescent="0.25"/>
    <row r="11437" s="42" customFormat="1" x14ac:dyDescent="0.25"/>
    <row r="11438" s="42" customFormat="1" x14ac:dyDescent="0.25"/>
    <row r="11439" s="42" customFormat="1" x14ac:dyDescent="0.25"/>
    <row r="11440" s="42" customFormat="1" x14ac:dyDescent="0.25"/>
    <row r="11441" s="42" customFormat="1" x14ac:dyDescent="0.25"/>
    <row r="11442" s="42" customFormat="1" x14ac:dyDescent="0.25"/>
    <row r="11443" s="42" customFormat="1" x14ac:dyDescent="0.25"/>
    <row r="11444" s="42" customFormat="1" x14ac:dyDescent="0.25"/>
    <row r="11445" s="42" customFormat="1" x14ac:dyDescent="0.25"/>
    <row r="11446" s="42" customFormat="1" x14ac:dyDescent="0.25"/>
    <row r="11447" s="42" customFormat="1" x14ac:dyDescent="0.25"/>
    <row r="11448" s="42" customFormat="1" x14ac:dyDescent="0.25"/>
    <row r="11449" s="42" customFormat="1" x14ac:dyDescent="0.25"/>
    <row r="11450" s="42" customFormat="1" x14ac:dyDescent="0.25"/>
    <row r="11451" s="42" customFormat="1" x14ac:dyDescent="0.25"/>
    <row r="11452" s="42" customFormat="1" x14ac:dyDescent="0.25"/>
    <row r="11453" s="42" customFormat="1" x14ac:dyDescent="0.25"/>
    <row r="11454" s="42" customFormat="1" x14ac:dyDescent="0.25"/>
    <row r="11455" s="42" customFormat="1" x14ac:dyDescent="0.25"/>
    <row r="11456" s="42" customFormat="1" x14ac:dyDescent="0.25"/>
    <row r="11457" s="42" customFormat="1" x14ac:dyDescent="0.25"/>
    <row r="11458" s="42" customFormat="1" x14ac:dyDescent="0.25"/>
    <row r="11459" s="42" customFormat="1" x14ac:dyDescent="0.25"/>
    <row r="11460" s="42" customFormat="1" x14ac:dyDescent="0.25"/>
    <row r="11461" s="42" customFormat="1" x14ac:dyDescent="0.25"/>
    <row r="11462" s="42" customFormat="1" x14ac:dyDescent="0.25"/>
    <row r="11463" s="42" customFormat="1" x14ac:dyDescent="0.25"/>
    <row r="11464" s="42" customFormat="1" x14ac:dyDescent="0.25"/>
    <row r="11465" s="42" customFormat="1" x14ac:dyDescent="0.25"/>
    <row r="11466" s="42" customFormat="1" x14ac:dyDescent="0.25"/>
    <row r="11467" s="42" customFormat="1" x14ac:dyDescent="0.25"/>
    <row r="11468" s="42" customFormat="1" x14ac:dyDescent="0.25"/>
    <row r="11469" s="42" customFormat="1" x14ac:dyDescent="0.25"/>
    <row r="11470" s="42" customFormat="1" x14ac:dyDescent="0.25"/>
    <row r="11471" s="42" customFormat="1" x14ac:dyDescent="0.25"/>
    <row r="11472" s="42" customFormat="1" x14ac:dyDescent="0.25"/>
    <row r="11473" s="42" customFormat="1" x14ac:dyDescent="0.25"/>
    <row r="11474" s="42" customFormat="1" x14ac:dyDescent="0.25"/>
    <row r="11475" s="42" customFormat="1" x14ac:dyDescent="0.25"/>
    <row r="11476" s="42" customFormat="1" x14ac:dyDescent="0.25"/>
    <row r="11477" s="42" customFormat="1" x14ac:dyDescent="0.25"/>
    <row r="11478" s="42" customFormat="1" x14ac:dyDescent="0.25"/>
    <row r="11479" s="42" customFormat="1" x14ac:dyDescent="0.25"/>
    <row r="11480" s="42" customFormat="1" x14ac:dyDescent="0.25"/>
    <row r="11481" s="42" customFormat="1" x14ac:dyDescent="0.25"/>
    <row r="11482" s="42" customFormat="1" x14ac:dyDescent="0.25"/>
    <row r="11483" s="42" customFormat="1" x14ac:dyDescent="0.25"/>
    <row r="11484" s="42" customFormat="1" x14ac:dyDescent="0.25"/>
    <row r="11485" s="42" customFormat="1" x14ac:dyDescent="0.25"/>
    <row r="11486" s="42" customFormat="1" x14ac:dyDescent="0.25"/>
    <row r="11487" s="42" customFormat="1" x14ac:dyDescent="0.25"/>
    <row r="11488" s="42" customFormat="1" x14ac:dyDescent="0.25"/>
    <row r="11489" s="42" customFormat="1" x14ac:dyDescent="0.25"/>
    <row r="11490" s="42" customFormat="1" x14ac:dyDescent="0.25"/>
    <row r="11491" s="42" customFormat="1" x14ac:dyDescent="0.25"/>
    <row r="11492" s="42" customFormat="1" x14ac:dyDescent="0.25"/>
    <row r="11493" s="42" customFormat="1" x14ac:dyDescent="0.25"/>
    <row r="11494" s="42" customFormat="1" x14ac:dyDescent="0.25"/>
    <row r="11495" s="42" customFormat="1" x14ac:dyDescent="0.25"/>
    <row r="11496" s="42" customFormat="1" x14ac:dyDescent="0.25"/>
    <row r="11497" s="42" customFormat="1" x14ac:dyDescent="0.25"/>
    <row r="11498" s="42" customFormat="1" x14ac:dyDescent="0.25"/>
    <row r="11499" s="42" customFormat="1" x14ac:dyDescent="0.25"/>
    <row r="11500" s="42" customFormat="1" x14ac:dyDescent="0.25"/>
    <row r="11501" s="42" customFormat="1" x14ac:dyDescent="0.25"/>
    <row r="11502" s="42" customFormat="1" x14ac:dyDescent="0.25"/>
    <row r="11503" s="42" customFormat="1" x14ac:dyDescent="0.25"/>
    <row r="11504" s="42" customFormat="1" x14ac:dyDescent="0.25"/>
    <row r="11505" s="42" customFormat="1" x14ac:dyDescent="0.25"/>
    <row r="11506" s="42" customFormat="1" x14ac:dyDescent="0.25"/>
    <row r="11507" s="42" customFormat="1" x14ac:dyDescent="0.25"/>
    <row r="11508" s="42" customFormat="1" x14ac:dyDescent="0.25"/>
    <row r="11509" s="42" customFormat="1" x14ac:dyDescent="0.25"/>
    <row r="11510" s="42" customFormat="1" x14ac:dyDescent="0.25"/>
    <row r="11511" s="42" customFormat="1" x14ac:dyDescent="0.25"/>
    <row r="11512" s="42" customFormat="1" x14ac:dyDescent="0.25"/>
    <row r="11513" s="42" customFormat="1" x14ac:dyDescent="0.25"/>
    <row r="11514" s="42" customFormat="1" x14ac:dyDescent="0.25"/>
    <row r="11515" s="42" customFormat="1" x14ac:dyDescent="0.25"/>
    <row r="11516" s="42" customFormat="1" x14ac:dyDescent="0.25"/>
    <row r="11517" s="42" customFormat="1" x14ac:dyDescent="0.25"/>
    <row r="11518" s="42" customFormat="1" x14ac:dyDescent="0.25"/>
    <row r="11519" s="42" customFormat="1" x14ac:dyDescent="0.25"/>
    <row r="11520" s="42" customFormat="1" x14ac:dyDescent="0.25"/>
    <row r="11521" s="42" customFormat="1" x14ac:dyDescent="0.25"/>
    <row r="11522" s="42" customFormat="1" x14ac:dyDescent="0.25"/>
    <row r="11523" s="42" customFormat="1" x14ac:dyDescent="0.25"/>
    <row r="11524" s="42" customFormat="1" x14ac:dyDescent="0.25"/>
    <row r="11525" s="42" customFormat="1" x14ac:dyDescent="0.25"/>
    <row r="11526" s="42" customFormat="1" x14ac:dyDescent="0.25"/>
    <row r="11527" s="42" customFormat="1" x14ac:dyDescent="0.25"/>
    <row r="11528" s="42" customFormat="1" x14ac:dyDescent="0.25"/>
    <row r="11529" s="42" customFormat="1" x14ac:dyDescent="0.25"/>
    <row r="11530" s="42" customFormat="1" x14ac:dyDescent="0.25"/>
    <row r="11531" s="42" customFormat="1" x14ac:dyDescent="0.25"/>
    <row r="11532" s="42" customFormat="1" x14ac:dyDescent="0.25"/>
    <row r="11533" s="42" customFormat="1" x14ac:dyDescent="0.25"/>
    <row r="11534" s="42" customFormat="1" x14ac:dyDescent="0.25"/>
    <row r="11535" s="42" customFormat="1" x14ac:dyDescent="0.25"/>
    <row r="11536" s="42" customFormat="1" x14ac:dyDescent="0.25"/>
    <row r="11537" s="42" customFormat="1" x14ac:dyDescent="0.25"/>
    <row r="11538" s="42" customFormat="1" x14ac:dyDescent="0.25"/>
    <row r="11539" s="42" customFormat="1" x14ac:dyDescent="0.25"/>
    <row r="11540" s="42" customFormat="1" x14ac:dyDescent="0.25"/>
    <row r="11541" s="42" customFormat="1" x14ac:dyDescent="0.25"/>
    <row r="11542" s="42" customFormat="1" x14ac:dyDescent="0.25"/>
    <row r="11543" s="42" customFormat="1" x14ac:dyDescent="0.25"/>
    <row r="11544" s="42" customFormat="1" x14ac:dyDescent="0.25"/>
    <row r="11545" s="42" customFormat="1" x14ac:dyDescent="0.25"/>
    <row r="11546" s="42" customFormat="1" x14ac:dyDescent="0.25"/>
    <row r="11547" s="42" customFormat="1" x14ac:dyDescent="0.25"/>
    <row r="11548" s="42" customFormat="1" x14ac:dyDescent="0.25"/>
    <row r="11549" s="42" customFormat="1" x14ac:dyDescent="0.25"/>
    <row r="11550" s="42" customFormat="1" x14ac:dyDescent="0.25"/>
    <row r="11551" s="42" customFormat="1" x14ac:dyDescent="0.25"/>
    <row r="11552" s="42" customFormat="1" x14ac:dyDescent="0.25"/>
    <row r="11553" s="42" customFormat="1" x14ac:dyDescent="0.25"/>
    <row r="11554" s="42" customFormat="1" x14ac:dyDescent="0.25"/>
    <row r="11555" s="42" customFormat="1" x14ac:dyDescent="0.25"/>
    <row r="11556" s="42" customFormat="1" x14ac:dyDescent="0.25"/>
    <row r="11557" s="42" customFormat="1" x14ac:dyDescent="0.25"/>
    <row r="11558" s="42" customFormat="1" x14ac:dyDescent="0.25"/>
    <row r="11559" s="42" customFormat="1" x14ac:dyDescent="0.25"/>
    <row r="11560" s="42" customFormat="1" x14ac:dyDescent="0.25"/>
    <row r="11561" s="42" customFormat="1" x14ac:dyDescent="0.25"/>
    <row r="11562" s="42" customFormat="1" x14ac:dyDescent="0.25"/>
    <row r="11563" s="42" customFormat="1" x14ac:dyDescent="0.25"/>
    <row r="11564" s="42" customFormat="1" x14ac:dyDescent="0.25"/>
    <row r="11565" s="42" customFormat="1" x14ac:dyDescent="0.25"/>
    <row r="11566" s="42" customFormat="1" x14ac:dyDescent="0.25"/>
    <row r="11567" s="42" customFormat="1" x14ac:dyDescent="0.25"/>
    <row r="11568" s="42" customFormat="1" x14ac:dyDescent="0.25"/>
    <row r="11569" s="42" customFormat="1" x14ac:dyDescent="0.25"/>
    <row r="11570" s="42" customFormat="1" x14ac:dyDescent="0.25"/>
    <row r="11571" s="42" customFormat="1" x14ac:dyDescent="0.25"/>
    <row r="11572" s="42" customFormat="1" x14ac:dyDescent="0.25"/>
    <row r="11573" s="42" customFormat="1" x14ac:dyDescent="0.25"/>
    <row r="11574" s="42" customFormat="1" x14ac:dyDescent="0.25"/>
    <row r="11575" s="42" customFormat="1" x14ac:dyDescent="0.25"/>
    <row r="11576" s="42" customFormat="1" x14ac:dyDescent="0.25"/>
    <row r="11577" s="42" customFormat="1" x14ac:dyDescent="0.25"/>
    <row r="11578" s="42" customFormat="1" x14ac:dyDescent="0.25"/>
    <row r="11579" s="42" customFormat="1" x14ac:dyDescent="0.25"/>
    <row r="11580" s="42" customFormat="1" x14ac:dyDescent="0.25"/>
    <row r="11581" s="42" customFormat="1" x14ac:dyDescent="0.25"/>
    <row r="11582" s="42" customFormat="1" x14ac:dyDescent="0.25"/>
    <row r="11583" s="42" customFormat="1" x14ac:dyDescent="0.25"/>
    <row r="11584" s="42" customFormat="1" x14ac:dyDescent="0.25"/>
    <row r="11585" s="42" customFormat="1" x14ac:dyDescent="0.25"/>
    <row r="11586" s="42" customFormat="1" x14ac:dyDescent="0.25"/>
    <row r="11587" s="42" customFormat="1" x14ac:dyDescent="0.25"/>
    <row r="11588" s="42" customFormat="1" x14ac:dyDescent="0.25"/>
    <row r="11589" s="42" customFormat="1" x14ac:dyDescent="0.25"/>
    <row r="11590" s="42" customFormat="1" x14ac:dyDescent="0.25"/>
    <row r="11591" s="42" customFormat="1" x14ac:dyDescent="0.25"/>
    <row r="11592" s="42" customFormat="1" x14ac:dyDescent="0.25"/>
    <row r="11593" s="42" customFormat="1" x14ac:dyDescent="0.25"/>
    <row r="11594" s="42" customFormat="1" x14ac:dyDescent="0.25"/>
    <row r="11595" s="42" customFormat="1" x14ac:dyDescent="0.25"/>
    <row r="11596" s="42" customFormat="1" x14ac:dyDescent="0.25"/>
    <row r="11597" s="42" customFormat="1" x14ac:dyDescent="0.25"/>
    <row r="11598" s="42" customFormat="1" x14ac:dyDescent="0.25"/>
    <row r="11599" s="42" customFormat="1" x14ac:dyDescent="0.25"/>
    <row r="11600" s="42" customFormat="1" x14ac:dyDescent="0.25"/>
    <row r="11601" s="42" customFormat="1" x14ac:dyDescent="0.25"/>
    <row r="11602" s="42" customFormat="1" x14ac:dyDescent="0.25"/>
    <row r="11603" s="42" customFormat="1" x14ac:dyDescent="0.25"/>
    <row r="11604" s="42" customFormat="1" x14ac:dyDescent="0.25"/>
    <row r="11605" s="42" customFormat="1" x14ac:dyDescent="0.25"/>
    <row r="11606" s="42" customFormat="1" x14ac:dyDescent="0.25"/>
    <row r="11607" s="42" customFormat="1" x14ac:dyDescent="0.25"/>
    <row r="11608" s="42" customFormat="1" x14ac:dyDescent="0.25"/>
    <row r="11609" s="42" customFormat="1" x14ac:dyDescent="0.25"/>
    <row r="11610" s="42" customFormat="1" x14ac:dyDescent="0.25"/>
    <row r="11611" s="42" customFormat="1" x14ac:dyDescent="0.25"/>
    <row r="11612" s="42" customFormat="1" x14ac:dyDescent="0.25"/>
    <row r="11613" s="42" customFormat="1" x14ac:dyDescent="0.25"/>
    <row r="11614" s="42" customFormat="1" x14ac:dyDescent="0.25"/>
    <row r="11615" s="42" customFormat="1" x14ac:dyDescent="0.25"/>
    <row r="11616" s="42" customFormat="1" x14ac:dyDescent="0.25"/>
    <row r="11617" s="42" customFormat="1" x14ac:dyDescent="0.25"/>
    <row r="11618" s="42" customFormat="1" x14ac:dyDescent="0.25"/>
    <row r="11619" s="42" customFormat="1" x14ac:dyDescent="0.25"/>
    <row r="11620" s="42" customFormat="1" x14ac:dyDescent="0.25"/>
    <row r="11621" s="42" customFormat="1" x14ac:dyDescent="0.25"/>
    <row r="11622" s="42" customFormat="1" x14ac:dyDescent="0.25"/>
    <row r="11623" s="42" customFormat="1" x14ac:dyDescent="0.25"/>
    <row r="11624" s="42" customFormat="1" x14ac:dyDescent="0.25"/>
    <row r="11625" s="42" customFormat="1" x14ac:dyDescent="0.25"/>
    <row r="11626" s="42" customFormat="1" x14ac:dyDescent="0.25"/>
    <row r="11627" s="42" customFormat="1" x14ac:dyDescent="0.25"/>
    <row r="11628" s="42" customFormat="1" x14ac:dyDescent="0.25"/>
    <row r="11629" s="42" customFormat="1" x14ac:dyDescent="0.25"/>
    <row r="11630" s="42" customFormat="1" x14ac:dyDescent="0.25"/>
    <row r="11631" s="42" customFormat="1" x14ac:dyDescent="0.25"/>
    <row r="11632" s="42" customFormat="1" x14ac:dyDescent="0.25"/>
    <row r="11633" s="42" customFormat="1" x14ac:dyDescent="0.25"/>
    <row r="11634" s="42" customFormat="1" x14ac:dyDescent="0.25"/>
    <row r="11635" s="42" customFormat="1" x14ac:dyDescent="0.25"/>
    <row r="11636" s="42" customFormat="1" x14ac:dyDescent="0.25"/>
    <row r="11637" s="42" customFormat="1" x14ac:dyDescent="0.25"/>
    <row r="11638" s="42" customFormat="1" x14ac:dyDescent="0.25"/>
    <row r="11639" s="42" customFormat="1" x14ac:dyDescent="0.25"/>
    <row r="11640" s="42" customFormat="1" x14ac:dyDescent="0.25"/>
    <row r="11641" s="42" customFormat="1" x14ac:dyDescent="0.25"/>
    <row r="11642" s="42" customFormat="1" x14ac:dyDescent="0.25"/>
    <row r="11643" s="42" customFormat="1" x14ac:dyDescent="0.25"/>
    <row r="11644" s="42" customFormat="1" x14ac:dyDescent="0.25"/>
    <row r="11645" s="42" customFormat="1" x14ac:dyDescent="0.25"/>
    <row r="11646" s="42" customFormat="1" x14ac:dyDescent="0.25"/>
    <row r="11647" s="42" customFormat="1" x14ac:dyDescent="0.25"/>
    <row r="11648" s="42" customFormat="1" x14ac:dyDescent="0.25"/>
    <row r="11649" s="42" customFormat="1" x14ac:dyDescent="0.25"/>
    <row r="11650" s="42" customFormat="1" x14ac:dyDescent="0.25"/>
    <row r="11651" s="42" customFormat="1" x14ac:dyDescent="0.25"/>
    <row r="11652" s="42" customFormat="1" x14ac:dyDescent="0.25"/>
    <row r="11653" s="42" customFormat="1" x14ac:dyDescent="0.25"/>
    <row r="11654" s="42" customFormat="1" x14ac:dyDescent="0.25"/>
    <row r="11655" s="42" customFormat="1" x14ac:dyDescent="0.25"/>
    <row r="11656" s="42" customFormat="1" x14ac:dyDescent="0.25"/>
    <row r="11657" s="42" customFormat="1" x14ac:dyDescent="0.25"/>
    <row r="11658" s="42" customFormat="1" x14ac:dyDescent="0.25"/>
    <row r="11659" s="42" customFormat="1" x14ac:dyDescent="0.25"/>
    <row r="11660" s="42" customFormat="1" x14ac:dyDescent="0.25"/>
    <row r="11661" s="42" customFormat="1" x14ac:dyDescent="0.25"/>
    <row r="11662" s="42" customFormat="1" x14ac:dyDescent="0.25"/>
    <row r="11663" s="42" customFormat="1" x14ac:dyDescent="0.25"/>
    <row r="11664" s="42" customFormat="1" x14ac:dyDescent="0.25"/>
    <row r="11665" s="42" customFormat="1" x14ac:dyDescent="0.25"/>
    <row r="11666" s="42" customFormat="1" x14ac:dyDescent="0.25"/>
    <row r="11667" s="42" customFormat="1" x14ac:dyDescent="0.25"/>
    <row r="11668" s="42" customFormat="1" x14ac:dyDescent="0.25"/>
    <row r="11669" s="42" customFormat="1" x14ac:dyDescent="0.25"/>
    <row r="11670" s="42" customFormat="1" x14ac:dyDescent="0.25"/>
    <row r="11671" s="42" customFormat="1" x14ac:dyDescent="0.25"/>
    <row r="11672" s="42" customFormat="1" x14ac:dyDescent="0.25"/>
    <row r="11673" s="42" customFormat="1" x14ac:dyDescent="0.25"/>
    <row r="11674" s="42" customFormat="1" x14ac:dyDescent="0.25"/>
    <row r="11675" s="42" customFormat="1" x14ac:dyDescent="0.25"/>
    <row r="11676" s="42" customFormat="1" x14ac:dyDescent="0.25"/>
    <row r="11677" s="42" customFormat="1" x14ac:dyDescent="0.25"/>
    <row r="11678" s="42" customFormat="1" x14ac:dyDescent="0.25"/>
    <row r="11679" s="42" customFormat="1" x14ac:dyDescent="0.25"/>
    <row r="11680" s="42" customFormat="1" x14ac:dyDescent="0.25"/>
    <row r="11681" s="42" customFormat="1" x14ac:dyDescent="0.25"/>
    <row r="11682" s="42" customFormat="1" x14ac:dyDescent="0.25"/>
    <row r="11683" s="42" customFormat="1" x14ac:dyDescent="0.25"/>
    <row r="11684" s="42" customFormat="1" x14ac:dyDescent="0.25"/>
    <row r="11685" s="42" customFormat="1" x14ac:dyDescent="0.25"/>
    <row r="11686" s="42" customFormat="1" x14ac:dyDescent="0.25"/>
    <row r="11687" s="42" customFormat="1" x14ac:dyDescent="0.25"/>
    <row r="11688" s="42" customFormat="1" x14ac:dyDescent="0.25"/>
    <row r="11689" s="42" customFormat="1" x14ac:dyDescent="0.25"/>
    <row r="11690" s="42" customFormat="1" x14ac:dyDescent="0.25"/>
    <row r="11691" s="42" customFormat="1" x14ac:dyDescent="0.25"/>
    <row r="11692" s="42" customFormat="1" x14ac:dyDescent="0.25"/>
    <row r="11693" s="42" customFormat="1" x14ac:dyDescent="0.25"/>
    <row r="11694" s="42" customFormat="1" x14ac:dyDescent="0.25"/>
    <row r="11695" s="42" customFormat="1" x14ac:dyDescent="0.25"/>
    <row r="11696" s="42" customFormat="1" x14ac:dyDescent="0.25"/>
    <row r="11697" s="42" customFormat="1" x14ac:dyDescent="0.25"/>
    <row r="11698" s="42" customFormat="1" x14ac:dyDescent="0.25"/>
    <row r="11699" s="42" customFormat="1" x14ac:dyDescent="0.25"/>
    <row r="11700" s="42" customFormat="1" x14ac:dyDescent="0.25"/>
    <row r="11701" s="42" customFormat="1" x14ac:dyDescent="0.25"/>
    <row r="11702" s="42" customFormat="1" x14ac:dyDescent="0.25"/>
    <row r="11703" s="42" customFormat="1" x14ac:dyDescent="0.25"/>
    <row r="11704" s="42" customFormat="1" x14ac:dyDescent="0.25"/>
    <row r="11705" s="42" customFormat="1" x14ac:dyDescent="0.25"/>
    <row r="11706" s="42" customFormat="1" x14ac:dyDescent="0.25"/>
    <row r="11707" s="42" customFormat="1" x14ac:dyDescent="0.25"/>
    <row r="11708" s="42" customFormat="1" x14ac:dyDescent="0.25"/>
    <row r="11709" s="42" customFormat="1" x14ac:dyDescent="0.25"/>
    <row r="11710" s="42" customFormat="1" x14ac:dyDescent="0.25"/>
    <row r="11711" s="42" customFormat="1" x14ac:dyDescent="0.25"/>
    <row r="11712" s="42" customFormat="1" x14ac:dyDescent="0.25"/>
    <row r="11713" s="42" customFormat="1" x14ac:dyDescent="0.25"/>
    <row r="11714" s="42" customFormat="1" x14ac:dyDescent="0.25"/>
    <row r="11715" s="42" customFormat="1" x14ac:dyDescent="0.25"/>
    <row r="11716" s="42" customFormat="1" x14ac:dyDescent="0.25"/>
    <row r="11717" s="42" customFormat="1" x14ac:dyDescent="0.25"/>
    <row r="11718" s="42" customFormat="1" x14ac:dyDescent="0.25"/>
    <row r="11719" s="42" customFormat="1" x14ac:dyDescent="0.25"/>
    <row r="11720" s="42" customFormat="1" x14ac:dyDescent="0.25"/>
    <row r="11721" s="42" customFormat="1" x14ac:dyDescent="0.25"/>
    <row r="11722" s="42" customFormat="1" x14ac:dyDescent="0.25"/>
    <row r="11723" s="42" customFormat="1" x14ac:dyDescent="0.25"/>
    <row r="11724" s="42" customFormat="1" x14ac:dyDescent="0.25"/>
    <row r="11725" s="42" customFormat="1" x14ac:dyDescent="0.25"/>
    <row r="11726" s="42" customFormat="1" x14ac:dyDescent="0.25"/>
    <row r="11727" s="42" customFormat="1" x14ac:dyDescent="0.25"/>
    <row r="11728" s="42" customFormat="1" x14ac:dyDescent="0.25"/>
    <row r="11729" s="42" customFormat="1" x14ac:dyDescent="0.25"/>
    <row r="11730" s="42" customFormat="1" x14ac:dyDescent="0.25"/>
    <row r="11731" s="42" customFormat="1" x14ac:dyDescent="0.25"/>
    <row r="11732" s="42" customFormat="1" x14ac:dyDescent="0.25"/>
    <row r="11733" s="42" customFormat="1" x14ac:dyDescent="0.25"/>
    <row r="11734" s="42" customFormat="1" x14ac:dyDescent="0.25"/>
    <row r="11735" s="42" customFormat="1" x14ac:dyDescent="0.25"/>
    <row r="11736" s="42" customFormat="1" x14ac:dyDescent="0.25"/>
    <row r="11737" s="42" customFormat="1" x14ac:dyDescent="0.25"/>
    <row r="11738" s="42" customFormat="1" x14ac:dyDescent="0.25"/>
    <row r="11739" s="42" customFormat="1" x14ac:dyDescent="0.25"/>
    <row r="11740" s="42" customFormat="1" x14ac:dyDescent="0.25"/>
    <row r="11741" s="42" customFormat="1" x14ac:dyDescent="0.25"/>
    <row r="11742" s="42" customFormat="1" x14ac:dyDescent="0.25"/>
    <row r="11743" s="42" customFormat="1" x14ac:dyDescent="0.25"/>
    <row r="11744" s="42" customFormat="1" x14ac:dyDescent="0.25"/>
    <row r="11745" s="42" customFormat="1" x14ac:dyDescent="0.25"/>
    <row r="11746" s="42" customFormat="1" x14ac:dyDescent="0.25"/>
    <row r="11747" s="42" customFormat="1" x14ac:dyDescent="0.25"/>
    <row r="11748" s="42" customFormat="1" x14ac:dyDescent="0.25"/>
    <row r="11749" s="42" customFormat="1" x14ac:dyDescent="0.25"/>
    <row r="11750" s="42" customFormat="1" x14ac:dyDescent="0.25"/>
    <row r="11751" s="42" customFormat="1" x14ac:dyDescent="0.25"/>
    <row r="11752" s="42" customFormat="1" x14ac:dyDescent="0.25"/>
    <row r="11753" s="42" customFormat="1" x14ac:dyDescent="0.25"/>
    <row r="11754" s="42" customFormat="1" x14ac:dyDescent="0.25"/>
    <row r="11755" s="42" customFormat="1" x14ac:dyDescent="0.25"/>
    <row r="11756" s="42" customFormat="1" x14ac:dyDescent="0.25"/>
    <row r="11757" s="42" customFormat="1" x14ac:dyDescent="0.25"/>
    <row r="11758" s="42" customFormat="1" x14ac:dyDescent="0.25"/>
    <row r="11759" s="42" customFormat="1" x14ac:dyDescent="0.25"/>
    <row r="11760" s="42" customFormat="1" x14ac:dyDescent="0.25"/>
    <row r="11761" s="42" customFormat="1" x14ac:dyDescent="0.25"/>
    <row r="11762" s="42" customFormat="1" x14ac:dyDescent="0.25"/>
    <row r="11763" s="42" customFormat="1" x14ac:dyDescent="0.25"/>
    <row r="11764" s="42" customFormat="1" x14ac:dyDescent="0.25"/>
    <row r="11765" s="42" customFormat="1" x14ac:dyDescent="0.25"/>
    <row r="11766" s="42" customFormat="1" x14ac:dyDescent="0.25"/>
    <row r="11767" s="42" customFormat="1" x14ac:dyDescent="0.25"/>
    <row r="11768" s="42" customFormat="1" x14ac:dyDescent="0.25"/>
    <row r="11769" s="42" customFormat="1" x14ac:dyDescent="0.25"/>
    <row r="11770" s="42" customFormat="1" x14ac:dyDescent="0.25"/>
    <row r="11771" s="42" customFormat="1" x14ac:dyDescent="0.25"/>
    <row r="11772" s="42" customFormat="1" x14ac:dyDescent="0.25"/>
    <row r="11773" s="42" customFormat="1" x14ac:dyDescent="0.25"/>
    <row r="11774" s="42" customFormat="1" x14ac:dyDescent="0.25"/>
    <row r="11775" s="42" customFormat="1" x14ac:dyDescent="0.25"/>
    <row r="11776" s="42" customFormat="1" x14ac:dyDescent="0.25"/>
    <row r="11777" s="42" customFormat="1" x14ac:dyDescent="0.25"/>
    <row r="11778" s="42" customFormat="1" x14ac:dyDescent="0.25"/>
    <row r="11779" s="42" customFormat="1" x14ac:dyDescent="0.25"/>
    <row r="11780" s="42" customFormat="1" x14ac:dyDescent="0.25"/>
    <row r="11781" s="42" customFormat="1" x14ac:dyDescent="0.25"/>
    <row r="11782" s="42" customFormat="1" x14ac:dyDescent="0.25"/>
    <row r="11783" s="42" customFormat="1" x14ac:dyDescent="0.25"/>
    <row r="11784" s="42" customFormat="1" x14ac:dyDescent="0.25"/>
    <row r="11785" s="42" customFormat="1" x14ac:dyDescent="0.25"/>
    <row r="11786" s="42" customFormat="1" x14ac:dyDescent="0.25"/>
    <row r="11787" s="42" customFormat="1" x14ac:dyDescent="0.25"/>
    <row r="11788" s="42" customFormat="1" x14ac:dyDescent="0.25"/>
    <row r="11789" s="42" customFormat="1" x14ac:dyDescent="0.25"/>
    <row r="11790" s="42" customFormat="1" x14ac:dyDescent="0.25"/>
    <row r="11791" s="42" customFormat="1" x14ac:dyDescent="0.25"/>
    <row r="11792" s="42" customFormat="1" x14ac:dyDescent="0.25"/>
    <row r="11793" s="42" customFormat="1" x14ac:dyDescent="0.25"/>
    <row r="11794" s="42" customFormat="1" x14ac:dyDescent="0.25"/>
    <row r="11795" s="42" customFormat="1" x14ac:dyDescent="0.25"/>
    <row r="11796" s="42" customFormat="1" x14ac:dyDescent="0.25"/>
    <row r="11797" s="42" customFormat="1" x14ac:dyDescent="0.25"/>
    <row r="11798" s="42" customFormat="1" x14ac:dyDescent="0.25"/>
    <row r="11799" s="42" customFormat="1" x14ac:dyDescent="0.25"/>
    <row r="11800" s="42" customFormat="1" x14ac:dyDescent="0.25"/>
    <row r="11801" s="42" customFormat="1" x14ac:dyDescent="0.25"/>
    <row r="11802" s="42" customFormat="1" x14ac:dyDescent="0.25"/>
    <row r="11803" s="42" customFormat="1" x14ac:dyDescent="0.25"/>
    <row r="11804" s="42" customFormat="1" x14ac:dyDescent="0.25"/>
    <row r="11805" s="42" customFormat="1" x14ac:dyDescent="0.25"/>
    <row r="11806" s="42" customFormat="1" x14ac:dyDescent="0.25"/>
    <row r="11807" s="42" customFormat="1" x14ac:dyDescent="0.25"/>
    <row r="11808" s="42" customFormat="1" x14ac:dyDescent="0.25"/>
    <row r="11809" s="42" customFormat="1" x14ac:dyDescent="0.25"/>
    <row r="11810" s="42" customFormat="1" x14ac:dyDescent="0.25"/>
    <row r="11811" s="42" customFormat="1" x14ac:dyDescent="0.25"/>
    <row r="11812" s="42" customFormat="1" x14ac:dyDescent="0.25"/>
    <row r="11813" s="42" customFormat="1" x14ac:dyDescent="0.25"/>
    <row r="11814" s="42" customFormat="1" x14ac:dyDescent="0.25"/>
    <row r="11815" s="42" customFormat="1" x14ac:dyDescent="0.25"/>
    <row r="11816" s="42" customFormat="1" x14ac:dyDescent="0.25"/>
    <row r="11817" s="42" customFormat="1" x14ac:dyDescent="0.25"/>
    <row r="11818" s="42" customFormat="1" x14ac:dyDescent="0.25"/>
    <row r="11819" s="42" customFormat="1" x14ac:dyDescent="0.25"/>
    <row r="11820" s="42" customFormat="1" x14ac:dyDescent="0.25"/>
    <row r="11821" s="42" customFormat="1" x14ac:dyDescent="0.25"/>
    <row r="11822" s="42" customFormat="1" x14ac:dyDescent="0.25"/>
    <row r="11823" s="42" customFormat="1" x14ac:dyDescent="0.25"/>
    <row r="11824" s="42" customFormat="1" x14ac:dyDescent="0.25"/>
    <row r="11825" s="42" customFormat="1" x14ac:dyDescent="0.25"/>
    <row r="11826" s="42" customFormat="1" x14ac:dyDescent="0.25"/>
    <row r="11827" s="42" customFormat="1" x14ac:dyDescent="0.25"/>
    <row r="11828" s="42" customFormat="1" x14ac:dyDescent="0.25"/>
    <row r="11829" s="42" customFormat="1" x14ac:dyDescent="0.25"/>
    <row r="11830" s="42" customFormat="1" x14ac:dyDescent="0.25"/>
    <row r="11831" s="42" customFormat="1" x14ac:dyDescent="0.25"/>
    <row r="11832" s="42" customFormat="1" x14ac:dyDescent="0.25"/>
    <row r="11833" s="42" customFormat="1" x14ac:dyDescent="0.25"/>
    <row r="11834" s="42" customFormat="1" x14ac:dyDescent="0.25"/>
    <row r="11835" s="42" customFormat="1" x14ac:dyDescent="0.25"/>
    <row r="11836" s="42" customFormat="1" x14ac:dyDescent="0.25"/>
    <row r="11837" s="42" customFormat="1" x14ac:dyDescent="0.25"/>
    <row r="11838" s="42" customFormat="1" x14ac:dyDescent="0.25"/>
    <row r="11839" s="42" customFormat="1" x14ac:dyDescent="0.25"/>
    <row r="11840" s="42" customFormat="1" x14ac:dyDescent="0.25"/>
    <row r="11841" s="42" customFormat="1" x14ac:dyDescent="0.25"/>
    <row r="11842" s="42" customFormat="1" x14ac:dyDescent="0.25"/>
    <row r="11843" s="42" customFormat="1" x14ac:dyDescent="0.25"/>
    <row r="11844" s="42" customFormat="1" x14ac:dyDescent="0.25"/>
    <row r="11845" s="42" customFormat="1" x14ac:dyDescent="0.25"/>
    <row r="11846" s="42" customFormat="1" x14ac:dyDescent="0.25"/>
    <row r="11847" s="42" customFormat="1" x14ac:dyDescent="0.25"/>
    <row r="11848" s="42" customFormat="1" x14ac:dyDescent="0.25"/>
    <row r="11849" s="42" customFormat="1" x14ac:dyDescent="0.25"/>
    <row r="11850" s="42" customFormat="1" x14ac:dyDescent="0.25"/>
    <row r="11851" s="42" customFormat="1" x14ac:dyDescent="0.25"/>
    <row r="11852" s="42" customFormat="1" x14ac:dyDescent="0.25"/>
    <row r="11853" s="42" customFormat="1" x14ac:dyDescent="0.25"/>
    <row r="11854" s="42" customFormat="1" x14ac:dyDescent="0.25"/>
    <row r="11855" s="42" customFormat="1" x14ac:dyDescent="0.25"/>
    <row r="11856" s="42" customFormat="1" x14ac:dyDescent="0.25"/>
    <row r="11857" s="42" customFormat="1" x14ac:dyDescent="0.25"/>
    <row r="11858" s="42" customFormat="1" x14ac:dyDescent="0.25"/>
    <row r="11859" s="42" customFormat="1" x14ac:dyDescent="0.25"/>
    <row r="11860" s="42" customFormat="1" x14ac:dyDescent="0.25"/>
    <row r="11861" s="42" customFormat="1" x14ac:dyDescent="0.25"/>
    <row r="11862" s="42" customFormat="1" x14ac:dyDescent="0.25"/>
    <row r="11863" s="42" customFormat="1" x14ac:dyDescent="0.25"/>
    <row r="11864" s="42" customFormat="1" x14ac:dyDescent="0.25"/>
    <row r="11865" s="42" customFormat="1" x14ac:dyDescent="0.25"/>
    <row r="11866" s="42" customFormat="1" x14ac:dyDescent="0.25"/>
    <row r="11867" s="42" customFormat="1" x14ac:dyDescent="0.25"/>
    <row r="11868" s="42" customFormat="1" x14ac:dyDescent="0.25"/>
    <row r="11869" s="42" customFormat="1" x14ac:dyDescent="0.25"/>
    <row r="11870" s="42" customFormat="1" x14ac:dyDescent="0.25"/>
    <row r="11871" s="42" customFormat="1" x14ac:dyDescent="0.25"/>
    <row r="11872" s="42" customFormat="1" x14ac:dyDescent="0.25"/>
    <row r="11873" s="42" customFormat="1" x14ac:dyDescent="0.25"/>
    <row r="11874" s="42" customFormat="1" x14ac:dyDescent="0.25"/>
    <row r="11875" s="42" customFormat="1" x14ac:dyDescent="0.25"/>
    <row r="11876" s="42" customFormat="1" x14ac:dyDescent="0.25"/>
    <row r="11877" s="42" customFormat="1" x14ac:dyDescent="0.25"/>
    <row r="11878" s="42" customFormat="1" x14ac:dyDescent="0.25"/>
    <row r="11879" s="42" customFormat="1" x14ac:dyDescent="0.25"/>
    <row r="11880" s="42" customFormat="1" x14ac:dyDescent="0.25"/>
    <row r="11881" s="42" customFormat="1" x14ac:dyDescent="0.25"/>
    <row r="11882" s="42" customFormat="1" x14ac:dyDescent="0.25"/>
    <row r="11883" s="42" customFormat="1" x14ac:dyDescent="0.25"/>
    <row r="11884" s="42" customFormat="1" x14ac:dyDescent="0.25"/>
    <row r="11885" s="42" customFormat="1" x14ac:dyDescent="0.25"/>
    <row r="11886" s="42" customFormat="1" x14ac:dyDescent="0.25"/>
    <row r="11887" s="42" customFormat="1" x14ac:dyDescent="0.25"/>
    <row r="11888" s="42" customFormat="1" x14ac:dyDescent="0.25"/>
    <row r="11889" s="42" customFormat="1" x14ac:dyDescent="0.25"/>
    <row r="11890" s="42" customFormat="1" x14ac:dyDescent="0.25"/>
    <row r="11891" s="42" customFormat="1" x14ac:dyDescent="0.25"/>
    <row r="11892" s="42" customFormat="1" x14ac:dyDescent="0.25"/>
    <row r="11893" s="42" customFormat="1" x14ac:dyDescent="0.25"/>
    <row r="11894" s="42" customFormat="1" x14ac:dyDescent="0.25"/>
    <row r="11895" s="42" customFormat="1" x14ac:dyDescent="0.25"/>
    <row r="11896" s="42" customFormat="1" x14ac:dyDescent="0.25"/>
    <row r="11897" s="42" customFormat="1" x14ac:dyDescent="0.25"/>
    <row r="11898" s="42" customFormat="1" x14ac:dyDescent="0.25"/>
    <row r="11899" s="42" customFormat="1" x14ac:dyDescent="0.25"/>
    <row r="11900" s="42" customFormat="1" x14ac:dyDescent="0.25"/>
    <row r="11901" s="42" customFormat="1" x14ac:dyDescent="0.25"/>
    <row r="11902" s="42" customFormat="1" x14ac:dyDescent="0.25"/>
    <row r="11903" s="42" customFormat="1" x14ac:dyDescent="0.25"/>
    <row r="11904" s="42" customFormat="1" x14ac:dyDescent="0.25"/>
    <row r="11905" s="42" customFormat="1" x14ac:dyDescent="0.25"/>
    <row r="11906" s="42" customFormat="1" x14ac:dyDescent="0.25"/>
    <row r="11907" s="42" customFormat="1" x14ac:dyDescent="0.25"/>
    <row r="11908" s="42" customFormat="1" x14ac:dyDescent="0.25"/>
    <row r="11909" s="42" customFormat="1" x14ac:dyDescent="0.25"/>
    <row r="11910" s="42" customFormat="1" x14ac:dyDescent="0.25"/>
    <row r="11911" s="42" customFormat="1" x14ac:dyDescent="0.25"/>
    <row r="11912" s="42" customFormat="1" x14ac:dyDescent="0.25"/>
    <row r="11913" s="42" customFormat="1" x14ac:dyDescent="0.25"/>
    <row r="11914" s="42" customFormat="1" x14ac:dyDescent="0.25"/>
    <row r="11915" s="42" customFormat="1" x14ac:dyDescent="0.25"/>
    <row r="11916" s="42" customFormat="1" x14ac:dyDescent="0.25"/>
    <row r="11917" s="42" customFormat="1" x14ac:dyDescent="0.25"/>
    <row r="11918" s="42" customFormat="1" x14ac:dyDescent="0.25"/>
    <row r="11919" s="42" customFormat="1" x14ac:dyDescent="0.25"/>
    <row r="11920" s="42" customFormat="1" x14ac:dyDescent="0.25"/>
    <row r="11921" s="42" customFormat="1" x14ac:dyDescent="0.25"/>
    <row r="11922" s="42" customFormat="1" x14ac:dyDescent="0.25"/>
    <row r="11923" s="42" customFormat="1" x14ac:dyDescent="0.25"/>
    <row r="11924" s="42" customFormat="1" x14ac:dyDescent="0.25"/>
    <row r="11925" s="42" customFormat="1" x14ac:dyDescent="0.25"/>
    <row r="11926" s="42" customFormat="1" x14ac:dyDescent="0.25"/>
    <row r="11927" s="42" customFormat="1" x14ac:dyDescent="0.25"/>
    <row r="11928" s="42" customFormat="1" x14ac:dyDescent="0.25"/>
    <row r="11929" s="42" customFormat="1" x14ac:dyDescent="0.25"/>
    <row r="11930" s="42" customFormat="1" x14ac:dyDescent="0.25"/>
    <row r="11931" s="42" customFormat="1" x14ac:dyDescent="0.25"/>
    <row r="11932" s="42" customFormat="1" x14ac:dyDescent="0.25"/>
    <row r="11933" s="42" customFormat="1" x14ac:dyDescent="0.25"/>
    <row r="11934" s="42" customFormat="1" x14ac:dyDescent="0.25"/>
    <row r="11935" s="42" customFormat="1" x14ac:dyDescent="0.25"/>
    <row r="11936" s="42" customFormat="1" x14ac:dyDescent="0.25"/>
    <row r="11937" s="42" customFormat="1" x14ac:dyDescent="0.25"/>
    <row r="11938" s="42" customFormat="1" x14ac:dyDescent="0.25"/>
    <row r="11939" s="42" customFormat="1" x14ac:dyDescent="0.25"/>
    <row r="11940" s="42" customFormat="1" x14ac:dyDescent="0.25"/>
    <row r="11941" s="42" customFormat="1" x14ac:dyDescent="0.25"/>
    <row r="11942" s="42" customFormat="1" x14ac:dyDescent="0.25"/>
    <row r="11943" s="42" customFormat="1" x14ac:dyDescent="0.25"/>
    <row r="11944" s="42" customFormat="1" x14ac:dyDescent="0.25"/>
    <row r="11945" s="42" customFormat="1" x14ac:dyDescent="0.25"/>
    <row r="11946" s="42" customFormat="1" x14ac:dyDescent="0.25"/>
    <row r="11947" s="42" customFormat="1" x14ac:dyDescent="0.25"/>
    <row r="11948" s="42" customFormat="1" x14ac:dyDescent="0.25"/>
    <row r="11949" s="42" customFormat="1" x14ac:dyDescent="0.25"/>
    <row r="11950" s="42" customFormat="1" x14ac:dyDescent="0.25"/>
    <row r="11951" s="42" customFormat="1" x14ac:dyDescent="0.25"/>
    <row r="11952" s="42" customFormat="1" x14ac:dyDescent="0.25"/>
    <row r="11953" s="42" customFormat="1" x14ac:dyDescent="0.25"/>
    <row r="11954" s="42" customFormat="1" x14ac:dyDescent="0.25"/>
    <row r="11955" s="42" customFormat="1" x14ac:dyDescent="0.25"/>
    <row r="11956" s="42" customFormat="1" x14ac:dyDescent="0.25"/>
    <row r="11957" s="42" customFormat="1" x14ac:dyDescent="0.25"/>
    <row r="11958" s="42" customFormat="1" x14ac:dyDescent="0.25"/>
    <row r="11959" s="42" customFormat="1" x14ac:dyDescent="0.25"/>
    <row r="11960" s="42" customFormat="1" x14ac:dyDescent="0.25"/>
    <row r="11961" s="42" customFormat="1" x14ac:dyDescent="0.25"/>
    <row r="11962" s="42" customFormat="1" x14ac:dyDescent="0.25"/>
    <row r="11963" s="42" customFormat="1" x14ac:dyDescent="0.25"/>
    <row r="11964" s="42" customFormat="1" x14ac:dyDescent="0.25"/>
    <row r="11965" s="42" customFormat="1" x14ac:dyDescent="0.25"/>
    <row r="11966" s="42" customFormat="1" x14ac:dyDescent="0.25"/>
    <row r="11967" s="42" customFormat="1" x14ac:dyDescent="0.25"/>
    <row r="11968" s="42" customFormat="1" x14ac:dyDescent="0.25"/>
    <row r="11969" s="42" customFormat="1" x14ac:dyDescent="0.25"/>
    <row r="11970" s="42" customFormat="1" x14ac:dyDescent="0.25"/>
    <row r="11971" s="42" customFormat="1" x14ac:dyDescent="0.25"/>
    <row r="11972" s="42" customFormat="1" x14ac:dyDescent="0.25"/>
    <row r="11973" s="42" customFormat="1" x14ac:dyDescent="0.25"/>
    <row r="11974" s="42" customFormat="1" x14ac:dyDescent="0.25"/>
    <row r="11975" s="42" customFormat="1" x14ac:dyDescent="0.25"/>
    <row r="11976" s="42" customFormat="1" x14ac:dyDescent="0.25"/>
    <row r="11977" s="42" customFormat="1" x14ac:dyDescent="0.25"/>
    <row r="11978" s="42" customFormat="1" x14ac:dyDescent="0.25"/>
    <row r="11979" s="42" customFormat="1" x14ac:dyDescent="0.25"/>
    <row r="11980" s="42" customFormat="1" x14ac:dyDescent="0.25"/>
    <row r="11981" s="42" customFormat="1" x14ac:dyDescent="0.25"/>
    <row r="11982" s="42" customFormat="1" x14ac:dyDescent="0.25"/>
    <row r="11983" s="42" customFormat="1" x14ac:dyDescent="0.25"/>
    <row r="11984" s="42" customFormat="1" x14ac:dyDescent="0.25"/>
    <row r="11985" s="42" customFormat="1" x14ac:dyDescent="0.25"/>
    <row r="11986" s="42" customFormat="1" x14ac:dyDescent="0.25"/>
    <row r="11987" s="42" customFormat="1" x14ac:dyDescent="0.25"/>
    <row r="11988" s="42" customFormat="1" x14ac:dyDescent="0.25"/>
    <row r="11989" s="42" customFormat="1" x14ac:dyDescent="0.25"/>
    <row r="11990" s="42" customFormat="1" x14ac:dyDescent="0.25"/>
    <row r="11991" s="42" customFormat="1" x14ac:dyDescent="0.25"/>
    <row r="11992" s="42" customFormat="1" x14ac:dyDescent="0.25"/>
    <row r="11993" s="42" customFormat="1" x14ac:dyDescent="0.25"/>
    <row r="11994" s="42" customFormat="1" x14ac:dyDescent="0.25"/>
    <row r="11995" s="42" customFormat="1" x14ac:dyDescent="0.25"/>
    <row r="11996" s="42" customFormat="1" x14ac:dyDescent="0.25"/>
    <row r="11997" s="42" customFormat="1" x14ac:dyDescent="0.25"/>
    <row r="11998" s="42" customFormat="1" x14ac:dyDescent="0.25"/>
    <row r="11999" s="42" customFormat="1" x14ac:dyDescent="0.25"/>
    <row r="12000" s="42" customFormat="1" x14ac:dyDescent="0.25"/>
    <row r="12001" s="42" customFormat="1" x14ac:dyDescent="0.25"/>
    <row r="12002" s="42" customFormat="1" x14ac:dyDescent="0.25"/>
    <row r="12003" s="42" customFormat="1" x14ac:dyDescent="0.25"/>
    <row r="12004" s="42" customFormat="1" x14ac:dyDescent="0.25"/>
    <row r="12005" s="42" customFormat="1" x14ac:dyDescent="0.25"/>
    <row r="12006" s="42" customFormat="1" x14ac:dyDescent="0.25"/>
    <row r="12007" s="42" customFormat="1" x14ac:dyDescent="0.25"/>
    <row r="12008" s="42" customFormat="1" x14ac:dyDescent="0.25"/>
    <row r="12009" s="42" customFormat="1" x14ac:dyDescent="0.25"/>
    <row r="12010" s="42" customFormat="1" x14ac:dyDescent="0.25"/>
    <row r="12011" s="42" customFormat="1" x14ac:dyDescent="0.25"/>
    <row r="12012" s="42" customFormat="1" x14ac:dyDescent="0.25"/>
    <row r="12013" s="42" customFormat="1" x14ac:dyDescent="0.25"/>
    <row r="12014" s="42" customFormat="1" x14ac:dyDescent="0.25"/>
    <row r="12015" s="42" customFormat="1" x14ac:dyDescent="0.25"/>
    <row r="12016" s="42" customFormat="1" x14ac:dyDescent="0.25"/>
    <row r="12017" s="42" customFormat="1" x14ac:dyDescent="0.25"/>
    <row r="12018" s="42" customFormat="1" x14ac:dyDescent="0.25"/>
    <row r="12019" s="42" customFormat="1" x14ac:dyDescent="0.25"/>
    <row r="12020" s="42" customFormat="1" x14ac:dyDescent="0.25"/>
    <row r="12021" s="42" customFormat="1" x14ac:dyDescent="0.25"/>
    <row r="12022" s="42" customFormat="1" x14ac:dyDescent="0.25"/>
    <row r="12023" s="42" customFormat="1" x14ac:dyDescent="0.25"/>
    <row r="12024" s="42" customFormat="1" x14ac:dyDescent="0.25"/>
    <row r="12025" s="42" customFormat="1" x14ac:dyDescent="0.25"/>
    <row r="12026" s="42" customFormat="1" x14ac:dyDescent="0.25"/>
    <row r="12027" s="42" customFormat="1" x14ac:dyDescent="0.25"/>
    <row r="12028" s="42" customFormat="1" x14ac:dyDescent="0.25"/>
    <row r="12029" s="42" customFormat="1" x14ac:dyDescent="0.25"/>
    <row r="12030" s="42" customFormat="1" x14ac:dyDescent="0.25"/>
    <row r="12031" s="42" customFormat="1" x14ac:dyDescent="0.25"/>
    <row r="12032" s="42" customFormat="1" x14ac:dyDescent="0.25"/>
    <row r="12033" s="42" customFormat="1" x14ac:dyDescent="0.25"/>
    <row r="12034" s="42" customFormat="1" x14ac:dyDescent="0.25"/>
    <row r="12035" s="42" customFormat="1" x14ac:dyDescent="0.25"/>
    <row r="12036" s="42" customFormat="1" x14ac:dyDescent="0.25"/>
    <row r="12037" s="42" customFormat="1" x14ac:dyDescent="0.25"/>
    <row r="12038" s="42" customFormat="1" x14ac:dyDescent="0.25"/>
    <row r="12039" s="42" customFormat="1" x14ac:dyDescent="0.25"/>
    <row r="12040" s="42" customFormat="1" x14ac:dyDescent="0.25"/>
    <row r="12041" s="42" customFormat="1" x14ac:dyDescent="0.25"/>
    <row r="12042" s="42" customFormat="1" x14ac:dyDescent="0.25"/>
    <row r="12043" s="42" customFormat="1" x14ac:dyDescent="0.25"/>
    <row r="12044" s="42" customFormat="1" x14ac:dyDescent="0.25"/>
    <row r="12045" s="42" customFormat="1" x14ac:dyDescent="0.25"/>
    <row r="12046" s="42" customFormat="1" x14ac:dyDescent="0.25"/>
    <row r="12047" s="42" customFormat="1" x14ac:dyDescent="0.25"/>
    <row r="12048" s="42" customFormat="1" x14ac:dyDescent="0.25"/>
    <row r="12049" s="42" customFormat="1" x14ac:dyDescent="0.25"/>
    <row r="12050" s="42" customFormat="1" x14ac:dyDescent="0.25"/>
    <row r="12051" s="42" customFormat="1" x14ac:dyDescent="0.25"/>
    <row r="12052" s="42" customFormat="1" x14ac:dyDescent="0.25"/>
    <row r="12053" s="42" customFormat="1" x14ac:dyDescent="0.25"/>
    <row r="12054" s="42" customFormat="1" x14ac:dyDescent="0.25"/>
    <row r="12055" s="42" customFormat="1" x14ac:dyDescent="0.25"/>
    <row r="12056" s="42" customFormat="1" x14ac:dyDescent="0.25"/>
    <row r="12057" s="42" customFormat="1" x14ac:dyDescent="0.25"/>
    <row r="12058" s="42" customFormat="1" x14ac:dyDescent="0.25"/>
    <row r="12059" s="42" customFormat="1" x14ac:dyDescent="0.25"/>
    <row r="12060" s="42" customFormat="1" x14ac:dyDescent="0.25"/>
    <row r="12061" s="42" customFormat="1" x14ac:dyDescent="0.25"/>
    <row r="12062" s="42" customFormat="1" x14ac:dyDescent="0.25"/>
    <row r="12063" s="42" customFormat="1" x14ac:dyDescent="0.25"/>
    <row r="12064" s="42" customFormat="1" x14ac:dyDescent="0.25"/>
    <row r="12065" s="42" customFormat="1" x14ac:dyDescent="0.25"/>
    <row r="12066" s="42" customFormat="1" x14ac:dyDescent="0.25"/>
    <row r="12067" s="42" customFormat="1" x14ac:dyDescent="0.25"/>
    <row r="12068" s="42" customFormat="1" x14ac:dyDescent="0.25"/>
    <row r="12069" s="42" customFormat="1" x14ac:dyDescent="0.25"/>
    <row r="12070" s="42" customFormat="1" x14ac:dyDescent="0.25"/>
    <row r="12071" s="42" customFormat="1" x14ac:dyDescent="0.25"/>
    <row r="12072" s="42" customFormat="1" x14ac:dyDescent="0.25"/>
    <row r="12073" s="42" customFormat="1" x14ac:dyDescent="0.25"/>
    <row r="12074" s="42" customFormat="1" x14ac:dyDescent="0.25"/>
    <row r="12075" s="42" customFormat="1" x14ac:dyDescent="0.25"/>
    <row r="12076" s="42" customFormat="1" x14ac:dyDescent="0.25"/>
    <row r="12077" s="42" customFormat="1" x14ac:dyDescent="0.25"/>
    <row r="12078" s="42" customFormat="1" x14ac:dyDescent="0.25"/>
    <row r="12079" s="42" customFormat="1" x14ac:dyDescent="0.25"/>
    <row r="12080" s="42" customFormat="1" x14ac:dyDescent="0.25"/>
    <row r="12081" s="42" customFormat="1" x14ac:dyDescent="0.25"/>
    <row r="12082" s="42" customFormat="1" x14ac:dyDescent="0.25"/>
    <row r="12083" s="42" customFormat="1" x14ac:dyDescent="0.25"/>
    <row r="12084" s="42" customFormat="1" x14ac:dyDescent="0.25"/>
    <row r="12085" s="42" customFormat="1" x14ac:dyDescent="0.25"/>
    <row r="12086" s="42" customFormat="1" x14ac:dyDescent="0.25"/>
    <row r="12087" s="42" customFormat="1" x14ac:dyDescent="0.25"/>
    <row r="12088" s="42" customFormat="1" x14ac:dyDescent="0.25"/>
    <row r="12089" s="42" customFormat="1" x14ac:dyDescent="0.25"/>
    <row r="12090" s="42" customFormat="1" x14ac:dyDescent="0.25"/>
    <row r="12091" s="42" customFormat="1" x14ac:dyDescent="0.25"/>
    <row r="12092" s="42" customFormat="1" x14ac:dyDescent="0.25"/>
    <row r="12093" s="42" customFormat="1" x14ac:dyDescent="0.25"/>
    <row r="12094" s="42" customFormat="1" x14ac:dyDescent="0.25"/>
    <row r="12095" s="42" customFormat="1" x14ac:dyDescent="0.25"/>
    <row r="12096" s="42" customFormat="1" x14ac:dyDescent="0.25"/>
    <row r="12097" s="42" customFormat="1" x14ac:dyDescent="0.25"/>
    <row r="12098" s="42" customFormat="1" x14ac:dyDescent="0.25"/>
    <row r="12099" s="42" customFormat="1" x14ac:dyDescent="0.25"/>
    <row r="12100" s="42" customFormat="1" x14ac:dyDescent="0.25"/>
    <row r="12101" s="42" customFormat="1" x14ac:dyDescent="0.25"/>
    <row r="12102" s="42" customFormat="1" x14ac:dyDescent="0.25"/>
    <row r="12103" s="42" customFormat="1" x14ac:dyDescent="0.25"/>
    <row r="12104" s="42" customFormat="1" x14ac:dyDescent="0.25"/>
    <row r="12105" s="42" customFormat="1" x14ac:dyDescent="0.25"/>
    <row r="12106" s="42" customFormat="1" x14ac:dyDescent="0.25"/>
    <row r="12107" s="42" customFormat="1" x14ac:dyDescent="0.25"/>
    <row r="12108" s="42" customFormat="1" x14ac:dyDescent="0.25"/>
    <row r="12109" s="42" customFormat="1" x14ac:dyDescent="0.25"/>
    <row r="12110" s="42" customFormat="1" x14ac:dyDescent="0.25"/>
    <row r="12111" s="42" customFormat="1" x14ac:dyDescent="0.25"/>
    <row r="12112" s="42" customFormat="1" x14ac:dyDescent="0.25"/>
    <row r="12113" s="42" customFormat="1" x14ac:dyDescent="0.25"/>
    <row r="12114" s="42" customFormat="1" x14ac:dyDescent="0.25"/>
    <row r="12115" s="42" customFormat="1" x14ac:dyDescent="0.25"/>
    <row r="12116" s="42" customFormat="1" x14ac:dyDescent="0.25"/>
    <row r="12117" s="42" customFormat="1" x14ac:dyDescent="0.25"/>
    <row r="12118" s="42" customFormat="1" x14ac:dyDescent="0.25"/>
    <row r="12119" s="42" customFormat="1" x14ac:dyDescent="0.25"/>
    <row r="12120" s="42" customFormat="1" x14ac:dyDescent="0.25"/>
    <row r="12121" s="42" customFormat="1" x14ac:dyDescent="0.25"/>
    <row r="12122" s="42" customFormat="1" x14ac:dyDescent="0.25"/>
    <row r="12123" s="42" customFormat="1" x14ac:dyDescent="0.25"/>
    <row r="12124" s="42" customFormat="1" x14ac:dyDescent="0.25"/>
    <row r="12125" s="42" customFormat="1" x14ac:dyDescent="0.25"/>
    <row r="12126" s="42" customFormat="1" x14ac:dyDescent="0.25"/>
    <row r="12127" s="42" customFormat="1" x14ac:dyDescent="0.25"/>
    <row r="12128" s="42" customFormat="1" x14ac:dyDescent="0.25"/>
    <row r="12129" s="42" customFormat="1" x14ac:dyDescent="0.25"/>
    <row r="12130" s="42" customFormat="1" x14ac:dyDescent="0.25"/>
    <row r="12131" s="42" customFormat="1" x14ac:dyDescent="0.25"/>
    <row r="12132" s="42" customFormat="1" x14ac:dyDescent="0.25"/>
    <row r="12133" s="42" customFormat="1" x14ac:dyDescent="0.25"/>
    <row r="12134" s="42" customFormat="1" x14ac:dyDescent="0.25"/>
    <row r="12135" s="42" customFormat="1" x14ac:dyDescent="0.25"/>
    <row r="12136" s="42" customFormat="1" x14ac:dyDescent="0.25"/>
    <row r="12137" s="42" customFormat="1" x14ac:dyDescent="0.25"/>
    <row r="12138" s="42" customFormat="1" x14ac:dyDescent="0.25"/>
    <row r="12139" s="42" customFormat="1" x14ac:dyDescent="0.25"/>
    <row r="12140" s="42" customFormat="1" x14ac:dyDescent="0.25"/>
    <row r="12141" s="42" customFormat="1" x14ac:dyDescent="0.25"/>
    <row r="12142" s="42" customFormat="1" x14ac:dyDescent="0.25"/>
    <row r="12143" s="42" customFormat="1" x14ac:dyDescent="0.25"/>
    <row r="12144" s="42" customFormat="1" x14ac:dyDescent="0.25"/>
    <row r="12145" s="42" customFormat="1" x14ac:dyDescent="0.25"/>
    <row r="12146" s="42" customFormat="1" x14ac:dyDescent="0.25"/>
    <row r="12147" s="42" customFormat="1" x14ac:dyDescent="0.25"/>
    <row r="12148" s="42" customFormat="1" x14ac:dyDescent="0.25"/>
    <row r="12149" s="42" customFormat="1" x14ac:dyDescent="0.25"/>
    <row r="12150" s="42" customFormat="1" x14ac:dyDescent="0.25"/>
    <row r="12151" s="42" customFormat="1" x14ac:dyDescent="0.25"/>
    <row r="12152" s="42" customFormat="1" x14ac:dyDescent="0.25"/>
    <row r="12153" s="42" customFormat="1" x14ac:dyDescent="0.25"/>
    <row r="12154" s="42" customFormat="1" x14ac:dyDescent="0.25"/>
    <row r="12155" s="42" customFormat="1" x14ac:dyDescent="0.25"/>
    <row r="12156" s="42" customFormat="1" x14ac:dyDescent="0.25"/>
    <row r="12157" s="42" customFormat="1" x14ac:dyDescent="0.25"/>
    <row r="12158" s="42" customFormat="1" x14ac:dyDescent="0.25"/>
    <row r="12159" s="42" customFormat="1" x14ac:dyDescent="0.25"/>
    <row r="12160" s="42" customFormat="1" x14ac:dyDescent="0.25"/>
    <row r="12161" s="42" customFormat="1" x14ac:dyDescent="0.25"/>
    <row r="12162" s="42" customFormat="1" x14ac:dyDescent="0.25"/>
    <row r="12163" s="42" customFormat="1" x14ac:dyDescent="0.25"/>
    <row r="12164" s="42" customFormat="1" x14ac:dyDescent="0.25"/>
    <row r="12165" s="42" customFormat="1" x14ac:dyDescent="0.25"/>
    <row r="12166" s="42" customFormat="1" x14ac:dyDescent="0.25"/>
    <row r="12167" s="42" customFormat="1" x14ac:dyDescent="0.25"/>
    <row r="12168" s="42" customFormat="1" x14ac:dyDescent="0.25"/>
    <row r="12169" s="42" customFormat="1" x14ac:dyDescent="0.25"/>
    <row r="12170" s="42" customFormat="1" x14ac:dyDescent="0.25"/>
    <row r="12171" s="42" customFormat="1" x14ac:dyDescent="0.25"/>
    <row r="12172" s="42" customFormat="1" x14ac:dyDescent="0.25"/>
    <row r="12173" s="42" customFormat="1" x14ac:dyDescent="0.25"/>
    <row r="12174" s="42" customFormat="1" x14ac:dyDescent="0.25"/>
    <row r="12175" s="42" customFormat="1" x14ac:dyDescent="0.25"/>
    <row r="12176" s="42" customFormat="1" x14ac:dyDescent="0.25"/>
    <row r="12177" s="42" customFormat="1" x14ac:dyDescent="0.25"/>
    <row r="12178" s="42" customFormat="1" x14ac:dyDescent="0.25"/>
    <row r="12179" s="42" customFormat="1" x14ac:dyDescent="0.25"/>
    <row r="12180" s="42" customFormat="1" x14ac:dyDescent="0.25"/>
    <row r="12181" s="42" customFormat="1" x14ac:dyDescent="0.25"/>
    <row r="12182" s="42" customFormat="1" x14ac:dyDescent="0.25"/>
    <row r="12183" s="42" customFormat="1" x14ac:dyDescent="0.25"/>
    <row r="12184" s="42" customFormat="1" x14ac:dyDescent="0.25"/>
    <row r="12185" s="42" customFormat="1" x14ac:dyDescent="0.25"/>
    <row r="12186" s="42" customFormat="1" x14ac:dyDescent="0.25"/>
    <row r="12187" s="42" customFormat="1" x14ac:dyDescent="0.25"/>
    <row r="12188" s="42" customFormat="1" x14ac:dyDescent="0.25"/>
    <row r="12189" s="42" customFormat="1" x14ac:dyDescent="0.25"/>
    <row r="12190" s="42" customFormat="1" x14ac:dyDescent="0.25"/>
    <row r="12191" s="42" customFormat="1" x14ac:dyDescent="0.25"/>
    <row r="12192" s="42" customFormat="1" x14ac:dyDescent="0.25"/>
    <row r="12193" s="42" customFormat="1" x14ac:dyDescent="0.25"/>
    <row r="12194" s="42" customFormat="1" x14ac:dyDescent="0.25"/>
    <row r="12195" s="42" customFormat="1" x14ac:dyDescent="0.25"/>
    <row r="12196" s="42" customFormat="1" x14ac:dyDescent="0.25"/>
    <row r="12197" s="42" customFormat="1" x14ac:dyDescent="0.25"/>
    <row r="12198" s="42" customFormat="1" x14ac:dyDescent="0.25"/>
    <row r="12199" s="42" customFormat="1" x14ac:dyDescent="0.25"/>
    <row r="12200" s="42" customFormat="1" x14ac:dyDescent="0.25"/>
    <row r="12201" s="42" customFormat="1" x14ac:dyDescent="0.25"/>
    <row r="12202" s="42" customFormat="1" x14ac:dyDescent="0.25"/>
    <row r="12203" s="42" customFormat="1" x14ac:dyDescent="0.25"/>
    <row r="12204" s="42" customFormat="1" x14ac:dyDescent="0.25"/>
    <row r="12205" s="42" customFormat="1" x14ac:dyDescent="0.25"/>
    <row r="12206" s="42" customFormat="1" x14ac:dyDescent="0.25"/>
    <row r="12207" s="42" customFormat="1" x14ac:dyDescent="0.25"/>
    <row r="12208" s="42" customFormat="1" x14ac:dyDescent="0.25"/>
    <row r="12209" s="42" customFormat="1" x14ac:dyDescent="0.25"/>
    <row r="12210" s="42" customFormat="1" x14ac:dyDescent="0.25"/>
    <row r="12211" s="42" customFormat="1" x14ac:dyDescent="0.25"/>
    <row r="12212" s="42" customFormat="1" x14ac:dyDescent="0.25"/>
    <row r="12213" s="42" customFormat="1" x14ac:dyDescent="0.25"/>
    <row r="12214" s="42" customFormat="1" x14ac:dyDescent="0.25"/>
    <row r="12215" s="42" customFormat="1" x14ac:dyDescent="0.25"/>
    <row r="12216" s="42" customFormat="1" x14ac:dyDescent="0.25"/>
    <row r="12217" s="42" customFormat="1" x14ac:dyDescent="0.25"/>
    <row r="12218" s="42" customFormat="1" x14ac:dyDescent="0.25"/>
    <row r="12219" s="42" customFormat="1" x14ac:dyDescent="0.25"/>
    <row r="12220" s="42" customFormat="1" x14ac:dyDescent="0.25"/>
    <row r="12221" s="42" customFormat="1" x14ac:dyDescent="0.25"/>
    <row r="12222" s="42" customFormat="1" x14ac:dyDescent="0.25"/>
    <row r="12223" s="42" customFormat="1" x14ac:dyDescent="0.25"/>
    <row r="12224" s="42" customFormat="1" x14ac:dyDescent="0.25"/>
    <row r="12225" s="42" customFormat="1" x14ac:dyDescent="0.25"/>
    <row r="12226" s="42" customFormat="1" x14ac:dyDescent="0.25"/>
    <row r="12227" s="42" customFormat="1" x14ac:dyDescent="0.25"/>
    <row r="12228" s="42" customFormat="1" x14ac:dyDescent="0.25"/>
    <row r="12229" s="42" customFormat="1" x14ac:dyDescent="0.25"/>
    <row r="12230" s="42" customFormat="1" x14ac:dyDescent="0.25"/>
    <row r="12231" s="42" customFormat="1" x14ac:dyDescent="0.25"/>
    <row r="12232" s="42" customFormat="1" x14ac:dyDescent="0.25"/>
    <row r="12233" s="42" customFormat="1" x14ac:dyDescent="0.25"/>
    <row r="12234" s="42" customFormat="1" x14ac:dyDescent="0.25"/>
    <row r="12235" s="42" customFormat="1" x14ac:dyDescent="0.25"/>
    <row r="12236" s="42" customFormat="1" x14ac:dyDescent="0.25"/>
    <row r="12237" s="42" customFormat="1" x14ac:dyDescent="0.25"/>
    <row r="12238" s="42" customFormat="1" x14ac:dyDescent="0.25"/>
    <row r="12239" s="42" customFormat="1" x14ac:dyDescent="0.25"/>
    <row r="12240" s="42" customFormat="1" x14ac:dyDescent="0.25"/>
    <row r="12241" s="42" customFormat="1" x14ac:dyDescent="0.25"/>
    <row r="12242" s="42" customFormat="1" x14ac:dyDescent="0.25"/>
    <row r="12243" s="42" customFormat="1" x14ac:dyDescent="0.25"/>
    <row r="12244" s="42" customFormat="1" x14ac:dyDescent="0.25"/>
    <row r="12245" s="42" customFormat="1" x14ac:dyDescent="0.25"/>
    <row r="12246" s="42" customFormat="1" x14ac:dyDescent="0.25"/>
    <row r="12247" s="42" customFormat="1" x14ac:dyDescent="0.25"/>
    <row r="12248" s="42" customFormat="1" x14ac:dyDescent="0.25"/>
    <row r="12249" s="42" customFormat="1" x14ac:dyDescent="0.25"/>
    <row r="12250" s="42" customFormat="1" x14ac:dyDescent="0.25"/>
    <row r="12251" s="42" customFormat="1" x14ac:dyDescent="0.25"/>
    <row r="12252" s="42" customFormat="1" x14ac:dyDescent="0.25"/>
    <row r="12253" s="42" customFormat="1" x14ac:dyDescent="0.25"/>
    <row r="12254" s="42" customFormat="1" x14ac:dyDescent="0.25"/>
    <row r="12255" s="42" customFormat="1" x14ac:dyDescent="0.25"/>
    <row r="12256" s="42" customFormat="1" x14ac:dyDescent="0.25"/>
    <row r="12257" s="42" customFormat="1" x14ac:dyDescent="0.25"/>
    <row r="12258" s="42" customFormat="1" x14ac:dyDescent="0.25"/>
    <row r="12259" s="42" customFormat="1" x14ac:dyDescent="0.25"/>
    <row r="12260" s="42" customFormat="1" x14ac:dyDescent="0.25"/>
    <row r="12261" s="42" customFormat="1" x14ac:dyDescent="0.25"/>
    <row r="12262" s="42" customFormat="1" x14ac:dyDescent="0.25"/>
    <row r="12263" s="42" customFormat="1" x14ac:dyDescent="0.25"/>
    <row r="12264" s="42" customFormat="1" x14ac:dyDescent="0.25"/>
    <row r="12265" s="42" customFormat="1" x14ac:dyDescent="0.25"/>
    <row r="12266" s="42" customFormat="1" x14ac:dyDescent="0.25"/>
    <row r="12267" s="42" customFormat="1" x14ac:dyDescent="0.25"/>
    <row r="12268" s="42" customFormat="1" x14ac:dyDescent="0.25"/>
    <row r="12269" s="42" customFormat="1" x14ac:dyDescent="0.25"/>
    <row r="12270" s="42" customFormat="1" x14ac:dyDescent="0.25"/>
    <row r="12271" s="42" customFormat="1" x14ac:dyDescent="0.25"/>
    <row r="12272" s="42" customFormat="1" x14ac:dyDescent="0.25"/>
    <row r="12273" s="42" customFormat="1" x14ac:dyDescent="0.25"/>
    <row r="12274" s="42" customFormat="1" x14ac:dyDescent="0.25"/>
    <row r="12275" s="42" customFormat="1" x14ac:dyDescent="0.25"/>
    <row r="12276" s="42" customFormat="1" x14ac:dyDescent="0.25"/>
    <row r="12277" s="42" customFormat="1" x14ac:dyDescent="0.25"/>
    <row r="12278" s="42" customFormat="1" x14ac:dyDescent="0.25"/>
    <row r="12279" s="42" customFormat="1" x14ac:dyDescent="0.25"/>
    <row r="12280" s="42" customFormat="1" x14ac:dyDescent="0.25"/>
    <row r="12281" s="42" customFormat="1" x14ac:dyDescent="0.25"/>
    <row r="12282" s="42" customFormat="1" x14ac:dyDescent="0.25"/>
    <row r="12283" s="42" customFormat="1" x14ac:dyDescent="0.25"/>
    <row r="12284" s="42" customFormat="1" x14ac:dyDescent="0.25"/>
    <row r="12285" s="42" customFormat="1" x14ac:dyDescent="0.25"/>
    <row r="12286" s="42" customFormat="1" x14ac:dyDescent="0.25"/>
    <row r="12287" s="42" customFormat="1" x14ac:dyDescent="0.25"/>
    <row r="12288" s="42" customFormat="1" x14ac:dyDescent="0.25"/>
    <row r="12289" s="42" customFormat="1" x14ac:dyDescent="0.25"/>
    <row r="12290" s="42" customFormat="1" x14ac:dyDescent="0.25"/>
    <row r="12291" s="42" customFormat="1" x14ac:dyDescent="0.25"/>
    <row r="12292" s="42" customFormat="1" x14ac:dyDescent="0.25"/>
    <row r="12293" s="42" customFormat="1" x14ac:dyDescent="0.25"/>
    <row r="12294" s="42" customFormat="1" x14ac:dyDescent="0.25"/>
    <row r="12295" s="42" customFormat="1" x14ac:dyDescent="0.25"/>
    <row r="12296" s="42" customFormat="1" x14ac:dyDescent="0.25"/>
    <row r="12297" s="42" customFormat="1" x14ac:dyDescent="0.25"/>
    <row r="12298" s="42" customFormat="1" x14ac:dyDescent="0.25"/>
    <row r="12299" s="42" customFormat="1" x14ac:dyDescent="0.25"/>
    <row r="12300" s="42" customFormat="1" x14ac:dyDescent="0.25"/>
    <row r="12301" s="42" customFormat="1" x14ac:dyDescent="0.25"/>
    <row r="12302" s="42" customFormat="1" x14ac:dyDescent="0.25"/>
    <row r="12303" s="42" customFormat="1" x14ac:dyDescent="0.25"/>
    <row r="12304" s="42" customFormat="1" x14ac:dyDescent="0.25"/>
    <row r="12305" s="42" customFormat="1" x14ac:dyDescent="0.25"/>
    <row r="12306" s="42" customFormat="1" x14ac:dyDescent="0.25"/>
    <row r="12307" s="42" customFormat="1" x14ac:dyDescent="0.25"/>
    <row r="12308" s="42" customFormat="1" x14ac:dyDescent="0.25"/>
    <row r="12309" s="42" customFormat="1" x14ac:dyDescent="0.25"/>
    <row r="12310" s="42" customFormat="1" x14ac:dyDescent="0.25"/>
    <row r="12311" s="42" customFormat="1" x14ac:dyDescent="0.25"/>
    <row r="12312" s="42" customFormat="1" x14ac:dyDescent="0.25"/>
    <row r="12313" s="42" customFormat="1" x14ac:dyDescent="0.25"/>
    <row r="12314" s="42" customFormat="1" x14ac:dyDescent="0.25"/>
    <row r="12315" s="42" customFormat="1" x14ac:dyDescent="0.25"/>
    <row r="12316" s="42" customFormat="1" x14ac:dyDescent="0.25"/>
    <row r="12317" s="42" customFormat="1" x14ac:dyDescent="0.25"/>
    <row r="12318" s="42" customFormat="1" x14ac:dyDescent="0.25"/>
    <row r="12319" s="42" customFormat="1" x14ac:dyDescent="0.25"/>
    <row r="12320" s="42" customFormat="1" x14ac:dyDescent="0.25"/>
    <row r="12321" s="42" customFormat="1" x14ac:dyDescent="0.25"/>
    <row r="12322" s="42" customFormat="1" x14ac:dyDescent="0.25"/>
    <row r="12323" s="42" customFormat="1" x14ac:dyDescent="0.25"/>
    <row r="12324" s="42" customFormat="1" x14ac:dyDescent="0.25"/>
    <row r="12325" s="42" customFormat="1" x14ac:dyDescent="0.25"/>
    <row r="12326" s="42" customFormat="1" x14ac:dyDescent="0.25"/>
    <row r="12327" s="42" customFormat="1" x14ac:dyDescent="0.25"/>
    <row r="12328" s="42" customFormat="1" x14ac:dyDescent="0.25"/>
    <row r="12329" s="42" customFormat="1" x14ac:dyDescent="0.25"/>
    <row r="12330" s="42" customFormat="1" x14ac:dyDescent="0.25"/>
    <row r="12331" s="42" customFormat="1" x14ac:dyDescent="0.25"/>
    <row r="12332" s="42" customFormat="1" x14ac:dyDescent="0.25"/>
    <row r="12333" s="42" customFormat="1" x14ac:dyDescent="0.25"/>
    <row r="12334" s="42" customFormat="1" x14ac:dyDescent="0.25"/>
    <row r="12335" s="42" customFormat="1" x14ac:dyDescent="0.25"/>
    <row r="12336" s="42" customFormat="1" x14ac:dyDescent="0.25"/>
    <row r="12337" s="42" customFormat="1" x14ac:dyDescent="0.25"/>
    <row r="12338" s="42" customFormat="1" x14ac:dyDescent="0.25"/>
    <row r="12339" s="42" customFormat="1" x14ac:dyDescent="0.25"/>
    <row r="12340" s="42" customFormat="1" x14ac:dyDescent="0.25"/>
    <row r="12341" s="42" customFormat="1" x14ac:dyDescent="0.25"/>
    <row r="12342" s="42" customFormat="1" x14ac:dyDescent="0.25"/>
    <row r="12343" s="42" customFormat="1" x14ac:dyDescent="0.25"/>
    <row r="12344" s="42" customFormat="1" x14ac:dyDescent="0.25"/>
    <row r="12345" s="42" customFormat="1" x14ac:dyDescent="0.25"/>
    <row r="12346" s="42" customFormat="1" x14ac:dyDescent="0.25"/>
    <row r="12347" s="42" customFormat="1" x14ac:dyDescent="0.25"/>
    <row r="12348" s="42" customFormat="1" x14ac:dyDescent="0.25"/>
    <row r="12349" s="42" customFormat="1" x14ac:dyDescent="0.25"/>
    <row r="12350" s="42" customFormat="1" x14ac:dyDescent="0.25"/>
    <row r="12351" s="42" customFormat="1" x14ac:dyDescent="0.25"/>
    <row r="12352" s="42" customFormat="1" x14ac:dyDescent="0.25"/>
    <row r="12353" s="42" customFormat="1" x14ac:dyDescent="0.25"/>
    <row r="12354" s="42" customFormat="1" x14ac:dyDescent="0.25"/>
    <row r="12355" s="42" customFormat="1" x14ac:dyDescent="0.25"/>
    <row r="12356" s="42" customFormat="1" x14ac:dyDescent="0.25"/>
    <row r="12357" s="42" customFormat="1" x14ac:dyDescent="0.25"/>
    <row r="12358" s="42" customFormat="1" x14ac:dyDescent="0.25"/>
    <row r="12359" s="42" customFormat="1" x14ac:dyDescent="0.25"/>
    <row r="12360" s="42" customFormat="1" x14ac:dyDescent="0.25"/>
    <row r="12361" s="42" customFormat="1" x14ac:dyDescent="0.25"/>
    <row r="12362" s="42" customFormat="1" x14ac:dyDescent="0.25"/>
    <row r="12363" s="42" customFormat="1" x14ac:dyDescent="0.25"/>
    <row r="12364" s="42" customFormat="1" x14ac:dyDescent="0.25"/>
    <row r="12365" s="42" customFormat="1" x14ac:dyDescent="0.25"/>
    <row r="12366" s="42" customFormat="1" x14ac:dyDescent="0.25"/>
    <row r="12367" s="42" customFormat="1" x14ac:dyDescent="0.25"/>
    <row r="12368" s="42" customFormat="1" x14ac:dyDescent="0.25"/>
    <row r="12369" s="42" customFormat="1" x14ac:dyDescent="0.25"/>
    <row r="12370" s="42" customFormat="1" x14ac:dyDescent="0.25"/>
    <row r="12371" s="42" customFormat="1" x14ac:dyDescent="0.25"/>
    <row r="12372" s="42" customFormat="1" x14ac:dyDescent="0.25"/>
    <row r="12373" s="42" customFormat="1" x14ac:dyDescent="0.25"/>
    <row r="12374" s="42" customFormat="1" x14ac:dyDescent="0.25"/>
    <row r="12375" s="42" customFormat="1" x14ac:dyDescent="0.25"/>
    <row r="12376" s="42" customFormat="1" x14ac:dyDescent="0.25"/>
    <row r="12377" s="42" customFormat="1" x14ac:dyDescent="0.25"/>
    <row r="12378" s="42" customFormat="1" x14ac:dyDescent="0.25"/>
    <row r="12379" s="42" customFormat="1" x14ac:dyDescent="0.25"/>
    <row r="12380" s="42" customFormat="1" x14ac:dyDescent="0.25"/>
    <row r="12381" s="42" customFormat="1" x14ac:dyDescent="0.25"/>
    <row r="12382" s="42" customFormat="1" x14ac:dyDescent="0.25"/>
    <row r="12383" s="42" customFormat="1" x14ac:dyDescent="0.25"/>
    <row r="12384" s="42" customFormat="1" x14ac:dyDescent="0.25"/>
    <row r="12385" s="42" customFormat="1" x14ac:dyDescent="0.25"/>
    <row r="12386" s="42" customFormat="1" x14ac:dyDescent="0.25"/>
    <row r="12387" s="42" customFormat="1" x14ac:dyDescent="0.25"/>
    <row r="12388" s="42" customFormat="1" x14ac:dyDescent="0.25"/>
    <row r="12389" s="42" customFormat="1" x14ac:dyDescent="0.25"/>
    <row r="12390" s="42" customFormat="1" x14ac:dyDescent="0.25"/>
    <row r="12391" s="42" customFormat="1" x14ac:dyDescent="0.25"/>
    <row r="12392" s="42" customFormat="1" x14ac:dyDescent="0.25"/>
    <row r="12393" s="42" customFormat="1" x14ac:dyDescent="0.25"/>
    <row r="12394" s="42" customFormat="1" x14ac:dyDescent="0.25"/>
    <row r="12395" s="42" customFormat="1" x14ac:dyDescent="0.25"/>
    <row r="12396" s="42" customFormat="1" x14ac:dyDescent="0.25"/>
    <row r="12397" s="42" customFormat="1" x14ac:dyDescent="0.25"/>
    <row r="12398" s="42" customFormat="1" x14ac:dyDescent="0.25"/>
    <row r="12399" s="42" customFormat="1" x14ac:dyDescent="0.25"/>
    <row r="12400" s="42" customFormat="1" x14ac:dyDescent="0.25"/>
    <row r="12401" s="42" customFormat="1" x14ac:dyDescent="0.25"/>
    <row r="12402" s="42" customFormat="1" x14ac:dyDescent="0.25"/>
    <row r="12403" s="42" customFormat="1" x14ac:dyDescent="0.25"/>
    <row r="12404" s="42" customFormat="1" x14ac:dyDescent="0.25"/>
    <row r="12405" s="42" customFormat="1" x14ac:dyDescent="0.25"/>
    <row r="12406" s="42" customFormat="1" x14ac:dyDescent="0.25"/>
    <row r="12407" s="42" customFormat="1" x14ac:dyDescent="0.25"/>
    <row r="12408" s="42" customFormat="1" x14ac:dyDescent="0.25"/>
    <row r="12409" s="42" customFormat="1" x14ac:dyDescent="0.25"/>
    <row r="12410" s="42" customFormat="1" x14ac:dyDescent="0.25"/>
    <row r="12411" s="42" customFormat="1" x14ac:dyDescent="0.25"/>
    <row r="12412" s="42" customFormat="1" x14ac:dyDescent="0.25"/>
    <row r="12413" s="42" customFormat="1" x14ac:dyDescent="0.25"/>
    <row r="12414" s="42" customFormat="1" x14ac:dyDescent="0.25"/>
    <row r="12415" s="42" customFormat="1" x14ac:dyDescent="0.25"/>
    <row r="12416" s="42" customFormat="1" x14ac:dyDescent="0.25"/>
    <row r="12417" s="42" customFormat="1" x14ac:dyDescent="0.25"/>
    <row r="12418" s="42" customFormat="1" x14ac:dyDescent="0.25"/>
    <row r="12419" s="42" customFormat="1" x14ac:dyDescent="0.25"/>
    <row r="12420" s="42" customFormat="1" x14ac:dyDescent="0.25"/>
    <row r="12421" s="42" customFormat="1" x14ac:dyDescent="0.25"/>
    <row r="12422" s="42" customFormat="1" x14ac:dyDescent="0.25"/>
    <row r="12423" s="42" customFormat="1" x14ac:dyDescent="0.25"/>
    <row r="12424" s="42" customFormat="1" x14ac:dyDescent="0.25"/>
    <row r="12425" s="42" customFormat="1" x14ac:dyDescent="0.25"/>
    <row r="12426" s="42" customFormat="1" x14ac:dyDescent="0.25"/>
    <row r="12427" s="42" customFormat="1" x14ac:dyDescent="0.25"/>
    <row r="12428" s="42" customFormat="1" x14ac:dyDescent="0.25"/>
    <row r="12429" s="42" customFormat="1" x14ac:dyDescent="0.25"/>
    <row r="12430" s="42" customFormat="1" x14ac:dyDescent="0.25"/>
    <row r="12431" s="42" customFormat="1" x14ac:dyDescent="0.25"/>
    <row r="12432" s="42" customFormat="1" x14ac:dyDescent="0.25"/>
    <row r="12433" s="42" customFormat="1" x14ac:dyDescent="0.25"/>
    <row r="12434" s="42" customFormat="1" x14ac:dyDescent="0.25"/>
    <row r="12435" s="42" customFormat="1" x14ac:dyDescent="0.25"/>
    <row r="12436" s="42" customFormat="1" x14ac:dyDescent="0.25"/>
    <row r="12437" s="42" customFormat="1" x14ac:dyDescent="0.25"/>
    <row r="12438" s="42" customFormat="1" x14ac:dyDescent="0.25"/>
    <row r="12439" s="42" customFormat="1" x14ac:dyDescent="0.25"/>
    <row r="12440" s="42" customFormat="1" x14ac:dyDescent="0.25"/>
    <row r="12441" s="42" customFormat="1" x14ac:dyDescent="0.25"/>
    <row r="12442" s="42" customFormat="1" x14ac:dyDescent="0.25"/>
    <row r="12443" s="42" customFormat="1" x14ac:dyDescent="0.25"/>
    <row r="12444" s="42" customFormat="1" x14ac:dyDescent="0.25"/>
    <row r="12445" s="42" customFormat="1" x14ac:dyDescent="0.25"/>
    <row r="12446" s="42" customFormat="1" x14ac:dyDescent="0.25"/>
    <row r="12447" s="42" customFormat="1" x14ac:dyDescent="0.25"/>
    <row r="12448" s="42" customFormat="1" x14ac:dyDescent="0.25"/>
    <row r="12449" s="42" customFormat="1" x14ac:dyDescent="0.25"/>
    <row r="12450" s="42" customFormat="1" x14ac:dyDescent="0.25"/>
    <row r="12451" s="42" customFormat="1" x14ac:dyDescent="0.25"/>
    <row r="12452" s="42" customFormat="1" x14ac:dyDescent="0.25"/>
    <row r="12453" s="42" customFormat="1" x14ac:dyDescent="0.25"/>
    <row r="12454" s="42" customFormat="1" x14ac:dyDescent="0.25"/>
    <row r="12455" s="42" customFormat="1" x14ac:dyDescent="0.25"/>
    <row r="12456" s="42" customFormat="1" x14ac:dyDescent="0.25"/>
    <row r="12457" s="42" customFormat="1" x14ac:dyDescent="0.25"/>
    <row r="12458" s="42" customFormat="1" x14ac:dyDescent="0.25"/>
    <row r="12459" s="42" customFormat="1" x14ac:dyDescent="0.25"/>
    <row r="12460" s="42" customFormat="1" x14ac:dyDescent="0.25"/>
    <row r="12461" s="42" customFormat="1" x14ac:dyDescent="0.25"/>
    <row r="12462" s="42" customFormat="1" x14ac:dyDescent="0.25"/>
    <row r="12463" s="42" customFormat="1" x14ac:dyDescent="0.25"/>
    <row r="12464" s="42" customFormat="1" x14ac:dyDescent="0.25"/>
    <row r="12465" s="42" customFormat="1" x14ac:dyDescent="0.25"/>
    <row r="12466" s="42" customFormat="1" x14ac:dyDescent="0.25"/>
    <row r="12467" s="42" customFormat="1" x14ac:dyDescent="0.25"/>
    <row r="12468" s="42" customFormat="1" x14ac:dyDescent="0.25"/>
    <row r="12469" s="42" customFormat="1" x14ac:dyDescent="0.25"/>
    <row r="12470" s="42" customFormat="1" x14ac:dyDescent="0.25"/>
    <row r="12471" s="42" customFormat="1" x14ac:dyDescent="0.25"/>
    <row r="12472" s="42" customFormat="1" x14ac:dyDescent="0.25"/>
    <row r="12473" s="42" customFormat="1" x14ac:dyDescent="0.25"/>
    <row r="12474" s="42" customFormat="1" x14ac:dyDescent="0.25"/>
    <row r="12475" s="42" customFormat="1" x14ac:dyDescent="0.25"/>
    <row r="12476" s="42" customFormat="1" x14ac:dyDescent="0.25"/>
    <row r="12477" s="42" customFormat="1" x14ac:dyDescent="0.25"/>
    <row r="12478" s="42" customFormat="1" x14ac:dyDescent="0.25"/>
    <row r="12479" s="42" customFormat="1" x14ac:dyDescent="0.25"/>
    <row r="12480" s="42" customFormat="1" x14ac:dyDescent="0.25"/>
    <row r="12481" s="42" customFormat="1" x14ac:dyDescent="0.25"/>
    <row r="12482" s="42" customFormat="1" x14ac:dyDescent="0.25"/>
    <row r="12483" s="42" customFormat="1" x14ac:dyDescent="0.25"/>
    <row r="12484" s="42" customFormat="1" x14ac:dyDescent="0.25"/>
    <row r="12485" s="42" customFormat="1" x14ac:dyDescent="0.25"/>
    <row r="12486" s="42" customFormat="1" x14ac:dyDescent="0.25"/>
    <row r="12487" s="42" customFormat="1" x14ac:dyDescent="0.25"/>
    <row r="12488" s="42" customFormat="1" x14ac:dyDescent="0.25"/>
    <row r="12489" s="42" customFormat="1" x14ac:dyDescent="0.25"/>
    <row r="12490" s="42" customFormat="1" x14ac:dyDescent="0.25"/>
    <row r="12491" s="42" customFormat="1" x14ac:dyDescent="0.25"/>
    <row r="12492" s="42" customFormat="1" x14ac:dyDescent="0.25"/>
    <row r="12493" s="42" customFormat="1" x14ac:dyDescent="0.25"/>
    <row r="12494" s="42" customFormat="1" x14ac:dyDescent="0.25"/>
    <row r="12495" s="42" customFormat="1" x14ac:dyDescent="0.25"/>
    <row r="12496" s="42" customFormat="1" x14ac:dyDescent="0.25"/>
    <row r="12497" s="42" customFormat="1" x14ac:dyDescent="0.25"/>
    <row r="12498" s="42" customFormat="1" x14ac:dyDescent="0.25"/>
    <row r="12499" s="42" customFormat="1" x14ac:dyDescent="0.25"/>
    <row r="12500" s="42" customFormat="1" x14ac:dyDescent="0.25"/>
    <row r="12501" s="42" customFormat="1" x14ac:dyDescent="0.25"/>
    <row r="12502" s="42" customFormat="1" x14ac:dyDescent="0.25"/>
    <row r="12503" s="42" customFormat="1" x14ac:dyDescent="0.25"/>
    <row r="12504" s="42" customFormat="1" x14ac:dyDescent="0.25"/>
    <row r="12505" s="42" customFormat="1" x14ac:dyDescent="0.25"/>
    <row r="12506" s="42" customFormat="1" x14ac:dyDescent="0.25"/>
    <row r="12507" s="42" customFormat="1" x14ac:dyDescent="0.25"/>
    <row r="12508" s="42" customFormat="1" x14ac:dyDescent="0.25"/>
    <row r="12509" s="42" customFormat="1" x14ac:dyDescent="0.25"/>
    <row r="12510" s="42" customFormat="1" x14ac:dyDescent="0.25"/>
    <row r="12511" s="42" customFormat="1" x14ac:dyDescent="0.25"/>
    <row r="12512" s="42" customFormat="1" x14ac:dyDescent="0.25"/>
    <row r="12513" s="42" customFormat="1" x14ac:dyDescent="0.25"/>
    <row r="12514" s="42" customFormat="1" x14ac:dyDescent="0.25"/>
    <row r="12515" s="42" customFormat="1" x14ac:dyDescent="0.25"/>
    <row r="12516" s="42" customFormat="1" x14ac:dyDescent="0.25"/>
    <row r="12517" s="42" customFormat="1" x14ac:dyDescent="0.25"/>
    <row r="12518" s="42" customFormat="1" x14ac:dyDescent="0.25"/>
    <row r="12519" s="42" customFormat="1" x14ac:dyDescent="0.25"/>
    <row r="12520" s="42" customFormat="1" x14ac:dyDescent="0.25"/>
    <row r="12521" s="42" customFormat="1" x14ac:dyDescent="0.25"/>
    <row r="12522" s="42" customFormat="1" x14ac:dyDescent="0.25"/>
    <row r="12523" s="42" customFormat="1" x14ac:dyDescent="0.25"/>
    <row r="12524" s="42" customFormat="1" x14ac:dyDescent="0.25"/>
    <row r="12525" s="42" customFormat="1" x14ac:dyDescent="0.25"/>
    <row r="12526" s="42" customFormat="1" x14ac:dyDescent="0.25"/>
    <row r="12527" s="42" customFormat="1" x14ac:dyDescent="0.25"/>
    <row r="12528" s="42" customFormat="1" x14ac:dyDescent="0.25"/>
    <row r="12529" s="42" customFormat="1" x14ac:dyDescent="0.25"/>
    <row r="12530" s="42" customFormat="1" x14ac:dyDescent="0.25"/>
    <row r="12531" s="42" customFormat="1" x14ac:dyDescent="0.25"/>
    <row r="12532" s="42" customFormat="1" x14ac:dyDescent="0.25"/>
    <row r="12533" s="42" customFormat="1" x14ac:dyDescent="0.25"/>
    <row r="12534" s="42" customFormat="1" x14ac:dyDescent="0.25"/>
    <row r="12535" s="42" customFormat="1" x14ac:dyDescent="0.25"/>
    <row r="12536" s="42" customFormat="1" x14ac:dyDescent="0.25"/>
    <row r="12537" s="42" customFormat="1" x14ac:dyDescent="0.25"/>
    <row r="12538" s="42" customFormat="1" x14ac:dyDescent="0.25"/>
    <row r="12539" s="42" customFormat="1" x14ac:dyDescent="0.25"/>
    <row r="12540" s="42" customFormat="1" x14ac:dyDescent="0.25"/>
    <row r="12541" s="42" customFormat="1" x14ac:dyDescent="0.25"/>
    <row r="12542" s="42" customFormat="1" x14ac:dyDescent="0.25"/>
    <row r="12543" s="42" customFormat="1" x14ac:dyDescent="0.25"/>
    <row r="12544" s="42" customFormat="1" x14ac:dyDescent="0.25"/>
    <row r="12545" s="42" customFormat="1" x14ac:dyDescent="0.25"/>
    <row r="12546" s="42" customFormat="1" x14ac:dyDescent="0.25"/>
    <row r="12547" s="42" customFormat="1" x14ac:dyDescent="0.25"/>
    <row r="12548" s="42" customFormat="1" x14ac:dyDescent="0.25"/>
    <row r="12549" s="42" customFormat="1" x14ac:dyDescent="0.25"/>
    <row r="12550" s="42" customFormat="1" x14ac:dyDescent="0.25"/>
    <row r="12551" s="42" customFormat="1" x14ac:dyDescent="0.25"/>
    <row r="12552" s="42" customFormat="1" x14ac:dyDescent="0.25"/>
    <row r="12553" s="42" customFormat="1" x14ac:dyDescent="0.25"/>
    <row r="12554" s="42" customFormat="1" x14ac:dyDescent="0.25"/>
    <row r="12555" s="42" customFormat="1" x14ac:dyDescent="0.25"/>
    <row r="12556" s="42" customFormat="1" x14ac:dyDescent="0.25"/>
    <row r="12557" s="42" customFormat="1" x14ac:dyDescent="0.25"/>
    <row r="12558" s="42" customFormat="1" x14ac:dyDescent="0.25"/>
    <row r="12559" s="42" customFormat="1" x14ac:dyDescent="0.25"/>
    <row r="12560" s="42" customFormat="1" x14ac:dyDescent="0.25"/>
    <row r="12561" s="42" customFormat="1" x14ac:dyDescent="0.25"/>
    <row r="12562" s="42" customFormat="1" x14ac:dyDescent="0.25"/>
    <row r="12563" s="42" customFormat="1" x14ac:dyDescent="0.25"/>
    <row r="12564" s="42" customFormat="1" x14ac:dyDescent="0.25"/>
    <row r="12565" s="42" customFormat="1" x14ac:dyDescent="0.25"/>
    <row r="12566" s="42" customFormat="1" x14ac:dyDescent="0.25"/>
    <row r="12567" s="42" customFormat="1" x14ac:dyDescent="0.25"/>
    <row r="12568" s="42" customFormat="1" x14ac:dyDescent="0.25"/>
    <row r="12569" s="42" customFormat="1" x14ac:dyDescent="0.25"/>
    <row r="12570" s="42" customFormat="1" x14ac:dyDescent="0.25"/>
    <row r="12571" s="42" customFormat="1" x14ac:dyDescent="0.25"/>
    <row r="12572" s="42" customFormat="1" x14ac:dyDescent="0.25"/>
    <row r="12573" s="42" customFormat="1" x14ac:dyDescent="0.25"/>
    <row r="12574" s="42" customFormat="1" x14ac:dyDescent="0.25"/>
    <row r="12575" s="42" customFormat="1" x14ac:dyDescent="0.25"/>
    <row r="12576" s="42" customFormat="1" x14ac:dyDescent="0.25"/>
    <row r="12577" s="42" customFormat="1" x14ac:dyDescent="0.25"/>
    <row r="12578" s="42" customFormat="1" x14ac:dyDescent="0.25"/>
    <row r="12579" s="42" customFormat="1" x14ac:dyDescent="0.25"/>
    <row r="12580" s="42" customFormat="1" x14ac:dyDescent="0.25"/>
    <row r="12581" s="42" customFormat="1" x14ac:dyDescent="0.25"/>
    <row r="12582" s="42" customFormat="1" x14ac:dyDescent="0.25"/>
    <row r="12583" s="42" customFormat="1" x14ac:dyDescent="0.25"/>
    <row r="12584" s="42" customFormat="1" x14ac:dyDescent="0.25"/>
    <row r="12585" s="42" customFormat="1" x14ac:dyDescent="0.25"/>
    <row r="12586" s="42" customFormat="1" x14ac:dyDescent="0.25"/>
    <row r="12587" s="42" customFormat="1" x14ac:dyDescent="0.25"/>
    <row r="12588" s="42" customFormat="1" x14ac:dyDescent="0.25"/>
    <row r="12589" s="42" customFormat="1" x14ac:dyDescent="0.25"/>
    <row r="12590" s="42" customFormat="1" x14ac:dyDescent="0.25"/>
    <row r="12591" s="42" customFormat="1" x14ac:dyDescent="0.25"/>
    <row r="12592" s="42" customFormat="1" x14ac:dyDescent="0.25"/>
    <row r="12593" s="42" customFormat="1" x14ac:dyDescent="0.25"/>
    <row r="12594" s="42" customFormat="1" x14ac:dyDescent="0.25"/>
    <row r="12595" s="42" customFormat="1" x14ac:dyDescent="0.25"/>
    <row r="12596" s="42" customFormat="1" x14ac:dyDescent="0.25"/>
    <row r="12597" s="42" customFormat="1" x14ac:dyDescent="0.25"/>
    <row r="12598" s="42" customFormat="1" x14ac:dyDescent="0.25"/>
    <row r="12599" s="42" customFormat="1" x14ac:dyDescent="0.25"/>
    <row r="12600" s="42" customFormat="1" x14ac:dyDescent="0.25"/>
    <row r="12601" s="42" customFormat="1" x14ac:dyDescent="0.25"/>
    <row r="12602" s="42" customFormat="1" x14ac:dyDescent="0.25"/>
    <row r="12603" s="42" customFormat="1" x14ac:dyDescent="0.25"/>
    <row r="12604" s="42" customFormat="1" x14ac:dyDescent="0.25"/>
    <row r="12605" s="42" customFormat="1" x14ac:dyDescent="0.25"/>
    <row r="12606" s="42" customFormat="1" x14ac:dyDescent="0.25"/>
    <row r="12607" s="42" customFormat="1" x14ac:dyDescent="0.25"/>
    <row r="12608" s="42" customFormat="1" x14ac:dyDescent="0.25"/>
    <row r="12609" s="42" customFormat="1" x14ac:dyDescent="0.25"/>
    <row r="12610" s="42" customFormat="1" x14ac:dyDescent="0.25"/>
    <row r="12611" s="42" customFormat="1" x14ac:dyDescent="0.25"/>
    <row r="12612" s="42" customFormat="1" x14ac:dyDescent="0.25"/>
    <row r="12613" s="42" customFormat="1" x14ac:dyDescent="0.25"/>
    <row r="12614" s="42" customFormat="1" x14ac:dyDescent="0.25"/>
    <row r="12615" s="42" customFormat="1" x14ac:dyDescent="0.25"/>
    <row r="12616" s="42" customFormat="1" x14ac:dyDescent="0.25"/>
    <row r="12617" s="42" customFormat="1" x14ac:dyDescent="0.25"/>
    <row r="12618" s="42" customFormat="1" x14ac:dyDescent="0.25"/>
    <row r="12619" s="42" customFormat="1" x14ac:dyDescent="0.25"/>
    <row r="12620" s="42" customFormat="1" x14ac:dyDescent="0.25"/>
    <row r="12621" s="42" customFormat="1" x14ac:dyDescent="0.25"/>
    <row r="12622" s="42" customFormat="1" x14ac:dyDescent="0.25"/>
    <row r="12623" s="42" customFormat="1" x14ac:dyDescent="0.25"/>
    <row r="12624" s="42" customFormat="1" x14ac:dyDescent="0.25"/>
    <row r="12625" s="42" customFormat="1" x14ac:dyDescent="0.25"/>
    <row r="12626" s="42" customFormat="1" x14ac:dyDescent="0.25"/>
    <row r="12627" s="42" customFormat="1" x14ac:dyDescent="0.25"/>
    <row r="12628" s="42" customFormat="1" x14ac:dyDescent="0.25"/>
    <row r="12629" s="42" customFormat="1" x14ac:dyDescent="0.25"/>
    <row r="12630" s="42" customFormat="1" x14ac:dyDescent="0.25"/>
    <row r="12631" s="42" customFormat="1" x14ac:dyDescent="0.25"/>
    <row r="12632" s="42" customFormat="1" x14ac:dyDescent="0.25"/>
    <row r="12633" s="42" customFormat="1" x14ac:dyDescent="0.25"/>
    <row r="12634" s="42" customFormat="1" x14ac:dyDescent="0.25"/>
    <row r="12635" s="42" customFormat="1" x14ac:dyDescent="0.25"/>
    <row r="12636" s="42" customFormat="1" x14ac:dyDescent="0.25"/>
    <row r="12637" s="42" customFormat="1" x14ac:dyDescent="0.25"/>
    <row r="12638" s="42" customFormat="1" x14ac:dyDescent="0.25"/>
    <row r="12639" s="42" customFormat="1" x14ac:dyDescent="0.25"/>
    <row r="12640" s="42" customFormat="1" x14ac:dyDescent="0.25"/>
    <row r="12641" s="42" customFormat="1" x14ac:dyDescent="0.25"/>
    <row r="12642" s="42" customFormat="1" x14ac:dyDescent="0.25"/>
    <row r="12643" s="42" customFormat="1" x14ac:dyDescent="0.25"/>
    <row r="12644" s="42" customFormat="1" x14ac:dyDescent="0.25"/>
    <row r="12645" s="42" customFormat="1" x14ac:dyDescent="0.25"/>
    <row r="12646" s="42" customFormat="1" x14ac:dyDescent="0.25"/>
    <row r="12647" s="42" customFormat="1" x14ac:dyDescent="0.25"/>
    <row r="12648" s="42" customFormat="1" x14ac:dyDescent="0.25"/>
    <row r="12649" s="42" customFormat="1" x14ac:dyDescent="0.25"/>
    <row r="12650" s="42" customFormat="1" x14ac:dyDescent="0.25"/>
    <row r="12651" s="42" customFormat="1" x14ac:dyDescent="0.25"/>
    <row r="12652" s="42" customFormat="1" x14ac:dyDescent="0.25"/>
    <row r="12653" s="42" customFormat="1" x14ac:dyDescent="0.25"/>
    <row r="12654" s="42" customFormat="1" x14ac:dyDescent="0.25"/>
    <row r="12655" s="42" customFormat="1" x14ac:dyDescent="0.25"/>
    <row r="12656" s="42" customFormat="1" x14ac:dyDescent="0.25"/>
    <row r="12657" s="42" customFormat="1" x14ac:dyDescent="0.25"/>
    <row r="12658" s="42" customFormat="1" x14ac:dyDescent="0.25"/>
    <row r="12659" s="42" customFormat="1" x14ac:dyDescent="0.25"/>
    <row r="12660" s="42" customFormat="1" x14ac:dyDescent="0.25"/>
    <row r="12661" s="42" customFormat="1" x14ac:dyDescent="0.25"/>
    <row r="12662" s="42" customFormat="1" x14ac:dyDescent="0.25"/>
    <row r="12663" s="42" customFormat="1" x14ac:dyDescent="0.25"/>
    <row r="12664" s="42" customFormat="1" x14ac:dyDescent="0.25"/>
    <row r="12665" s="42" customFormat="1" x14ac:dyDescent="0.25"/>
    <row r="12666" s="42" customFormat="1" x14ac:dyDescent="0.25"/>
    <row r="12667" s="42" customFormat="1" x14ac:dyDescent="0.25"/>
    <row r="12668" s="42" customFormat="1" x14ac:dyDescent="0.25"/>
    <row r="12669" s="42" customFormat="1" x14ac:dyDescent="0.25"/>
    <row r="12670" s="42" customFormat="1" x14ac:dyDescent="0.25"/>
    <row r="12671" s="42" customFormat="1" x14ac:dyDescent="0.25"/>
    <row r="12672" s="42" customFormat="1" x14ac:dyDescent="0.25"/>
    <row r="12673" s="42" customFormat="1" x14ac:dyDescent="0.25"/>
    <row r="12674" s="42" customFormat="1" x14ac:dyDescent="0.25"/>
    <row r="12675" s="42" customFormat="1" x14ac:dyDescent="0.25"/>
    <row r="12676" s="42" customFormat="1" x14ac:dyDescent="0.25"/>
    <row r="12677" s="42" customFormat="1" x14ac:dyDescent="0.25"/>
    <row r="12678" s="42" customFormat="1" x14ac:dyDescent="0.25"/>
    <row r="12679" s="42" customFormat="1" x14ac:dyDescent="0.25"/>
    <row r="12680" s="42" customFormat="1" x14ac:dyDescent="0.25"/>
    <row r="12681" s="42" customFormat="1" x14ac:dyDescent="0.25"/>
    <row r="12682" s="42" customFormat="1" x14ac:dyDescent="0.25"/>
    <row r="12683" s="42" customFormat="1" x14ac:dyDescent="0.25"/>
    <row r="12684" s="42" customFormat="1" x14ac:dyDescent="0.25"/>
    <row r="12685" s="42" customFormat="1" x14ac:dyDescent="0.25"/>
    <row r="12686" s="42" customFormat="1" x14ac:dyDescent="0.25"/>
    <row r="12687" s="42" customFormat="1" x14ac:dyDescent="0.25"/>
    <row r="12688" s="42" customFormat="1" x14ac:dyDescent="0.25"/>
    <row r="12689" s="42" customFormat="1" x14ac:dyDescent="0.25"/>
    <row r="12690" s="42" customFormat="1" x14ac:dyDescent="0.25"/>
    <row r="12691" s="42" customFormat="1" x14ac:dyDescent="0.25"/>
    <row r="12692" s="42" customFormat="1" x14ac:dyDescent="0.25"/>
    <row r="12693" s="42" customFormat="1" x14ac:dyDescent="0.25"/>
    <row r="12694" s="42" customFormat="1" x14ac:dyDescent="0.25"/>
    <row r="12695" s="42" customFormat="1" x14ac:dyDescent="0.25"/>
    <row r="12696" s="42" customFormat="1" x14ac:dyDescent="0.25"/>
    <row r="12697" s="42" customFormat="1" x14ac:dyDescent="0.25"/>
    <row r="12698" s="42" customFormat="1" x14ac:dyDescent="0.25"/>
    <row r="12699" s="42" customFormat="1" x14ac:dyDescent="0.25"/>
    <row r="12700" s="42" customFormat="1" x14ac:dyDescent="0.25"/>
    <row r="12701" s="42" customFormat="1" x14ac:dyDescent="0.25"/>
    <row r="12702" s="42" customFormat="1" x14ac:dyDescent="0.25"/>
    <row r="12703" s="42" customFormat="1" x14ac:dyDescent="0.25"/>
    <row r="12704" s="42" customFormat="1" x14ac:dyDescent="0.25"/>
    <row r="12705" s="42" customFormat="1" x14ac:dyDescent="0.25"/>
    <row r="12706" s="42" customFormat="1" x14ac:dyDescent="0.25"/>
    <row r="12707" s="42" customFormat="1" x14ac:dyDescent="0.25"/>
    <row r="12708" s="42" customFormat="1" x14ac:dyDescent="0.25"/>
    <row r="12709" s="42" customFormat="1" x14ac:dyDescent="0.25"/>
    <row r="12710" s="42" customFormat="1" x14ac:dyDescent="0.25"/>
    <row r="12711" s="42" customFormat="1" x14ac:dyDescent="0.25"/>
    <row r="12712" s="42" customFormat="1" x14ac:dyDescent="0.25"/>
    <row r="12713" s="42" customFormat="1" x14ac:dyDescent="0.25"/>
    <row r="12714" s="42" customFormat="1" x14ac:dyDescent="0.25"/>
    <row r="12715" s="42" customFormat="1" x14ac:dyDescent="0.25"/>
    <row r="12716" s="42" customFormat="1" x14ac:dyDescent="0.25"/>
    <row r="12717" s="42" customFormat="1" x14ac:dyDescent="0.25"/>
    <row r="12718" s="42" customFormat="1" x14ac:dyDescent="0.25"/>
    <row r="12719" s="42" customFormat="1" x14ac:dyDescent="0.25"/>
    <row r="12720" s="42" customFormat="1" x14ac:dyDescent="0.25"/>
    <row r="12721" s="42" customFormat="1" x14ac:dyDescent="0.25"/>
    <row r="12722" s="42" customFormat="1" x14ac:dyDescent="0.25"/>
    <row r="12723" s="42" customFormat="1" x14ac:dyDescent="0.25"/>
    <row r="12724" s="42" customFormat="1" x14ac:dyDescent="0.25"/>
    <row r="12725" s="42" customFormat="1" x14ac:dyDescent="0.25"/>
    <row r="12726" s="42" customFormat="1" x14ac:dyDescent="0.25"/>
    <row r="12727" s="42" customFormat="1" x14ac:dyDescent="0.25"/>
    <row r="12728" s="42" customFormat="1" x14ac:dyDescent="0.25"/>
    <row r="12729" s="42" customFormat="1" x14ac:dyDescent="0.25"/>
    <row r="12730" s="42" customFormat="1" x14ac:dyDescent="0.25"/>
    <row r="12731" s="42" customFormat="1" x14ac:dyDescent="0.25"/>
    <row r="12732" s="42" customFormat="1" x14ac:dyDescent="0.25"/>
    <row r="12733" s="42" customFormat="1" x14ac:dyDescent="0.25"/>
    <row r="12734" s="42" customFormat="1" x14ac:dyDescent="0.25"/>
    <row r="12735" s="42" customFormat="1" x14ac:dyDescent="0.25"/>
    <row r="12736" s="42" customFormat="1" x14ac:dyDescent="0.25"/>
    <row r="12737" s="42" customFormat="1" x14ac:dyDescent="0.25"/>
    <row r="12738" s="42" customFormat="1" x14ac:dyDescent="0.25"/>
    <row r="12739" s="42" customFormat="1" x14ac:dyDescent="0.25"/>
    <row r="12740" s="42" customFormat="1" x14ac:dyDescent="0.25"/>
    <row r="12741" s="42" customFormat="1" x14ac:dyDescent="0.25"/>
    <row r="12742" s="42" customFormat="1" x14ac:dyDescent="0.25"/>
    <row r="12743" s="42" customFormat="1" x14ac:dyDescent="0.25"/>
    <row r="12744" s="42" customFormat="1" x14ac:dyDescent="0.25"/>
    <row r="12745" s="42" customFormat="1" x14ac:dyDescent="0.25"/>
    <row r="12746" s="42" customFormat="1" x14ac:dyDescent="0.25"/>
    <row r="12747" s="42" customFormat="1" x14ac:dyDescent="0.25"/>
    <row r="12748" s="42" customFormat="1" x14ac:dyDescent="0.25"/>
    <row r="12749" s="42" customFormat="1" x14ac:dyDescent="0.25"/>
    <row r="12750" s="42" customFormat="1" x14ac:dyDescent="0.25"/>
    <row r="12751" s="42" customFormat="1" x14ac:dyDescent="0.25"/>
    <row r="12752" s="42" customFormat="1" x14ac:dyDescent="0.25"/>
    <row r="12753" s="42" customFormat="1" x14ac:dyDescent="0.25"/>
    <row r="12754" s="42" customFormat="1" x14ac:dyDescent="0.25"/>
    <row r="12755" s="42" customFormat="1" x14ac:dyDescent="0.25"/>
    <row r="12756" s="42" customFormat="1" x14ac:dyDescent="0.25"/>
    <row r="12757" s="42" customFormat="1" x14ac:dyDescent="0.25"/>
    <row r="12758" s="42" customFormat="1" x14ac:dyDescent="0.25"/>
    <row r="12759" s="42" customFormat="1" x14ac:dyDescent="0.25"/>
    <row r="12760" s="42" customFormat="1" x14ac:dyDescent="0.25"/>
    <row r="12761" s="42" customFormat="1" x14ac:dyDescent="0.25"/>
    <row r="12762" s="42" customFormat="1" x14ac:dyDescent="0.25"/>
    <row r="12763" s="42" customFormat="1" x14ac:dyDescent="0.25"/>
    <row r="12764" s="42" customFormat="1" x14ac:dyDescent="0.25"/>
    <row r="12765" s="42" customFormat="1" x14ac:dyDescent="0.25"/>
    <row r="12766" s="42" customFormat="1" x14ac:dyDescent="0.25"/>
    <row r="12767" s="42" customFormat="1" x14ac:dyDescent="0.25"/>
    <row r="12768" s="42" customFormat="1" x14ac:dyDescent="0.25"/>
    <row r="12769" s="42" customFormat="1" x14ac:dyDescent="0.25"/>
    <row r="12770" s="42" customFormat="1" x14ac:dyDescent="0.25"/>
    <row r="12771" s="42" customFormat="1" x14ac:dyDescent="0.25"/>
    <row r="12772" s="42" customFormat="1" x14ac:dyDescent="0.25"/>
    <row r="12773" s="42" customFormat="1" x14ac:dyDescent="0.25"/>
    <row r="12774" s="42" customFormat="1" x14ac:dyDescent="0.25"/>
    <row r="12775" s="42" customFormat="1" x14ac:dyDescent="0.25"/>
    <row r="12776" s="42" customFormat="1" x14ac:dyDescent="0.25"/>
    <row r="12777" s="42" customFormat="1" x14ac:dyDescent="0.25"/>
    <row r="12778" s="42" customFormat="1" x14ac:dyDescent="0.25"/>
    <row r="12779" s="42" customFormat="1" x14ac:dyDescent="0.25"/>
    <row r="12780" s="42" customFormat="1" x14ac:dyDescent="0.25"/>
    <row r="12781" s="42" customFormat="1" x14ac:dyDescent="0.25"/>
    <row r="12782" s="42" customFormat="1" x14ac:dyDescent="0.25"/>
    <row r="12783" s="42" customFormat="1" x14ac:dyDescent="0.25"/>
    <row r="12784" s="42" customFormat="1" x14ac:dyDescent="0.25"/>
    <row r="12785" s="42" customFormat="1" x14ac:dyDescent="0.25"/>
    <row r="12786" s="42" customFormat="1" x14ac:dyDescent="0.25"/>
    <row r="12787" s="42" customFormat="1" x14ac:dyDescent="0.25"/>
    <row r="12788" s="42" customFormat="1" x14ac:dyDescent="0.25"/>
    <row r="12789" s="42" customFormat="1" x14ac:dyDescent="0.25"/>
    <row r="12790" s="42" customFormat="1" x14ac:dyDescent="0.25"/>
    <row r="12791" s="42" customFormat="1" x14ac:dyDescent="0.25"/>
    <row r="12792" s="42" customFormat="1" x14ac:dyDescent="0.25"/>
    <row r="12793" s="42" customFormat="1" x14ac:dyDescent="0.25"/>
    <row r="12794" s="42" customFormat="1" x14ac:dyDescent="0.25"/>
    <row r="12795" s="42" customFormat="1" x14ac:dyDescent="0.25"/>
    <row r="12796" s="42" customFormat="1" x14ac:dyDescent="0.25"/>
    <row r="12797" s="42" customFormat="1" x14ac:dyDescent="0.25"/>
    <row r="12798" s="42" customFormat="1" x14ac:dyDescent="0.25"/>
    <row r="12799" s="42" customFormat="1" x14ac:dyDescent="0.25"/>
    <row r="12800" s="42" customFormat="1" x14ac:dyDescent="0.25"/>
    <row r="12801" s="42" customFormat="1" x14ac:dyDescent="0.25"/>
    <row r="12802" s="42" customFormat="1" x14ac:dyDescent="0.25"/>
    <row r="12803" s="42" customFormat="1" x14ac:dyDescent="0.25"/>
    <row r="12804" s="42" customFormat="1" x14ac:dyDescent="0.25"/>
    <row r="12805" s="42" customFormat="1" x14ac:dyDescent="0.25"/>
    <row r="12806" s="42" customFormat="1" x14ac:dyDescent="0.25"/>
    <row r="12807" s="42" customFormat="1" x14ac:dyDescent="0.25"/>
    <row r="12808" s="42" customFormat="1" x14ac:dyDescent="0.25"/>
    <row r="12809" s="42" customFormat="1" x14ac:dyDescent="0.25"/>
    <row r="12810" s="42" customFormat="1" x14ac:dyDescent="0.25"/>
    <row r="12811" s="42" customFormat="1" x14ac:dyDescent="0.25"/>
    <row r="12812" s="42" customFormat="1" x14ac:dyDescent="0.25"/>
    <row r="12813" s="42" customFormat="1" x14ac:dyDescent="0.25"/>
    <row r="12814" s="42" customFormat="1" x14ac:dyDescent="0.25"/>
    <row r="12815" s="42" customFormat="1" x14ac:dyDescent="0.25"/>
    <row r="12816" s="42" customFormat="1" x14ac:dyDescent="0.25"/>
    <row r="12817" s="42" customFormat="1" x14ac:dyDescent="0.25"/>
    <row r="12818" s="42" customFormat="1" x14ac:dyDescent="0.25"/>
    <row r="12819" s="42" customFormat="1" x14ac:dyDescent="0.25"/>
    <row r="12820" s="42" customFormat="1" x14ac:dyDescent="0.25"/>
    <row r="12821" s="42" customFormat="1" x14ac:dyDescent="0.25"/>
    <row r="12822" s="42" customFormat="1" x14ac:dyDescent="0.25"/>
    <row r="12823" s="42" customFormat="1" x14ac:dyDescent="0.25"/>
    <row r="12824" s="42" customFormat="1" x14ac:dyDescent="0.25"/>
    <row r="12825" s="42" customFormat="1" x14ac:dyDescent="0.25"/>
    <row r="12826" s="42" customFormat="1" x14ac:dyDescent="0.25"/>
    <row r="12827" s="42" customFormat="1" x14ac:dyDescent="0.25"/>
    <row r="12828" s="42" customFormat="1" x14ac:dyDescent="0.25"/>
    <row r="12829" s="42" customFormat="1" x14ac:dyDescent="0.25"/>
    <row r="12830" s="42" customFormat="1" x14ac:dyDescent="0.25"/>
    <row r="12831" s="42" customFormat="1" x14ac:dyDescent="0.25"/>
    <row r="12832" s="42" customFormat="1" x14ac:dyDescent="0.25"/>
    <row r="12833" s="42" customFormat="1" x14ac:dyDescent="0.25"/>
    <row r="12834" s="42" customFormat="1" x14ac:dyDescent="0.25"/>
    <row r="12835" s="42" customFormat="1" x14ac:dyDescent="0.25"/>
    <row r="12836" s="42" customFormat="1" x14ac:dyDescent="0.25"/>
    <row r="12837" s="42" customFormat="1" x14ac:dyDescent="0.25"/>
    <row r="12838" s="42" customFormat="1" x14ac:dyDescent="0.25"/>
    <row r="12839" s="42" customFormat="1" x14ac:dyDescent="0.25"/>
    <row r="12840" s="42" customFormat="1" x14ac:dyDescent="0.25"/>
    <row r="12841" s="42" customFormat="1" x14ac:dyDescent="0.25"/>
    <row r="12842" s="42" customFormat="1" x14ac:dyDescent="0.25"/>
    <row r="12843" s="42" customFormat="1" x14ac:dyDescent="0.25"/>
    <row r="12844" s="42" customFormat="1" x14ac:dyDescent="0.25"/>
    <row r="12845" s="42" customFormat="1" x14ac:dyDescent="0.25"/>
    <row r="12846" s="42" customFormat="1" x14ac:dyDescent="0.25"/>
    <row r="12847" s="42" customFormat="1" x14ac:dyDescent="0.25"/>
    <row r="12848" s="42" customFormat="1" x14ac:dyDescent="0.25"/>
    <row r="12849" s="42" customFormat="1" x14ac:dyDescent="0.25"/>
    <row r="12850" s="42" customFormat="1" x14ac:dyDescent="0.25"/>
    <row r="12851" s="42" customFormat="1" x14ac:dyDescent="0.25"/>
    <row r="12852" s="42" customFormat="1" x14ac:dyDescent="0.25"/>
    <row r="12853" s="42" customFormat="1" x14ac:dyDescent="0.25"/>
    <row r="12854" s="42" customFormat="1" x14ac:dyDescent="0.25"/>
    <row r="12855" s="42" customFormat="1" x14ac:dyDescent="0.25"/>
    <row r="12856" s="42" customFormat="1" x14ac:dyDescent="0.25"/>
    <row r="12857" s="42" customFormat="1" x14ac:dyDescent="0.25"/>
    <row r="12858" s="42" customFormat="1" x14ac:dyDescent="0.25"/>
    <row r="12859" s="42" customFormat="1" x14ac:dyDescent="0.25"/>
    <row r="12860" s="42" customFormat="1" x14ac:dyDescent="0.25"/>
    <row r="12861" s="42" customFormat="1" x14ac:dyDescent="0.25"/>
    <row r="12862" s="42" customFormat="1" x14ac:dyDescent="0.25"/>
    <row r="12863" s="42" customFormat="1" x14ac:dyDescent="0.25"/>
    <row r="12864" s="42" customFormat="1" x14ac:dyDescent="0.25"/>
    <row r="12865" s="42" customFormat="1" x14ac:dyDescent="0.25"/>
    <row r="12866" s="42" customFormat="1" x14ac:dyDescent="0.25"/>
    <row r="12867" s="42" customFormat="1" x14ac:dyDescent="0.25"/>
    <row r="12868" s="42" customFormat="1" x14ac:dyDescent="0.25"/>
    <row r="12869" s="42" customFormat="1" x14ac:dyDescent="0.25"/>
    <row r="12870" s="42" customFormat="1" x14ac:dyDescent="0.25"/>
    <row r="12871" s="42" customFormat="1" x14ac:dyDescent="0.25"/>
    <row r="12872" s="42" customFormat="1" x14ac:dyDescent="0.25"/>
    <row r="12873" s="42" customFormat="1" x14ac:dyDescent="0.25"/>
    <row r="12874" s="42" customFormat="1" x14ac:dyDescent="0.25"/>
    <row r="12875" s="42" customFormat="1" x14ac:dyDescent="0.25"/>
    <row r="12876" s="42" customFormat="1" x14ac:dyDescent="0.25"/>
    <row r="12877" s="42" customFormat="1" x14ac:dyDescent="0.25"/>
    <row r="12878" s="42" customFormat="1" x14ac:dyDescent="0.25"/>
    <row r="12879" s="42" customFormat="1" x14ac:dyDescent="0.25"/>
    <row r="12880" s="42" customFormat="1" x14ac:dyDescent="0.25"/>
    <row r="12881" s="42" customFormat="1" x14ac:dyDescent="0.25"/>
    <row r="12882" s="42" customFormat="1" x14ac:dyDescent="0.25"/>
    <row r="12883" s="42" customFormat="1" x14ac:dyDescent="0.25"/>
    <row r="12884" s="42" customFormat="1" x14ac:dyDescent="0.25"/>
    <row r="12885" s="42" customFormat="1" x14ac:dyDescent="0.25"/>
    <row r="12886" s="42" customFormat="1" x14ac:dyDescent="0.25"/>
    <row r="12887" s="42" customFormat="1" x14ac:dyDescent="0.25"/>
    <row r="12888" s="42" customFormat="1" x14ac:dyDescent="0.25"/>
    <row r="12889" s="42" customFormat="1" x14ac:dyDescent="0.25"/>
    <row r="12890" s="42" customFormat="1" x14ac:dyDescent="0.25"/>
    <row r="12891" s="42" customFormat="1" x14ac:dyDescent="0.25"/>
    <row r="12892" s="42" customFormat="1" x14ac:dyDescent="0.25"/>
    <row r="12893" s="42" customFormat="1" x14ac:dyDescent="0.25"/>
    <row r="12894" s="42" customFormat="1" x14ac:dyDescent="0.25"/>
    <row r="12895" s="42" customFormat="1" x14ac:dyDescent="0.25"/>
    <row r="12896" s="42" customFormat="1" x14ac:dyDescent="0.25"/>
    <row r="12897" s="42" customFormat="1" x14ac:dyDescent="0.25"/>
    <row r="12898" s="42" customFormat="1" x14ac:dyDescent="0.25"/>
    <row r="12899" s="42" customFormat="1" x14ac:dyDescent="0.25"/>
    <row r="12900" s="42" customFormat="1" x14ac:dyDescent="0.25"/>
    <row r="12901" s="42" customFormat="1" x14ac:dyDescent="0.25"/>
    <row r="12902" s="42" customFormat="1" x14ac:dyDescent="0.25"/>
    <row r="12903" s="42" customFormat="1" x14ac:dyDescent="0.25"/>
    <row r="12904" s="42" customFormat="1" x14ac:dyDescent="0.25"/>
    <row r="12905" s="42" customFormat="1" x14ac:dyDescent="0.25"/>
    <row r="12906" s="42" customFormat="1" x14ac:dyDescent="0.25"/>
    <row r="12907" s="42" customFormat="1" x14ac:dyDescent="0.25"/>
    <row r="12908" s="42" customFormat="1" x14ac:dyDescent="0.25"/>
    <row r="12909" s="42" customFormat="1" x14ac:dyDescent="0.25"/>
    <row r="12910" s="42" customFormat="1" x14ac:dyDescent="0.25"/>
    <row r="12911" s="42" customFormat="1" x14ac:dyDescent="0.25"/>
    <row r="12912" s="42" customFormat="1" x14ac:dyDescent="0.25"/>
    <row r="12913" s="42" customFormat="1" x14ac:dyDescent="0.25"/>
    <row r="12914" s="42" customFormat="1" x14ac:dyDescent="0.25"/>
    <row r="12915" s="42" customFormat="1" x14ac:dyDescent="0.25"/>
    <row r="12916" s="42" customFormat="1" x14ac:dyDescent="0.25"/>
    <row r="12917" s="42" customFormat="1" x14ac:dyDescent="0.25"/>
    <row r="12918" s="42" customFormat="1" x14ac:dyDescent="0.25"/>
    <row r="12919" s="42" customFormat="1" x14ac:dyDescent="0.25"/>
    <row r="12920" s="42" customFormat="1" x14ac:dyDescent="0.25"/>
    <row r="12921" s="42" customFormat="1" x14ac:dyDescent="0.25"/>
    <row r="12922" s="42" customFormat="1" x14ac:dyDescent="0.25"/>
    <row r="12923" s="42" customFormat="1" x14ac:dyDescent="0.25"/>
    <row r="12924" s="42" customFormat="1" x14ac:dyDescent="0.25"/>
    <row r="12925" s="42" customFormat="1" x14ac:dyDescent="0.25"/>
    <row r="12926" s="42" customFormat="1" x14ac:dyDescent="0.25"/>
    <row r="12927" s="42" customFormat="1" x14ac:dyDescent="0.25"/>
    <row r="12928" s="42" customFormat="1" x14ac:dyDescent="0.25"/>
    <row r="12929" s="42" customFormat="1" x14ac:dyDescent="0.25"/>
    <row r="12930" s="42" customFormat="1" x14ac:dyDescent="0.25"/>
    <row r="12931" s="42" customFormat="1" x14ac:dyDescent="0.25"/>
    <row r="12932" s="42" customFormat="1" x14ac:dyDescent="0.25"/>
    <row r="12933" s="42" customFormat="1" x14ac:dyDescent="0.25"/>
    <row r="12934" s="42" customFormat="1" x14ac:dyDescent="0.25"/>
    <row r="12935" s="42" customFormat="1" x14ac:dyDescent="0.25"/>
    <row r="12936" s="42" customFormat="1" x14ac:dyDescent="0.25"/>
    <row r="12937" s="42" customFormat="1" x14ac:dyDescent="0.25"/>
    <row r="12938" s="42" customFormat="1" x14ac:dyDescent="0.25"/>
    <row r="12939" s="42" customFormat="1" x14ac:dyDescent="0.25"/>
    <row r="12940" s="42" customFormat="1" x14ac:dyDescent="0.25"/>
    <row r="12941" s="42" customFormat="1" x14ac:dyDescent="0.25"/>
    <row r="12942" s="42" customFormat="1" x14ac:dyDescent="0.25"/>
    <row r="12943" s="42" customFormat="1" x14ac:dyDescent="0.25"/>
    <row r="12944" s="42" customFormat="1" x14ac:dyDescent="0.25"/>
    <row r="12945" s="42" customFormat="1" x14ac:dyDescent="0.25"/>
    <row r="12946" s="42" customFormat="1" x14ac:dyDescent="0.25"/>
    <row r="12947" s="42" customFormat="1" x14ac:dyDescent="0.25"/>
    <row r="12948" s="42" customFormat="1" x14ac:dyDescent="0.25"/>
    <row r="12949" s="42" customFormat="1" x14ac:dyDescent="0.25"/>
    <row r="12950" s="42" customFormat="1" x14ac:dyDescent="0.25"/>
    <row r="12951" s="42" customFormat="1" x14ac:dyDescent="0.25"/>
    <row r="12952" s="42" customFormat="1" x14ac:dyDescent="0.25"/>
    <row r="12953" s="42" customFormat="1" x14ac:dyDescent="0.25"/>
    <row r="12954" s="42" customFormat="1" x14ac:dyDescent="0.25"/>
    <row r="12955" s="42" customFormat="1" x14ac:dyDescent="0.25"/>
    <row r="12956" s="42" customFormat="1" x14ac:dyDescent="0.25"/>
    <row r="12957" s="42" customFormat="1" x14ac:dyDescent="0.25"/>
    <row r="12958" s="42" customFormat="1" x14ac:dyDescent="0.25"/>
    <row r="12959" s="42" customFormat="1" x14ac:dyDescent="0.25"/>
    <row r="12960" s="42" customFormat="1" x14ac:dyDescent="0.25"/>
    <row r="12961" s="42" customFormat="1" x14ac:dyDescent="0.25"/>
    <row r="12962" s="42" customFormat="1" x14ac:dyDescent="0.25"/>
    <row r="12963" s="42" customFormat="1" x14ac:dyDescent="0.25"/>
    <row r="12964" s="42" customFormat="1" x14ac:dyDescent="0.25"/>
    <row r="12965" s="42" customFormat="1" x14ac:dyDescent="0.25"/>
    <row r="12966" s="42" customFormat="1" x14ac:dyDescent="0.25"/>
    <row r="12967" s="42" customFormat="1" x14ac:dyDescent="0.25"/>
    <row r="12968" s="42" customFormat="1" x14ac:dyDescent="0.25"/>
    <row r="12969" s="42" customFormat="1" x14ac:dyDescent="0.25"/>
    <row r="12970" s="42" customFormat="1" x14ac:dyDescent="0.25"/>
    <row r="12971" s="42" customFormat="1" x14ac:dyDescent="0.25"/>
    <row r="12972" s="42" customFormat="1" x14ac:dyDescent="0.25"/>
    <row r="12973" s="42" customFormat="1" x14ac:dyDescent="0.25"/>
    <row r="12974" s="42" customFormat="1" x14ac:dyDescent="0.25"/>
    <row r="12975" s="42" customFormat="1" x14ac:dyDescent="0.25"/>
    <row r="12976" s="42" customFormat="1" x14ac:dyDescent="0.25"/>
    <row r="12977" s="42" customFormat="1" x14ac:dyDescent="0.25"/>
    <row r="12978" s="42" customFormat="1" x14ac:dyDescent="0.25"/>
    <row r="12979" s="42" customFormat="1" x14ac:dyDescent="0.25"/>
    <row r="12980" s="42" customFormat="1" x14ac:dyDescent="0.25"/>
    <row r="12981" s="42" customFormat="1" x14ac:dyDescent="0.25"/>
    <row r="12982" s="42" customFormat="1" x14ac:dyDescent="0.25"/>
    <row r="12983" s="42" customFormat="1" x14ac:dyDescent="0.25"/>
    <row r="12984" s="42" customFormat="1" x14ac:dyDescent="0.25"/>
    <row r="12985" s="42" customFormat="1" x14ac:dyDescent="0.25"/>
    <row r="12986" s="42" customFormat="1" x14ac:dyDescent="0.25"/>
    <row r="12987" s="42" customFormat="1" x14ac:dyDescent="0.25"/>
    <row r="12988" s="42" customFormat="1" x14ac:dyDescent="0.25"/>
    <row r="12989" s="42" customFormat="1" x14ac:dyDescent="0.25"/>
    <row r="12990" s="42" customFormat="1" x14ac:dyDescent="0.25"/>
    <row r="12991" s="42" customFormat="1" x14ac:dyDescent="0.25"/>
    <row r="12992" s="42" customFormat="1" x14ac:dyDescent="0.25"/>
    <row r="12993" s="42" customFormat="1" x14ac:dyDescent="0.25"/>
    <row r="12994" s="42" customFormat="1" x14ac:dyDescent="0.25"/>
    <row r="12995" s="42" customFormat="1" x14ac:dyDescent="0.25"/>
    <row r="12996" s="42" customFormat="1" x14ac:dyDescent="0.25"/>
    <row r="12997" s="42" customFormat="1" x14ac:dyDescent="0.25"/>
    <row r="12998" s="42" customFormat="1" x14ac:dyDescent="0.25"/>
    <row r="12999" s="42" customFormat="1" x14ac:dyDescent="0.25"/>
    <row r="13000" s="42" customFormat="1" x14ac:dyDescent="0.25"/>
    <row r="13001" s="42" customFormat="1" x14ac:dyDescent="0.25"/>
    <row r="13002" s="42" customFormat="1" x14ac:dyDescent="0.25"/>
    <row r="13003" s="42" customFormat="1" x14ac:dyDescent="0.25"/>
    <row r="13004" s="42" customFormat="1" x14ac:dyDescent="0.25"/>
    <row r="13005" s="42" customFormat="1" x14ac:dyDescent="0.25"/>
    <row r="13006" s="42" customFormat="1" x14ac:dyDescent="0.25"/>
    <row r="13007" s="42" customFormat="1" x14ac:dyDescent="0.25"/>
    <row r="13008" s="42" customFormat="1" x14ac:dyDescent="0.25"/>
    <row r="13009" s="42" customFormat="1" x14ac:dyDescent="0.25"/>
    <row r="13010" s="42" customFormat="1" x14ac:dyDescent="0.25"/>
    <row r="13011" s="42" customFormat="1" x14ac:dyDescent="0.25"/>
    <row r="13012" s="42" customFormat="1" x14ac:dyDescent="0.25"/>
    <row r="13013" s="42" customFormat="1" x14ac:dyDescent="0.25"/>
    <row r="13014" s="42" customFormat="1" x14ac:dyDescent="0.25"/>
    <row r="13015" s="42" customFormat="1" x14ac:dyDescent="0.25"/>
    <row r="13016" s="42" customFormat="1" x14ac:dyDescent="0.25"/>
    <row r="13017" s="42" customFormat="1" x14ac:dyDescent="0.25"/>
    <row r="13018" s="42" customFormat="1" x14ac:dyDescent="0.25"/>
    <row r="13019" s="42" customFormat="1" x14ac:dyDescent="0.25"/>
    <row r="13020" s="42" customFormat="1" x14ac:dyDescent="0.25"/>
    <row r="13021" s="42" customFormat="1" x14ac:dyDescent="0.25"/>
    <row r="13022" s="42" customFormat="1" x14ac:dyDescent="0.25"/>
    <row r="13023" s="42" customFormat="1" x14ac:dyDescent="0.25"/>
    <row r="13024" s="42" customFormat="1" x14ac:dyDescent="0.25"/>
    <row r="13025" s="42" customFormat="1" x14ac:dyDescent="0.25"/>
    <row r="13026" s="42" customFormat="1" x14ac:dyDescent="0.25"/>
    <row r="13027" s="42" customFormat="1" x14ac:dyDescent="0.25"/>
    <row r="13028" s="42" customFormat="1" x14ac:dyDescent="0.25"/>
    <row r="13029" s="42" customFormat="1" x14ac:dyDescent="0.25"/>
    <row r="13030" s="42" customFormat="1" x14ac:dyDescent="0.25"/>
    <row r="13031" s="42" customFormat="1" x14ac:dyDescent="0.25"/>
    <row r="13032" s="42" customFormat="1" x14ac:dyDescent="0.25"/>
    <row r="13033" s="42" customFormat="1" x14ac:dyDescent="0.25"/>
    <row r="13034" s="42" customFormat="1" x14ac:dyDescent="0.25"/>
    <row r="13035" s="42" customFormat="1" x14ac:dyDescent="0.25"/>
    <row r="13036" s="42" customFormat="1" x14ac:dyDescent="0.25"/>
    <row r="13037" s="42" customFormat="1" x14ac:dyDescent="0.25"/>
    <row r="13038" s="42" customFormat="1" x14ac:dyDescent="0.25"/>
    <row r="13039" s="42" customFormat="1" x14ac:dyDescent="0.25"/>
    <row r="13040" s="42" customFormat="1" x14ac:dyDescent="0.25"/>
    <row r="13041" s="42" customFormat="1" x14ac:dyDescent="0.25"/>
    <row r="13042" s="42" customFormat="1" x14ac:dyDescent="0.25"/>
    <row r="13043" s="42" customFormat="1" x14ac:dyDescent="0.25"/>
    <row r="13044" s="42" customFormat="1" x14ac:dyDescent="0.25"/>
    <row r="13045" s="42" customFormat="1" x14ac:dyDescent="0.25"/>
    <row r="13046" s="42" customFormat="1" x14ac:dyDescent="0.25"/>
    <row r="13047" s="42" customFormat="1" x14ac:dyDescent="0.25"/>
    <row r="13048" s="42" customFormat="1" x14ac:dyDescent="0.25"/>
    <row r="13049" s="42" customFormat="1" x14ac:dyDescent="0.25"/>
    <row r="13050" s="42" customFormat="1" x14ac:dyDescent="0.25"/>
    <row r="13051" s="42" customFormat="1" x14ac:dyDescent="0.25"/>
    <row r="13052" s="42" customFormat="1" x14ac:dyDescent="0.25"/>
    <row r="13053" s="42" customFormat="1" x14ac:dyDescent="0.25"/>
    <row r="13054" s="42" customFormat="1" x14ac:dyDescent="0.25"/>
    <row r="13055" s="42" customFormat="1" x14ac:dyDescent="0.25"/>
    <row r="13056" s="42" customFormat="1" x14ac:dyDescent="0.25"/>
    <row r="13057" s="42" customFormat="1" x14ac:dyDescent="0.25"/>
    <row r="13058" s="42" customFormat="1" x14ac:dyDescent="0.25"/>
    <row r="13059" s="42" customFormat="1" x14ac:dyDescent="0.25"/>
    <row r="13060" s="42" customFormat="1" x14ac:dyDescent="0.25"/>
    <row r="13061" s="42" customFormat="1" x14ac:dyDescent="0.25"/>
    <row r="13062" s="42" customFormat="1" x14ac:dyDescent="0.25"/>
    <row r="13063" s="42" customFormat="1" x14ac:dyDescent="0.25"/>
    <row r="13064" s="42" customFormat="1" x14ac:dyDescent="0.25"/>
    <row r="13065" s="42" customFormat="1" x14ac:dyDescent="0.25"/>
    <row r="13066" s="42" customFormat="1" x14ac:dyDescent="0.25"/>
    <row r="13067" s="42" customFormat="1" x14ac:dyDescent="0.25"/>
    <row r="13068" s="42" customFormat="1" x14ac:dyDescent="0.25"/>
    <row r="13069" s="42" customFormat="1" x14ac:dyDescent="0.25"/>
    <row r="13070" s="42" customFormat="1" x14ac:dyDescent="0.25"/>
    <row r="13071" s="42" customFormat="1" x14ac:dyDescent="0.25"/>
    <row r="13072" s="42" customFormat="1" x14ac:dyDescent="0.25"/>
    <row r="13073" s="42" customFormat="1" x14ac:dyDescent="0.25"/>
    <row r="13074" s="42" customFormat="1" x14ac:dyDescent="0.25"/>
    <row r="13075" s="42" customFormat="1" x14ac:dyDescent="0.25"/>
    <row r="13076" s="42" customFormat="1" x14ac:dyDescent="0.25"/>
    <row r="13077" s="42" customFormat="1" x14ac:dyDescent="0.25"/>
    <row r="13078" s="42" customFormat="1" x14ac:dyDescent="0.25"/>
    <row r="13079" s="42" customFormat="1" x14ac:dyDescent="0.25"/>
    <row r="13080" s="42" customFormat="1" x14ac:dyDescent="0.25"/>
    <row r="13081" s="42" customFormat="1" x14ac:dyDescent="0.25"/>
    <row r="13082" s="42" customFormat="1" x14ac:dyDescent="0.25"/>
    <row r="13083" s="42" customFormat="1" x14ac:dyDescent="0.25"/>
    <row r="13084" s="42" customFormat="1" x14ac:dyDescent="0.25"/>
    <row r="13085" s="42" customFormat="1" x14ac:dyDescent="0.25"/>
    <row r="13086" s="42" customFormat="1" x14ac:dyDescent="0.25"/>
    <row r="13087" s="42" customFormat="1" x14ac:dyDescent="0.25"/>
    <row r="13088" s="42" customFormat="1" x14ac:dyDescent="0.25"/>
    <row r="13089" s="42" customFormat="1" x14ac:dyDescent="0.25"/>
    <row r="13090" s="42" customFormat="1" x14ac:dyDescent="0.25"/>
    <row r="13091" s="42" customFormat="1" x14ac:dyDescent="0.25"/>
    <row r="13092" s="42" customFormat="1" x14ac:dyDescent="0.25"/>
    <row r="13093" s="42" customFormat="1" x14ac:dyDescent="0.25"/>
    <row r="13094" s="42" customFormat="1" x14ac:dyDescent="0.25"/>
    <row r="13095" s="42" customFormat="1" x14ac:dyDescent="0.25"/>
    <row r="13096" s="42" customFormat="1" x14ac:dyDescent="0.25"/>
    <row r="13097" s="42" customFormat="1" x14ac:dyDescent="0.25"/>
    <row r="13098" s="42" customFormat="1" x14ac:dyDescent="0.25"/>
    <row r="13099" s="42" customFormat="1" x14ac:dyDescent="0.25"/>
    <row r="13100" s="42" customFormat="1" x14ac:dyDescent="0.25"/>
    <row r="13101" s="42" customFormat="1" x14ac:dyDescent="0.25"/>
    <row r="13102" s="42" customFormat="1" x14ac:dyDescent="0.25"/>
    <row r="13103" s="42" customFormat="1" x14ac:dyDescent="0.25"/>
    <row r="13104" s="42" customFormat="1" x14ac:dyDescent="0.25"/>
    <row r="13105" s="42" customFormat="1" x14ac:dyDescent="0.25"/>
    <row r="13106" s="42" customFormat="1" x14ac:dyDescent="0.25"/>
    <row r="13107" s="42" customFormat="1" x14ac:dyDescent="0.25"/>
    <row r="13108" s="42" customFormat="1" x14ac:dyDescent="0.25"/>
    <row r="13109" s="42" customFormat="1" x14ac:dyDescent="0.25"/>
    <row r="13110" s="42" customFormat="1" x14ac:dyDescent="0.25"/>
    <row r="13111" s="42" customFormat="1" x14ac:dyDescent="0.25"/>
    <row r="13112" s="42" customFormat="1" x14ac:dyDescent="0.25"/>
    <row r="13113" s="42" customFormat="1" x14ac:dyDescent="0.25"/>
    <row r="13114" s="42" customFormat="1" x14ac:dyDescent="0.25"/>
    <row r="13115" s="42" customFormat="1" x14ac:dyDescent="0.25"/>
    <row r="13116" s="42" customFormat="1" x14ac:dyDescent="0.25"/>
    <row r="13117" s="42" customFormat="1" x14ac:dyDescent="0.25"/>
    <row r="13118" s="42" customFormat="1" x14ac:dyDescent="0.25"/>
    <row r="13119" s="42" customFormat="1" x14ac:dyDescent="0.25"/>
    <row r="13120" s="42" customFormat="1" x14ac:dyDescent="0.25"/>
    <row r="13121" s="42" customFormat="1" x14ac:dyDescent="0.25"/>
    <row r="13122" s="42" customFormat="1" x14ac:dyDescent="0.25"/>
    <row r="13123" s="42" customFormat="1" x14ac:dyDescent="0.25"/>
    <row r="13124" s="42" customFormat="1" x14ac:dyDescent="0.25"/>
    <row r="13125" s="42" customFormat="1" x14ac:dyDescent="0.25"/>
    <row r="13126" s="42" customFormat="1" x14ac:dyDescent="0.25"/>
    <row r="13127" s="42" customFormat="1" x14ac:dyDescent="0.25"/>
    <row r="13128" s="42" customFormat="1" x14ac:dyDescent="0.25"/>
    <row r="13129" s="42" customFormat="1" x14ac:dyDescent="0.25"/>
    <row r="13130" s="42" customFormat="1" x14ac:dyDescent="0.25"/>
    <row r="13131" s="42" customFormat="1" x14ac:dyDescent="0.25"/>
    <row r="13132" s="42" customFormat="1" x14ac:dyDescent="0.25"/>
    <row r="13133" s="42" customFormat="1" x14ac:dyDescent="0.25"/>
    <row r="13134" s="42" customFormat="1" x14ac:dyDescent="0.25"/>
    <row r="13135" s="42" customFormat="1" x14ac:dyDescent="0.25"/>
    <row r="13136" s="42" customFormat="1" x14ac:dyDescent="0.25"/>
    <row r="13137" s="42" customFormat="1" x14ac:dyDescent="0.25"/>
    <row r="13138" s="42" customFormat="1" x14ac:dyDescent="0.25"/>
    <row r="13139" s="42" customFormat="1" x14ac:dyDescent="0.25"/>
    <row r="13140" s="42" customFormat="1" x14ac:dyDescent="0.25"/>
    <row r="13141" s="42" customFormat="1" x14ac:dyDescent="0.25"/>
    <row r="13142" s="42" customFormat="1" x14ac:dyDescent="0.25"/>
    <row r="13143" s="42" customFormat="1" x14ac:dyDescent="0.25"/>
    <row r="13144" s="42" customFormat="1" x14ac:dyDescent="0.25"/>
    <row r="13145" s="42" customFormat="1" x14ac:dyDescent="0.25"/>
    <row r="13146" s="42" customFormat="1" x14ac:dyDescent="0.25"/>
    <row r="13147" s="42" customFormat="1" x14ac:dyDescent="0.25"/>
    <row r="13148" s="42" customFormat="1" x14ac:dyDescent="0.25"/>
    <row r="13149" s="42" customFormat="1" x14ac:dyDescent="0.25"/>
    <row r="13150" s="42" customFormat="1" x14ac:dyDescent="0.25"/>
    <row r="13151" s="42" customFormat="1" x14ac:dyDescent="0.25"/>
    <row r="13152" s="42" customFormat="1" x14ac:dyDescent="0.25"/>
    <row r="13153" s="42" customFormat="1" x14ac:dyDescent="0.25"/>
    <row r="13154" s="42" customFormat="1" x14ac:dyDescent="0.25"/>
    <row r="13155" s="42" customFormat="1" x14ac:dyDescent="0.25"/>
    <row r="13156" s="42" customFormat="1" x14ac:dyDescent="0.25"/>
    <row r="13157" s="42" customFormat="1" x14ac:dyDescent="0.25"/>
    <row r="13158" s="42" customFormat="1" x14ac:dyDescent="0.25"/>
    <row r="13159" s="42" customFormat="1" x14ac:dyDescent="0.25"/>
    <row r="13160" s="42" customFormat="1" x14ac:dyDescent="0.25"/>
    <row r="13161" s="42" customFormat="1" x14ac:dyDescent="0.25"/>
    <row r="13162" s="42" customFormat="1" x14ac:dyDescent="0.25"/>
    <row r="13163" s="42" customFormat="1" x14ac:dyDescent="0.25"/>
    <row r="13164" s="42" customFormat="1" x14ac:dyDescent="0.25"/>
    <row r="13165" s="42" customFormat="1" x14ac:dyDescent="0.25"/>
    <row r="13166" s="42" customFormat="1" x14ac:dyDescent="0.25"/>
    <row r="13167" s="42" customFormat="1" x14ac:dyDescent="0.25"/>
    <row r="13168" s="42" customFormat="1" x14ac:dyDescent="0.25"/>
    <row r="13169" s="42" customFormat="1" x14ac:dyDescent="0.25"/>
    <row r="13170" s="42" customFormat="1" x14ac:dyDescent="0.25"/>
    <row r="13171" s="42" customFormat="1" x14ac:dyDescent="0.25"/>
    <row r="13172" s="42" customFormat="1" x14ac:dyDescent="0.25"/>
    <row r="13173" s="42" customFormat="1" x14ac:dyDescent="0.25"/>
    <row r="13174" s="42" customFormat="1" x14ac:dyDescent="0.25"/>
    <row r="13175" s="42" customFormat="1" x14ac:dyDescent="0.25"/>
    <row r="13176" s="42" customFormat="1" x14ac:dyDescent="0.25"/>
    <row r="13177" s="42" customFormat="1" x14ac:dyDescent="0.25"/>
    <row r="13178" s="42" customFormat="1" x14ac:dyDescent="0.25"/>
    <row r="13179" s="42" customFormat="1" x14ac:dyDescent="0.25"/>
    <row r="13180" s="42" customFormat="1" x14ac:dyDescent="0.25"/>
    <row r="13181" s="42" customFormat="1" x14ac:dyDescent="0.25"/>
    <row r="13182" s="42" customFormat="1" x14ac:dyDescent="0.25"/>
    <row r="13183" s="42" customFormat="1" x14ac:dyDescent="0.25"/>
    <row r="13184" s="42" customFormat="1" x14ac:dyDescent="0.25"/>
    <row r="13185" s="42" customFormat="1" x14ac:dyDescent="0.25"/>
    <row r="13186" s="42" customFormat="1" x14ac:dyDescent="0.25"/>
    <row r="13187" s="42" customFormat="1" x14ac:dyDescent="0.25"/>
    <row r="13188" s="42" customFormat="1" x14ac:dyDescent="0.25"/>
    <row r="13189" s="42" customFormat="1" x14ac:dyDescent="0.25"/>
    <row r="13190" s="42" customFormat="1" x14ac:dyDescent="0.25"/>
    <row r="13191" s="42" customFormat="1" x14ac:dyDescent="0.25"/>
    <row r="13192" s="42" customFormat="1" x14ac:dyDescent="0.25"/>
    <row r="13193" s="42" customFormat="1" x14ac:dyDescent="0.25"/>
    <row r="13194" s="42" customFormat="1" x14ac:dyDescent="0.25"/>
    <row r="13195" s="42" customFormat="1" x14ac:dyDescent="0.25"/>
    <row r="13196" s="42" customFormat="1" x14ac:dyDescent="0.25"/>
    <row r="13197" s="42" customFormat="1" x14ac:dyDescent="0.25"/>
    <row r="13198" s="42" customFormat="1" x14ac:dyDescent="0.25"/>
    <row r="13199" s="42" customFormat="1" x14ac:dyDescent="0.25"/>
    <row r="13200" s="42" customFormat="1" x14ac:dyDescent="0.25"/>
    <row r="13201" s="42" customFormat="1" x14ac:dyDescent="0.25"/>
    <row r="13202" s="42" customFormat="1" x14ac:dyDescent="0.25"/>
    <row r="13203" s="42" customFormat="1" x14ac:dyDescent="0.25"/>
    <row r="13204" s="42" customFormat="1" x14ac:dyDescent="0.25"/>
    <row r="13205" s="42" customFormat="1" x14ac:dyDescent="0.25"/>
    <row r="13206" s="42" customFormat="1" x14ac:dyDescent="0.25"/>
    <row r="13207" s="42" customFormat="1" x14ac:dyDescent="0.25"/>
    <row r="13208" s="42" customFormat="1" x14ac:dyDescent="0.25"/>
    <row r="13209" s="42" customFormat="1" x14ac:dyDescent="0.25"/>
    <row r="13210" s="42" customFormat="1" x14ac:dyDescent="0.25"/>
    <row r="13211" s="42" customFormat="1" x14ac:dyDescent="0.25"/>
    <row r="13212" s="42" customFormat="1" x14ac:dyDescent="0.25"/>
    <row r="13213" s="42" customFormat="1" x14ac:dyDescent="0.25"/>
    <row r="13214" s="42" customFormat="1" x14ac:dyDescent="0.25"/>
    <row r="13215" s="42" customFormat="1" x14ac:dyDescent="0.25"/>
    <row r="13216" s="42" customFormat="1" x14ac:dyDescent="0.25"/>
    <row r="13217" s="42" customFormat="1" x14ac:dyDescent="0.25"/>
    <row r="13218" s="42" customFormat="1" x14ac:dyDescent="0.25"/>
    <row r="13219" s="42" customFormat="1" x14ac:dyDescent="0.25"/>
    <row r="13220" s="42" customFormat="1" x14ac:dyDescent="0.25"/>
    <row r="13221" s="42" customFormat="1" x14ac:dyDescent="0.25"/>
    <row r="13222" s="42" customFormat="1" x14ac:dyDescent="0.25"/>
    <row r="13223" s="42" customFormat="1" x14ac:dyDescent="0.25"/>
    <row r="13224" s="42" customFormat="1" x14ac:dyDescent="0.25"/>
    <row r="13225" s="42" customFormat="1" x14ac:dyDescent="0.25"/>
    <row r="13226" s="42" customFormat="1" x14ac:dyDescent="0.25"/>
    <row r="13227" s="42" customFormat="1" x14ac:dyDescent="0.25"/>
    <row r="13228" s="42" customFormat="1" x14ac:dyDescent="0.25"/>
    <row r="13229" s="42" customFormat="1" x14ac:dyDescent="0.25"/>
    <row r="13230" s="42" customFormat="1" x14ac:dyDescent="0.25"/>
    <row r="13231" s="42" customFormat="1" x14ac:dyDescent="0.25"/>
    <row r="13232" s="42" customFormat="1" x14ac:dyDescent="0.25"/>
    <row r="13233" s="42" customFormat="1" x14ac:dyDescent="0.25"/>
    <row r="13234" s="42" customFormat="1" x14ac:dyDescent="0.25"/>
    <row r="13235" s="42" customFormat="1" x14ac:dyDescent="0.25"/>
    <row r="13236" s="42" customFormat="1" x14ac:dyDescent="0.25"/>
    <row r="13237" s="42" customFormat="1" x14ac:dyDescent="0.25"/>
    <row r="13238" s="42" customFormat="1" x14ac:dyDescent="0.25"/>
    <row r="13239" s="42" customFormat="1" x14ac:dyDescent="0.25"/>
    <row r="13240" s="42" customFormat="1" x14ac:dyDescent="0.25"/>
    <row r="13241" s="42" customFormat="1" x14ac:dyDescent="0.25"/>
    <row r="13242" s="42" customFormat="1" x14ac:dyDescent="0.25"/>
    <row r="13243" s="42" customFormat="1" x14ac:dyDescent="0.25"/>
    <row r="13244" s="42" customFormat="1" x14ac:dyDescent="0.25"/>
    <row r="13245" s="42" customFormat="1" x14ac:dyDescent="0.25"/>
    <row r="13246" s="42" customFormat="1" x14ac:dyDescent="0.25"/>
    <row r="13247" s="42" customFormat="1" x14ac:dyDescent="0.25"/>
    <row r="13248" s="42" customFormat="1" x14ac:dyDescent="0.25"/>
    <row r="13249" s="42" customFormat="1" x14ac:dyDescent="0.25"/>
    <row r="13250" s="42" customFormat="1" x14ac:dyDescent="0.25"/>
    <row r="13251" s="42" customFormat="1" x14ac:dyDescent="0.25"/>
    <row r="13252" s="42" customFormat="1" x14ac:dyDescent="0.25"/>
    <row r="13253" s="42" customFormat="1" x14ac:dyDescent="0.25"/>
    <row r="13254" s="42" customFormat="1" x14ac:dyDescent="0.25"/>
    <row r="13255" s="42" customFormat="1" x14ac:dyDescent="0.25"/>
    <row r="13256" s="42" customFormat="1" x14ac:dyDescent="0.25"/>
    <row r="13257" s="42" customFormat="1" x14ac:dyDescent="0.25"/>
    <row r="13258" s="42" customFormat="1" x14ac:dyDescent="0.25"/>
    <row r="13259" s="42" customFormat="1" x14ac:dyDescent="0.25"/>
    <row r="13260" s="42" customFormat="1" x14ac:dyDescent="0.25"/>
    <row r="13261" s="42" customFormat="1" x14ac:dyDescent="0.25"/>
    <row r="13262" s="42" customFormat="1" x14ac:dyDescent="0.25"/>
    <row r="13263" s="42" customFormat="1" x14ac:dyDescent="0.25"/>
    <row r="13264" s="42" customFormat="1" x14ac:dyDescent="0.25"/>
    <row r="13265" s="42" customFormat="1" x14ac:dyDescent="0.25"/>
    <row r="13266" s="42" customFormat="1" x14ac:dyDescent="0.25"/>
    <row r="13267" s="42" customFormat="1" x14ac:dyDescent="0.25"/>
    <row r="13268" s="42" customFormat="1" x14ac:dyDescent="0.25"/>
    <row r="13269" s="42" customFormat="1" x14ac:dyDescent="0.25"/>
    <row r="13270" s="42" customFormat="1" x14ac:dyDescent="0.25"/>
    <row r="13271" s="42" customFormat="1" x14ac:dyDescent="0.25"/>
    <row r="13272" s="42" customFormat="1" x14ac:dyDescent="0.25"/>
    <row r="13273" s="42" customFormat="1" x14ac:dyDescent="0.25"/>
    <row r="13274" s="42" customFormat="1" x14ac:dyDescent="0.25"/>
    <row r="13275" s="42" customFormat="1" x14ac:dyDescent="0.25"/>
    <row r="13276" s="42" customFormat="1" x14ac:dyDescent="0.25"/>
    <row r="13277" s="42" customFormat="1" x14ac:dyDescent="0.25"/>
    <row r="13278" s="42" customFormat="1" x14ac:dyDescent="0.25"/>
    <row r="13279" s="42" customFormat="1" x14ac:dyDescent="0.25"/>
    <row r="13280" s="42" customFormat="1" x14ac:dyDescent="0.25"/>
    <row r="13281" s="42" customFormat="1" x14ac:dyDescent="0.25"/>
    <row r="13282" s="42" customFormat="1" x14ac:dyDescent="0.25"/>
    <row r="13283" s="42" customFormat="1" x14ac:dyDescent="0.25"/>
    <row r="13284" s="42" customFormat="1" x14ac:dyDescent="0.25"/>
    <row r="13285" s="42" customFormat="1" x14ac:dyDescent="0.25"/>
    <row r="13286" s="42" customFormat="1" x14ac:dyDescent="0.25"/>
    <row r="13287" s="42" customFormat="1" x14ac:dyDescent="0.25"/>
    <row r="13288" s="42" customFormat="1" x14ac:dyDescent="0.25"/>
    <row r="13289" s="42" customFormat="1" x14ac:dyDescent="0.25"/>
    <row r="13290" s="42" customFormat="1" x14ac:dyDescent="0.25"/>
    <row r="13291" s="42" customFormat="1" x14ac:dyDescent="0.25"/>
    <row r="13292" s="42" customFormat="1" x14ac:dyDescent="0.25"/>
    <row r="13293" s="42" customFormat="1" x14ac:dyDescent="0.25"/>
    <row r="13294" s="42" customFormat="1" x14ac:dyDescent="0.25"/>
    <row r="13295" s="42" customFormat="1" x14ac:dyDescent="0.25"/>
    <row r="13296" s="42" customFormat="1" x14ac:dyDescent="0.25"/>
    <row r="13297" s="42" customFormat="1" x14ac:dyDescent="0.25"/>
    <row r="13298" s="42" customFormat="1" x14ac:dyDescent="0.25"/>
    <row r="13299" s="42" customFormat="1" x14ac:dyDescent="0.25"/>
    <row r="13300" s="42" customFormat="1" x14ac:dyDescent="0.25"/>
    <row r="13301" s="42" customFormat="1" x14ac:dyDescent="0.25"/>
    <row r="13302" s="42" customFormat="1" x14ac:dyDescent="0.25"/>
    <row r="13303" s="42" customFormat="1" x14ac:dyDescent="0.25"/>
    <row r="13304" s="42" customFormat="1" x14ac:dyDescent="0.25"/>
    <row r="13305" s="42" customFormat="1" x14ac:dyDescent="0.25"/>
    <row r="13306" s="42" customFormat="1" x14ac:dyDescent="0.25"/>
    <row r="13307" s="42" customFormat="1" x14ac:dyDescent="0.25"/>
    <row r="13308" s="42" customFormat="1" x14ac:dyDescent="0.25"/>
    <row r="13309" s="42" customFormat="1" x14ac:dyDescent="0.25"/>
    <row r="13310" s="42" customFormat="1" x14ac:dyDescent="0.25"/>
    <row r="13311" s="42" customFormat="1" x14ac:dyDescent="0.25"/>
    <row r="13312" s="42" customFormat="1" x14ac:dyDescent="0.25"/>
    <row r="13313" s="42" customFormat="1" x14ac:dyDescent="0.25"/>
    <row r="13314" s="42" customFormat="1" x14ac:dyDescent="0.25"/>
    <row r="13315" s="42" customFormat="1" x14ac:dyDescent="0.25"/>
    <row r="13316" s="42" customFormat="1" x14ac:dyDescent="0.25"/>
    <row r="13317" s="42" customFormat="1" x14ac:dyDescent="0.25"/>
    <row r="13318" s="42" customFormat="1" x14ac:dyDescent="0.25"/>
    <row r="13319" s="42" customFormat="1" x14ac:dyDescent="0.25"/>
    <row r="13320" s="42" customFormat="1" x14ac:dyDescent="0.25"/>
    <row r="13321" s="42" customFormat="1" x14ac:dyDescent="0.25"/>
    <row r="13322" s="42" customFormat="1" x14ac:dyDescent="0.25"/>
    <row r="13323" s="42" customFormat="1" x14ac:dyDescent="0.25"/>
    <row r="13324" s="42" customFormat="1" x14ac:dyDescent="0.25"/>
    <row r="13325" s="42" customFormat="1" x14ac:dyDescent="0.25"/>
    <row r="13326" s="42" customFormat="1" x14ac:dyDescent="0.25"/>
    <row r="13327" s="42" customFormat="1" x14ac:dyDescent="0.25"/>
    <row r="13328" s="42" customFormat="1" x14ac:dyDescent="0.25"/>
    <row r="13329" s="42" customFormat="1" x14ac:dyDescent="0.25"/>
    <row r="13330" s="42" customFormat="1" x14ac:dyDescent="0.25"/>
    <row r="13331" s="42" customFormat="1" x14ac:dyDescent="0.25"/>
    <row r="13332" s="42" customFormat="1" x14ac:dyDescent="0.25"/>
    <row r="13333" s="42" customFormat="1" x14ac:dyDescent="0.25"/>
    <row r="13334" s="42" customFormat="1" x14ac:dyDescent="0.25"/>
    <row r="13335" s="42" customFormat="1" x14ac:dyDescent="0.25"/>
    <row r="13336" s="42" customFormat="1" x14ac:dyDescent="0.25"/>
    <row r="13337" s="42" customFormat="1" x14ac:dyDescent="0.25"/>
    <row r="13338" s="42" customFormat="1" x14ac:dyDescent="0.25"/>
    <row r="13339" s="42" customFormat="1" x14ac:dyDescent="0.25"/>
    <row r="13340" s="42" customFormat="1" x14ac:dyDescent="0.25"/>
    <row r="13341" s="42" customFormat="1" x14ac:dyDescent="0.25"/>
    <row r="13342" s="42" customFormat="1" x14ac:dyDescent="0.25"/>
    <row r="13343" s="42" customFormat="1" x14ac:dyDescent="0.25"/>
    <row r="13344" s="42" customFormat="1" x14ac:dyDescent="0.25"/>
    <row r="13345" s="42" customFormat="1" x14ac:dyDescent="0.25"/>
    <row r="13346" s="42" customFormat="1" x14ac:dyDescent="0.25"/>
    <row r="13347" s="42" customFormat="1" x14ac:dyDescent="0.25"/>
    <row r="13348" s="42" customFormat="1" x14ac:dyDescent="0.25"/>
    <row r="13349" s="42" customFormat="1" x14ac:dyDescent="0.25"/>
    <row r="13350" s="42" customFormat="1" x14ac:dyDescent="0.25"/>
    <row r="13351" s="42" customFormat="1" x14ac:dyDescent="0.25"/>
    <row r="13352" s="42" customFormat="1" x14ac:dyDescent="0.25"/>
    <row r="13353" s="42" customFormat="1" x14ac:dyDescent="0.25"/>
    <row r="13354" s="42" customFormat="1" x14ac:dyDescent="0.25"/>
    <row r="13355" s="42" customFormat="1" x14ac:dyDescent="0.25"/>
    <row r="13356" s="42" customFormat="1" x14ac:dyDescent="0.25"/>
    <row r="13357" s="42" customFormat="1" x14ac:dyDescent="0.25"/>
    <row r="13358" s="42" customFormat="1" x14ac:dyDescent="0.25"/>
    <row r="13359" s="42" customFormat="1" x14ac:dyDescent="0.25"/>
    <row r="13360" s="42" customFormat="1" x14ac:dyDescent="0.25"/>
    <row r="13361" s="42" customFormat="1" x14ac:dyDescent="0.25"/>
    <row r="13362" s="42" customFormat="1" x14ac:dyDescent="0.25"/>
    <row r="13363" s="42" customFormat="1" x14ac:dyDescent="0.25"/>
    <row r="13364" s="42" customFormat="1" x14ac:dyDescent="0.25"/>
    <row r="13365" s="42" customFormat="1" x14ac:dyDescent="0.25"/>
    <row r="13366" s="42" customFormat="1" x14ac:dyDescent="0.25"/>
    <row r="13367" s="42" customFormat="1" x14ac:dyDescent="0.25"/>
    <row r="13368" s="42" customFormat="1" x14ac:dyDescent="0.25"/>
    <row r="13369" s="42" customFormat="1" x14ac:dyDescent="0.25"/>
    <row r="13370" s="42" customFormat="1" x14ac:dyDescent="0.25"/>
    <row r="13371" s="42" customFormat="1" x14ac:dyDescent="0.25"/>
    <row r="13372" s="42" customFormat="1" x14ac:dyDescent="0.25"/>
    <row r="13373" s="42" customFormat="1" x14ac:dyDescent="0.25"/>
    <row r="13374" s="42" customFormat="1" x14ac:dyDescent="0.25"/>
    <row r="13375" s="42" customFormat="1" x14ac:dyDescent="0.25"/>
    <row r="13376" s="42" customFormat="1" x14ac:dyDescent="0.25"/>
    <row r="13377" s="42" customFormat="1" x14ac:dyDescent="0.25"/>
    <row r="13378" s="42" customFormat="1" x14ac:dyDescent="0.25"/>
    <row r="13379" s="42" customFormat="1" x14ac:dyDescent="0.25"/>
    <row r="13380" s="42" customFormat="1" x14ac:dyDescent="0.25"/>
    <row r="13381" s="42" customFormat="1" x14ac:dyDescent="0.25"/>
    <row r="13382" s="42" customFormat="1" x14ac:dyDescent="0.25"/>
    <row r="13383" s="42" customFormat="1" x14ac:dyDescent="0.25"/>
    <row r="13384" s="42" customFormat="1" x14ac:dyDescent="0.25"/>
    <row r="13385" s="42" customFormat="1" x14ac:dyDescent="0.25"/>
    <row r="13386" s="42" customFormat="1" x14ac:dyDescent="0.25"/>
    <row r="13387" s="42" customFormat="1" x14ac:dyDescent="0.25"/>
    <row r="13388" s="42" customFormat="1" x14ac:dyDescent="0.25"/>
    <row r="13389" s="42" customFormat="1" x14ac:dyDescent="0.25"/>
    <row r="13390" s="42" customFormat="1" x14ac:dyDescent="0.25"/>
    <row r="13391" s="42" customFormat="1" x14ac:dyDescent="0.25"/>
    <row r="13392" s="42" customFormat="1" x14ac:dyDescent="0.25"/>
    <row r="13393" s="42" customFormat="1" x14ac:dyDescent="0.25"/>
    <row r="13394" s="42" customFormat="1" x14ac:dyDescent="0.25"/>
    <row r="13395" s="42" customFormat="1" x14ac:dyDescent="0.25"/>
    <row r="13396" s="42" customFormat="1" x14ac:dyDescent="0.25"/>
    <row r="13397" s="42" customFormat="1" x14ac:dyDescent="0.25"/>
    <row r="13398" s="42" customFormat="1" x14ac:dyDescent="0.25"/>
    <row r="13399" s="42" customFormat="1" x14ac:dyDescent="0.25"/>
    <row r="13400" s="42" customFormat="1" x14ac:dyDescent="0.25"/>
    <row r="13401" s="42" customFormat="1" x14ac:dyDescent="0.25"/>
    <row r="13402" s="42" customFormat="1" x14ac:dyDescent="0.25"/>
    <row r="13403" s="42" customFormat="1" x14ac:dyDescent="0.25"/>
    <row r="13404" s="42" customFormat="1" x14ac:dyDescent="0.25"/>
    <row r="13405" s="42" customFormat="1" x14ac:dyDescent="0.25"/>
    <row r="13406" s="42" customFormat="1" x14ac:dyDescent="0.25"/>
    <row r="13407" s="42" customFormat="1" x14ac:dyDescent="0.25"/>
    <row r="13408" s="42" customFormat="1" x14ac:dyDescent="0.25"/>
    <row r="13409" s="42" customFormat="1" x14ac:dyDescent="0.25"/>
    <row r="13410" s="42" customFormat="1" x14ac:dyDescent="0.25"/>
    <row r="13411" s="42" customFormat="1" x14ac:dyDescent="0.25"/>
    <row r="13412" s="42" customFormat="1" x14ac:dyDescent="0.25"/>
    <row r="13413" s="42" customFormat="1" x14ac:dyDescent="0.25"/>
    <row r="13414" s="42" customFormat="1" x14ac:dyDescent="0.25"/>
    <row r="13415" s="42" customFormat="1" x14ac:dyDescent="0.25"/>
    <row r="13416" s="42" customFormat="1" x14ac:dyDescent="0.25"/>
    <row r="13417" s="42" customFormat="1" x14ac:dyDescent="0.25"/>
    <row r="13418" s="42" customFormat="1" x14ac:dyDescent="0.25"/>
    <row r="13419" s="42" customFormat="1" x14ac:dyDescent="0.25"/>
    <row r="13420" s="42" customFormat="1" x14ac:dyDescent="0.25"/>
    <row r="13421" s="42" customFormat="1" x14ac:dyDescent="0.25"/>
    <row r="13422" s="42" customFormat="1" x14ac:dyDescent="0.25"/>
    <row r="13423" s="42" customFormat="1" x14ac:dyDescent="0.25"/>
    <row r="13424" s="42" customFormat="1" x14ac:dyDescent="0.25"/>
    <row r="13425" s="42" customFormat="1" x14ac:dyDescent="0.25"/>
    <row r="13426" s="42" customFormat="1" x14ac:dyDescent="0.25"/>
    <row r="13427" s="42" customFormat="1" x14ac:dyDescent="0.25"/>
    <row r="13428" s="42" customFormat="1" x14ac:dyDescent="0.25"/>
    <row r="13429" s="42" customFormat="1" x14ac:dyDescent="0.25"/>
    <row r="13430" s="42" customFormat="1" x14ac:dyDescent="0.25"/>
    <row r="13431" s="42" customFormat="1" x14ac:dyDescent="0.25"/>
    <row r="13432" s="42" customFormat="1" x14ac:dyDescent="0.25"/>
    <row r="13433" s="42" customFormat="1" x14ac:dyDescent="0.25"/>
    <row r="13434" s="42" customFormat="1" x14ac:dyDescent="0.25"/>
    <row r="13435" s="42" customFormat="1" x14ac:dyDescent="0.25"/>
    <row r="13436" s="42" customFormat="1" x14ac:dyDescent="0.25"/>
    <row r="13437" s="42" customFormat="1" x14ac:dyDescent="0.25"/>
    <row r="13438" s="42" customFormat="1" x14ac:dyDescent="0.25"/>
    <row r="13439" s="42" customFormat="1" x14ac:dyDescent="0.25"/>
    <row r="13440" s="42" customFormat="1" x14ac:dyDescent="0.25"/>
    <row r="13441" s="42" customFormat="1" x14ac:dyDescent="0.25"/>
    <row r="13442" s="42" customFormat="1" x14ac:dyDescent="0.25"/>
    <row r="13443" s="42" customFormat="1" x14ac:dyDescent="0.25"/>
    <row r="13444" s="42" customFormat="1" x14ac:dyDescent="0.25"/>
    <row r="13445" s="42" customFormat="1" x14ac:dyDescent="0.25"/>
    <row r="13446" s="42" customFormat="1" x14ac:dyDescent="0.25"/>
    <row r="13447" s="42" customFormat="1" x14ac:dyDescent="0.25"/>
    <row r="13448" s="42" customFormat="1" x14ac:dyDescent="0.25"/>
    <row r="13449" s="42" customFormat="1" x14ac:dyDescent="0.25"/>
    <row r="13450" s="42" customFormat="1" x14ac:dyDescent="0.25"/>
    <row r="13451" s="42" customFormat="1" x14ac:dyDescent="0.25"/>
    <row r="13452" s="42" customFormat="1" x14ac:dyDescent="0.25"/>
    <row r="13453" s="42" customFormat="1" x14ac:dyDescent="0.25"/>
    <row r="13454" s="42" customFormat="1" x14ac:dyDescent="0.25"/>
    <row r="13455" s="42" customFormat="1" x14ac:dyDescent="0.25"/>
    <row r="13456" s="42" customFormat="1" x14ac:dyDescent="0.25"/>
    <row r="13457" s="42" customFormat="1" x14ac:dyDescent="0.25"/>
    <row r="13458" s="42" customFormat="1" x14ac:dyDescent="0.25"/>
    <row r="13459" s="42" customFormat="1" x14ac:dyDescent="0.25"/>
    <row r="13460" s="42" customFormat="1" x14ac:dyDescent="0.25"/>
    <row r="13461" s="42" customFormat="1" x14ac:dyDescent="0.25"/>
    <row r="13462" s="42" customFormat="1" x14ac:dyDescent="0.25"/>
    <row r="13463" s="42" customFormat="1" x14ac:dyDescent="0.25"/>
    <row r="13464" s="42" customFormat="1" x14ac:dyDescent="0.25"/>
    <row r="13465" s="42" customFormat="1" x14ac:dyDescent="0.25"/>
    <row r="13466" s="42" customFormat="1" x14ac:dyDescent="0.25"/>
    <row r="13467" s="42" customFormat="1" x14ac:dyDescent="0.25"/>
    <row r="13468" s="42" customFormat="1" x14ac:dyDescent="0.25"/>
    <row r="13469" s="42" customFormat="1" x14ac:dyDescent="0.25"/>
    <row r="13470" s="42" customFormat="1" x14ac:dyDescent="0.25"/>
    <row r="13471" s="42" customFormat="1" x14ac:dyDescent="0.25"/>
    <row r="13472" s="42" customFormat="1" x14ac:dyDescent="0.25"/>
    <row r="13473" s="42" customFormat="1" x14ac:dyDescent="0.25"/>
    <row r="13474" s="42" customFormat="1" x14ac:dyDescent="0.25"/>
    <row r="13475" s="42" customFormat="1" x14ac:dyDescent="0.25"/>
    <row r="13476" s="42" customFormat="1" x14ac:dyDescent="0.25"/>
    <row r="13477" s="42" customFormat="1" x14ac:dyDescent="0.25"/>
    <row r="13478" s="42" customFormat="1" x14ac:dyDescent="0.25"/>
    <row r="13479" s="42" customFormat="1" x14ac:dyDescent="0.25"/>
    <row r="13480" s="42" customFormat="1" x14ac:dyDescent="0.25"/>
    <row r="13481" s="42" customFormat="1" x14ac:dyDescent="0.25"/>
    <row r="13482" s="42" customFormat="1" x14ac:dyDescent="0.25"/>
    <row r="13483" s="42" customFormat="1" x14ac:dyDescent="0.25"/>
    <row r="13484" s="42" customFormat="1" x14ac:dyDescent="0.25"/>
    <row r="13485" s="42" customFormat="1" x14ac:dyDescent="0.25"/>
    <row r="13486" s="42" customFormat="1" x14ac:dyDescent="0.25"/>
    <row r="13487" s="42" customFormat="1" x14ac:dyDescent="0.25"/>
    <row r="13488" s="42" customFormat="1" x14ac:dyDescent="0.25"/>
    <row r="13489" s="42" customFormat="1" x14ac:dyDescent="0.25"/>
    <row r="13490" s="42" customFormat="1" x14ac:dyDescent="0.25"/>
    <row r="13491" s="42" customFormat="1" x14ac:dyDescent="0.25"/>
    <row r="13492" s="42" customFormat="1" x14ac:dyDescent="0.25"/>
    <row r="13493" s="42" customFormat="1" x14ac:dyDescent="0.25"/>
    <row r="13494" s="42" customFormat="1" x14ac:dyDescent="0.25"/>
    <row r="13495" s="42" customFormat="1" x14ac:dyDescent="0.25"/>
    <row r="13496" s="42" customFormat="1" x14ac:dyDescent="0.25"/>
    <row r="13497" s="42" customFormat="1" x14ac:dyDescent="0.25"/>
    <row r="13498" s="42" customFormat="1" x14ac:dyDescent="0.25"/>
    <row r="13499" s="42" customFormat="1" x14ac:dyDescent="0.25"/>
    <row r="13500" s="42" customFormat="1" x14ac:dyDescent="0.25"/>
    <row r="13501" s="42" customFormat="1" x14ac:dyDescent="0.25"/>
    <row r="13502" s="42" customFormat="1" x14ac:dyDescent="0.25"/>
    <row r="13503" s="42" customFormat="1" x14ac:dyDescent="0.25"/>
    <row r="13504" s="42" customFormat="1" x14ac:dyDescent="0.25"/>
    <row r="13505" s="42" customFormat="1" x14ac:dyDescent="0.25"/>
    <row r="13506" s="42" customFormat="1" x14ac:dyDescent="0.25"/>
    <row r="13507" s="42" customFormat="1" x14ac:dyDescent="0.25"/>
    <row r="13508" s="42" customFormat="1" x14ac:dyDescent="0.25"/>
    <row r="13509" s="42" customFormat="1" x14ac:dyDescent="0.25"/>
    <row r="13510" s="42" customFormat="1" x14ac:dyDescent="0.25"/>
    <row r="13511" s="42" customFormat="1" x14ac:dyDescent="0.25"/>
    <row r="13512" s="42" customFormat="1" x14ac:dyDescent="0.25"/>
    <row r="13513" s="42" customFormat="1" x14ac:dyDescent="0.25"/>
    <row r="13514" s="42" customFormat="1" x14ac:dyDescent="0.25"/>
    <row r="13515" s="42" customFormat="1" x14ac:dyDescent="0.25"/>
    <row r="13516" s="42" customFormat="1" x14ac:dyDescent="0.25"/>
    <row r="13517" s="42" customFormat="1" x14ac:dyDescent="0.25"/>
    <row r="13518" s="42" customFormat="1" x14ac:dyDescent="0.25"/>
    <row r="13519" s="42" customFormat="1" x14ac:dyDescent="0.25"/>
    <row r="13520" s="42" customFormat="1" x14ac:dyDescent="0.25"/>
    <row r="13521" s="42" customFormat="1" x14ac:dyDescent="0.25"/>
    <row r="13522" s="42" customFormat="1" x14ac:dyDescent="0.25"/>
    <row r="13523" s="42" customFormat="1" x14ac:dyDescent="0.25"/>
    <row r="13524" s="42" customFormat="1" x14ac:dyDescent="0.25"/>
    <row r="13525" s="42" customFormat="1" x14ac:dyDescent="0.25"/>
    <row r="13526" s="42" customFormat="1" x14ac:dyDescent="0.25"/>
    <row r="13527" s="42" customFormat="1" x14ac:dyDescent="0.25"/>
    <row r="13528" s="42" customFormat="1" x14ac:dyDescent="0.25"/>
    <row r="13529" s="42" customFormat="1" x14ac:dyDescent="0.25"/>
    <row r="13530" s="42" customFormat="1" x14ac:dyDescent="0.25"/>
    <row r="13531" s="42" customFormat="1" x14ac:dyDescent="0.25"/>
    <row r="13532" s="42" customFormat="1" x14ac:dyDescent="0.25"/>
    <row r="13533" s="42" customFormat="1" x14ac:dyDescent="0.25"/>
    <row r="13534" s="42" customFormat="1" x14ac:dyDescent="0.25"/>
    <row r="13535" s="42" customFormat="1" x14ac:dyDescent="0.25"/>
    <row r="13536" s="42" customFormat="1" x14ac:dyDescent="0.25"/>
    <row r="13537" s="42" customFormat="1" x14ac:dyDescent="0.25"/>
    <row r="13538" s="42" customFormat="1" x14ac:dyDescent="0.25"/>
    <row r="13539" s="42" customFormat="1" x14ac:dyDescent="0.25"/>
    <row r="13540" s="42" customFormat="1" x14ac:dyDescent="0.25"/>
    <row r="13541" s="42" customFormat="1" x14ac:dyDescent="0.25"/>
    <row r="13542" s="42" customFormat="1" x14ac:dyDescent="0.25"/>
    <row r="13543" s="42" customFormat="1" x14ac:dyDescent="0.25"/>
    <row r="13544" s="42" customFormat="1" x14ac:dyDescent="0.25"/>
    <row r="13545" s="42" customFormat="1" x14ac:dyDescent="0.25"/>
    <row r="13546" s="42" customFormat="1" x14ac:dyDescent="0.25"/>
    <row r="13547" s="42" customFormat="1" x14ac:dyDescent="0.25"/>
    <row r="13548" s="42" customFormat="1" x14ac:dyDescent="0.25"/>
    <row r="13549" s="42" customFormat="1" x14ac:dyDescent="0.25"/>
    <row r="13550" s="42" customFormat="1" x14ac:dyDescent="0.25"/>
    <row r="13551" s="42" customFormat="1" x14ac:dyDescent="0.25"/>
    <row r="13552" s="42" customFormat="1" x14ac:dyDescent="0.25"/>
    <row r="13553" s="42" customFormat="1" x14ac:dyDescent="0.25"/>
    <row r="13554" s="42" customFormat="1" x14ac:dyDescent="0.25"/>
    <row r="13555" s="42" customFormat="1" x14ac:dyDescent="0.25"/>
    <row r="13556" s="42" customFormat="1" x14ac:dyDescent="0.25"/>
    <row r="13557" s="42" customFormat="1" x14ac:dyDescent="0.25"/>
    <row r="13558" s="42" customFormat="1" x14ac:dyDescent="0.25"/>
    <row r="13559" s="42" customFormat="1" x14ac:dyDescent="0.25"/>
    <row r="13560" s="42" customFormat="1" x14ac:dyDescent="0.25"/>
    <row r="13561" s="42" customFormat="1" x14ac:dyDescent="0.25"/>
    <row r="13562" s="42" customFormat="1" x14ac:dyDescent="0.25"/>
    <row r="13563" s="42" customFormat="1" x14ac:dyDescent="0.25"/>
    <row r="13564" s="42" customFormat="1" x14ac:dyDescent="0.25"/>
    <row r="13565" s="42" customFormat="1" x14ac:dyDescent="0.25"/>
    <row r="13566" s="42" customFormat="1" x14ac:dyDescent="0.25"/>
    <row r="13567" s="42" customFormat="1" x14ac:dyDescent="0.25"/>
    <row r="13568" s="42" customFormat="1" x14ac:dyDescent="0.25"/>
    <row r="13569" s="42" customFormat="1" x14ac:dyDescent="0.25"/>
    <row r="13570" s="42" customFormat="1" x14ac:dyDescent="0.25"/>
    <row r="13571" s="42" customFormat="1" x14ac:dyDescent="0.25"/>
    <row r="13572" s="42" customFormat="1" x14ac:dyDescent="0.25"/>
    <row r="13573" s="42" customFormat="1" x14ac:dyDescent="0.25"/>
    <row r="13574" s="42" customFormat="1" x14ac:dyDescent="0.25"/>
    <row r="13575" s="42" customFormat="1" x14ac:dyDescent="0.25"/>
    <row r="13576" s="42" customFormat="1" x14ac:dyDescent="0.25"/>
    <row r="13577" s="42" customFormat="1" x14ac:dyDescent="0.25"/>
    <row r="13578" s="42" customFormat="1" x14ac:dyDescent="0.25"/>
    <row r="13579" s="42" customFormat="1" x14ac:dyDescent="0.25"/>
    <row r="13580" s="42" customFormat="1" x14ac:dyDescent="0.25"/>
    <row r="13581" s="42" customFormat="1" x14ac:dyDescent="0.25"/>
    <row r="13582" s="42" customFormat="1" x14ac:dyDescent="0.25"/>
    <row r="13583" s="42" customFormat="1" x14ac:dyDescent="0.25"/>
    <row r="13584" s="42" customFormat="1" x14ac:dyDescent="0.25"/>
    <row r="13585" s="42" customFormat="1" x14ac:dyDescent="0.25"/>
    <row r="13586" s="42" customFormat="1" x14ac:dyDescent="0.25"/>
    <row r="13587" s="42" customFormat="1" x14ac:dyDescent="0.25"/>
    <row r="13588" s="42" customFormat="1" x14ac:dyDescent="0.25"/>
    <row r="13589" s="42" customFormat="1" x14ac:dyDescent="0.25"/>
    <row r="13590" s="42" customFormat="1" x14ac:dyDescent="0.25"/>
    <row r="13591" s="42" customFormat="1" x14ac:dyDescent="0.25"/>
    <row r="13592" s="42" customFormat="1" x14ac:dyDescent="0.25"/>
    <row r="13593" s="42" customFormat="1" x14ac:dyDescent="0.25"/>
    <row r="13594" s="42" customFormat="1" x14ac:dyDescent="0.25"/>
    <row r="13595" s="42" customFormat="1" x14ac:dyDescent="0.25"/>
    <row r="13596" s="42" customFormat="1" x14ac:dyDescent="0.25"/>
    <row r="13597" s="42" customFormat="1" x14ac:dyDescent="0.25"/>
    <row r="13598" s="42" customFormat="1" x14ac:dyDescent="0.25"/>
    <row r="13599" s="42" customFormat="1" x14ac:dyDescent="0.25"/>
    <row r="13600" s="42" customFormat="1" x14ac:dyDescent="0.25"/>
    <row r="13601" s="42" customFormat="1" x14ac:dyDescent="0.25"/>
    <row r="13602" s="42" customFormat="1" x14ac:dyDescent="0.25"/>
    <row r="13603" s="42" customFormat="1" x14ac:dyDescent="0.25"/>
    <row r="13604" s="42" customFormat="1" x14ac:dyDescent="0.25"/>
    <row r="13605" s="42" customFormat="1" x14ac:dyDescent="0.25"/>
    <row r="13606" s="42" customFormat="1" x14ac:dyDescent="0.25"/>
    <row r="13607" s="42" customFormat="1" x14ac:dyDescent="0.25"/>
    <row r="13608" s="42" customFormat="1" x14ac:dyDescent="0.25"/>
    <row r="13609" s="42" customFormat="1" x14ac:dyDescent="0.25"/>
    <row r="13610" s="42" customFormat="1" x14ac:dyDescent="0.25"/>
    <row r="13611" s="42" customFormat="1" x14ac:dyDescent="0.25"/>
    <row r="13612" s="42" customFormat="1" x14ac:dyDescent="0.25"/>
    <row r="13613" s="42" customFormat="1" x14ac:dyDescent="0.25"/>
    <row r="13614" s="42" customFormat="1" x14ac:dyDescent="0.25"/>
    <row r="13615" s="42" customFormat="1" x14ac:dyDescent="0.25"/>
    <row r="13616" s="42" customFormat="1" x14ac:dyDescent="0.25"/>
    <row r="13617" s="42" customFormat="1" x14ac:dyDescent="0.25"/>
    <row r="13618" s="42" customFormat="1" x14ac:dyDescent="0.25"/>
    <row r="13619" s="42" customFormat="1" x14ac:dyDescent="0.25"/>
    <row r="13620" s="42" customFormat="1" x14ac:dyDescent="0.25"/>
    <row r="13621" s="42" customFormat="1" x14ac:dyDescent="0.25"/>
    <row r="13622" s="42" customFormat="1" x14ac:dyDescent="0.25"/>
    <row r="13623" s="42" customFormat="1" x14ac:dyDescent="0.25"/>
    <row r="13624" s="42" customFormat="1" x14ac:dyDescent="0.25"/>
    <row r="13625" s="42" customFormat="1" x14ac:dyDescent="0.25"/>
    <row r="13626" s="42" customFormat="1" x14ac:dyDescent="0.25"/>
    <row r="13627" s="42" customFormat="1" x14ac:dyDescent="0.25"/>
    <row r="13628" s="42" customFormat="1" x14ac:dyDescent="0.25"/>
    <row r="13629" s="42" customFormat="1" x14ac:dyDescent="0.25"/>
    <row r="13630" s="42" customFormat="1" x14ac:dyDescent="0.25"/>
    <row r="13631" s="42" customFormat="1" x14ac:dyDescent="0.25"/>
    <row r="13632" s="42" customFormat="1" x14ac:dyDescent="0.25"/>
    <row r="13633" s="42" customFormat="1" x14ac:dyDescent="0.25"/>
    <row r="13634" s="42" customFormat="1" x14ac:dyDescent="0.25"/>
    <row r="13635" s="42" customFormat="1" x14ac:dyDescent="0.25"/>
    <row r="13636" s="42" customFormat="1" x14ac:dyDescent="0.25"/>
    <row r="13637" s="42" customFormat="1" x14ac:dyDescent="0.25"/>
    <row r="13638" s="42" customFormat="1" x14ac:dyDescent="0.25"/>
    <row r="13639" s="42" customFormat="1" x14ac:dyDescent="0.25"/>
    <row r="13640" s="42" customFormat="1" x14ac:dyDescent="0.25"/>
    <row r="13641" s="42" customFormat="1" x14ac:dyDescent="0.25"/>
    <row r="13642" s="42" customFormat="1" x14ac:dyDescent="0.25"/>
    <row r="13643" s="42" customFormat="1" x14ac:dyDescent="0.25"/>
    <row r="13644" s="42" customFormat="1" x14ac:dyDescent="0.25"/>
    <row r="13645" s="42" customFormat="1" x14ac:dyDescent="0.25"/>
    <row r="13646" s="42" customFormat="1" x14ac:dyDescent="0.25"/>
    <row r="13647" s="42" customFormat="1" x14ac:dyDescent="0.25"/>
    <row r="13648" s="42" customFormat="1" x14ac:dyDescent="0.25"/>
    <row r="13649" s="42" customFormat="1" x14ac:dyDescent="0.25"/>
    <row r="13650" s="42" customFormat="1" x14ac:dyDescent="0.25"/>
    <row r="13651" s="42" customFormat="1" x14ac:dyDescent="0.25"/>
    <row r="13652" s="42" customFormat="1" x14ac:dyDescent="0.25"/>
    <row r="13653" s="42" customFormat="1" x14ac:dyDescent="0.25"/>
    <row r="13654" s="42" customFormat="1" x14ac:dyDescent="0.25"/>
    <row r="13655" s="42" customFormat="1" x14ac:dyDescent="0.25"/>
    <row r="13656" s="42" customFormat="1" x14ac:dyDescent="0.25"/>
    <row r="13657" s="42" customFormat="1" x14ac:dyDescent="0.25"/>
    <row r="13658" s="42" customFormat="1" x14ac:dyDescent="0.25"/>
    <row r="13659" s="42" customFormat="1" x14ac:dyDescent="0.25"/>
    <row r="13660" s="42" customFormat="1" x14ac:dyDescent="0.25"/>
    <row r="13661" s="42" customFormat="1" x14ac:dyDescent="0.25"/>
    <row r="13662" s="42" customFormat="1" x14ac:dyDescent="0.25"/>
    <row r="13663" s="42" customFormat="1" x14ac:dyDescent="0.25"/>
    <row r="13664" s="42" customFormat="1" x14ac:dyDescent="0.25"/>
    <row r="13665" s="42" customFormat="1" x14ac:dyDescent="0.25"/>
    <row r="13666" s="42" customFormat="1" x14ac:dyDescent="0.25"/>
    <row r="13667" s="42" customFormat="1" x14ac:dyDescent="0.25"/>
    <row r="13668" s="42" customFormat="1" x14ac:dyDescent="0.25"/>
    <row r="13669" s="42" customFormat="1" x14ac:dyDescent="0.25"/>
    <row r="13670" s="42" customFormat="1" x14ac:dyDescent="0.25"/>
    <row r="13671" s="42" customFormat="1" x14ac:dyDescent="0.25"/>
    <row r="13672" s="42" customFormat="1" x14ac:dyDescent="0.25"/>
    <row r="13673" s="42" customFormat="1" x14ac:dyDescent="0.25"/>
    <row r="13674" s="42" customFormat="1" x14ac:dyDescent="0.25"/>
    <row r="13675" s="42" customFormat="1" x14ac:dyDescent="0.25"/>
    <row r="13676" s="42" customFormat="1" x14ac:dyDescent="0.25"/>
    <row r="13677" s="42" customFormat="1" x14ac:dyDescent="0.25"/>
    <row r="13678" s="42" customFormat="1" x14ac:dyDescent="0.25"/>
    <row r="13679" s="42" customFormat="1" x14ac:dyDescent="0.25"/>
    <row r="13680" s="42" customFormat="1" x14ac:dyDescent="0.25"/>
    <row r="13681" s="42" customFormat="1" x14ac:dyDescent="0.25"/>
    <row r="13682" s="42" customFormat="1" x14ac:dyDescent="0.25"/>
    <row r="13683" s="42" customFormat="1" x14ac:dyDescent="0.25"/>
    <row r="13684" s="42" customFormat="1" x14ac:dyDescent="0.25"/>
    <row r="13685" s="42" customFormat="1" x14ac:dyDescent="0.25"/>
    <row r="13686" s="42" customFormat="1" x14ac:dyDescent="0.25"/>
    <row r="13687" s="42" customFormat="1" x14ac:dyDescent="0.25"/>
    <row r="13688" s="42" customFormat="1" x14ac:dyDescent="0.25"/>
    <row r="13689" s="42" customFormat="1" x14ac:dyDescent="0.25"/>
    <row r="13690" s="42" customFormat="1" x14ac:dyDescent="0.25"/>
    <row r="13691" s="42" customFormat="1" x14ac:dyDescent="0.25"/>
    <row r="13692" s="42" customFormat="1" x14ac:dyDescent="0.25"/>
    <row r="13693" s="42" customFormat="1" x14ac:dyDescent="0.25"/>
    <row r="13694" s="42" customFormat="1" x14ac:dyDescent="0.25"/>
    <row r="13695" s="42" customFormat="1" x14ac:dyDescent="0.25"/>
    <row r="13696" s="42" customFormat="1" x14ac:dyDescent="0.25"/>
    <row r="13697" s="42" customFormat="1" x14ac:dyDescent="0.25"/>
    <row r="13698" s="42" customFormat="1" x14ac:dyDescent="0.25"/>
    <row r="13699" s="42" customFormat="1" x14ac:dyDescent="0.25"/>
    <row r="13700" s="42" customFormat="1" x14ac:dyDescent="0.25"/>
    <row r="13701" s="42" customFormat="1" x14ac:dyDescent="0.25"/>
    <row r="13702" s="42" customFormat="1" x14ac:dyDescent="0.25"/>
    <row r="13703" s="42" customFormat="1" x14ac:dyDescent="0.25"/>
    <row r="13704" s="42" customFormat="1" x14ac:dyDescent="0.25"/>
    <row r="13705" s="42" customFormat="1" x14ac:dyDescent="0.25"/>
    <row r="13706" s="42" customFormat="1" x14ac:dyDescent="0.25"/>
    <row r="13707" s="42" customFormat="1" x14ac:dyDescent="0.25"/>
    <row r="13708" s="42" customFormat="1" x14ac:dyDescent="0.25"/>
    <row r="13709" s="42" customFormat="1" x14ac:dyDescent="0.25"/>
    <row r="13710" s="42" customFormat="1" x14ac:dyDescent="0.25"/>
    <row r="13711" s="42" customFormat="1" x14ac:dyDescent="0.25"/>
    <row r="13712" s="42" customFormat="1" x14ac:dyDescent="0.25"/>
    <row r="13713" s="42" customFormat="1" x14ac:dyDescent="0.25"/>
    <row r="13714" s="42" customFormat="1" x14ac:dyDescent="0.25"/>
    <row r="13715" s="42" customFormat="1" x14ac:dyDescent="0.25"/>
    <row r="13716" s="42" customFormat="1" x14ac:dyDescent="0.25"/>
    <row r="13717" s="42" customFormat="1" x14ac:dyDescent="0.25"/>
    <row r="13718" s="42" customFormat="1" x14ac:dyDescent="0.25"/>
    <row r="13719" s="42" customFormat="1" x14ac:dyDescent="0.25"/>
    <row r="13720" s="42" customFormat="1" x14ac:dyDescent="0.25"/>
    <row r="13721" s="42" customFormat="1" x14ac:dyDescent="0.25"/>
    <row r="13722" s="42" customFormat="1" x14ac:dyDescent="0.25"/>
    <row r="13723" s="42" customFormat="1" x14ac:dyDescent="0.25"/>
    <row r="13724" s="42" customFormat="1" x14ac:dyDescent="0.25"/>
    <row r="13725" s="42" customFormat="1" x14ac:dyDescent="0.25"/>
    <row r="13726" s="42" customFormat="1" x14ac:dyDescent="0.25"/>
    <row r="13727" s="42" customFormat="1" x14ac:dyDescent="0.25"/>
    <row r="13728" s="42" customFormat="1" x14ac:dyDescent="0.25"/>
    <row r="13729" s="42" customFormat="1" x14ac:dyDescent="0.25"/>
    <row r="13730" s="42" customFormat="1" x14ac:dyDescent="0.25"/>
    <row r="13731" s="42" customFormat="1" x14ac:dyDescent="0.25"/>
    <row r="13732" s="42" customFormat="1" x14ac:dyDescent="0.25"/>
    <row r="13733" s="42" customFormat="1" x14ac:dyDescent="0.25"/>
    <row r="13734" s="42" customFormat="1" x14ac:dyDescent="0.25"/>
    <row r="13735" s="42" customFormat="1" x14ac:dyDescent="0.25"/>
    <row r="13736" s="42" customFormat="1" x14ac:dyDescent="0.25"/>
    <row r="13737" s="42" customFormat="1" x14ac:dyDescent="0.25"/>
    <row r="13738" s="42" customFormat="1" x14ac:dyDescent="0.25"/>
    <row r="13739" s="42" customFormat="1" x14ac:dyDescent="0.25"/>
    <row r="13740" s="42" customFormat="1" x14ac:dyDescent="0.25"/>
    <row r="13741" s="42" customFormat="1" x14ac:dyDescent="0.25"/>
    <row r="13742" s="42" customFormat="1" x14ac:dyDescent="0.25"/>
    <row r="13743" s="42" customFormat="1" x14ac:dyDescent="0.25"/>
    <row r="13744" s="42" customFormat="1" x14ac:dyDescent="0.25"/>
    <row r="13745" s="42" customFormat="1" x14ac:dyDescent="0.25"/>
    <row r="13746" s="42" customFormat="1" x14ac:dyDescent="0.25"/>
    <row r="13747" s="42" customFormat="1" x14ac:dyDescent="0.25"/>
    <row r="13748" s="42" customFormat="1" x14ac:dyDescent="0.25"/>
    <row r="13749" s="42" customFormat="1" x14ac:dyDescent="0.25"/>
    <row r="13750" s="42" customFormat="1" x14ac:dyDescent="0.25"/>
    <row r="13751" s="42" customFormat="1" x14ac:dyDescent="0.25"/>
    <row r="13752" s="42" customFormat="1" x14ac:dyDescent="0.25"/>
    <row r="13753" s="42" customFormat="1" x14ac:dyDescent="0.25"/>
    <row r="13754" s="42" customFormat="1" x14ac:dyDescent="0.25"/>
    <row r="13755" s="42" customFormat="1" x14ac:dyDescent="0.25"/>
    <row r="13756" s="42" customFormat="1" x14ac:dyDescent="0.25"/>
    <row r="13757" s="42" customFormat="1" x14ac:dyDescent="0.25"/>
    <row r="13758" s="42" customFormat="1" x14ac:dyDescent="0.25"/>
    <row r="13759" s="42" customFormat="1" x14ac:dyDescent="0.25"/>
    <row r="13760" s="42" customFormat="1" x14ac:dyDescent="0.25"/>
    <row r="13761" s="42" customFormat="1" x14ac:dyDescent="0.25"/>
    <row r="13762" s="42" customFormat="1" x14ac:dyDescent="0.25"/>
    <row r="13763" s="42" customFormat="1" x14ac:dyDescent="0.25"/>
    <row r="13764" s="42" customFormat="1" x14ac:dyDescent="0.25"/>
    <row r="13765" s="42" customFormat="1" x14ac:dyDescent="0.25"/>
    <row r="13766" s="42" customFormat="1" x14ac:dyDescent="0.25"/>
    <row r="13767" s="42" customFormat="1" x14ac:dyDescent="0.25"/>
    <row r="13768" s="42" customFormat="1" x14ac:dyDescent="0.25"/>
    <row r="13769" s="42" customFormat="1" x14ac:dyDescent="0.25"/>
    <row r="13770" s="42" customFormat="1" x14ac:dyDescent="0.25"/>
    <row r="13771" s="42" customFormat="1" x14ac:dyDescent="0.25"/>
    <row r="13772" s="42" customFormat="1" x14ac:dyDescent="0.25"/>
    <row r="13773" s="42" customFormat="1" x14ac:dyDescent="0.25"/>
    <row r="13774" s="42" customFormat="1" x14ac:dyDescent="0.25"/>
    <row r="13775" s="42" customFormat="1" x14ac:dyDescent="0.25"/>
    <row r="13776" s="42" customFormat="1" x14ac:dyDescent="0.25"/>
    <row r="13777" s="42" customFormat="1" x14ac:dyDescent="0.25"/>
    <row r="13778" s="42" customFormat="1" x14ac:dyDescent="0.25"/>
    <row r="13779" s="42" customFormat="1" x14ac:dyDescent="0.25"/>
    <row r="13780" s="42" customFormat="1" x14ac:dyDescent="0.25"/>
    <row r="13781" s="42" customFormat="1" x14ac:dyDescent="0.25"/>
    <row r="13782" s="42" customFormat="1" x14ac:dyDescent="0.25"/>
    <row r="13783" s="42" customFormat="1" x14ac:dyDescent="0.25"/>
    <row r="13784" s="42" customFormat="1" x14ac:dyDescent="0.25"/>
    <row r="13785" s="42" customFormat="1" x14ac:dyDescent="0.25"/>
    <row r="13786" s="42" customFormat="1" x14ac:dyDescent="0.25"/>
    <row r="13787" s="42" customFormat="1" x14ac:dyDescent="0.25"/>
    <row r="13788" s="42" customFormat="1" x14ac:dyDescent="0.25"/>
    <row r="13789" s="42" customFormat="1" x14ac:dyDescent="0.25"/>
    <row r="13790" s="42" customFormat="1" x14ac:dyDescent="0.25"/>
    <row r="13791" s="42" customFormat="1" x14ac:dyDescent="0.25"/>
    <row r="13792" s="42" customFormat="1" x14ac:dyDescent="0.25"/>
    <row r="13793" s="42" customFormat="1" x14ac:dyDescent="0.25"/>
    <row r="13794" s="42" customFormat="1" x14ac:dyDescent="0.25"/>
    <row r="13795" s="42" customFormat="1" x14ac:dyDescent="0.25"/>
    <row r="13796" s="42" customFormat="1" x14ac:dyDescent="0.25"/>
    <row r="13797" s="42" customFormat="1" x14ac:dyDescent="0.25"/>
    <row r="13798" s="42" customFormat="1" x14ac:dyDescent="0.25"/>
    <row r="13799" s="42" customFormat="1" x14ac:dyDescent="0.25"/>
    <row r="13800" s="42" customFormat="1" x14ac:dyDescent="0.25"/>
    <row r="13801" s="42" customFormat="1" x14ac:dyDescent="0.25"/>
    <row r="13802" s="42" customFormat="1" x14ac:dyDescent="0.25"/>
    <row r="13803" s="42" customFormat="1" x14ac:dyDescent="0.25"/>
    <row r="13804" s="42" customFormat="1" x14ac:dyDescent="0.25"/>
    <row r="13805" s="42" customFormat="1" x14ac:dyDescent="0.25"/>
    <row r="13806" s="42" customFormat="1" x14ac:dyDescent="0.25"/>
    <row r="13807" s="42" customFormat="1" x14ac:dyDescent="0.25"/>
    <row r="13808" s="42" customFormat="1" x14ac:dyDescent="0.25"/>
    <row r="13809" s="42" customFormat="1" x14ac:dyDescent="0.25"/>
    <row r="13810" s="42" customFormat="1" x14ac:dyDescent="0.25"/>
    <row r="13811" s="42" customFormat="1" x14ac:dyDescent="0.25"/>
    <row r="13812" s="42" customFormat="1" x14ac:dyDescent="0.25"/>
    <row r="13813" s="42" customFormat="1" x14ac:dyDescent="0.25"/>
    <row r="13814" s="42" customFormat="1" x14ac:dyDescent="0.25"/>
    <row r="13815" s="42" customFormat="1" x14ac:dyDescent="0.25"/>
    <row r="13816" s="42" customFormat="1" x14ac:dyDescent="0.25"/>
    <row r="13817" s="42" customFormat="1" x14ac:dyDescent="0.25"/>
    <row r="13818" s="42" customFormat="1" x14ac:dyDescent="0.25"/>
    <row r="13819" s="42" customFormat="1" x14ac:dyDescent="0.25"/>
    <row r="13820" s="42" customFormat="1" x14ac:dyDescent="0.25"/>
    <row r="13821" s="42" customFormat="1" x14ac:dyDescent="0.25"/>
    <row r="13822" s="42" customFormat="1" x14ac:dyDescent="0.25"/>
    <row r="13823" s="42" customFormat="1" x14ac:dyDescent="0.25"/>
    <row r="13824" s="42" customFormat="1" x14ac:dyDescent="0.25"/>
    <row r="13825" s="42" customFormat="1" x14ac:dyDescent="0.25"/>
    <row r="13826" s="42" customFormat="1" x14ac:dyDescent="0.25"/>
    <row r="13827" s="42" customFormat="1" x14ac:dyDescent="0.25"/>
    <row r="13828" s="42" customFormat="1" x14ac:dyDescent="0.25"/>
    <row r="13829" s="42" customFormat="1" x14ac:dyDescent="0.25"/>
    <row r="13830" s="42" customFormat="1" x14ac:dyDescent="0.25"/>
    <row r="13831" s="42" customFormat="1" x14ac:dyDescent="0.25"/>
    <row r="13832" s="42" customFormat="1" x14ac:dyDescent="0.25"/>
    <row r="13833" s="42" customFormat="1" x14ac:dyDescent="0.25"/>
    <row r="13834" s="42" customFormat="1" x14ac:dyDescent="0.25"/>
    <row r="13835" s="42" customFormat="1" x14ac:dyDescent="0.25"/>
    <row r="13836" s="42" customFormat="1" x14ac:dyDescent="0.25"/>
    <row r="13837" s="42" customFormat="1" x14ac:dyDescent="0.25"/>
    <row r="13838" s="42" customFormat="1" x14ac:dyDescent="0.25"/>
    <row r="13839" s="42" customFormat="1" x14ac:dyDescent="0.25"/>
    <row r="13840" s="42" customFormat="1" x14ac:dyDescent="0.25"/>
    <row r="13841" s="42" customFormat="1" x14ac:dyDescent="0.25"/>
    <row r="13842" s="42" customFormat="1" x14ac:dyDescent="0.25"/>
    <row r="13843" s="42" customFormat="1" x14ac:dyDescent="0.25"/>
    <row r="13844" s="42" customFormat="1" x14ac:dyDescent="0.25"/>
    <row r="13845" s="42" customFormat="1" x14ac:dyDescent="0.25"/>
    <row r="13846" s="42" customFormat="1" x14ac:dyDescent="0.25"/>
    <row r="13847" s="42" customFormat="1" x14ac:dyDescent="0.25"/>
    <row r="13848" s="42" customFormat="1" x14ac:dyDescent="0.25"/>
    <row r="13849" s="42" customFormat="1" x14ac:dyDescent="0.25"/>
    <row r="13850" s="42" customFormat="1" x14ac:dyDescent="0.25"/>
    <row r="13851" s="42" customFormat="1" x14ac:dyDescent="0.25"/>
    <row r="13852" s="42" customFormat="1" x14ac:dyDescent="0.25"/>
    <row r="13853" s="42" customFormat="1" x14ac:dyDescent="0.25"/>
    <row r="13854" s="42" customFormat="1" x14ac:dyDescent="0.25"/>
    <row r="13855" s="42" customFormat="1" x14ac:dyDescent="0.25"/>
    <row r="13856" s="42" customFormat="1" x14ac:dyDescent="0.25"/>
    <row r="13857" s="42" customFormat="1" x14ac:dyDescent="0.25"/>
    <row r="13858" s="42" customFormat="1" x14ac:dyDescent="0.25"/>
    <row r="13859" s="42" customFormat="1" x14ac:dyDescent="0.25"/>
    <row r="13860" s="42" customFormat="1" x14ac:dyDescent="0.25"/>
    <row r="13861" s="42" customFormat="1" x14ac:dyDescent="0.25"/>
    <row r="13862" s="42" customFormat="1" x14ac:dyDescent="0.25"/>
    <row r="13863" s="42" customFormat="1" x14ac:dyDescent="0.25"/>
    <row r="13864" s="42" customFormat="1" x14ac:dyDescent="0.25"/>
    <row r="13865" s="42" customFormat="1" x14ac:dyDescent="0.25"/>
    <row r="13866" s="42" customFormat="1" x14ac:dyDescent="0.25"/>
    <row r="13867" s="42" customFormat="1" x14ac:dyDescent="0.25"/>
    <row r="13868" s="42" customFormat="1" x14ac:dyDescent="0.25"/>
    <row r="13869" s="42" customFormat="1" x14ac:dyDescent="0.25"/>
    <row r="13870" s="42" customFormat="1" x14ac:dyDescent="0.25"/>
    <row r="13871" s="42" customFormat="1" x14ac:dyDescent="0.25"/>
    <row r="13872" s="42" customFormat="1" x14ac:dyDescent="0.25"/>
    <row r="13873" s="42" customFormat="1" x14ac:dyDescent="0.25"/>
    <row r="13874" s="42" customFormat="1" x14ac:dyDescent="0.25"/>
    <row r="13875" s="42" customFormat="1" x14ac:dyDescent="0.25"/>
    <row r="13876" s="42" customFormat="1" x14ac:dyDescent="0.25"/>
    <row r="13877" s="42" customFormat="1" x14ac:dyDescent="0.25"/>
    <row r="13878" s="42" customFormat="1" x14ac:dyDescent="0.25"/>
    <row r="13879" s="42" customFormat="1" x14ac:dyDescent="0.25"/>
    <row r="13880" s="42" customFormat="1" x14ac:dyDescent="0.25"/>
    <row r="13881" s="42" customFormat="1" x14ac:dyDescent="0.25"/>
    <row r="13882" s="42" customFormat="1" x14ac:dyDescent="0.25"/>
    <row r="13883" s="42" customFormat="1" x14ac:dyDescent="0.25"/>
    <row r="13884" s="42" customFormat="1" x14ac:dyDescent="0.25"/>
    <row r="13885" s="42" customFormat="1" x14ac:dyDescent="0.25"/>
    <row r="13886" s="42" customFormat="1" x14ac:dyDescent="0.25"/>
    <row r="13887" s="42" customFormat="1" x14ac:dyDescent="0.25"/>
    <row r="13888" s="42" customFormat="1" x14ac:dyDescent="0.25"/>
    <row r="13889" s="42" customFormat="1" x14ac:dyDescent="0.25"/>
    <row r="13890" s="42" customFormat="1" x14ac:dyDescent="0.25"/>
    <row r="13891" s="42" customFormat="1" x14ac:dyDescent="0.25"/>
    <row r="13892" s="42" customFormat="1" x14ac:dyDescent="0.25"/>
    <row r="13893" s="42" customFormat="1" x14ac:dyDescent="0.25"/>
    <row r="13894" s="42" customFormat="1" x14ac:dyDescent="0.25"/>
    <row r="13895" s="42" customFormat="1" x14ac:dyDescent="0.25"/>
    <row r="13896" s="42" customFormat="1" x14ac:dyDescent="0.25"/>
    <row r="13897" s="42" customFormat="1" x14ac:dyDescent="0.25"/>
    <row r="13898" s="42" customFormat="1" x14ac:dyDescent="0.25"/>
    <row r="13899" s="42" customFormat="1" x14ac:dyDescent="0.25"/>
    <row r="13900" s="42" customFormat="1" x14ac:dyDescent="0.25"/>
    <row r="13901" s="42" customFormat="1" x14ac:dyDescent="0.25"/>
    <row r="13902" s="42" customFormat="1" x14ac:dyDescent="0.25"/>
    <row r="13903" s="42" customFormat="1" x14ac:dyDescent="0.25"/>
    <row r="13904" s="42" customFormat="1" x14ac:dyDescent="0.25"/>
    <row r="13905" s="42" customFormat="1" x14ac:dyDescent="0.25"/>
    <row r="13906" s="42" customFormat="1" x14ac:dyDescent="0.25"/>
    <row r="13907" s="42" customFormat="1" x14ac:dyDescent="0.25"/>
    <row r="13908" s="42" customFormat="1" x14ac:dyDescent="0.25"/>
    <row r="13909" s="42" customFormat="1" x14ac:dyDescent="0.25"/>
    <row r="13910" s="42" customFormat="1" x14ac:dyDescent="0.25"/>
    <row r="13911" s="42" customFormat="1" x14ac:dyDescent="0.25"/>
    <row r="13912" s="42" customFormat="1" x14ac:dyDescent="0.25"/>
    <row r="13913" s="42" customFormat="1" x14ac:dyDescent="0.25"/>
    <row r="13914" s="42" customFormat="1" x14ac:dyDescent="0.25"/>
    <row r="13915" s="42" customFormat="1" x14ac:dyDescent="0.25"/>
    <row r="13916" s="42" customFormat="1" x14ac:dyDescent="0.25"/>
    <row r="13917" s="42" customFormat="1" x14ac:dyDescent="0.25"/>
    <row r="13918" s="42" customFormat="1" x14ac:dyDescent="0.25"/>
    <row r="13919" s="42" customFormat="1" x14ac:dyDescent="0.25"/>
    <row r="13920" s="42" customFormat="1" x14ac:dyDescent="0.25"/>
    <row r="13921" s="42" customFormat="1" x14ac:dyDescent="0.25"/>
    <row r="13922" s="42" customFormat="1" x14ac:dyDescent="0.25"/>
    <row r="13923" s="42" customFormat="1" x14ac:dyDescent="0.25"/>
    <row r="13924" s="42" customFormat="1" x14ac:dyDescent="0.25"/>
    <row r="13925" s="42" customFormat="1" x14ac:dyDescent="0.25"/>
    <row r="13926" s="42" customFormat="1" x14ac:dyDescent="0.25"/>
    <row r="13927" s="42" customFormat="1" x14ac:dyDescent="0.25"/>
    <row r="13928" s="42" customFormat="1" x14ac:dyDescent="0.25"/>
    <row r="13929" s="42" customFormat="1" x14ac:dyDescent="0.25"/>
    <row r="13930" s="42" customFormat="1" x14ac:dyDescent="0.25"/>
    <row r="13931" s="42" customFormat="1" x14ac:dyDescent="0.25"/>
    <row r="13932" s="42" customFormat="1" x14ac:dyDescent="0.25"/>
    <row r="13933" s="42" customFormat="1" x14ac:dyDescent="0.25"/>
    <row r="13934" s="42" customFormat="1" x14ac:dyDescent="0.25"/>
    <row r="13935" s="42" customFormat="1" x14ac:dyDescent="0.25"/>
    <row r="13936" s="42" customFormat="1" x14ac:dyDescent="0.25"/>
    <row r="13937" s="42" customFormat="1" x14ac:dyDescent="0.25"/>
    <row r="13938" s="42" customFormat="1" x14ac:dyDescent="0.25"/>
    <row r="13939" s="42" customFormat="1" x14ac:dyDescent="0.25"/>
    <row r="13940" s="42" customFormat="1" x14ac:dyDescent="0.25"/>
    <row r="13941" s="42" customFormat="1" x14ac:dyDescent="0.25"/>
    <row r="13942" s="42" customFormat="1" x14ac:dyDescent="0.25"/>
    <row r="13943" s="42" customFormat="1" x14ac:dyDescent="0.25"/>
    <row r="13944" s="42" customFormat="1" x14ac:dyDescent="0.25"/>
    <row r="13945" s="42" customFormat="1" x14ac:dyDescent="0.25"/>
    <row r="13946" s="42" customFormat="1" x14ac:dyDescent="0.25"/>
    <row r="13947" s="42" customFormat="1" x14ac:dyDescent="0.25"/>
    <row r="13948" s="42" customFormat="1" x14ac:dyDescent="0.25"/>
    <row r="13949" s="42" customFormat="1" x14ac:dyDescent="0.25"/>
    <row r="13950" s="42" customFormat="1" x14ac:dyDescent="0.25"/>
    <row r="13951" s="42" customFormat="1" x14ac:dyDescent="0.25"/>
    <row r="13952" s="42" customFormat="1" x14ac:dyDescent="0.25"/>
    <row r="13953" s="42" customFormat="1" x14ac:dyDescent="0.25"/>
    <row r="13954" s="42" customFormat="1" x14ac:dyDescent="0.25"/>
    <row r="13955" s="42" customFormat="1" x14ac:dyDescent="0.25"/>
    <row r="13956" s="42" customFormat="1" x14ac:dyDescent="0.25"/>
    <row r="13957" s="42" customFormat="1" x14ac:dyDescent="0.25"/>
    <row r="13958" s="42" customFormat="1" x14ac:dyDescent="0.25"/>
    <row r="13959" s="42" customFormat="1" x14ac:dyDescent="0.25"/>
    <row r="13960" s="42" customFormat="1" x14ac:dyDescent="0.25"/>
    <row r="13961" s="42" customFormat="1" x14ac:dyDescent="0.25"/>
    <row r="13962" s="42" customFormat="1" x14ac:dyDescent="0.25"/>
    <row r="13963" s="42" customFormat="1" x14ac:dyDescent="0.25"/>
    <row r="13964" s="42" customFormat="1" x14ac:dyDescent="0.25"/>
    <row r="13965" s="42" customFormat="1" x14ac:dyDescent="0.25"/>
    <row r="13966" s="42" customFormat="1" x14ac:dyDescent="0.25"/>
    <row r="13967" s="42" customFormat="1" x14ac:dyDescent="0.25"/>
    <row r="13968" s="42" customFormat="1" x14ac:dyDescent="0.25"/>
    <row r="13969" s="42" customFormat="1" x14ac:dyDescent="0.25"/>
    <row r="13970" s="42" customFormat="1" x14ac:dyDescent="0.25"/>
    <row r="13971" s="42" customFormat="1" x14ac:dyDescent="0.25"/>
    <row r="13972" s="42" customFormat="1" x14ac:dyDescent="0.25"/>
    <row r="13973" s="42" customFormat="1" x14ac:dyDescent="0.25"/>
    <row r="13974" s="42" customFormat="1" x14ac:dyDescent="0.25"/>
    <row r="13975" s="42" customFormat="1" x14ac:dyDescent="0.25"/>
    <row r="13976" s="42" customFormat="1" x14ac:dyDescent="0.25"/>
    <row r="13977" s="42" customFormat="1" x14ac:dyDescent="0.25"/>
    <row r="13978" s="42" customFormat="1" x14ac:dyDescent="0.25"/>
    <row r="13979" s="42" customFormat="1" x14ac:dyDescent="0.25"/>
    <row r="13980" s="42" customFormat="1" x14ac:dyDescent="0.25"/>
    <row r="13981" s="42" customFormat="1" x14ac:dyDescent="0.25"/>
    <row r="13982" s="42" customFormat="1" x14ac:dyDescent="0.25"/>
    <row r="13983" s="42" customFormat="1" x14ac:dyDescent="0.25"/>
    <row r="13984" s="42" customFormat="1" x14ac:dyDescent="0.25"/>
    <row r="13985" s="42" customFormat="1" x14ac:dyDescent="0.25"/>
    <row r="13986" s="42" customFormat="1" x14ac:dyDescent="0.25"/>
    <row r="13987" s="42" customFormat="1" x14ac:dyDescent="0.25"/>
    <row r="13988" s="42" customFormat="1" x14ac:dyDescent="0.25"/>
    <row r="13989" s="42" customFormat="1" x14ac:dyDescent="0.25"/>
    <row r="13990" s="42" customFormat="1" x14ac:dyDescent="0.25"/>
    <row r="13991" s="42" customFormat="1" x14ac:dyDescent="0.25"/>
    <row r="13992" s="42" customFormat="1" x14ac:dyDescent="0.25"/>
    <row r="13993" s="42" customFormat="1" x14ac:dyDescent="0.25"/>
    <row r="13994" s="42" customFormat="1" x14ac:dyDescent="0.25"/>
    <row r="13995" s="42" customFormat="1" x14ac:dyDescent="0.25"/>
    <row r="13996" s="42" customFormat="1" x14ac:dyDescent="0.25"/>
    <row r="13997" s="42" customFormat="1" x14ac:dyDescent="0.25"/>
    <row r="13998" s="42" customFormat="1" x14ac:dyDescent="0.25"/>
    <row r="13999" s="42" customFormat="1" x14ac:dyDescent="0.25"/>
    <row r="14000" s="42" customFormat="1" x14ac:dyDescent="0.25"/>
    <row r="14001" s="42" customFormat="1" x14ac:dyDescent="0.25"/>
    <row r="14002" s="42" customFormat="1" x14ac:dyDescent="0.25"/>
    <row r="14003" s="42" customFormat="1" x14ac:dyDescent="0.25"/>
    <row r="14004" s="42" customFormat="1" x14ac:dyDescent="0.25"/>
    <row r="14005" s="42" customFormat="1" x14ac:dyDescent="0.25"/>
    <row r="14006" s="42" customFormat="1" x14ac:dyDescent="0.25"/>
    <row r="14007" s="42" customFormat="1" x14ac:dyDescent="0.25"/>
    <row r="14008" s="42" customFormat="1" x14ac:dyDescent="0.25"/>
    <row r="14009" s="42" customFormat="1" x14ac:dyDescent="0.25"/>
    <row r="14010" s="42" customFormat="1" x14ac:dyDescent="0.25"/>
    <row r="14011" s="42" customFormat="1" x14ac:dyDescent="0.25"/>
    <row r="14012" s="42" customFormat="1" x14ac:dyDescent="0.25"/>
    <row r="14013" s="42" customFormat="1" x14ac:dyDescent="0.25"/>
    <row r="14014" s="42" customFormat="1" x14ac:dyDescent="0.25"/>
    <row r="14015" s="42" customFormat="1" x14ac:dyDescent="0.25"/>
    <row r="14016" s="42" customFormat="1" x14ac:dyDescent="0.25"/>
    <row r="14017" s="42" customFormat="1" x14ac:dyDescent="0.25"/>
    <row r="14018" s="42" customFormat="1" x14ac:dyDescent="0.25"/>
    <row r="14019" s="42" customFormat="1" x14ac:dyDescent="0.25"/>
    <row r="14020" s="42" customFormat="1" x14ac:dyDescent="0.25"/>
    <row r="14021" s="42" customFormat="1" x14ac:dyDescent="0.25"/>
    <row r="14022" s="42" customFormat="1" x14ac:dyDescent="0.25"/>
    <row r="14023" s="42" customFormat="1" x14ac:dyDescent="0.25"/>
    <row r="14024" s="42" customFormat="1" x14ac:dyDescent="0.25"/>
    <row r="14025" s="42" customFormat="1" x14ac:dyDescent="0.25"/>
    <row r="14026" s="42" customFormat="1" x14ac:dyDescent="0.25"/>
    <row r="14027" s="42" customFormat="1" x14ac:dyDescent="0.25"/>
    <row r="14028" s="42" customFormat="1" x14ac:dyDescent="0.25"/>
    <row r="14029" s="42" customFormat="1" x14ac:dyDescent="0.25"/>
    <row r="14030" s="42" customFormat="1" x14ac:dyDescent="0.25"/>
    <row r="14031" s="42" customFormat="1" x14ac:dyDescent="0.25"/>
    <row r="14032" s="42" customFormat="1" x14ac:dyDescent="0.25"/>
    <row r="14033" s="42" customFormat="1" x14ac:dyDescent="0.25"/>
    <row r="14034" s="42" customFormat="1" x14ac:dyDescent="0.25"/>
    <row r="14035" s="42" customFormat="1" x14ac:dyDescent="0.25"/>
    <row r="14036" s="42" customFormat="1" x14ac:dyDescent="0.25"/>
    <row r="14037" s="42" customFormat="1" x14ac:dyDescent="0.25"/>
    <row r="14038" s="42" customFormat="1" x14ac:dyDescent="0.25"/>
    <row r="14039" s="42" customFormat="1" x14ac:dyDescent="0.25"/>
    <row r="14040" s="42" customFormat="1" x14ac:dyDescent="0.25"/>
    <row r="14041" s="42" customFormat="1" x14ac:dyDescent="0.25"/>
    <row r="14042" s="42" customFormat="1" x14ac:dyDescent="0.25"/>
    <row r="14043" s="42" customFormat="1" x14ac:dyDescent="0.25"/>
    <row r="14044" s="42" customFormat="1" x14ac:dyDescent="0.25"/>
    <row r="14045" s="42" customFormat="1" x14ac:dyDescent="0.25"/>
    <row r="14046" s="42" customFormat="1" x14ac:dyDescent="0.25"/>
    <row r="14047" s="42" customFormat="1" x14ac:dyDescent="0.25"/>
    <row r="14048" s="42" customFormat="1" x14ac:dyDescent="0.25"/>
    <row r="14049" s="42" customFormat="1" x14ac:dyDescent="0.25"/>
    <row r="14050" s="42" customFormat="1" x14ac:dyDescent="0.25"/>
    <row r="14051" s="42" customFormat="1" x14ac:dyDescent="0.25"/>
    <row r="14052" s="42" customFormat="1" x14ac:dyDescent="0.25"/>
    <row r="14053" s="42" customFormat="1" x14ac:dyDescent="0.25"/>
    <row r="14054" s="42" customFormat="1" x14ac:dyDescent="0.25"/>
    <row r="14055" s="42" customFormat="1" x14ac:dyDescent="0.25"/>
    <row r="14056" s="42" customFormat="1" x14ac:dyDescent="0.25"/>
    <row r="14057" s="42" customFormat="1" x14ac:dyDescent="0.25"/>
    <row r="14058" s="42" customFormat="1" x14ac:dyDescent="0.25"/>
    <row r="14059" s="42" customFormat="1" x14ac:dyDescent="0.25"/>
    <row r="14060" s="42" customFormat="1" x14ac:dyDescent="0.25"/>
    <row r="14061" s="42" customFormat="1" x14ac:dyDescent="0.25"/>
    <row r="14062" s="42" customFormat="1" x14ac:dyDescent="0.25"/>
    <row r="14063" s="42" customFormat="1" x14ac:dyDescent="0.25"/>
    <row r="14064" s="42" customFormat="1" x14ac:dyDescent="0.25"/>
    <row r="14065" s="42" customFormat="1" x14ac:dyDescent="0.25"/>
    <row r="14066" s="42" customFormat="1" x14ac:dyDescent="0.25"/>
    <row r="14067" s="42" customFormat="1" x14ac:dyDescent="0.25"/>
    <row r="14068" s="42" customFormat="1" x14ac:dyDescent="0.25"/>
    <row r="14069" s="42" customFormat="1" x14ac:dyDescent="0.25"/>
    <row r="14070" s="42" customFormat="1" x14ac:dyDescent="0.25"/>
    <row r="14071" s="42" customFormat="1" x14ac:dyDescent="0.25"/>
    <row r="14072" s="42" customFormat="1" x14ac:dyDescent="0.25"/>
    <row r="14073" s="42" customFormat="1" x14ac:dyDescent="0.25"/>
    <row r="14074" s="42" customFormat="1" x14ac:dyDescent="0.25"/>
    <row r="14075" s="42" customFormat="1" x14ac:dyDescent="0.25"/>
    <row r="14076" s="42" customFormat="1" x14ac:dyDescent="0.25"/>
    <row r="14077" s="42" customFormat="1" x14ac:dyDescent="0.25"/>
    <row r="14078" s="42" customFormat="1" x14ac:dyDescent="0.25"/>
    <row r="14079" s="42" customFormat="1" x14ac:dyDescent="0.25"/>
    <row r="14080" s="42" customFormat="1" x14ac:dyDescent="0.25"/>
    <row r="14081" s="42" customFormat="1" x14ac:dyDescent="0.25"/>
    <row r="14082" s="42" customFormat="1" x14ac:dyDescent="0.25"/>
    <row r="14083" s="42" customFormat="1" x14ac:dyDescent="0.25"/>
    <row r="14084" s="42" customFormat="1" x14ac:dyDescent="0.25"/>
    <row r="14085" s="42" customFormat="1" x14ac:dyDescent="0.25"/>
    <row r="14086" s="42" customFormat="1" x14ac:dyDescent="0.25"/>
    <row r="14087" s="42" customFormat="1" x14ac:dyDescent="0.25"/>
    <row r="14088" s="42" customFormat="1" x14ac:dyDescent="0.25"/>
    <row r="14089" s="42" customFormat="1" x14ac:dyDescent="0.25"/>
    <row r="14090" s="42" customFormat="1" x14ac:dyDescent="0.25"/>
    <row r="14091" s="42" customFormat="1" x14ac:dyDescent="0.25"/>
    <row r="14092" s="42" customFormat="1" x14ac:dyDescent="0.25"/>
    <row r="14093" s="42" customFormat="1" x14ac:dyDescent="0.25"/>
    <row r="14094" s="42" customFormat="1" x14ac:dyDescent="0.25"/>
    <row r="14095" s="42" customFormat="1" x14ac:dyDescent="0.25"/>
    <row r="14096" s="42" customFormat="1" x14ac:dyDescent="0.25"/>
    <row r="14097" s="42" customFormat="1" x14ac:dyDescent="0.25"/>
    <row r="14098" s="42" customFormat="1" x14ac:dyDescent="0.25"/>
    <row r="14099" s="42" customFormat="1" x14ac:dyDescent="0.25"/>
    <row r="14100" s="42" customFormat="1" x14ac:dyDescent="0.25"/>
    <row r="14101" s="42" customFormat="1" x14ac:dyDescent="0.25"/>
    <row r="14102" s="42" customFormat="1" x14ac:dyDescent="0.25"/>
    <row r="14103" s="42" customFormat="1" x14ac:dyDescent="0.25"/>
    <row r="14104" s="42" customFormat="1" x14ac:dyDescent="0.25"/>
    <row r="14105" s="42" customFormat="1" x14ac:dyDescent="0.25"/>
    <row r="14106" s="42" customFormat="1" x14ac:dyDescent="0.25"/>
    <row r="14107" s="42" customFormat="1" x14ac:dyDescent="0.25"/>
    <row r="14108" s="42" customFormat="1" x14ac:dyDescent="0.25"/>
    <row r="14109" s="42" customFormat="1" x14ac:dyDescent="0.25"/>
    <row r="14110" s="42" customFormat="1" x14ac:dyDescent="0.25"/>
    <row r="14111" s="42" customFormat="1" x14ac:dyDescent="0.25"/>
    <row r="14112" s="42" customFormat="1" x14ac:dyDescent="0.25"/>
    <row r="14113" s="42" customFormat="1" x14ac:dyDescent="0.25"/>
    <row r="14114" s="42" customFormat="1" x14ac:dyDescent="0.25"/>
    <row r="14115" s="42" customFormat="1" x14ac:dyDescent="0.25"/>
    <row r="14116" s="42" customFormat="1" x14ac:dyDescent="0.25"/>
    <row r="14117" s="42" customFormat="1" x14ac:dyDescent="0.25"/>
    <row r="14118" s="42" customFormat="1" x14ac:dyDescent="0.25"/>
    <row r="14119" s="42" customFormat="1" x14ac:dyDescent="0.25"/>
    <row r="14120" s="42" customFormat="1" x14ac:dyDescent="0.25"/>
    <row r="14121" s="42" customFormat="1" x14ac:dyDescent="0.25"/>
    <row r="14122" s="42" customFormat="1" x14ac:dyDescent="0.25"/>
    <row r="14123" s="42" customFormat="1" x14ac:dyDescent="0.25"/>
    <row r="14124" s="42" customFormat="1" x14ac:dyDescent="0.25"/>
    <row r="14125" s="42" customFormat="1" x14ac:dyDescent="0.25"/>
    <row r="14126" s="42" customFormat="1" x14ac:dyDescent="0.25"/>
    <row r="14127" s="42" customFormat="1" x14ac:dyDescent="0.25"/>
    <row r="14128" s="42" customFormat="1" x14ac:dyDescent="0.25"/>
    <row r="14129" s="42" customFormat="1" x14ac:dyDescent="0.25"/>
    <row r="14130" s="42" customFormat="1" x14ac:dyDescent="0.25"/>
    <row r="14131" s="42" customFormat="1" x14ac:dyDescent="0.25"/>
    <row r="14132" s="42" customFormat="1" x14ac:dyDescent="0.25"/>
    <row r="14133" s="42" customFormat="1" x14ac:dyDescent="0.25"/>
    <row r="14134" s="42" customFormat="1" x14ac:dyDescent="0.25"/>
    <row r="14135" s="42" customFormat="1" x14ac:dyDescent="0.25"/>
    <row r="14136" s="42" customFormat="1" x14ac:dyDescent="0.25"/>
    <row r="14137" s="42" customFormat="1" x14ac:dyDescent="0.25"/>
    <row r="14138" s="42" customFormat="1" x14ac:dyDescent="0.25"/>
    <row r="14139" s="42" customFormat="1" x14ac:dyDescent="0.25"/>
    <row r="14140" s="42" customFormat="1" x14ac:dyDescent="0.25"/>
    <row r="14141" s="42" customFormat="1" x14ac:dyDescent="0.25"/>
    <row r="14142" s="42" customFormat="1" x14ac:dyDescent="0.25"/>
    <row r="14143" s="42" customFormat="1" x14ac:dyDescent="0.25"/>
    <row r="14144" s="42" customFormat="1" x14ac:dyDescent="0.25"/>
    <row r="14145" s="42" customFormat="1" x14ac:dyDescent="0.25"/>
    <row r="14146" s="42" customFormat="1" x14ac:dyDescent="0.25"/>
    <row r="14147" s="42" customFormat="1" x14ac:dyDescent="0.25"/>
    <row r="14148" s="42" customFormat="1" x14ac:dyDescent="0.25"/>
    <row r="14149" s="42" customFormat="1" x14ac:dyDescent="0.25"/>
    <row r="14150" s="42" customFormat="1" x14ac:dyDescent="0.25"/>
    <row r="14151" s="42" customFormat="1" x14ac:dyDescent="0.25"/>
    <row r="14152" s="42" customFormat="1" x14ac:dyDescent="0.25"/>
    <row r="14153" s="42" customFormat="1" x14ac:dyDescent="0.25"/>
    <row r="14154" s="42" customFormat="1" x14ac:dyDescent="0.25"/>
    <row r="14155" s="42" customFormat="1" x14ac:dyDescent="0.25"/>
    <row r="14156" s="42" customFormat="1" x14ac:dyDescent="0.25"/>
    <row r="14157" s="42" customFormat="1" x14ac:dyDescent="0.25"/>
    <row r="14158" s="42" customFormat="1" x14ac:dyDescent="0.25"/>
    <row r="14159" s="42" customFormat="1" x14ac:dyDescent="0.25"/>
    <row r="14160" s="42" customFormat="1" x14ac:dyDescent="0.25"/>
    <row r="14161" s="42" customFormat="1" x14ac:dyDescent="0.25"/>
    <row r="14162" s="42" customFormat="1" x14ac:dyDescent="0.25"/>
    <row r="14163" s="42" customFormat="1" x14ac:dyDescent="0.25"/>
    <row r="14164" s="42" customFormat="1" x14ac:dyDescent="0.25"/>
    <row r="14165" s="42" customFormat="1" x14ac:dyDescent="0.25"/>
    <row r="14166" s="42" customFormat="1" x14ac:dyDescent="0.25"/>
    <row r="14167" s="42" customFormat="1" x14ac:dyDescent="0.25"/>
    <row r="14168" s="42" customFormat="1" x14ac:dyDescent="0.25"/>
    <row r="14169" s="42" customFormat="1" x14ac:dyDescent="0.25"/>
    <row r="14170" s="42" customFormat="1" x14ac:dyDescent="0.25"/>
    <row r="14171" s="42" customFormat="1" x14ac:dyDescent="0.25"/>
    <row r="14172" s="42" customFormat="1" x14ac:dyDescent="0.25"/>
    <row r="14173" s="42" customFormat="1" x14ac:dyDescent="0.25"/>
    <row r="14174" s="42" customFormat="1" x14ac:dyDescent="0.25"/>
    <row r="14175" s="42" customFormat="1" x14ac:dyDescent="0.25"/>
    <row r="14176" s="42" customFormat="1" x14ac:dyDescent="0.25"/>
    <row r="14177" s="42" customFormat="1" x14ac:dyDescent="0.25"/>
    <row r="14178" s="42" customFormat="1" x14ac:dyDescent="0.25"/>
    <row r="14179" s="42" customFormat="1" x14ac:dyDescent="0.25"/>
    <row r="14180" s="42" customFormat="1" x14ac:dyDescent="0.25"/>
    <row r="14181" s="42" customFormat="1" x14ac:dyDescent="0.25"/>
    <row r="14182" s="42" customFormat="1" x14ac:dyDescent="0.25"/>
    <row r="14183" s="42" customFormat="1" x14ac:dyDescent="0.25"/>
    <row r="14184" s="42" customFormat="1" x14ac:dyDescent="0.25"/>
    <row r="14185" s="42" customFormat="1" x14ac:dyDescent="0.25"/>
    <row r="14186" s="42" customFormat="1" x14ac:dyDescent="0.25"/>
    <row r="14187" s="42" customFormat="1" x14ac:dyDescent="0.25"/>
    <row r="14188" s="42" customFormat="1" x14ac:dyDescent="0.25"/>
    <row r="14189" s="42" customFormat="1" x14ac:dyDescent="0.25"/>
    <row r="14190" s="42" customFormat="1" x14ac:dyDescent="0.25"/>
    <row r="14191" s="42" customFormat="1" x14ac:dyDescent="0.25"/>
    <row r="14192" s="42" customFormat="1" x14ac:dyDescent="0.25"/>
    <row r="14193" s="42" customFormat="1" x14ac:dyDescent="0.25"/>
    <row r="14194" s="42" customFormat="1" x14ac:dyDescent="0.25"/>
    <row r="14195" s="42" customFormat="1" x14ac:dyDescent="0.25"/>
    <row r="14196" s="42" customFormat="1" x14ac:dyDescent="0.25"/>
    <row r="14197" s="42" customFormat="1" x14ac:dyDescent="0.25"/>
    <row r="14198" s="42" customFormat="1" x14ac:dyDescent="0.25"/>
    <row r="14199" s="42" customFormat="1" x14ac:dyDescent="0.25"/>
    <row r="14200" s="42" customFormat="1" x14ac:dyDescent="0.25"/>
    <row r="14201" s="42" customFormat="1" x14ac:dyDescent="0.25"/>
    <row r="14202" s="42" customFormat="1" x14ac:dyDescent="0.25"/>
    <row r="14203" s="42" customFormat="1" x14ac:dyDescent="0.25"/>
    <row r="14204" s="42" customFormat="1" x14ac:dyDescent="0.25"/>
    <row r="14205" s="42" customFormat="1" x14ac:dyDescent="0.25"/>
    <row r="14206" s="42" customFormat="1" x14ac:dyDescent="0.25"/>
    <row r="14207" s="42" customFormat="1" x14ac:dyDescent="0.25"/>
    <row r="14208" s="42" customFormat="1" x14ac:dyDescent="0.25"/>
    <row r="14209" s="42" customFormat="1" x14ac:dyDescent="0.25"/>
    <row r="14210" s="42" customFormat="1" x14ac:dyDescent="0.25"/>
    <row r="14211" s="42" customFormat="1" x14ac:dyDescent="0.25"/>
    <row r="14212" s="42" customFormat="1" x14ac:dyDescent="0.25"/>
    <row r="14213" s="42" customFormat="1" x14ac:dyDescent="0.25"/>
    <row r="14214" s="42" customFormat="1" x14ac:dyDescent="0.25"/>
    <row r="14215" s="42" customFormat="1" x14ac:dyDescent="0.25"/>
    <row r="14216" s="42" customFormat="1" x14ac:dyDescent="0.25"/>
    <row r="14217" s="42" customFormat="1" x14ac:dyDescent="0.25"/>
    <row r="14218" s="42" customFormat="1" x14ac:dyDescent="0.25"/>
    <row r="14219" s="42" customFormat="1" x14ac:dyDescent="0.25"/>
    <row r="14220" s="42" customFormat="1" x14ac:dyDescent="0.25"/>
    <row r="14221" s="42" customFormat="1" x14ac:dyDescent="0.25"/>
    <row r="14222" s="42" customFormat="1" x14ac:dyDescent="0.25"/>
    <row r="14223" s="42" customFormat="1" x14ac:dyDescent="0.25"/>
    <row r="14224" s="42" customFormat="1" x14ac:dyDescent="0.25"/>
    <row r="14225" s="42" customFormat="1" x14ac:dyDescent="0.25"/>
    <row r="14226" s="42" customFormat="1" x14ac:dyDescent="0.25"/>
    <row r="14227" s="42" customFormat="1" x14ac:dyDescent="0.25"/>
    <row r="14228" s="42" customFormat="1" x14ac:dyDescent="0.25"/>
    <row r="14229" s="42" customFormat="1" x14ac:dyDescent="0.25"/>
    <row r="14230" s="42" customFormat="1" x14ac:dyDescent="0.25"/>
    <row r="14231" s="42" customFormat="1" x14ac:dyDescent="0.25"/>
    <row r="14232" s="42" customFormat="1" x14ac:dyDescent="0.25"/>
    <row r="14233" s="42" customFormat="1" x14ac:dyDescent="0.25"/>
    <row r="14234" s="42" customFormat="1" x14ac:dyDescent="0.25"/>
    <row r="14235" s="42" customFormat="1" x14ac:dyDescent="0.25"/>
    <row r="14236" s="42" customFormat="1" x14ac:dyDescent="0.25"/>
    <row r="14237" s="42" customFormat="1" x14ac:dyDescent="0.25"/>
    <row r="14238" s="42" customFormat="1" x14ac:dyDescent="0.25"/>
    <row r="14239" s="42" customFormat="1" x14ac:dyDescent="0.25"/>
    <row r="14240" s="42" customFormat="1" x14ac:dyDescent="0.25"/>
    <row r="14241" s="42" customFormat="1" x14ac:dyDescent="0.25"/>
    <row r="14242" s="42" customFormat="1" x14ac:dyDescent="0.25"/>
    <row r="14243" s="42" customFormat="1" x14ac:dyDescent="0.25"/>
    <row r="14244" s="42" customFormat="1" x14ac:dyDescent="0.25"/>
    <row r="14245" s="42" customFormat="1" x14ac:dyDescent="0.25"/>
    <row r="14246" s="42" customFormat="1" x14ac:dyDescent="0.25"/>
    <row r="14247" s="42" customFormat="1" x14ac:dyDescent="0.25"/>
    <row r="14248" s="42" customFormat="1" x14ac:dyDescent="0.25"/>
    <row r="14249" s="42" customFormat="1" x14ac:dyDescent="0.25"/>
    <row r="14250" s="42" customFormat="1" x14ac:dyDescent="0.25"/>
    <row r="14251" s="42" customFormat="1" x14ac:dyDescent="0.25"/>
    <row r="14252" s="42" customFormat="1" x14ac:dyDescent="0.25"/>
    <row r="14253" s="42" customFormat="1" x14ac:dyDescent="0.25"/>
    <row r="14254" s="42" customFormat="1" x14ac:dyDescent="0.25"/>
    <row r="14255" s="42" customFormat="1" x14ac:dyDescent="0.25"/>
    <row r="14256" s="42" customFormat="1" x14ac:dyDescent="0.25"/>
    <row r="14257" s="42" customFormat="1" x14ac:dyDescent="0.25"/>
    <row r="14258" s="42" customFormat="1" x14ac:dyDescent="0.25"/>
    <row r="14259" s="42" customFormat="1" x14ac:dyDescent="0.25"/>
    <row r="14260" s="42" customFormat="1" x14ac:dyDescent="0.25"/>
    <row r="14261" s="42" customFormat="1" x14ac:dyDescent="0.25"/>
    <row r="14262" s="42" customFormat="1" x14ac:dyDescent="0.25"/>
    <row r="14263" s="42" customFormat="1" x14ac:dyDescent="0.25"/>
    <row r="14264" s="42" customFormat="1" x14ac:dyDescent="0.25"/>
    <row r="14265" s="42" customFormat="1" x14ac:dyDescent="0.25"/>
    <row r="14266" s="42" customFormat="1" x14ac:dyDescent="0.25"/>
    <row r="14267" s="42" customFormat="1" x14ac:dyDescent="0.25"/>
    <row r="14268" s="42" customFormat="1" x14ac:dyDescent="0.25"/>
    <row r="14269" s="42" customFormat="1" x14ac:dyDescent="0.25"/>
    <row r="14270" s="42" customFormat="1" x14ac:dyDescent="0.25"/>
    <row r="14271" s="42" customFormat="1" x14ac:dyDescent="0.25"/>
    <row r="14272" s="42" customFormat="1" x14ac:dyDescent="0.25"/>
    <row r="14273" s="42" customFormat="1" x14ac:dyDescent="0.25"/>
    <row r="14274" s="42" customFormat="1" x14ac:dyDescent="0.25"/>
    <row r="14275" s="42" customFormat="1" x14ac:dyDescent="0.25"/>
    <row r="14276" s="42" customFormat="1" x14ac:dyDescent="0.25"/>
    <row r="14277" s="42" customFormat="1" x14ac:dyDescent="0.25"/>
    <row r="14278" s="42" customFormat="1" x14ac:dyDescent="0.25"/>
    <row r="14279" s="42" customFormat="1" x14ac:dyDescent="0.25"/>
    <row r="14280" s="42" customFormat="1" x14ac:dyDescent="0.25"/>
    <row r="14281" s="42" customFormat="1" x14ac:dyDescent="0.25"/>
    <row r="14282" s="42" customFormat="1" x14ac:dyDescent="0.25"/>
    <row r="14283" s="42" customFormat="1" x14ac:dyDescent="0.25"/>
    <row r="14284" s="42" customFormat="1" x14ac:dyDescent="0.25"/>
    <row r="14285" s="42" customFormat="1" x14ac:dyDescent="0.25"/>
    <row r="14286" s="42" customFormat="1" x14ac:dyDescent="0.25"/>
    <row r="14287" s="42" customFormat="1" x14ac:dyDescent="0.25"/>
    <row r="14288" s="42" customFormat="1" x14ac:dyDescent="0.25"/>
    <row r="14289" s="42" customFormat="1" x14ac:dyDescent="0.25"/>
    <row r="14290" s="42" customFormat="1" x14ac:dyDescent="0.25"/>
    <row r="14291" s="42" customFormat="1" x14ac:dyDescent="0.25"/>
    <row r="14292" s="42" customFormat="1" x14ac:dyDescent="0.25"/>
    <row r="14293" s="42" customFormat="1" x14ac:dyDescent="0.25"/>
    <row r="14294" s="42" customFormat="1" x14ac:dyDescent="0.25"/>
    <row r="14295" s="42" customFormat="1" x14ac:dyDescent="0.25"/>
    <row r="14296" s="42" customFormat="1" x14ac:dyDescent="0.25"/>
    <row r="14297" s="42" customFormat="1" x14ac:dyDescent="0.25"/>
    <row r="14298" s="42" customFormat="1" x14ac:dyDescent="0.25"/>
    <row r="14299" s="42" customFormat="1" x14ac:dyDescent="0.25"/>
    <row r="14300" s="42" customFormat="1" x14ac:dyDescent="0.25"/>
    <row r="14301" s="42" customFormat="1" x14ac:dyDescent="0.25"/>
    <row r="14302" s="42" customFormat="1" x14ac:dyDescent="0.25"/>
    <row r="14303" s="42" customFormat="1" x14ac:dyDescent="0.25"/>
    <row r="14304" s="42" customFormat="1" x14ac:dyDescent="0.25"/>
    <row r="14305" s="42" customFormat="1" x14ac:dyDescent="0.25"/>
    <row r="14306" s="42" customFormat="1" x14ac:dyDescent="0.25"/>
    <row r="14307" s="42" customFormat="1" x14ac:dyDescent="0.25"/>
    <row r="14308" s="42" customFormat="1" x14ac:dyDescent="0.25"/>
    <row r="14309" s="42" customFormat="1" x14ac:dyDescent="0.25"/>
    <row r="14310" s="42" customFormat="1" x14ac:dyDescent="0.25"/>
    <row r="14311" s="42" customFormat="1" x14ac:dyDescent="0.25"/>
    <row r="14312" s="42" customFormat="1" x14ac:dyDescent="0.25"/>
    <row r="14313" s="42" customFormat="1" x14ac:dyDescent="0.25"/>
    <row r="14314" s="42" customFormat="1" x14ac:dyDescent="0.25"/>
    <row r="14315" s="42" customFormat="1" x14ac:dyDescent="0.25"/>
    <row r="14316" s="42" customFormat="1" x14ac:dyDescent="0.25"/>
    <row r="14317" s="42" customFormat="1" x14ac:dyDescent="0.25"/>
    <row r="14318" s="42" customFormat="1" x14ac:dyDescent="0.25"/>
    <row r="14319" s="42" customFormat="1" x14ac:dyDescent="0.25"/>
    <row r="14320" s="42" customFormat="1" x14ac:dyDescent="0.25"/>
    <row r="14321" s="42" customFormat="1" x14ac:dyDescent="0.25"/>
    <row r="14322" s="42" customFormat="1" x14ac:dyDescent="0.25"/>
    <row r="14323" s="42" customFormat="1" x14ac:dyDescent="0.25"/>
    <row r="14324" s="42" customFormat="1" x14ac:dyDescent="0.25"/>
    <row r="14325" s="42" customFormat="1" x14ac:dyDescent="0.25"/>
    <row r="14326" s="42" customFormat="1" x14ac:dyDescent="0.25"/>
    <row r="14327" s="42" customFormat="1" x14ac:dyDescent="0.25"/>
    <row r="14328" s="42" customFormat="1" x14ac:dyDescent="0.25"/>
    <row r="14329" s="42" customFormat="1" x14ac:dyDescent="0.25"/>
    <row r="14330" s="42" customFormat="1" x14ac:dyDescent="0.25"/>
    <row r="14331" s="42" customFormat="1" x14ac:dyDescent="0.25"/>
    <row r="14332" s="42" customFormat="1" x14ac:dyDescent="0.25"/>
    <row r="14333" s="42" customFormat="1" x14ac:dyDescent="0.25"/>
    <row r="14334" s="42" customFormat="1" x14ac:dyDescent="0.25"/>
    <row r="14335" s="42" customFormat="1" x14ac:dyDescent="0.25"/>
    <row r="14336" s="42" customFormat="1" x14ac:dyDescent="0.25"/>
    <row r="14337" s="42" customFormat="1" x14ac:dyDescent="0.25"/>
    <row r="14338" s="42" customFormat="1" x14ac:dyDescent="0.25"/>
    <row r="14339" s="42" customFormat="1" x14ac:dyDescent="0.25"/>
    <row r="14340" s="42" customFormat="1" x14ac:dyDescent="0.25"/>
    <row r="14341" s="42" customFormat="1" x14ac:dyDescent="0.25"/>
    <row r="14342" s="42" customFormat="1" x14ac:dyDescent="0.25"/>
    <row r="14343" s="42" customFormat="1" x14ac:dyDescent="0.25"/>
    <row r="14344" s="42" customFormat="1" x14ac:dyDescent="0.25"/>
    <row r="14345" s="42" customFormat="1" x14ac:dyDescent="0.25"/>
    <row r="14346" s="42" customFormat="1" x14ac:dyDescent="0.25"/>
    <row r="14347" s="42" customFormat="1" x14ac:dyDescent="0.25"/>
    <row r="14348" s="42" customFormat="1" x14ac:dyDescent="0.25"/>
    <row r="14349" s="42" customFormat="1" x14ac:dyDescent="0.25"/>
    <row r="14350" s="42" customFormat="1" x14ac:dyDescent="0.25"/>
    <row r="14351" s="42" customFormat="1" x14ac:dyDescent="0.25"/>
    <row r="14352" s="42" customFormat="1" x14ac:dyDescent="0.25"/>
    <row r="14353" s="42" customFormat="1" x14ac:dyDescent="0.25"/>
    <row r="14354" s="42" customFormat="1" x14ac:dyDescent="0.25"/>
    <row r="14355" s="42" customFormat="1" x14ac:dyDescent="0.25"/>
    <row r="14356" s="42" customFormat="1" x14ac:dyDescent="0.25"/>
    <row r="14357" s="42" customFormat="1" x14ac:dyDescent="0.25"/>
    <row r="14358" s="42" customFormat="1" x14ac:dyDescent="0.25"/>
    <row r="14359" s="42" customFormat="1" x14ac:dyDescent="0.25"/>
    <row r="14360" s="42" customFormat="1" x14ac:dyDescent="0.25"/>
    <row r="14361" s="42" customFormat="1" x14ac:dyDescent="0.25"/>
    <row r="14362" s="42" customFormat="1" x14ac:dyDescent="0.25"/>
    <row r="14363" s="42" customFormat="1" x14ac:dyDescent="0.25"/>
    <row r="14364" s="42" customFormat="1" x14ac:dyDescent="0.25"/>
    <row r="14365" s="42" customFormat="1" x14ac:dyDescent="0.25"/>
    <row r="14366" s="42" customFormat="1" x14ac:dyDescent="0.25"/>
    <row r="14367" s="42" customFormat="1" x14ac:dyDescent="0.25"/>
    <row r="14368" s="42" customFormat="1" x14ac:dyDescent="0.25"/>
    <row r="14369" s="42" customFormat="1" x14ac:dyDescent="0.25"/>
    <row r="14370" s="42" customFormat="1" x14ac:dyDescent="0.25"/>
    <row r="14371" s="42" customFormat="1" x14ac:dyDescent="0.25"/>
    <row r="14372" s="42" customFormat="1" x14ac:dyDescent="0.25"/>
    <row r="14373" s="42" customFormat="1" x14ac:dyDescent="0.25"/>
    <row r="14374" s="42" customFormat="1" x14ac:dyDescent="0.25"/>
    <row r="14375" s="42" customFormat="1" x14ac:dyDescent="0.25"/>
    <row r="14376" s="42" customFormat="1" x14ac:dyDescent="0.25"/>
    <row r="14377" s="42" customFormat="1" x14ac:dyDescent="0.25"/>
    <row r="14378" s="42" customFormat="1" x14ac:dyDescent="0.25"/>
    <row r="14379" s="42" customFormat="1" x14ac:dyDescent="0.25"/>
    <row r="14380" s="42" customFormat="1" x14ac:dyDescent="0.25"/>
    <row r="14381" s="42" customFormat="1" x14ac:dyDescent="0.25"/>
    <row r="14382" s="42" customFormat="1" x14ac:dyDescent="0.25"/>
    <row r="14383" s="42" customFormat="1" x14ac:dyDescent="0.25"/>
    <row r="14384" s="42" customFormat="1" x14ac:dyDescent="0.25"/>
    <row r="14385" s="42" customFormat="1" x14ac:dyDescent="0.25"/>
    <row r="14386" s="42" customFormat="1" x14ac:dyDescent="0.25"/>
    <row r="14387" s="42" customFormat="1" x14ac:dyDescent="0.25"/>
    <row r="14388" s="42" customFormat="1" x14ac:dyDescent="0.25"/>
    <row r="14389" s="42" customFormat="1" x14ac:dyDescent="0.25"/>
    <row r="14390" s="42" customFormat="1" x14ac:dyDescent="0.25"/>
    <row r="14391" s="42" customFormat="1" x14ac:dyDescent="0.25"/>
    <row r="14392" s="42" customFormat="1" x14ac:dyDescent="0.25"/>
    <row r="14393" s="42" customFormat="1" x14ac:dyDescent="0.25"/>
    <row r="14394" s="42" customFormat="1" x14ac:dyDescent="0.25"/>
    <row r="14395" s="42" customFormat="1" x14ac:dyDescent="0.25"/>
    <row r="14396" s="42" customFormat="1" x14ac:dyDescent="0.25"/>
    <row r="14397" s="42" customFormat="1" x14ac:dyDescent="0.25"/>
    <row r="14398" s="42" customFormat="1" x14ac:dyDescent="0.25"/>
    <row r="14399" s="42" customFormat="1" x14ac:dyDescent="0.25"/>
    <row r="14400" s="42" customFormat="1" x14ac:dyDescent="0.25"/>
    <row r="14401" s="42" customFormat="1" x14ac:dyDescent="0.25"/>
    <row r="14402" s="42" customFormat="1" x14ac:dyDescent="0.25"/>
    <row r="14403" s="42" customFormat="1" x14ac:dyDescent="0.25"/>
    <row r="14404" s="42" customFormat="1" x14ac:dyDescent="0.25"/>
    <row r="14405" s="42" customFormat="1" x14ac:dyDescent="0.25"/>
    <row r="14406" s="42" customFormat="1" x14ac:dyDescent="0.25"/>
    <row r="14407" s="42" customFormat="1" x14ac:dyDescent="0.25"/>
    <row r="14408" s="42" customFormat="1" x14ac:dyDescent="0.25"/>
    <row r="14409" s="42" customFormat="1" x14ac:dyDescent="0.25"/>
    <row r="14410" s="42" customFormat="1" x14ac:dyDescent="0.25"/>
    <row r="14411" s="42" customFormat="1" x14ac:dyDescent="0.25"/>
    <row r="14412" s="42" customFormat="1" x14ac:dyDescent="0.25"/>
    <row r="14413" s="42" customFormat="1" x14ac:dyDescent="0.25"/>
    <row r="14414" s="42" customFormat="1" x14ac:dyDescent="0.25"/>
    <row r="14415" s="42" customFormat="1" x14ac:dyDescent="0.25"/>
    <row r="14416" s="42" customFormat="1" x14ac:dyDescent="0.25"/>
    <row r="14417" s="42" customFormat="1" x14ac:dyDescent="0.25"/>
    <row r="14418" s="42" customFormat="1" x14ac:dyDescent="0.25"/>
    <row r="14419" s="42" customFormat="1" x14ac:dyDescent="0.25"/>
    <row r="14420" s="42" customFormat="1" x14ac:dyDescent="0.25"/>
    <row r="14421" s="42" customFormat="1" x14ac:dyDescent="0.25"/>
    <row r="14422" s="42" customFormat="1" x14ac:dyDescent="0.25"/>
    <row r="14423" s="42" customFormat="1" x14ac:dyDescent="0.25"/>
    <row r="14424" s="42" customFormat="1" x14ac:dyDescent="0.25"/>
    <row r="14425" s="42" customFormat="1" x14ac:dyDescent="0.25"/>
    <row r="14426" s="42" customFormat="1" x14ac:dyDescent="0.25"/>
    <row r="14427" s="42" customFormat="1" x14ac:dyDescent="0.25"/>
    <row r="14428" s="42" customFormat="1" x14ac:dyDescent="0.25"/>
    <row r="14429" s="42" customFormat="1" x14ac:dyDescent="0.25"/>
    <row r="14430" s="42" customFormat="1" x14ac:dyDescent="0.25"/>
    <row r="14431" s="42" customFormat="1" x14ac:dyDescent="0.25"/>
    <row r="14432" s="42" customFormat="1" x14ac:dyDescent="0.25"/>
    <row r="14433" s="42" customFormat="1" x14ac:dyDescent="0.25"/>
    <row r="14434" s="42" customFormat="1" x14ac:dyDescent="0.25"/>
    <row r="14435" s="42" customFormat="1" x14ac:dyDescent="0.25"/>
    <row r="14436" s="42" customFormat="1" x14ac:dyDescent="0.25"/>
    <row r="14437" s="42" customFormat="1" x14ac:dyDescent="0.25"/>
    <row r="14438" s="42" customFormat="1" x14ac:dyDescent="0.25"/>
    <row r="14439" s="42" customFormat="1" x14ac:dyDescent="0.25"/>
    <row r="14440" s="42" customFormat="1" x14ac:dyDescent="0.25"/>
    <row r="14441" s="42" customFormat="1" x14ac:dyDescent="0.25"/>
    <row r="14442" s="42" customFormat="1" x14ac:dyDescent="0.25"/>
    <row r="14443" s="42" customFormat="1" x14ac:dyDescent="0.25"/>
    <row r="14444" s="42" customFormat="1" x14ac:dyDescent="0.25"/>
    <row r="14445" s="42" customFormat="1" x14ac:dyDescent="0.25"/>
    <row r="14446" s="42" customFormat="1" x14ac:dyDescent="0.25"/>
    <row r="14447" s="42" customFormat="1" x14ac:dyDescent="0.25"/>
    <row r="14448" s="42" customFormat="1" x14ac:dyDescent="0.25"/>
    <row r="14449" s="42" customFormat="1" x14ac:dyDescent="0.25"/>
    <row r="14450" s="42" customFormat="1" x14ac:dyDescent="0.25"/>
    <row r="14451" s="42" customFormat="1" x14ac:dyDescent="0.25"/>
    <row r="14452" s="42" customFormat="1" x14ac:dyDescent="0.25"/>
    <row r="14453" s="42" customFormat="1" x14ac:dyDescent="0.25"/>
    <row r="14454" s="42" customFormat="1" x14ac:dyDescent="0.25"/>
    <row r="14455" s="42" customFormat="1" x14ac:dyDescent="0.25"/>
    <row r="14456" s="42" customFormat="1" x14ac:dyDescent="0.25"/>
    <row r="14457" s="42" customFormat="1" x14ac:dyDescent="0.25"/>
    <row r="14458" s="42" customFormat="1" x14ac:dyDescent="0.25"/>
    <row r="14459" s="42" customFormat="1" x14ac:dyDescent="0.25"/>
    <row r="14460" s="42" customFormat="1" x14ac:dyDescent="0.25"/>
    <row r="14461" s="42" customFormat="1" x14ac:dyDescent="0.25"/>
    <row r="14462" s="42" customFormat="1" x14ac:dyDescent="0.25"/>
    <row r="14463" s="42" customFormat="1" x14ac:dyDescent="0.25"/>
    <row r="14464" s="42" customFormat="1" x14ac:dyDescent="0.25"/>
    <row r="14465" s="42" customFormat="1" x14ac:dyDescent="0.25"/>
    <row r="14466" s="42" customFormat="1" x14ac:dyDescent="0.25"/>
    <row r="14467" s="42" customFormat="1" x14ac:dyDescent="0.25"/>
    <row r="14468" s="42" customFormat="1" x14ac:dyDescent="0.25"/>
    <row r="14469" s="42" customFormat="1" x14ac:dyDescent="0.25"/>
    <row r="14470" s="42" customFormat="1" x14ac:dyDescent="0.25"/>
    <row r="14471" s="42" customFormat="1" x14ac:dyDescent="0.25"/>
    <row r="14472" s="42" customFormat="1" x14ac:dyDescent="0.25"/>
    <row r="14473" s="42" customFormat="1" x14ac:dyDescent="0.25"/>
    <row r="14474" s="42" customFormat="1" x14ac:dyDescent="0.25"/>
    <row r="14475" s="42" customFormat="1" x14ac:dyDescent="0.25"/>
    <row r="14476" s="42" customFormat="1" x14ac:dyDescent="0.25"/>
    <row r="14477" s="42" customFormat="1" x14ac:dyDescent="0.25"/>
    <row r="14478" s="42" customFormat="1" x14ac:dyDescent="0.25"/>
    <row r="14479" s="42" customFormat="1" x14ac:dyDescent="0.25"/>
    <row r="14480" s="42" customFormat="1" x14ac:dyDescent="0.25"/>
    <row r="14481" s="42" customFormat="1" x14ac:dyDescent="0.25"/>
    <row r="14482" s="42" customFormat="1" x14ac:dyDescent="0.25"/>
    <row r="14483" s="42" customFormat="1" x14ac:dyDescent="0.25"/>
    <row r="14484" s="42" customFormat="1" x14ac:dyDescent="0.25"/>
    <row r="14485" s="42" customFormat="1" x14ac:dyDescent="0.25"/>
    <row r="14486" s="42" customFormat="1" x14ac:dyDescent="0.25"/>
    <row r="14487" s="42" customFormat="1" x14ac:dyDescent="0.25"/>
    <row r="14488" s="42" customFormat="1" x14ac:dyDescent="0.25"/>
    <row r="14489" s="42" customFormat="1" x14ac:dyDescent="0.25"/>
    <row r="14490" s="42" customFormat="1" x14ac:dyDescent="0.25"/>
    <row r="14491" s="42" customFormat="1" x14ac:dyDescent="0.25"/>
    <row r="14492" s="42" customFormat="1" x14ac:dyDescent="0.25"/>
    <row r="14493" s="42" customFormat="1" x14ac:dyDescent="0.25"/>
    <row r="14494" s="42" customFormat="1" x14ac:dyDescent="0.25"/>
    <row r="14495" s="42" customFormat="1" x14ac:dyDescent="0.25"/>
    <row r="14496" s="42" customFormat="1" x14ac:dyDescent="0.25"/>
    <row r="14497" s="42" customFormat="1" x14ac:dyDescent="0.25"/>
    <row r="14498" s="42" customFormat="1" x14ac:dyDescent="0.25"/>
    <row r="14499" s="42" customFormat="1" x14ac:dyDescent="0.25"/>
    <row r="14500" s="42" customFormat="1" x14ac:dyDescent="0.25"/>
    <row r="14501" s="42" customFormat="1" x14ac:dyDescent="0.25"/>
    <row r="14502" s="42" customFormat="1" x14ac:dyDescent="0.25"/>
    <row r="14503" s="42" customFormat="1" x14ac:dyDescent="0.25"/>
    <row r="14504" s="42" customFormat="1" x14ac:dyDescent="0.25"/>
    <row r="14505" s="42" customFormat="1" x14ac:dyDescent="0.25"/>
    <row r="14506" s="42" customFormat="1" x14ac:dyDescent="0.25"/>
    <row r="14507" s="42" customFormat="1" x14ac:dyDescent="0.25"/>
    <row r="14508" s="42" customFormat="1" x14ac:dyDescent="0.25"/>
    <row r="14509" s="42" customFormat="1" x14ac:dyDescent="0.25"/>
    <row r="14510" s="42" customFormat="1" x14ac:dyDescent="0.25"/>
    <row r="14511" s="42" customFormat="1" x14ac:dyDescent="0.25"/>
    <row r="14512" s="42" customFormat="1" x14ac:dyDescent="0.25"/>
    <row r="14513" s="42" customFormat="1" x14ac:dyDescent="0.25"/>
    <row r="14514" s="42" customFormat="1" x14ac:dyDescent="0.25"/>
    <row r="14515" s="42" customFormat="1" x14ac:dyDescent="0.25"/>
    <row r="14516" s="42" customFormat="1" x14ac:dyDescent="0.25"/>
    <row r="14517" s="42" customFormat="1" x14ac:dyDescent="0.25"/>
    <row r="14518" s="42" customFormat="1" x14ac:dyDescent="0.25"/>
    <row r="14519" s="42" customFormat="1" x14ac:dyDescent="0.25"/>
    <row r="14520" s="42" customFormat="1" x14ac:dyDescent="0.25"/>
    <row r="14521" s="42" customFormat="1" x14ac:dyDescent="0.25"/>
    <row r="14522" s="42" customFormat="1" x14ac:dyDescent="0.25"/>
    <row r="14523" s="42" customFormat="1" x14ac:dyDescent="0.25"/>
    <row r="14524" s="42" customFormat="1" x14ac:dyDescent="0.25"/>
    <row r="14525" s="42" customFormat="1" x14ac:dyDescent="0.25"/>
    <row r="14526" s="42" customFormat="1" x14ac:dyDescent="0.25"/>
    <row r="14527" s="42" customFormat="1" x14ac:dyDescent="0.25"/>
    <row r="14528" s="42" customFormat="1" x14ac:dyDescent="0.25"/>
    <row r="14529" s="42" customFormat="1" x14ac:dyDescent="0.25"/>
    <row r="14530" s="42" customFormat="1" x14ac:dyDescent="0.25"/>
    <row r="14531" s="42" customFormat="1" x14ac:dyDescent="0.25"/>
    <row r="14532" s="42" customFormat="1" x14ac:dyDescent="0.25"/>
    <row r="14533" s="42" customFormat="1" x14ac:dyDescent="0.25"/>
    <row r="14534" s="42" customFormat="1" x14ac:dyDescent="0.25"/>
    <row r="14535" s="42" customFormat="1" x14ac:dyDescent="0.25"/>
    <row r="14536" s="42" customFormat="1" x14ac:dyDescent="0.25"/>
    <row r="14537" s="42" customFormat="1" x14ac:dyDescent="0.25"/>
    <row r="14538" s="42" customFormat="1" x14ac:dyDescent="0.25"/>
    <row r="14539" s="42" customFormat="1" x14ac:dyDescent="0.25"/>
    <row r="14540" s="42" customFormat="1" x14ac:dyDescent="0.25"/>
    <row r="14541" s="42" customFormat="1" x14ac:dyDescent="0.25"/>
    <row r="14542" s="42" customFormat="1" x14ac:dyDescent="0.25"/>
    <row r="14543" s="42" customFormat="1" x14ac:dyDescent="0.25"/>
    <row r="14544" s="42" customFormat="1" x14ac:dyDescent="0.25"/>
    <row r="14545" s="42" customFormat="1" x14ac:dyDescent="0.25"/>
    <row r="14546" s="42" customFormat="1" x14ac:dyDescent="0.25"/>
    <row r="14547" s="42" customFormat="1" x14ac:dyDescent="0.25"/>
    <row r="14548" s="42" customFormat="1" x14ac:dyDescent="0.25"/>
    <row r="14549" s="42" customFormat="1" x14ac:dyDescent="0.25"/>
    <row r="14550" s="42" customFormat="1" x14ac:dyDescent="0.25"/>
    <row r="14551" s="42" customFormat="1" x14ac:dyDescent="0.25"/>
    <row r="14552" s="42" customFormat="1" x14ac:dyDescent="0.25"/>
    <row r="14553" s="42" customFormat="1" x14ac:dyDescent="0.25"/>
    <row r="14554" s="42" customFormat="1" x14ac:dyDescent="0.25"/>
    <row r="14555" s="42" customFormat="1" x14ac:dyDescent="0.25"/>
    <row r="14556" s="42" customFormat="1" x14ac:dyDescent="0.25"/>
    <row r="14557" s="42" customFormat="1" x14ac:dyDescent="0.25"/>
    <row r="14558" s="42" customFormat="1" x14ac:dyDescent="0.25"/>
    <row r="14559" s="42" customFormat="1" x14ac:dyDescent="0.25"/>
    <row r="14560" s="42" customFormat="1" x14ac:dyDescent="0.25"/>
    <row r="14561" s="42" customFormat="1" x14ac:dyDescent="0.25"/>
    <row r="14562" s="42" customFormat="1" x14ac:dyDescent="0.25"/>
    <row r="14563" s="42" customFormat="1" x14ac:dyDescent="0.25"/>
    <row r="14564" s="42" customFormat="1" x14ac:dyDescent="0.25"/>
    <row r="14565" s="42" customFormat="1" x14ac:dyDescent="0.25"/>
    <row r="14566" s="42" customFormat="1" x14ac:dyDescent="0.25"/>
    <row r="14567" s="42" customFormat="1" x14ac:dyDescent="0.25"/>
    <row r="14568" s="42" customFormat="1" x14ac:dyDescent="0.25"/>
    <row r="14569" s="42" customFormat="1" x14ac:dyDescent="0.25"/>
    <row r="14570" s="42" customFormat="1" x14ac:dyDescent="0.25"/>
    <row r="14571" s="42" customFormat="1" x14ac:dyDescent="0.25"/>
    <row r="14572" s="42" customFormat="1" x14ac:dyDescent="0.25"/>
    <row r="14573" s="42" customFormat="1" x14ac:dyDescent="0.25"/>
    <row r="14574" s="42" customFormat="1" x14ac:dyDescent="0.25"/>
    <row r="14575" s="42" customFormat="1" x14ac:dyDescent="0.25"/>
    <row r="14576" s="42" customFormat="1" x14ac:dyDescent="0.25"/>
    <row r="14577" s="42" customFormat="1" x14ac:dyDescent="0.25"/>
    <row r="14578" s="42" customFormat="1" x14ac:dyDescent="0.25"/>
    <row r="14579" s="42" customFormat="1" x14ac:dyDescent="0.25"/>
    <row r="14580" s="42" customFormat="1" x14ac:dyDescent="0.25"/>
    <row r="14581" s="42" customFormat="1" x14ac:dyDescent="0.25"/>
    <row r="14582" s="42" customFormat="1" x14ac:dyDescent="0.25"/>
    <row r="14583" s="42" customFormat="1" x14ac:dyDescent="0.25"/>
    <row r="14584" s="42" customFormat="1" x14ac:dyDescent="0.25"/>
    <row r="14585" s="42" customFormat="1" x14ac:dyDescent="0.25"/>
    <row r="14586" s="42" customFormat="1" x14ac:dyDescent="0.25"/>
    <row r="14587" s="42" customFormat="1" x14ac:dyDescent="0.25"/>
    <row r="14588" s="42" customFormat="1" x14ac:dyDescent="0.25"/>
    <row r="14589" s="42" customFormat="1" x14ac:dyDescent="0.25"/>
    <row r="14590" s="42" customFormat="1" x14ac:dyDescent="0.25"/>
    <row r="14591" s="42" customFormat="1" x14ac:dyDescent="0.25"/>
    <row r="14592" s="42" customFormat="1" x14ac:dyDescent="0.25"/>
    <row r="14593" s="42" customFormat="1" x14ac:dyDescent="0.25"/>
    <row r="14594" s="42" customFormat="1" x14ac:dyDescent="0.25"/>
    <row r="14595" s="42" customFormat="1" x14ac:dyDescent="0.25"/>
    <row r="14596" s="42" customFormat="1" x14ac:dyDescent="0.25"/>
    <row r="14597" s="42" customFormat="1" x14ac:dyDescent="0.25"/>
    <row r="14598" s="42" customFormat="1" x14ac:dyDescent="0.25"/>
    <row r="14599" s="42" customFormat="1" x14ac:dyDescent="0.25"/>
    <row r="14600" s="42" customFormat="1" x14ac:dyDescent="0.25"/>
    <row r="14601" s="42" customFormat="1" x14ac:dyDescent="0.25"/>
    <row r="14602" s="42" customFormat="1" x14ac:dyDescent="0.25"/>
    <row r="14603" s="42" customFormat="1" x14ac:dyDescent="0.25"/>
    <row r="14604" s="42" customFormat="1" x14ac:dyDescent="0.25"/>
    <row r="14605" s="42" customFormat="1" x14ac:dyDescent="0.25"/>
    <row r="14606" s="42" customFormat="1" x14ac:dyDescent="0.25"/>
    <row r="14607" s="42" customFormat="1" x14ac:dyDescent="0.25"/>
    <row r="14608" s="42" customFormat="1" x14ac:dyDescent="0.25"/>
    <row r="14609" s="42" customFormat="1" x14ac:dyDescent="0.25"/>
    <row r="14610" s="42" customFormat="1" x14ac:dyDescent="0.25"/>
    <row r="14611" s="42" customFormat="1" x14ac:dyDescent="0.25"/>
    <row r="14612" s="42" customFormat="1" x14ac:dyDescent="0.25"/>
    <row r="14613" s="42" customFormat="1" x14ac:dyDescent="0.25"/>
    <row r="14614" s="42" customFormat="1" x14ac:dyDescent="0.25"/>
    <row r="14615" s="42" customFormat="1" x14ac:dyDescent="0.25"/>
    <row r="14616" s="42" customFormat="1" x14ac:dyDescent="0.25"/>
    <row r="14617" s="42" customFormat="1" x14ac:dyDescent="0.25"/>
    <row r="14618" s="42" customFormat="1" x14ac:dyDescent="0.25"/>
    <row r="14619" s="42" customFormat="1" x14ac:dyDescent="0.25"/>
    <row r="14620" s="42" customFormat="1" x14ac:dyDescent="0.25"/>
    <row r="14621" s="42" customFormat="1" x14ac:dyDescent="0.25"/>
    <row r="14622" s="42" customFormat="1" x14ac:dyDescent="0.25"/>
    <row r="14623" s="42" customFormat="1" x14ac:dyDescent="0.25"/>
    <row r="14624" s="42" customFormat="1" x14ac:dyDescent="0.25"/>
    <row r="14625" s="42" customFormat="1" x14ac:dyDescent="0.25"/>
    <row r="14626" s="42" customFormat="1" x14ac:dyDescent="0.25"/>
    <row r="14627" s="42" customFormat="1" x14ac:dyDescent="0.25"/>
    <row r="14628" s="42" customFormat="1" x14ac:dyDescent="0.25"/>
    <row r="14629" s="42" customFormat="1" x14ac:dyDescent="0.25"/>
    <row r="14630" s="42" customFormat="1" x14ac:dyDescent="0.25"/>
    <row r="14631" s="42" customFormat="1" x14ac:dyDescent="0.25"/>
    <row r="14632" s="42" customFormat="1" x14ac:dyDescent="0.25"/>
    <row r="14633" s="42" customFormat="1" x14ac:dyDescent="0.25"/>
    <row r="14634" s="42" customFormat="1" x14ac:dyDescent="0.25"/>
    <row r="14635" s="42" customFormat="1" x14ac:dyDescent="0.25"/>
    <row r="14636" s="42" customFormat="1" x14ac:dyDescent="0.25"/>
    <row r="14637" s="42" customFormat="1" x14ac:dyDescent="0.25"/>
    <row r="14638" s="42" customFormat="1" x14ac:dyDescent="0.25"/>
    <row r="14639" s="42" customFormat="1" x14ac:dyDescent="0.25"/>
    <row r="14640" s="42" customFormat="1" x14ac:dyDescent="0.25"/>
    <row r="14641" s="42" customFormat="1" x14ac:dyDescent="0.25"/>
    <row r="14642" s="42" customFormat="1" x14ac:dyDescent="0.25"/>
    <row r="14643" s="42" customFormat="1" x14ac:dyDescent="0.25"/>
    <row r="14644" s="42" customFormat="1" x14ac:dyDescent="0.25"/>
    <row r="14645" s="42" customFormat="1" x14ac:dyDescent="0.25"/>
    <row r="14646" s="42" customFormat="1" x14ac:dyDescent="0.25"/>
    <row r="14647" s="42" customFormat="1" x14ac:dyDescent="0.25"/>
    <row r="14648" s="42" customFormat="1" x14ac:dyDescent="0.25"/>
    <row r="14649" s="42" customFormat="1" x14ac:dyDescent="0.25"/>
    <row r="14650" s="42" customFormat="1" x14ac:dyDescent="0.25"/>
    <row r="14651" s="42" customFormat="1" x14ac:dyDescent="0.25"/>
    <row r="14652" s="42" customFormat="1" x14ac:dyDescent="0.25"/>
    <row r="14653" s="42" customFormat="1" x14ac:dyDescent="0.25"/>
    <row r="14654" s="42" customFormat="1" x14ac:dyDescent="0.25"/>
    <row r="14655" s="42" customFormat="1" x14ac:dyDescent="0.25"/>
    <row r="14656" s="42" customFormat="1" x14ac:dyDescent="0.25"/>
    <row r="14657" s="42" customFormat="1" x14ac:dyDescent="0.25"/>
    <row r="14658" s="42" customFormat="1" x14ac:dyDescent="0.25"/>
    <row r="14659" s="42" customFormat="1" x14ac:dyDescent="0.25"/>
    <row r="14660" s="42" customFormat="1" x14ac:dyDescent="0.25"/>
    <row r="14661" s="42" customFormat="1" x14ac:dyDescent="0.25"/>
    <row r="14662" s="42" customFormat="1" x14ac:dyDescent="0.25"/>
    <row r="14663" s="42" customFormat="1" x14ac:dyDescent="0.25"/>
    <row r="14664" s="42" customFormat="1" x14ac:dyDescent="0.25"/>
    <row r="14665" s="42" customFormat="1" x14ac:dyDescent="0.25"/>
    <row r="14666" s="42" customFormat="1" x14ac:dyDescent="0.25"/>
    <row r="14667" s="42" customFormat="1" x14ac:dyDescent="0.25"/>
    <row r="14668" s="42" customFormat="1" x14ac:dyDescent="0.25"/>
    <row r="14669" s="42" customFormat="1" x14ac:dyDescent="0.25"/>
    <row r="14670" s="42" customFormat="1" x14ac:dyDescent="0.25"/>
    <row r="14671" s="42" customFormat="1" x14ac:dyDescent="0.25"/>
    <row r="14672" s="42" customFormat="1" x14ac:dyDescent="0.25"/>
    <row r="14673" s="42" customFormat="1" x14ac:dyDescent="0.25"/>
    <row r="14674" s="42" customFormat="1" x14ac:dyDescent="0.25"/>
    <row r="14675" s="42" customFormat="1" x14ac:dyDescent="0.25"/>
    <row r="14676" s="42" customFormat="1" x14ac:dyDescent="0.25"/>
    <row r="14677" s="42" customFormat="1" x14ac:dyDescent="0.25"/>
    <row r="14678" s="42" customFormat="1" x14ac:dyDescent="0.25"/>
    <row r="14679" s="42" customFormat="1" x14ac:dyDescent="0.25"/>
    <row r="14680" s="42" customFormat="1" x14ac:dyDescent="0.25"/>
    <row r="14681" s="42" customFormat="1" x14ac:dyDescent="0.25"/>
    <row r="14682" s="42" customFormat="1" x14ac:dyDescent="0.25"/>
    <row r="14683" s="42" customFormat="1" x14ac:dyDescent="0.25"/>
    <row r="14684" s="42" customFormat="1" x14ac:dyDescent="0.25"/>
    <row r="14685" s="42" customFormat="1" x14ac:dyDescent="0.25"/>
    <row r="14686" s="42" customFormat="1" x14ac:dyDescent="0.25"/>
    <row r="14687" s="42" customFormat="1" x14ac:dyDescent="0.25"/>
    <row r="14688" s="42" customFormat="1" x14ac:dyDescent="0.25"/>
    <row r="14689" s="42" customFormat="1" x14ac:dyDescent="0.25"/>
    <row r="14690" s="42" customFormat="1" x14ac:dyDescent="0.25"/>
    <row r="14691" s="42" customFormat="1" x14ac:dyDescent="0.25"/>
    <row r="14692" s="42" customFormat="1" x14ac:dyDescent="0.25"/>
    <row r="14693" s="42" customFormat="1" x14ac:dyDescent="0.25"/>
    <row r="14694" s="42" customFormat="1" x14ac:dyDescent="0.25"/>
    <row r="14695" s="42" customFormat="1" x14ac:dyDescent="0.25"/>
    <row r="14696" s="42" customFormat="1" x14ac:dyDescent="0.25"/>
    <row r="14697" s="42" customFormat="1" x14ac:dyDescent="0.25"/>
    <row r="14698" s="42" customFormat="1" x14ac:dyDescent="0.25"/>
    <row r="14699" s="42" customFormat="1" x14ac:dyDescent="0.25"/>
    <row r="14700" s="42" customFormat="1" x14ac:dyDescent="0.25"/>
    <row r="14701" s="42" customFormat="1" x14ac:dyDescent="0.25"/>
    <row r="14702" s="42" customFormat="1" x14ac:dyDescent="0.25"/>
    <row r="14703" s="42" customFormat="1" x14ac:dyDescent="0.25"/>
    <row r="14704" s="42" customFormat="1" x14ac:dyDescent="0.25"/>
    <row r="14705" s="42" customFormat="1" x14ac:dyDescent="0.25"/>
    <row r="14706" s="42" customFormat="1" x14ac:dyDescent="0.25"/>
    <row r="14707" s="42" customFormat="1" x14ac:dyDescent="0.25"/>
    <row r="14708" s="42" customFormat="1" x14ac:dyDescent="0.25"/>
    <row r="14709" s="42" customFormat="1" x14ac:dyDescent="0.25"/>
    <row r="14710" s="42" customFormat="1" x14ac:dyDescent="0.25"/>
    <row r="14711" s="42" customFormat="1" x14ac:dyDescent="0.25"/>
    <row r="14712" s="42" customFormat="1" x14ac:dyDescent="0.25"/>
    <row r="14713" s="42" customFormat="1" x14ac:dyDescent="0.25"/>
    <row r="14714" s="42" customFormat="1" x14ac:dyDescent="0.25"/>
    <row r="14715" s="42" customFormat="1" x14ac:dyDescent="0.25"/>
    <row r="14716" s="42" customFormat="1" x14ac:dyDescent="0.25"/>
    <row r="14717" s="42" customFormat="1" x14ac:dyDescent="0.25"/>
    <row r="14718" s="42" customFormat="1" x14ac:dyDescent="0.25"/>
    <row r="14719" s="42" customFormat="1" x14ac:dyDescent="0.25"/>
    <row r="14720" s="42" customFormat="1" x14ac:dyDescent="0.25"/>
    <row r="14721" s="42" customFormat="1" x14ac:dyDescent="0.25"/>
    <row r="14722" s="42" customFormat="1" x14ac:dyDescent="0.25"/>
    <row r="14723" s="42" customFormat="1" x14ac:dyDescent="0.25"/>
    <row r="14724" s="42" customFormat="1" x14ac:dyDescent="0.25"/>
    <row r="14725" s="42" customFormat="1" x14ac:dyDescent="0.25"/>
    <row r="14726" s="42" customFormat="1" x14ac:dyDescent="0.25"/>
    <row r="14727" s="42" customFormat="1" x14ac:dyDescent="0.25"/>
    <row r="14728" s="42" customFormat="1" x14ac:dyDescent="0.25"/>
    <row r="14729" s="42" customFormat="1" x14ac:dyDescent="0.25"/>
    <row r="14730" s="42" customFormat="1" x14ac:dyDescent="0.25"/>
    <row r="14731" s="42" customFormat="1" x14ac:dyDescent="0.25"/>
    <row r="14732" s="42" customFormat="1" x14ac:dyDescent="0.25"/>
    <row r="14733" s="42" customFormat="1" x14ac:dyDescent="0.25"/>
    <row r="14734" s="42" customFormat="1" x14ac:dyDescent="0.25"/>
    <row r="14735" s="42" customFormat="1" x14ac:dyDescent="0.25"/>
    <row r="14736" s="42" customFormat="1" x14ac:dyDescent="0.25"/>
    <row r="14737" s="42" customFormat="1" x14ac:dyDescent="0.25"/>
    <row r="14738" s="42" customFormat="1" x14ac:dyDescent="0.25"/>
    <row r="14739" s="42" customFormat="1" x14ac:dyDescent="0.25"/>
    <row r="14740" s="42" customFormat="1" x14ac:dyDescent="0.25"/>
    <row r="14741" s="42" customFormat="1" x14ac:dyDescent="0.25"/>
    <row r="14742" s="42" customFormat="1" x14ac:dyDescent="0.25"/>
    <row r="14743" s="42" customFormat="1" x14ac:dyDescent="0.25"/>
    <row r="14744" s="42" customFormat="1" x14ac:dyDescent="0.25"/>
    <row r="14745" s="42" customFormat="1" x14ac:dyDescent="0.25"/>
    <row r="14746" s="42" customFormat="1" x14ac:dyDescent="0.25"/>
    <row r="14747" s="42" customFormat="1" x14ac:dyDescent="0.25"/>
    <row r="14748" s="42" customFormat="1" x14ac:dyDescent="0.25"/>
    <row r="14749" s="42" customFormat="1" x14ac:dyDescent="0.25"/>
    <row r="14750" s="42" customFormat="1" x14ac:dyDescent="0.25"/>
    <row r="14751" s="42" customFormat="1" x14ac:dyDescent="0.25"/>
    <row r="14752" s="42" customFormat="1" x14ac:dyDescent="0.25"/>
    <row r="14753" s="42" customFormat="1" x14ac:dyDescent="0.25"/>
    <row r="14754" s="42" customFormat="1" x14ac:dyDescent="0.25"/>
    <row r="14755" s="42" customFormat="1" x14ac:dyDescent="0.25"/>
    <row r="14756" s="42" customFormat="1" x14ac:dyDescent="0.25"/>
    <row r="14757" s="42" customFormat="1" x14ac:dyDescent="0.25"/>
    <row r="14758" s="42" customFormat="1" x14ac:dyDescent="0.25"/>
    <row r="14759" s="42" customFormat="1" x14ac:dyDescent="0.25"/>
    <row r="14760" s="42" customFormat="1" x14ac:dyDescent="0.25"/>
    <row r="14761" s="42" customFormat="1" x14ac:dyDescent="0.25"/>
    <row r="14762" s="42" customFormat="1" x14ac:dyDescent="0.25"/>
    <row r="14763" s="42" customFormat="1" x14ac:dyDescent="0.25"/>
    <row r="14764" s="42" customFormat="1" x14ac:dyDescent="0.25"/>
    <row r="14765" s="42" customFormat="1" x14ac:dyDescent="0.25"/>
    <row r="14766" s="42" customFormat="1" x14ac:dyDescent="0.25"/>
    <row r="14767" s="42" customFormat="1" x14ac:dyDescent="0.25"/>
    <row r="14768" s="42" customFormat="1" x14ac:dyDescent="0.25"/>
    <row r="14769" s="42" customFormat="1" x14ac:dyDescent="0.25"/>
    <row r="14770" s="42" customFormat="1" x14ac:dyDescent="0.25"/>
    <row r="14771" s="42" customFormat="1" x14ac:dyDescent="0.25"/>
    <row r="14772" s="42" customFormat="1" x14ac:dyDescent="0.25"/>
    <row r="14773" s="42" customFormat="1" x14ac:dyDescent="0.25"/>
    <row r="14774" s="42" customFormat="1" x14ac:dyDescent="0.25"/>
    <row r="14775" s="42" customFormat="1" x14ac:dyDescent="0.25"/>
    <row r="14776" s="42" customFormat="1" x14ac:dyDescent="0.25"/>
    <row r="14777" s="42" customFormat="1" x14ac:dyDescent="0.25"/>
    <row r="14778" s="42" customFormat="1" x14ac:dyDescent="0.25"/>
    <row r="14779" s="42" customFormat="1" x14ac:dyDescent="0.25"/>
    <row r="14780" s="42" customFormat="1" x14ac:dyDescent="0.25"/>
    <row r="14781" s="42" customFormat="1" x14ac:dyDescent="0.25"/>
    <row r="14782" s="42" customFormat="1" x14ac:dyDescent="0.25"/>
    <row r="14783" s="42" customFormat="1" x14ac:dyDescent="0.25"/>
    <row r="14784" s="42" customFormat="1" x14ac:dyDescent="0.25"/>
    <row r="14785" s="42" customFormat="1" x14ac:dyDescent="0.25"/>
    <row r="14786" s="42" customFormat="1" x14ac:dyDescent="0.25"/>
    <row r="14787" s="42" customFormat="1" x14ac:dyDescent="0.25"/>
    <row r="14788" s="42" customFormat="1" x14ac:dyDescent="0.25"/>
    <row r="14789" s="42" customFormat="1" x14ac:dyDescent="0.25"/>
    <row r="14790" s="42" customFormat="1" x14ac:dyDescent="0.25"/>
    <row r="14791" s="42" customFormat="1" x14ac:dyDescent="0.25"/>
    <row r="14792" s="42" customFormat="1" x14ac:dyDescent="0.25"/>
    <row r="14793" s="42" customFormat="1" x14ac:dyDescent="0.25"/>
    <row r="14794" s="42" customFormat="1" x14ac:dyDescent="0.25"/>
    <row r="14795" s="42" customFormat="1" x14ac:dyDescent="0.25"/>
    <row r="14796" s="42" customFormat="1" x14ac:dyDescent="0.25"/>
    <row r="14797" s="42" customFormat="1" x14ac:dyDescent="0.25"/>
    <row r="14798" s="42" customFormat="1" x14ac:dyDescent="0.25"/>
    <row r="14799" s="42" customFormat="1" x14ac:dyDescent="0.25"/>
    <row r="14800" s="42" customFormat="1" x14ac:dyDescent="0.25"/>
    <row r="14801" s="42" customFormat="1" x14ac:dyDescent="0.25"/>
    <row r="14802" s="42" customFormat="1" x14ac:dyDescent="0.25"/>
    <row r="14803" s="42" customFormat="1" x14ac:dyDescent="0.25"/>
    <row r="14804" s="42" customFormat="1" x14ac:dyDescent="0.25"/>
    <row r="14805" s="42" customFormat="1" x14ac:dyDescent="0.25"/>
    <row r="14806" s="42" customFormat="1" x14ac:dyDescent="0.25"/>
    <row r="14807" s="42" customFormat="1" x14ac:dyDescent="0.25"/>
    <row r="14808" s="42" customFormat="1" x14ac:dyDescent="0.25"/>
    <row r="14809" s="42" customFormat="1" x14ac:dyDescent="0.25"/>
    <row r="14810" s="42" customFormat="1" x14ac:dyDescent="0.25"/>
    <row r="14811" s="42" customFormat="1" x14ac:dyDescent="0.25"/>
    <row r="14812" s="42" customFormat="1" x14ac:dyDescent="0.25"/>
    <row r="14813" s="42" customFormat="1" x14ac:dyDescent="0.25"/>
    <row r="14814" s="42" customFormat="1" x14ac:dyDescent="0.25"/>
    <row r="14815" s="42" customFormat="1" x14ac:dyDescent="0.25"/>
    <row r="14816" s="42" customFormat="1" x14ac:dyDescent="0.25"/>
    <row r="14817" s="42" customFormat="1" x14ac:dyDescent="0.25"/>
    <row r="14818" s="42" customFormat="1" x14ac:dyDescent="0.25"/>
    <row r="14819" s="42" customFormat="1" x14ac:dyDescent="0.25"/>
    <row r="14820" s="42" customFormat="1" x14ac:dyDescent="0.25"/>
    <row r="14821" s="42" customFormat="1" x14ac:dyDescent="0.25"/>
    <row r="14822" s="42" customFormat="1" x14ac:dyDescent="0.25"/>
    <row r="14823" s="42" customFormat="1" x14ac:dyDescent="0.25"/>
    <row r="14824" s="42" customFormat="1" x14ac:dyDescent="0.25"/>
    <row r="14825" s="42" customFormat="1" x14ac:dyDescent="0.25"/>
    <row r="14826" s="42" customFormat="1" x14ac:dyDescent="0.25"/>
    <row r="14827" s="42" customFormat="1" x14ac:dyDescent="0.25"/>
    <row r="14828" s="42" customFormat="1" x14ac:dyDescent="0.25"/>
    <row r="14829" s="42" customFormat="1" x14ac:dyDescent="0.25"/>
    <row r="14830" s="42" customFormat="1" x14ac:dyDescent="0.25"/>
    <row r="14831" s="42" customFormat="1" x14ac:dyDescent="0.25"/>
    <row r="14832" s="42" customFormat="1" x14ac:dyDescent="0.25"/>
    <row r="14833" s="42" customFormat="1" x14ac:dyDescent="0.25"/>
    <row r="14834" s="42" customFormat="1" x14ac:dyDescent="0.25"/>
    <row r="14835" s="42" customFormat="1" x14ac:dyDescent="0.25"/>
    <row r="14836" s="42" customFormat="1" x14ac:dyDescent="0.25"/>
    <row r="14837" s="42" customFormat="1" x14ac:dyDescent="0.25"/>
    <row r="14838" s="42" customFormat="1" x14ac:dyDescent="0.25"/>
    <row r="14839" s="42" customFormat="1" x14ac:dyDescent="0.25"/>
    <row r="14840" s="42" customFormat="1" x14ac:dyDescent="0.25"/>
    <row r="14841" s="42" customFormat="1" x14ac:dyDescent="0.25"/>
    <row r="14842" s="42" customFormat="1" x14ac:dyDescent="0.25"/>
    <row r="14843" s="42" customFormat="1" x14ac:dyDescent="0.25"/>
    <row r="14844" s="42" customFormat="1" x14ac:dyDescent="0.25"/>
    <row r="14845" s="42" customFormat="1" x14ac:dyDescent="0.25"/>
    <row r="14846" s="42" customFormat="1" x14ac:dyDescent="0.25"/>
    <row r="14847" s="42" customFormat="1" x14ac:dyDescent="0.25"/>
    <row r="14848" s="42" customFormat="1" x14ac:dyDescent="0.25"/>
    <row r="14849" s="42" customFormat="1" x14ac:dyDescent="0.25"/>
    <row r="14850" s="42" customFormat="1" x14ac:dyDescent="0.25"/>
    <row r="14851" s="42" customFormat="1" x14ac:dyDescent="0.25"/>
    <row r="14852" s="42" customFormat="1" x14ac:dyDescent="0.25"/>
    <row r="14853" s="42" customFormat="1" x14ac:dyDescent="0.25"/>
    <row r="14854" s="42" customFormat="1" x14ac:dyDescent="0.25"/>
    <row r="14855" s="42" customFormat="1" x14ac:dyDescent="0.25"/>
    <row r="14856" s="42" customFormat="1" x14ac:dyDescent="0.25"/>
    <row r="14857" s="42" customFormat="1" x14ac:dyDescent="0.25"/>
    <row r="14858" s="42" customFormat="1" x14ac:dyDescent="0.25"/>
    <row r="14859" s="42" customFormat="1" x14ac:dyDescent="0.25"/>
    <row r="14860" s="42" customFormat="1" x14ac:dyDescent="0.25"/>
    <row r="14861" s="42" customFormat="1" x14ac:dyDescent="0.25"/>
    <row r="14862" s="42" customFormat="1" x14ac:dyDescent="0.25"/>
    <row r="14863" s="42" customFormat="1" x14ac:dyDescent="0.25"/>
    <row r="14864" s="42" customFormat="1" x14ac:dyDescent="0.25"/>
    <row r="14865" s="42" customFormat="1" x14ac:dyDescent="0.25"/>
    <row r="14866" s="42" customFormat="1" x14ac:dyDescent="0.25"/>
    <row r="14867" s="42" customFormat="1" x14ac:dyDescent="0.25"/>
    <row r="14868" s="42" customFormat="1" x14ac:dyDescent="0.25"/>
    <row r="14869" s="42" customFormat="1" x14ac:dyDescent="0.25"/>
    <row r="14870" s="42" customFormat="1" x14ac:dyDescent="0.25"/>
    <row r="14871" s="42" customFormat="1" x14ac:dyDescent="0.25"/>
    <row r="14872" s="42" customFormat="1" x14ac:dyDescent="0.25"/>
    <row r="14873" s="42" customFormat="1" x14ac:dyDescent="0.25"/>
    <row r="14874" s="42" customFormat="1" x14ac:dyDescent="0.25"/>
    <row r="14875" s="42" customFormat="1" x14ac:dyDescent="0.25"/>
    <row r="14876" s="42" customFormat="1" x14ac:dyDescent="0.25"/>
    <row r="14877" s="42" customFormat="1" x14ac:dyDescent="0.25"/>
    <row r="14878" s="42" customFormat="1" x14ac:dyDescent="0.25"/>
    <row r="14879" s="42" customFormat="1" x14ac:dyDescent="0.25"/>
    <row r="14880" s="42" customFormat="1" x14ac:dyDescent="0.25"/>
    <row r="14881" s="42" customFormat="1" x14ac:dyDescent="0.25"/>
    <row r="14882" s="42" customFormat="1" x14ac:dyDescent="0.25"/>
    <row r="14883" s="42" customFormat="1" x14ac:dyDescent="0.25"/>
    <row r="14884" s="42" customFormat="1" x14ac:dyDescent="0.25"/>
    <row r="14885" s="42" customFormat="1" x14ac:dyDescent="0.25"/>
    <row r="14886" s="42" customFormat="1" x14ac:dyDescent="0.25"/>
    <row r="14887" s="42" customFormat="1" x14ac:dyDescent="0.25"/>
    <row r="14888" s="42" customFormat="1" x14ac:dyDescent="0.25"/>
    <row r="14889" s="42" customFormat="1" x14ac:dyDescent="0.25"/>
    <row r="14890" s="42" customFormat="1" x14ac:dyDescent="0.25"/>
    <row r="14891" s="42" customFormat="1" x14ac:dyDescent="0.25"/>
    <row r="14892" s="42" customFormat="1" x14ac:dyDescent="0.25"/>
    <row r="14893" s="42" customFormat="1" x14ac:dyDescent="0.25"/>
    <row r="14894" s="42" customFormat="1" x14ac:dyDescent="0.25"/>
    <row r="14895" s="42" customFormat="1" x14ac:dyDescent="0.25"/>
    <row r="14896" s="42" customFormat="1" x14ac:dyDescent="0.25"/>
    <row r="14897" s="42" customFormat="1" x14ac:dyDescent="0.25"/>
    <row r="14898" s="42" customFormat="1" x14ac:dyDescent="0.25"/>
    <row r="14899" s="42" customFormat="1" x14ac:dyDescent="0.25"/>
    <row r="14900" s="42" customFormat="1" x14ac:dyDescent="0.25"/>
    <row r="14901" s="42" customFormat="1" x14ac:dyDescent="0.25"/>
    <row r="14902" s="42" customFormat="1" x14ac:dyDescent="0.25"/>
    <row r="14903" s="42" customFormat="1" x14ac:dyDescent="0.25"/>
    <row r="14904" s="42" customFormat="1" x14ac:dyDescent="0.25"/>
    <row r="14905" s="42" customFormat="1" x14ac:dyDescent="0.25"/>
    <row r="14906" s="42" customFormat="1" x14ac:dyDescent="0.25"/>
    <row r="14907" s="42" customFormat="1" x14ac:dyDescent="0.25"/>
    <row r="14908" s="42" customFormat="1" x14ac:dyDescent="0.25"/>
    <row r="14909" s="42" customFormat="1" x14ac:dyDescent="0.25"/>
    <row r="14910" s="42" customFormat="1" x14ac:dyDescent="0.25"/>
    <row r="14911" s="42" customFormat="1" x14ac:dyDescent="0.25"/>
    <row r="14912" s="42" customFormat="1" x14ac:dyDescent="0.25"/>
    <row r="14913" s="42" customFormat="1" x14ac:dyDescent="0.25"/>
    <row r="14914" s="42" customFormat="1" x14ac:dyDescent="0.25"/>
    <row r="14915" s="42" customFormat="1" x14ac:dyDescent="0.25"/>
    <row r="14916" s="42" customFormat="1" x14ac:dyDescent="0.25"/>
    <row r="14917" s="42" customFormat="1" x14ac:dyDescent="0.25"/>
    <row r="14918" s="42" customFormat="1" x14ac:dyDescent="0.25"/>
    <row r="14919" s="42" customFormat="1" x14ac:dyDescent="0.25"/>
    <row r="14920" s="42" customFormat="1" x14ac:dyDescent="0.25"/>
    <row r="14921" s="42" customFormat="1" x14ac:dyDescent="0.25"/>
    <row r="14922" s="42" customFormat="1" x14ac:dyDescent="0.25"/>
    <row r="14923" s="42" customFormat="1" x14ac:dyDescent="0.25"/>
    <row r="14924" s="42" customFormat="1" x14ac:dyDescent="0.25"/>
    <row r="14925" s="42" customFormat="1" x14ac:dyDescent="0.25"/>
    <row r="14926" s="42" customFormat="1" x14ac:dyDescent="0.25"/>
    <row r="14927" s="42" customFormat="1" x14ac:dyDescent="0.25"/>
    <row r="14928" s="42" customFormat="1" x14ac:dyDescent="0.25"/>
    <row r="14929" s="42" customFormat="1" x14ac:dyDescent="0.25"/>
    <row r="14930" s="42" customFormat="1" x14ac:dyDescent="0.25"/>
    <row r="14931" s="42" customFormat="1" x14ac:dyDescent="0.25"/>
    <row r="14932" s="42" customFormat="1" x14ac:dyDescent="0.25"/>
    <row r="14933" s="42" customFormat="1" x14ac:dyDescent="0.25"/>
    <row r="14934" s="42" customFormat="1" x14ac:dyDescent="0.25"/>
    <row r="14935" s="42" customFormat="1" x14ac:dyDescent="0.25"/>
    <row r="14936" s="42" customFormat="1" x14ac:dyDescent="0.25"/>
    <row r="14937" s="42" customFormat="1" x14ac:dyDescent="0.25"/>
    <row r="14938" s="42" customFormat="1" x14ac:dyDescent="0.25"/>
    <row r="14939" s="42" customFormat="1" x14ac:dyDescent="0.25"/>
    <row r="14940" s="42" customFormat="1" x14ac:dyDescent="0.25"/>
    <row r="14941" s="42" customFormat="1" x14ac:dyDescent="0.25"/>
    <row r="14942" s="42" customFormat="1" x14ac:dyDescent="0.25"/>
    <row r="14943" s="42" customFormat="1" x14ac:dyDescent="0.25"/>
    <row r="14944" s="42" customFormat="1" x14ac:dyDescent="0.25"/>
    <row r="14945" s="42" customFormat="1" x14ac:dyDescent="0.25"/>
    <row r="14946" s="42" customFormat="1" x14ac:dyDescent="0.25"/>
    <row r="14947" s="42" customFormat="1" x14ac:dyDescent="0.25"/>
    <row r="14948" s="42" customFormat="1" x14ac:dyDescent="0.25"/>
    <row r="14949" s="42" customFormat="1" x14ac:dyDescent="0.25"/>
    <row r="14950" s="42" customFormat="1" x14ac:dyDescent="0.25"/>
    <row r="14951" s="42" customFormat="1" x14ac:dyDescent="0.25"/>
    <row r="14952" s="42" customFormat="1" x14ac:dyDescent="0.25"/>
    <row r="14953" s="42" customFormat="1" x14ac:dyDescent="0.25"/>
    <row r="14954" s="42" customFormat="1" x14ac:dyDescent="0.25"/>
    <row r="14955" s="42" customFormat="1" x14ac:dyDescent="0.25"/>
    <row r="14956" s="42" customFormat="1" x14ac:dyDescent="0.25"/>
    <row r="14957" s="42" customFormat="1" x14ac:dyDescent="0.25"/>
    <row r="14958" s="42" customFormat="1" x14ac:dyDescent="0.25"/>
    <row r="14959" s="42" customFormat="1" x14ac:dyDescent="0.25"/>
    <row r="14960" s="42" customFormat="1" x14ac:dyDescent="0.25"/>
    <row r="14961" s="42" customFormat="1" x14ac:dyDescent="0.25"/>
    <row r="14962" s="42" customFormat="1" x14ac:dyDescent="0.25"/>
    <row r="14963" s="42" customFormat="1" x14ac:dyDescent="0.25"/>
    <row r="14964" s="42" customFormat="1" x14ac:dyDescent="0.25"/>
    <row r="14965" s="42" customFormat="1" x14ac:dyDescent="0.25"/>
    <row r="14966" s="42" customFormat="1" x14ac:dyDescent="0.25"/>
    <row r="14967" s="42" customFormat="1" x14ac:dyDescent="0.25"/>
    <row r="14968" s="42" customFormat="1" x14ac:dyDescent="0.25"/>
    <row r="14969" s="42" customFormat="1" x14ac:dyDescent="0.25"/>
    <row r="14970" s="42" customFormat="1" x14ac:dyDescent="0.25"/>
    <row r="14971" s="42" customFormat="1" x14ac:dyDescent="0.25"/>
    <row r="14972" s="42" customFormat="1" x14ac:dyDescent="0.25"/>
    <row r="14973" s="42" customFormat="1" x14ac:dyDescent="0.25"/>
    <row r="14974" s="42" customFormat="1" x14ac:dyDescent="0.25"/>
    <row r="14975" s="42" customFormat="1" x14ac:dyDescent="0.25"/>
    <row r="14976" s="42" customFormat="1" x14ac:dyDescent="0.25"/>
    <row r="14977" s="42" customFormat="1" x14ac:dyDescent="0.25"/>
    <row r="14978" s="42" customFormat="1" x14ac:dyDescent="0.25"/>
    <row r="14979" s="42" customFormat="1" x14ac:dyDescent="0.25"/>
    <row r="14980" s="42" customFormat="1" x14ac:dyDescent="0.25"/>
    <row r="14981" s="42" customFormat="1" x14ac:dyDescent="0.25"/>
    <row r="14982" s="42" customFormat="1" x14ac:dyDescent="0.25"/>
    <row r="14983" s="42" customFormat="1" x14ac:dyDescent="0.25"/>
    <row r="14984" s="42" customFormat="1" x14ac:dyDescent="0.25"/>
    <row r="14985" s="42" customFormat="1" x14ac:dyDescent="0.25"/>
    <row r="14986" s="42" customFormat="1" x14ac:dyDescent="0.25"/>
    <row r="14987" s="42" customFormat="1" x14ac:dyDescent="0.25"/>
    <row r="14988" s="42" customFormat="1" x14ac:dyDescent="0.25"/>
    <row r="14989" s="42" customFormat="1" x14ac:dyDescent="0.25"/>
    <row r="14990" s="42" customFormat="1" x14ac:dyDescent="0.25"/>
    <row r="14991" s="42" customFormat="1" x14ac:dyDescent="0.25"/>
    <row r="14992" s="42" customFormat="1" x14ac:dyDescent="0.25"/>
    <row r="14993" s="42" customFormat="1" x14ac:dyDescent="0.25"/>
    <row r="14994" s="42" customFormat="1" x14ac:dyDescent="0.25"/>
    <row r="14995" s="42" customFormat="1" x14ac:dyDescent="0.25"/>
    <row r="14996" s="42" customFormat="1" x14ac:dyDescent="0.25"/>
    <row r="14997" s="42" customFormat="1" x14ac:dyDescent="0.25"/>
    <row r="14998" s="42" customFormat="1" x14ac:dyDescent="0.25"/>
    <row r="14999" s="42" customFormat="1" x14ac:dyDescent="0.25"/>
    <row r="15000" s="42" customFormat="1" x14ac:dyDescent="0.25"/>
    <row r="15001" s="42" customFormat="1" x14ac:dyDescent="0.25"/>
    <row r="15002" s="42" customFormat="1" x14ac:dyDescent="0.25"/>
    <row r="15003" s="42" customFormat="1" x14ac:dyDescent="0.25"/>
    <row r="15004" s="42" customFormat="1" x14ac:dyDescent="0.25"/>
    <row r="15005" s="42" customFormat="1" x14ac:dyDescent="0.25"/>
    <row r="15006" s="42" customFormat="1" x14ac:dyDescent="0.25"/>
    <row r="15007" s="42" customFormat="1" x14ac:dyDescent="0.25"/>
    <row r="15008" s="42" customFormat="1" x14ac:dyDescent="0.25"/>
    <row r="15009" s="42" customFormat="1" x14ac:dyDescent="0.25"/>
    <row r="15010" s="42" customFormat="1" x14ac:dyDescent="0.25"/>
    <row r="15011" s="42" customFormat="1" x14ac:dyDescent="0.25"/>
    <row r="15012" s="42" customFormat="1" x14ac:dyDescent="0.25"/>
    <row r="15013" s="42" customFormat="1" x14ac:dyDescent="0.25"/>
    <row r="15014" s="42" customFormat="1" x14ac:dyDescent="0.25"/>
    <row r="15015" s="42" customFormat="1" x14ac:dyDescent="0.25"/>
    <row r="15016" s="42" customFormat="1" x14ac:dyDescent="0.25"/>
    <row r="15017" s="42" customFormat="1" x14ac:dyDescent="0.25"/>
    <row r="15018" s="42" customFormat="1" x14ac:dyDescent="0.25"/>
    <row r="15019" s="42" customFormat="1" x14ac:dyDescent="0.25"/>
    <row r="15020" s="42" customFormat="1" x14ac:dyDescent="0.25"/>
    <row r="15021" s="42" customFormat="1" x14ac:dyDescent="0.25"/>
    <row r="15022" s="42" customFormat="1" x14ac:dyDescent="0.25"/>
    <row r="15023" s="42" customFormat="1" x14ac:dyDescent="0.25"/>
    <row r="15024" s="42" customFormat="1" x14ac:dyDescent="0.25"/>
    <row r="15025" s="42" customFormat="1" x14ac:dyDescent="0.25"/>
    <row r="15026" s="42" customFormat="1" x14ac:dyDescent="0.25"/>
    <row r="15027" s="42" customFormat="1" x14ac:dyDescent="0.25"/>
    <row r="15028" s="42" customFormat="1" x14ac:dyDescent="0.25"/>
    <row r="15029" s="42" customFormat="1" x14ac:dyDescent="0.25"/>
    <row r="15030" s="42" customFormat="1" x14ac:dyDescent="0.25"/>
    <row r="15031" s="42" customFormat="1" x14ac:dyDescent="0.25"/>
    <row r="15032" s="42" customFormat="1" x14ac:dyDescent="0.25"/>
    <row r="15033" s="42" customFormat="1" x14ac:dyDescent="0.25"/>
    <row r="15034" s="42" customFormat="1" x14ac:dyDescent="0.25"/>
    <row r="15035" s="42" customFormat="1" x14ac:dyDescent="0.25"/>
    <row r="15036" s="42" customFormat="1" x14ac:dyDescent="0.25"/>
    <row r="15037" s="42" customFormat="1" x14ac:dyDescent="0.25"/>
    <row r="15038" s="42" customFormat="1" x14ac:dyDescent="0.25"/>
    <row r="15039" s="42" customFormat="1" x14ac:dyDescent="0.25"/>
    <row r="15040" s="42" customFormat="1" x14ac:dyDescent="0.25"/>
    <row r="15041" s="42" customFormat="1" x14ac:dyDescent="0.25"/>
    <row r="15042" s="42" customFormat="1" x14ac:dyDescent="0.25"/>
    <row r="15043" s="42" customFormat="1" x14ac:dyDescent="0.25"/>
    <row r="15044" s="42" customFormat="1" x14ac:dyDescent="0.25"/>
    <row r="15045" s="42" customFormat="1" x14ac:dyDescent="0.25"/>
    <row r="15046" s="42" customFormat="1" x14ac:dyDescent="0.25"/>
    <row r="15047" s="42" customFormat="1" x14ac:dyDescent="0.25"/>
    <row r="15048" s="42" customFormat="1" x14ac:dyDescent="0.25"/>
    <row r="15049" s="42" customFormat="1" x14ac:dyDescent="0.25"/>
    <row r="15050" s="42" customFormat="1" x14ac:dyDescent="0.25"/>
    <row r="15051" s="42" customFormat="1" x14ac:dyDescent="0.25"/>
    <row r="15052" s="42" customFormat="1" x14ac:dyDescent="0.25"/>
    <row r="15053" s="42" customFormat="1" x14ac:dyDescent="0.25"/>
    <row r="15054" s="42" customFormat="1" x14ac:dyDescent="0.25"/>
    <row r="15055" s="42" customFormat="1" x14ac:dyDescent="0.25"/>
    <row r="15056" s="42" customFormat="1" x14ac:dyDescent="0.25"/>
    <row r="15057" s="42" customFormat="1" x14ac:dyDescent="0.25"/>
    <row r="15058" s="42" customFormat="1" x14ac:dyDescent="0.25"/>
    <row r="15059" s="42" customFormat="1" x14ac:dyDescent="0.25"/>
    <row r="15060" s="42" customFormat="1" x14ac:dyDescent="0.25"/>
    <row r="15061" s="42" customFormat="1" x14ac:dyDescent="0.25"/>
    <row r="15062" s="42" customFormat="1" x14ac:dyDescent="0.25"/>
    <row r="15063" s="42" customFormat="1" x14ac:dyDescent="0.25"/>
    <row r="15064" s="42" customFormat="1" x14ac:dyDescent="0.25"/>
    <row r="15065" s="42" customFormat="1" x14ac:dyDescent="0.25"/>
    <row r="15066" s="42" customFormat="1" x14ac:dyDescent="0.25"/>
    <row r="15067" s="42" customFormat="1" x14ac:dyDescent="0.25"/>
    <row r="15068" s="42" customFormat="1" x14ac:dyDescent="0.25"/>
    <row r="15069" s="42" customFormat="1" x14ac:dyDescent="0.25"/>
    <row r="15070" s="42" customFormat="1" x14ac:dyDescent="0.25"/>
    <row r="15071" s="42" customFormat="1" x14ac:dyDescent="0.25"/>
    <row r="15072" s="42" customFormat="1" x14ac:dyDescent="0.25"/>
    <row r="15073" s="42" customFormat="1" x14ac:dyDescent="0.25"/>
    <row r="15074" s="42" customFormat="1" x14ac:dyDescent="0.25"/>
    <row r="15075" s="42" customFormat="1" x14ac:dyDescent="0.25"/>
    <row r="15076" s="42" customFormat="1" x14ac:dyDescent="0.25"/>
    <row r="15077" s="42" customFormat="1" x14ac:dyDescent="0.25"/>
    <row r="15078" s="42" customFormat="1" x14ac:dyDescent="0.25"/>
    <row r="15079" s="42" customFormat="1" x14ac:dyDescent="0.25"/>
    <row r="15080" s="42" customFormat="1" x14ac:dyDescent="0.25"/>
    <row r="15081" s="42" customFormat="1" x14ac:dyDescent="0.25"/>
    <row r="15082" s="42" customFormat="1" x14ac:dyDescent="0.25"/>
    <row r="15083" s="42" customFormat="1" x14ac:dyDescent="0.25"/>
    <row r="15084" s="42" customFormat="1" x14ac:dyDescent="0.25"/>
    <row r="15085" s="42" customFormat="1" x14ac:dyDescent="0.25"/>
    <row r="15086" s="42" customFormat="1" x14ac:dyDescent="0.25"/>
    <row r="15087" s="42" customFormat="1" x14ac:dyDescent="0.25"/>
    <row r="15088" s="42" customFormat="1" x14ac:dyDescent="0.25"/>
    <row r="15089" s="42" customFormat="1" x14ac:dyDescent="0.25"/>
    <row r="15090" s="42" customFormat="1" x14ac:dyDescent="0.25"/>
    <row r="15091" s="42" customFormat="1" x14ac:dyDescent="0.25"/>
    <row r="15092" s="42" customFormat="1" x14ac:dyDescent="0.25"/>
    <row r="15093" s="42" customFormat="1" x14ac:dyDescent="0.25"/>
    <row r="15094" s="42" customFormat="1" x14ac:dyDescent="0.25"/>
    <row r="15095" s="42" customFormat="1" x14ac:dyDescent="0.25"/>
    <row r="15096" s="42" customFormat="1" x14ac:dyDescent="0.25"/>
    <row r="15097" s="42" customFormat="1" x14ac:dyDescent="0.25"/>
    <row r="15098" s="42" customFormat="1" x14ac:dyDescent="0.25"/>
    <row r="15099" s="42" customFormat="1" x14ac:dyDescent="0.25"/>
    <row r="15100" s="42" customFormat="1" x14ac:dyDescent="0.25"/>
    <row r="15101" s="42" customFormat="1" x14ac:dyDescent="0.25"/>
    <row r="15102" s="42" customFormat="1" x14ac:dyDescent="0.25"/>
    <row r="15103" s="42" customFormat="1" x14ac:dyDescent="0.25"/>
    <row r="15104" s="42" customFormat="1" x14ac:dyDescent="0.25"/>
    <row r="15105" s="42" customFormat="1" x14ac:dyDescent="0.25"/>
    <row r="15106" s="42" customFormat="1" x14ac:dyDescent="0.25"/>
    <row r="15107" s="42" customFormat="1" x14ac:dyDescent="0.25"/>
    <row r="15108" s="42" customFormat="1" x14ac:dyDescent="0.25"/>
    <row r="15109" s="42" customFormat="1" x14ac:dyDescent="0.25"/>
    <row r="15110" s="42" customFormat="1" x14ac:dyDescent="0.25"/>
    <row r="15111" s="42" customFormat="1" x14ac:dyDescent="0.25"/>
    <row r="15112" s="42" customFormat="1" x14ac:dyDescent="0.25"/>
    <row r="15113" s="42" customFormat="1" x14ac:dyDescent="0.25"/>
    <row r="15114" s="42" customFormat="1" x14ac:dyDescent="0.25"/>
    <row r="15115" s="42" customFormat="1" x14ac:dyDescent="0.25"/>
    <row r="15116" s="42" customFormat="1" x14ac:dyDescent="0.25"/>
    <row r="15117" s="42" customFormat="1" x14ac:dyDescent="0.25"/>
    <row r="15118" s="42" customFormat="1" x14ac:dyDescent="0.25"/>
    <row r="15119" s="42" customFormat="1" x14ac:dyDescent="0.25"/>
    <row r="15120" s="42" customFormat="1" x14ac:dyDescent="0.25"/>
    <row r="15121" s="42" customFormat="1" x14ac:dyDescent="0.25"/>
    <row r="15122" s="42" customFormat="1" x14ac:dyDescent="0.25"/>
    <row r="15123" s="42" customFormat="1" x14ac:dyDescent="0.25"/>
    <row r="15124" s="42" customFormat="1" x14ac:dyDescent="0.25"/>
    <row r="15125" s="42" customFormat="1" x14ac:dyDescent="0.25"/>
    <row r="15126" s="42" customFormat="1" x14ac:dyDescent="0.25"/>
    <row r="15127" s="42" customFormat="1" x14ac:dyDescent="0.25"/>
    <row r="15128" s="42" customFormat="1" x14ac:dyDescent="0.25"/>
    <row r="15129" s="42" customFormat="1" x14ac:dyDescent="0.25"/>
    <row r="15130" s="42" customFormat="1" x14ac:dyDescent="0.25"/>
    <row r="15131" s="42" customFormat="1" x14ac:dyDescent="0.25"/>
    <row r="15132" s="42" customFormat="1" x14ac:dyDescent="0.25"/>
    <row r="15133" s="42" customFormat="1" x14ac:dyDescent="0.25"/>
    <row r="15134" s="42" customFormat="1" x14ac:dyDescent="0.25"/>
    <row r="15135" s="42" customFormat="1" x14ac:dyDescent="0.25"/>
    <row r="15136" s="42" customFormat="1" x14ac:dyDescent="0.25"/>
    <row r="15137" s="42" customFormat="1" x14ac:dyDescent="0.25"/>
    <row r="15138" s="42" customFormat="1" x14ac:dyDescent="0.25"/>
    <row r="15139" s="42" customFormat="1" x14ac:dyDescent="0.25"/>
    <row r="15140" s="42" customFormat="1" x14ac:dyDescent="0.25"/>
    <row r="15141" s="42" customFormat="1" x14ac:dyDescent="0.25"/>
    <row r="15142" s="42" customFormat="1" x14ac:dyDescent="0.25"/>
    <row r="15143" s="42" customFormat="1" x14ac:dyDescent="0.25"/>
    <row r="15144" s="42" customFormat="1" x14ac:dyDescent="0.25"/>
    <row r="15145" s="42" customFormat="1" x14ac:dyDescent="0.25"/>
    <row r="15146" s="42" customFormat="1" x14ac:dyDescent="0.25"/>
    <row r="15147" s="42" customFormat="1" x14ac:dyDescent="0.25"/>
    <row r="15148" s="42" customFormat="1" x14ac:dyDescent="0.25"/>
    <row r="15149" s="42" customFormat="1" x14ac:dyDescent="0.25"/>
    <row r="15150" s="42" customFormat="1" x14ac:dyDescent="0.25"/>
    <row r="15151" s="42" customFormat="1" x14ac:dyDescent="0.25"/>
    <row r="15152" s="42" customFormat="1" x14ac:dyDescent="0.25"/>
    <row r="15153" s="42" customFormat="1" x14ac:dyDescent="0.25"/>
    <row r="15154" s="42" customFormat="1" x14ac:dyDescent="0.25"/>
    <row r="15155" s="42" customFormat="1" x14ac:dyDescent="0.25"/>
    <row r="15156" s="42" customFormat="1" x14ac:dyDescent="0.25"/>
    <row r="15157" s="42" customFormat="1" x14ac:dyDescent="0.25"/>
    <row r="15158" s="42" customFormat="1" x14ac:dyDescent="0.25"/>
    <row r="15159" s="42" customFormat="1" x14ac:dyDescent="0.25"/>
    <row r="15160" s="42" customFormat="1" x14ac:dyDescent="0.25"/>
    <row r="15161" s="42" customFormat="1" x14ac:dyDescent="0.25"/>
    <row r="15162" s="42" customFormat="1" x14ac:dyDescent="0.25"/>
    <row r="15163" s="42" customFormat="1" x14ac:dyDescent="0.25"/>
    <row r="15164" s="42" customFormat="1" x14ac:dyDescent="0.25"/>
    <row r="15165" s="42" customFormat="1" x14ac:dyDescent="0.25"/>
    <row r="15166" s="42" customFormat="1" x14ac:dyDescent="0.25"/>
    <row r="15167" s="42" customFormat="1" x14ac:dyDescent="0.25"/>
    <row r="15168" s="42" customFormat="1" x14ac:dyDescent="0.25"/>
    <row r="15169" s="42" customFormat="1" x14ac:dyDescent="0.25"/>
    <row r="15170" s="42" customFormat="1" x14ac:dyDescent="0.25"/>
    <row r="15171" s="42" customFormat="1" x14ac:dyDescent="0.25"/>
    <row r="15172" s="42" customFormat="1" x14ac:dyDescent="0.25"/>
    <row r="15173" s="42" customFormat="1" x14ac:dyDescent="0.25"/>
    <row r="15174" s="42" customFormat="1" x14ac:dyDescent="0.25"/>
    <row r="15175" s="42" customFormat="1" x14ac:dyDescent="0.25"/>
    <row r="15176" s="42" customFormat="1" x14ac:dyDescent="0.25"/>
    <row r="15177" s="42" customFormat="1" x14ac:dyDescent="0.25"/>
    <row r="15178" s="42" customFormat="1" x14ac:dyDescent="0.25"/>
    <row r="15179" s="42" customFormat="1" x14ac:dyDescent="0.25"/>
    <row r="15180" s="42" customFormat="1" x14ac:dyDescent="0.25"/>
    <row r="15181" s="42" customFormat="1" x14ac:dyDescent="0.25"/>
    <row r="15182" s="42" customFormat="1" x14ac:dyDescent="0.25"/>
    <row r="15183" s="42" customFormat="1" x14ac:dyDescent="0.25"/>
    <row r="15184" s="42" customFormat="1" x14ac:dyDescent="0.25"/>
    <row r="15185" s="42" customFormat="1" x14ac:dyDescent="0.25"/>
    <row r="15186" s="42" customFormat="1" x14ac:dyDescent="0.25"/>
    <row r="15187" s="42" customFormat="1" x14ac:dyDescent="0.25"/>
    <row r="15188" s="42" customFormat="1" x14ac:dyDescent="0.25"/>
    <row r="15189" s="42" customFormat="1" x14ac:dyDescent="0.25"/>
    <row r="15190" s="42" customFormat="1" x14ac:dyDescent="0.25"/>
    <row r="15191" s="42" customFormat="1" x14ac:dyDescent="0.25"/>
    <row r="15192" s="42" customFormat="1" x14ac:dyDescent="0.25"/>
    <row r="15193" s="42" customFormat="1" x14ac:dyDescent="0.25"/>
    <row r="15194" s="42" customFormat="1" x14ac:dyDescent="0.25"/>
    <row r="15195" s="42" customFormat="1" x14ac:dyDescent="0.25"/>
    <row r="15196" s="42" customFormat="1" x14ac:dyDescent="0.25"/>
    <row r="15197" s="42" customFormat="1" x14ac:dyDescent="0.25"/>
    <row r="15198" s="42" customFormat="1" x14ac:dyDescent="0.25"/>
    <row r="15199" s="42" customFormat="1" x14ac:dyDescent="0.25"/>
    <row r="15200" s="42" customFormat="1" x14ac:dyDescent="0.25"/>
    <row r="15201" s="42" customFormat="1" x14ac:dyDescent="0.25"/>
    <row r="15202" s="42" customFormat="1" x14ac:dyDescent="0.25"/>
    <row r="15203" s="42" customFormat="1" x14ac:dyDescent="0.25"/>
    <row r="15204" s="42" customFormat="1" x14ac:dyDescent="0.25"/>
    <row r="15205" s="42" customFormat="1" x14ac:dyDescent="0.25"/>
    <row r="15206" s="42" customFormat="1" x14ac:dyDescent="0.25"/>
    <row r="15207" s="42" customFormat="1" x14ac:dyDescent="0.25"/>
    <row r="15208" s="42" customFormat="1" x14ac:dyDescent="0.25"/>
    <row r="15209" s="42" customFormat="1" x14ac:dyDescent="0.25"/>
    <row r="15210" s="42" customFormat="1" x14ac:dyDescent="0.25"/>
    <row r="15211" s="42" customFormat="1" x14ac:dyDescent="0.25"/>
    <row r="15212" s="42" customFormat="1" x14ac:dyDescent="0.25"/>
    <row r="15213" s="42" customFormat="1" x14ac:dyDescent="0.25"/>
    <row r="15214" s="42" customFormat="1" x14ac:dyDescent="0.25"/>
    <row r="15215" s="42" customFormat="1" x14ac:dyDescent="0.25"/>
    <row r="15216" s="42" customFormat="1" x14ac:dyDescent="0.25"/>
    <row r="15217" s="42" customFormat="1" x14ac:dyDescent="0.25"/>
    <row r="15218" s="42" customFormat="1" x14ac:dyDescent="0.25"/>
    <row r="15219" s="42" customFormat="1" x14ac:dyDescent="0.25"/>
    <row r="15220" s="42" customFormat="1" x14ac:dyDescent="0.25"/>
    <row r="15221" s="42" customFormat="1" x14ac:dyDescent="0.25"/>
    <row r="15222" s="42" customFormat="1" x14ac:dyDescent="0.25"/>
    <row r="15223" s="42" customFormat="1" x14ac:dyDescent="0.25"/>
    <row r="15224" s="42" customFormat="1" x14ac:dyDescent="0.25"/>
    <row r="15225" s="42" customFormat="1" x14ac:dyDescent="0.25"/>
    <row r="15226" s="42" customFormat="1" x14ac:dyDescent="0.25"/>
    <row r="15227" s="42" customFormat="1" x14ac:dyDescent="0.25"/>
    <row r="15228" s="42" customFormat="1" x14ac:dyDescent="0.25"/>
    <row r="15229" s="42" customFormat="1" x14ac:dyDescent="0.25"/>
    <row r="15230" s="42" customFormat="1" x14ac:dyDescent="0.25"/>
    <row r="15231" s="42" customFormat="1" x14ac:dyDescent="0.25"/>
    <row r="15232" s="42" customFormat="1" x14ac:dyDescent="0.25"/>
    <row r="15233" s="42" customFormat="1" x14ac:dyDescent="0.25"/>
    <row r="15234" s="42" customFormat="1" x14ac:dyDescent="0.25"/>
    <row r="15235" s="42" customFormat="1" x14ac:dyDescent="0.25"/>
    <row r="15236" s="42" customFormat="1" x14ac:dyDescent="0.25"/>
    <row r="15237" s="42" customFormat="1" x14ac:dyDescent="0.25"/>
    <row r="15238" s="42" customFormat="1" x14ac:dyDescent="0.25"/>
    <row r="15239" s="42" customFormat="1" x14ac:dyDescent="0.25"/>
    <row r="15240" s="42" customFormat="1" x14ac:dyDescent="0.25"/>
    <row r="15241" s="42" customFormat="1" x14ac:dyDescent="0.25"/>
    <row r="15242" s="42" customFormat="1" x14ac:dyDescent="0.25"/>
    <row r="15243" s="42" customFormat="1" x14ac:dyDescent="0.25"/>
    <row r="15244" s="42" customFormat="1" x14ac:dyDescent="0.25"/>
    <row r="15245" s="42" customFormat="1" x14ac:dyDescent="0.25"/>
    <row r="15246" s="42" customFormat="1" x14ac:dyDescent="0.25"/>
    <row r="15247" s="42" customFormat="1" x14ac:dyDescent="0.25"/>
    <row r="15248" s="42" customFormat="1" x14ac:dyDescent="0.25"/>
    <row r="15249" s="42" customFormat="1" x14ac:dyDescent="0.25"/>
    <row r="15250" s="42" customFormat="1" x14ac:dyDescent="0.25"/>
    <row r="15251" s="42" customFormat="1" x14ac:dyDescent="0.25"/>
    <row r="15252" s="42" customFormat="1" x14ac:dyDescent="0.25"/>
    <row r="15253" s="42" customFormat="1" x14ac:dyDescent="0.25"/>
    <row r="15254" s="42" customFormat="1" x14ac:dyDescent="0.25"/>
    <row r="15255" s="42" customFormat="1" x14ac:dyDescent="0.25"/>
    <row r="15256" s="42" customFormat="1" x14ac:dyDescent="0.25"/>
    <row r="15257" s="42" customFormat="1" x14ac:dyDescent="0.25"/>
    <row r="15258" s="42" customFormat="1" x14ac:dyDescent="0.25"/>
    <row r="15259" s="42" customFormat="1" x14ac:dyDescent="0.25"/>
    <row r="15260" s="42" customFormat="1" x14ac:dyDescent="0.25"/>
    <row r="15261" s="42" customFormat="1" x14ac:dyDescent="0.25"/>
    <row r="15262" s="42" customFormat="1" x14ac:dyDescent="0.25"/>
    <row r="15263" s="42" customFormat="1" x14ac:dyDescent="0.25"/>
    <row r="15264" s="42" customFormat="1" x14ac:dyDescent="0.25"/>
    <row r="15265" s="42" customFormat="1" x14ac:dyDescent="0.25"/>
    <row r="15266" s="42" customFormat="1" x14ac:dyDescent="0.25"/>
    <row r="15267" s="42" customFormat="1" x14ac:dyDescent="0.25"/>
    <row r="15268" s="42" customFormat="1" x14ac:dyDescent="0.25"/>
    <row r="15269" s="42" customFormat="1" x14ac:dyDescent="0.25"/>
    <row r="15270" s="42" customFormat="1" x14ac:dyDescent="0.25"/>
    <row r="15271" s="42" customFormat="1" x14ac:dyDescent="0.25"/>
    <row r="15272" s="42" customFormat="1" x14ac:dyDescent="0.25"/>
    <row r="15273" s="42" customFormat="1" x14ac:dyDescent="0.25"/>
    <row r="15274" s="42" customFormat="1" x14ac:dyDescent="0.25"/>
    <row r="15275" s="42" customFormat="1" x14ac:dyDescent="0.25"/>
    <row r="15276" s="42" customFormat="1" x14ac:dyDescent="0.25"/>
    <row r="15277" s="42" customFormat="1" x14ac:dyDescent="0.25"/>
    <row r="15278" s="42" customFormat="1" x14ac:dyDescent="0.25"/>
    <row r="15279" s="42" customFormat="1" x14ac:dyDescent="0.25"/>
    <row r="15280" s="42" customFormat="1" x14ac:dyDescent="0.25"/>
    <row r="15281" s="42" customFormat="1" x14ac:dyDescent="0.25"/>
    <row r="15282" s="42" customFormat="1" x14ac:dyDescent="0.25"/>
    <row r="15283" s="42" customFormat="1" x14ac:dyDescent="0.25"/>
    <row r="15284" s="42" customFormat="1" x14ac:dyDescent="0.25"/>
    <row r="15285" s="42" customFormat="1" x14ac:dyDescent="0.25"/>
    <row r="15286" s="42" customFormat="1" x14ac:dyDescent="0.25"/>
    <row r="15287" s="42" customFormat="1" x14ac:dyDescent="0.25"/>
    <row r="15288" s="42" customFormat="1" x14ac:dyDescent="0.25"/>
    <row r="15289" s="42" customFormat="1" x14ac:dyDescent="0.25"/>
    <row r="15290" s="42" customFormat="1" x14ac:dyDescent="0.25"/>
    <row r="15291" s="42" customFormat="1" x14ac:dyDescent="0.25"/>
    <row r="15292" s="42" customFormat="1" x14ac:dyDescent="0.25"/>
    <row r="15293" s="42" customFormat="1" x14ac:dyDescent="0.25"/>
    <row r="15294" s="42" customFormat="1" x14ac:dyDescent="0.25"/>
    <row r="15295" s="42" customFormat="1" x14ac:dyDescent="0.25"/>
    <row r="15296" s="42" customFormat="1" x14ac:dyDescent="0.25"/>
    <row r="15297" s="42" customFormat="1" x14ac:dyDescent="0.25"/>
    <row r="15298" s="42" customFormat="1" x14ac:dyDescent="0.25"/>
    <row r="15299" s="42" customFormat="1" x14ac:dyDescent="0.25"/>
    <row r="15300" s="42" customFormat="1" x14ac:dyDescent="0.25"/>
    <row r="15301" s="42" customFormat="1" x14ac:dyDescent="0.25"/>
    <row r="15302" s="42" customFormat="1" x14ac:dyDescent="0.25"/>
    <row r="15303" s="42" customFormat="1" x14ac:dyDescent="0.25"/>
    <row r="15304" s="42" customFormat="1" x14ac:dyDescent="0.25"/>
    <row r="15305" s="42" customFormat="1" x14ac:dyDescent="0.25"/>
    <row r="15306" s="42" customFormat="1" x14ac:dyDescent="0.25"/>
    <row r="15307" s="42" customFormat="1" x14ac:dyDescent="0.25"/>
    <row r="15308" s="42" customFormat="1" x14ac:dyDescent="0.25"/>
    <row r="15309" s="42" customFormat="1" x14ac:dyDescent="0.25"/>
    <row r="15310" s="42" customFormat="1" x14ac:dyDescent="0.25"/>
    <row r="15311" s="42" customFormat="1" x14ac:dyDescent="0.25"/>
    <row r="15312" s="42" customFormat="1" x14ac:dyDescent="0.25"/>
    <row r="15313" s="42" customFormat="1" x14ac:dyDescent="0.25"/>
    <row r="15314" s="42" customFormat="1" x14ac:dyDescent="0.25"/>
    <row r="15315" s="42" customFormat="1" x14ac:dyDescent="0.25"/>
    <row r="15316" s="42" customFormat="1" x14ac:dyDescent="0.25"/>
    <row r="15317" s="42" customFormat="1" x14ac:dyDescent="0.25"/>
    <row r="15318" s="42" customFormat="1" x14ac:dyDescent="0.25"/>
    <row r="15319" s="42" customFormat="1" x14ac:dyDescent="0.25"/>
    <row r="15320" s="42" customFormat="1" x14ac:dyDescent="0.25"/>
    <row r="15321" s="42" customFormat="1" x14ac:dyDescent="0.25"/>
    <row r="15322" s="42" customFormat="1" x14ac:dyDescent="0.25"/>
    <row r="15323" s="42" customFormat="1" x14ac:dyDescent="0.25"/>
    <row r="15324" s="42" customFormat="1" x14ac:dyDescent="0.25"/>
    <row r="15325" s="42" customFormat="1" x14ac:dyDescent="0.25"/>
    <row r="15326" s="42" customFormat="1" x14ac:dyDescent="0.25"/>
    <row r="15327" s="42" customFormat="1" x14ac:dyDescent="0.25"/>
    <row r="15328" s="42" customFormat="1" x14ac:dyDescent="0.25"/>
    <row r="15329" s="42" customFormat="1" x14ac:dyDescent="0.25"/>
    <row r="15330" s="42" customFormat="1" x14ac:dyDescent="0.25"/>
    <row r="15331" s="42" customFormat="1" x14ac:dyDescent="0.25"/>
    <row r="15332" s="42" customFormat="1" x14ac:dyDescent="0.25"/>
    <row r="15333" s="42" customFormat="1" x14ac:dyDescent="0.25"/>
    <row r="15334" s="42" customFormat="1" x14ac:dyDescent="0.25"/>
    <row r="15335" s="42" customFormat="1" x14ac:dyDescent="0.25"/>
    <row r="15336" s="42" customFormat="1" x14ac:dyDescent="0.25"/>
    <row r="15337" s="42" customFormat="1" x14ac:dyDescent="0.25"/>
    <row r="15338" s="42" customFormat="1" x14ac:dyDescent="0.25"/>
    <row r="15339" s="42" customFormat="1" x14ac:dyDescent="0.25"/>
    <row r="15340" s="42" customFormat="1" x14ac:dyDescent="0.25"/>
    <row r="15341" s="42" customFormat="1" x14ac:dyDescent="0.25"/>
    <row r="15342" s="42" customFormat="1" x14ac:dyDescent="0.25"/>
    <row r="15343" s="42" customFormat="1" x14ac:dyDescent="0.25"/>
    <row r="15344" s="42" customFormat="1" x14ac:dyDescent="0.25"/>
    <row r="15345" s="42" customFormat="1" x14ac:dyDescent="0.25"/>
    <row r="15346" s="42" customFormat="1" x14ac:dyDescent="0.25"/>
    <row r="15347" s="42" customFormat="1" x14ac:dyDescent="0.25"/>
    <row r="15348" s="42" customFormat="1" x14ac:dyDescent="0.25"/>
    <row r="15349" s="42" customFormat="1" x14ac:dyDescent="0.25"/>
    <row r="15350" s="42" customFormat="1" x14ac:dyDescent="0.25"/>
    <row r="15351" s="42" customFormat="1" x14ac:dyDescent="0.25"/>
    <row r="15352" s="42" customFormat="1" x14ac:dyDescent="0.25"/>
    <row r="15353" s="42" customFormat="1" x14ac:dyDescent="0.25"/>
    <row r="15354" s="42" customFormat="1" x14ac:dyDescent="0.25"/>
    <row r="15355" s="42" customFormat="1" x14ac:dyDescent="0.25"/>
    <row r="15356" s="42" customFormat="1" x14ac:dyDescent="0.25"/>
    <row r="15357" s="42" customFormat="1" x14ac:dyDescent="0.25"/>
    <row r="15358" s="42" customFormat="1" x14ac:dyDescent="0.25"/>
    <row r="15359" s="42" customFormat="1" x14ac:dyDescent="0.25"/>
    <row r="15360" s="42" customFormat="1" x14ac:dyDescent="0.25"/>
    <row r="15361" s="42" customFormat="1" x14ac:dyDescent="0.25"/>
    <row r="15362" s="42" customFormat="1" x14ac:dyDescent="0.25"/>
    <row r="15363" s="42" customFormat="1" x14ac:dyDescent="0.25"/>
    <row r="15364" s="42" customFormat="1" x14ac:dyDescent="0.25"/>
    <row r="15365" s="42" customFormat="1" x14ac:dyDescent="0.25"/>
    <row r="15366" s="42" customFormat="1" x14ac:dyDescent="0.25"/>
    <row r="15367" s="42" customFormat="1" x14ac:dyDescent="0.25"/>
    <row r="15368" s="42" customFormat="1" x14ac:dyDescent="0.25"/>
    <row r="15369" s="42" customFormat="1" x14ac:dyDescent="0.25"/>
    <row r="15370" s="42" customFormat="1" x14ac:dyDescent="0.25"/>
    <row r="15371" s="42" customFormat="1" x14ac:dyDescent="0.25"/>
    <row r="15372" s="42" customFormat="1" x14ac:dyDescent="0.25"/>
    <row r="15373" s="42" customFormat="1" x14ac:dyDescent="0.25"/>
    <row r="15374" s="42" customFormat="1" x14ac:dyDescent="0.25"/>
    <row r="15375" s="42" customFormat="1" x14ac:dyDescent="0.25"/>
    <row r="15376" s="42" customFormat="1" x14ac:dyDescent="0.25"/>
    <row r="15377" s="42" customFormat="1" x14ac:dyDescent="0.25"/>
    <row r="15378" s="42" customFormat="1" x14ac:dyDescent="0.25"/>
    <row r="15379" s="42" customFormat="1" x14ac:dyDescent="0.25"/>
    <row r="15380" s="42" customFormat="1" x14ac:dyDescent="0.25"/>
    <row r="15381" s="42" customFormat="1" x14ac:dyDescent="0.25"/>
    <row r="15382" s="42" customFormat="1" x14ac:dyDescent="0.25"/>
    <row r="15383" s="42" customFormat="1" x14ac:dyDescent="0.25"/>
    <row r="15384" s="42" customFormat="1" x14ac:dyDescent="0.25"/>
    <row r="15385" s="42" customFormat="1" x14ac:dyDescent="0.25"/>
    <row r="15386" s="42" customFormat="1" x14ac:dyDescent="0.25"/>
    <row r="15387" s="42" customFormat="1" x14ac:dyDescent="0.25"/>
    <row r="15388" s="42" customFormat="1" x14ac:dyDescent="0.25"/>
    <row r="15389" s="42" customFormat="1" x14ac:dyDescent="0.25"/>
    <row r="15390" s="42" customFormat="1" x14ac:dyDescent="0.25"/>
    <row r="15391" s="42" customFormat="1" x14ac:dyDescent="0.25"/>
    <row r="15392" s="42" customFormat="1" x14ac:dyDescent="0.25"/>
    <row r="15393" s="42" customFormat="1" x14ac:dyDescent="0.25"/>
    <row r="15394" s="42" customFormat="1" x14ac:dyDescent="0.25"/>
    <row r="15395" s="42" customFormat="1" x14ac:dyDescent="0.25"/>
    <row r="15396" s="42" customFormat="1" x14ac:dyDescent="0.25"/>
    <row r="15397" s="42" customFormat="1" x14ac:dyDescent="0.25"/>
    <row r="15398" s="42" customFormat="1" x14ac:dyDescent="0.25"/>
    <row r="15399" s="42" customFormat="1" x14ac:dyDescent="0.25"/>
    <row r="15400" s="42" customFormat="1" x14ac:dyDescent="0.25"/>
    <row r="15401" s="42" customFormat="1" x14ac:dyDescent="0.25"/>
    <row r="15402" s="42" customFormat="1" x14ac:dyDescent="0.25"/>
    <row r="15403" s="42" customFormat="1" x14ac:dyDescent="0.25"/>
    <row r="15404" s="42" customFormat="1" x14ac:dyDescent="0.25"/>
    <row r="15405" s="42" customFormat="1" x14ac:dyDescent="0.25"/>
    <row r="15406" s="42" customFormat="1" x14ac:dyDescent="0.25"/>
    <row r="15407" s="42" customFormat="1" x14ac:dyDescent="0.25"/>
    <row r="15408" s="42" customFormat="1" x14ac:dyDescent="0.25"/>
    <row r="15409" s="42" customFormat="1" x14ac:dyDescent="0.25"/>
    <row r="15410" s="42" customFormat="1" x14ac:dyDescent="0.25"/>
    <row r="15411" s="42" customFormat="1" x14ac:dyDescent="0.25"/>
    <row r="15412" s="42" customFormat="1" x14ac:dyDescent="0.25"/>
    <row r="15413" s="42" customFormat="1" x14ac:dyDescent="0.25"/>
    <row r="15414" s="42" customFormat="1" x14ac:dyDescent="0.25"/>
    <row r="15415" s="42" customFormat="1" x14ac:dyDescent="0.25"/>
    <row r="15416" s="42" customFormat="1" x14ac:dyDescent="0.25"/>
    <row r="15417" s="42" customFormat="1" x14ac:dyDescent="0.25"/>
    <row r="15418" s="42" customFormat="1" x14ac:dyDescent="0.25"/>
    <row r="15419" s="42" customFormat="1" x14ac:dyDescent="0.25"/>
    <row r="15420" s="42" customFormat="1" x14ac:dyDescent="0.25"/>
    <row r="15421" s="42" customFormat="1" x14ac:dyDescent="0.25"/>
    <row r="15422" s="42" customFormat="1" x14ac:dyDescent="0.25"/>
    <row r="15423" s="42" customFormat="1" x14ac:dyDescent="0.25"/>
    <row r="15424" s="42" customFormat="1" x14ac:dyDescent="0.25"/>
    <row r="15425" s="42" customFormat="1" x14ac:dyDescent="0.25"/>
    <row r="15426" s="42" customFormat="1" x14ac:dyDescent="0.25"/>
    <row r="15427" s="42" customFormat="1" x14ac:dyDescent="0.25"/>
    <row r="15428" s="42" customFormat="1" x14ac:dyDescent="0.25"/>
    <row r="15429" s="42" customFormat="1" x14ac:dyDescent="0.25"/>
    <row r="15430" s="42" customFormat="1" x14ac:dyDescent="0.25"/>
    <row r="15431" s="42" customFormat="1" x14ac:dyDescent="0.25"/>
    <row r="15432" s="42" customFormat="1" x14ac:dyDescent="0.25"/>
    <row r="15433" s="42" customFormat="1" x14ac:dyDescent="0.25"/>
    <row r="15434" s="42" customFormat="1" x14ac:dyDescent="0.25"/>
    <row r="15435" s="42" customFormat="1" x14ac:dyDescent="0.25"/>
    <row r="15436" s="42" customFormat="1" x14ac:dyDescent="0.25"/>
    <row r="15437" s="42" customFormat="1" x14ac:dyDescent="0.25"/>
    <row r="15438" s="42" customFormat="1" x14ac:dyDescent="0.25"/>
    <row r="15439" s="42" customFormat="1" x14ac:dyDescent="0.25"/>
    <row r="15440" s="42" customFormat="1" x14ac:dyDescent="0.25"/>
    <row r="15441" s="42" customFormat="1" x14ac:dyDescent="0.25"/>
    <row r="15442" s="42" customFormat="1" x14ac:dyDescent="0.25"/>
    <row r="15443" s="42" customFormat="1" x14ac:dyDescent="0.25"/>
    <row r="15444" s="42" customFormat="1" x14ac:dyDescent="0.25"/>
    <row r="15445" s="42" customFormat="1" x14ac:dyDescent="0.25"/>
    <row r="15446" s="42" customFormat="1" x14ac:dyDescent="0.25"/>
    <row r="15447" s="42" customFormat="1" x14ac:dyDescent="0.25"/>
    <row r="15448" s="42" customFormat="1" x14ac:dyDescent="0.25"/>
    <row r="15449" s="42" customFormat="1" x14ac:dyDescent="0.25"/>
    <row r="15450" s="42" customFormat="1" x14ac:dyDescent="0.25"/>
    <row r="15451" s="42" customFormat="1" x14ac:dyDescent="0.25"/>
    <row r="15452" s="42" customFormat="1" x14ac:dyDescent="0.25"/>
    <row r="15453" s="42" customFormat="1" x14ac:dyDescent="0.25"/>
    <row r="15454" s="42" customFormat="1" x14ac:dyDescent="0.25"/>
    <row r="15455" s="42" customFormat="1" x14ac:dyDescent="0.25"/>
    <row r="15456" s="42" customFormat="1" x14ac:dyDescent="0.25"/>
    <row r="15457" s="42" customFormat="1" x14ac:dyDescent="0.25"/>
    <row r="15458" s="42" customFormat="1" x14ac:dyDescent="0.25"/>
    <row r="15459" s="42" customFormat="1" x14ac:dyDescent="0.25"/>
    <row r="15460" s="42" customFormat="1" x14ac:dyDescent="0.25"/>
    <row r="15461" s="42" customFormat="1" x14ac:dyDescent="0.25"/>
    <row r="15462" s="42" customFormat="1" x14ac:dyDescent="0.25"/>
    <row r="15463" s="42" customFormat="1" x14ac:dyDescent="0.25"/>
    <row r="15464" s="42" customFormat="1" x14ac:dyDescent="0.25"/>
    <row r="15465" s="42" customFormat="1" x14ac:dyDescent="0.25"/>
    <row r="15466" s="42" customFormat="1" x14ac:dyDescent="0.25"/>
    <row r="15467" s="42" customFormat="1" x14ac:dyDescent="0.25"/>
    <row r="15468" s="42" customFormat="1" x14ac:dyDescent="0.25"/>
    <row r="15469" s="42" customFormat="1" x14ac:dyDescent="0.25"/>
    <row r="15470" s="42" customFormat="1" x14ac:dyDescent="0.25"/>
    <row r="15471" s="42" customFormat="1" x14ac:dyDescent="0.25"/>
    <row r="15472" s="42" customFormat="1" x14ac:dyDescent="0.25"/>
    <row r="15473" s="42" customFormat="1" x14ac:dyDescent="0.25"/>
    <row r="15474" s="42" customFormat="1" x14ac:dyDescent="0.25"/>
    <row r="15475" s="42" customFormat="1" x14ac:dyDescent="0.25"/>
    <row r="15476" s="42" customFormat="1" x14ac:dyDescent="0.25"/>
    <row r="15477" s="42" customFormat="1" x14ac:dyDescent="0.25"/>
    <row r="15478" s="42" customFormat="1" x14ac:dyDescent="0.25"/>
    <row r="15479" s="42" customFormat="1" x14ac:dyDescent="0.25"/>
    <row r="15480" s="42" customFormat="1" x14ac:dyDescent="0.25"/>
    <row r="15481" s="42" customFormat="1" x14ac:dyDescent="0.25"/>
    <row r="15482" s="42" customFormat="1" x14ac:dyDescent="0.25"/>
    <row r="15483" s="42" customFormat="1" x14ac:dyDescent="0.25"/>
    <row r="15484" s="42" customFormat="1" x14ac:dyDescent="0.25"/>
    <row r="15485" s="42" customFormat="1" x14ac:dyDescent="0.25"/>
    <row r="15486" s="42" customFormat="1" x14ac:dyDescent="0.25"/>
    <row r="15487" s="42" customFormat="1" x14ac:dyDescent="0.25"/>
    <row r="15488" s="42" customFormat="1" x14ac:dyDescent="0.25"/>
    <row r="15489" s="42" customFormat="1" x14ac:dyDescent="0.25"/>
    <row r="15490" s="42" customFormat="1" x14ac:dyDescent="0.25"/>
    <row r="15491" s="42" customFormat="1" x14ac:dyDescent="0.25"/>
    <row r="15492" s="42" customFormat="1" x14ac:dyDescent="0.25"/>
    <row r="15493" s="42" customFormat="1" x14ac:dyDescent="0.25"/>
    <row r="15494" s="42" customFormat="1" x14ac:dyDescent="0.25"/>
    <row r="15495" s="42" customFormat="1" x14ac:dyDescent="0.25"/>
    <row r="15496" s="42" customFormat="1" x14ac:dyDescent="0.25"/>
    <row r="15497" s="42" customFormat="1" x14ac:dyDescent="0.25"/>
    <row r="15498" s="42" customFormat="1" x14ac:dyDescent="0.25"/>
    <row r="15499" s="42" customFormat="1" x14ac:dyDescent="0.25"/>
    <row r="15500" s="42" customFormat="1" x14ac:dyDescent="0.25"/>
    <row r="15501" s="42" customFormat="1" x14ac:dyDescent="0.25"/>
    <row r="15502" s="42" customFormat="1" x14ac:dyDescent="0.25"/>
    <row r="15503" s="42" customFormat="1" x14ac:dyDescent="0.25"/>
    <row r="15504" s="42" customFormat="1" x14ac:dyDescent="0.25"/>
    <row r="15505" s="42" customFormat="1" x14ac:dyDescent="0.25"/>
    <row r="15506" s="42" customFormat="1" x14ac:dyDescent="0.25"/>
    <row r="15507" s="42" customFormat="1" x14ac:dyDescent="0.25"/>
    <row r="15508" s="42" customFormat="1" x14ac:dyDescent="0.25"/>
    <row r="15509" s="42" customFormat="1" x14ac:dyDescent="0.25"/>
    <row r="15510" s="42" customFormat="1" x14ac:dyDescent="0.25"/>
    <row r="15511" s="42" customFormat="1" x14ac:dyDescent="0.25"/>
    <row r="15512" s="42" customFormat="1" x14ac:dyDescent="0.25"/>
    <row r="15513" s="42" customFormat="1" x14ac:dyDescent="0.25"/>
    <row r="15514" s="42" customFormat="1" x14ac:dyDescent="0.25"/>
    <row r="15515" s="42" customFormat="1" x14ac:dyDescent="0.25"/>
    <row r="15516" s="42" customFormat="1" x14ac:dyDescent="0.25"/>
    <row r="15517" s="42" customFormat="1" x14ac:dyDescent="0.25"/>
    <row r="15518" s="42" customFormat="1" x14ac:dyDescent="0.25"/>
    <row r="15519" s="42" customFormat="1" x14ac:dyDescent="0.25"/>
    <row r="15520" s="42" customFormat="1" x14ac:dyDescent="0.25"/>
    <row r="15521" s="42" customFormat="1" x14ac:dyDescent="0.25"/>
    <row r="15522" s="42" customFormat="1" x14ac:dyDescent="0.25"/>
    <row r="15523" s="42" customFormat="1" x14ac:dyDescent="0.25"/>
    <row r="15524" s="42" customFormat="1" x14ac:dyDescent="0.25"/>
    <row r="15525" s="42" customFormat="1" x14ac:dyDescent="0.25"/>
    <row r="15526" s="42" customFormat="1" x14ac:dyDescent="0.25"/>
    <row r="15527" s="42" customFormat="1" x14ac:dyDescent="0.25"/>
    <row r="15528" s="42" customFormat="1" x14ac:dyDescent="0.25"/>
    <row r="15529" s="42" customFormat="1" x14ac:dyDescent="0.25"/>
    <row r="15530" s="42" customFormat="1" x14ac:dyDescent="0.25"/>
    <row r="15531" s="42" customFormat="1" x14ac:dyDescent="0.25"/>
    <row r="15532" s="42" customFormat="1" x14ac:dyDescent="0.25"/>
    <row r="15533" s="42" customFormat="1" x14ac:dyDescent="0.25"/>
    <row r="15534" s="42" customFormat="1" x14ac:dyDescent="0.25"/>
    <row r="15535" s="42" customFormat="1" x14ac:dyDescent="0.25"/>
    <row r="15536" s="42" customFormat="1" x14ac:dyDescent="0.25"/>
    <row r="15537" s="42" customFormat="1" x14ac:dyDescent="0.25"/>
    <row r="15538" s="42" customFormat="1" x14ac:dyDescent="0.25"/>
    <row r="15539" s="42" customFormat="1" x14ac:dyDescent="0.25"/>
    <row r="15540" s="42" customFormat="1" x14ac:dyDescent="0.25"/>
    <row r="15541" s="42" customFormat="1" x14ac:dyDescent="0.25"/>
    <row r="15542" s="42" customFormat="1" x14ac:dyDescent="0.25"/>
    <row r="15543" s="42" customFormat="1" x14ac:dyDescent="0.25"/>
    <row r="15544" s="42" customFormat="1" x14ac:dyDescent="0.25"/>
    <row r="15545" s="42" customFormat="1" x14ac:dyDescent="0.25"/>
    <row r="15546" s="42" customFormat="1" x14ac:dyDescent="0.25"/>
    <row r="15547" s="42" customFormat="1" x14ac:dyDescent="0.25"/>
    <row r="15548" s="42" customFormat="1" x14ac:dyDescent="0.25"/>
    <row r="15549" s="42" customFormat="1" x14ac:dyDescent="0.25"/>
    <row r="15550" s="42" customFormat="1" x14ac:dyDescent="0.25"/>
    <row r="15551" s="42" customFormat="1" x14ac:dyDescent="0.25"/>
    <row r="15552" s="42" customFormat="1" x14ac:dyDescent="0.25"/>
    <row r="15553" s="42" customFormat="1" x14ac:dyDescent="0.25"/>
    <row r="15554" s="42" customFormat="1" x14ac:dyDescent="0.25"/>
    <row r="15555" s="42" customFormat="1" x14ac:dyDescent="0.25"/>
    <row r="15556" s="42" customFormat="1" x14ac:dyDescent="0.25"/>
    <row r="15557" s="42" customFormat="1" x14ac:dyDescent="0.25"/>
    <row r="15558" s="42" customFormat="1" x14ac:dyDescent="0.25"/>
    <row r="15559" s="42" customFormat="1" x14ac:dyDescent="0.25"/>
    <row r="15560" s="42" customFormat="1" x14ac:dyDescent="0.25"/>
    <row r="15561" s="42" customFormat="1" x14ac:dyDescent="0.25"/>
    <row r="15562" s="42" customFormat="1" x14ac:dyDescent="0.25"/>
    <row r="15563" s="42" customFormat="1" x14ac:dyDescent="0.25"/>
    <row r="15564" s="42" customFormat="1" x14ac:dyDescent="0.25"/>
    <row r="15565" s="42" customFormat="1" x14ac:dyDescent="0.25"/>
    <row r="15566" s="42" customFormat="1" x14ac:dyDescent="0.25"/>
    <row r="15567" s="42" customFormat="1" x14ac:dyDescent="0.25"/>
    <row r="15568" s="42" customFormat="1" x14ac:dyDescent="0.25"/>
    <row r="15569" s="42" customFormat="1" x14ac:dyDescent="0.25"/>
    <row r="15570" s="42" customFormat="1" x14ac:dyDescent="0.25"/>
    <row r="15571" s="42" customFormat="1" x14ac:dyDescent="0.25"/>
    <row r="15572" s="42" customFormat="1" x14ac:dyDescent="0.25"/>
    <row r="15573" s="42" customFormat="1" x14ac:dyDescent="0.25"/>
    <row r="15574" s="42" customFormat="1" x14ac:dyDescent="0.25"/>
    <row r="15575" s="42" customFormat="1" x14ac:dyDescent="0.25"/>
    <row r="15576" s="42" customFormat="1" x14ac:dyDescent="0.25"/>
    <row r="15577" s="42" customFormat="1" x14ac:dyDescent="0.25"/>
    <row r="15578" s="42" customFormat="1" x14ac:dyDescent="0.25"/>
    <row r="15579" s="42" customFormat="1" x14ac:dyDescent="0.25"/>
    <row r="15580" s="42" customFormat="1" x14ac:dyDescent="0.25"/>
    <row r="15581" s="42" customFormat="1" x14ac:dyDescent="0.25"/>
    <row r="15582" s="42" customFormat="1" x14ac:dyDescent="0.25"/>
    <row r="15583" s="42" customFormat="1" x14ac:dyDescent="0.25"/>
    <row r="15584" s="42" customFormat="1" x14ac:dyDescent="0.25"/>
    <row r="15585" s="42" customFormat="1" x14ac:dyDescent="0.25"/>
    <row r="15586" s="42" customFormat="1" x14ac:dyDescent="0.25"/>
    <row r="15587" s="42" customFormat="1" x14ac:dyDescent="0.25"/>
    <row r="15588" s="42" customFormat="1" x14ac:dyDescent="0.25"/>
    <row r="15589" s="42" customFormat="1" x14ac:dyDescent="0.25"/>
    <row r="15590" s="42" customFormat="1" x14ac:dyDescent="0.25"/>
    <row r="15591" s="42" customFormat="1" x14ac:dyDescent="0.25"/>
    <row r="15592" s="42" customFormat="1" x14ac:dyDescent="0.25"/>
    <row r="15593" s="42" customFormat="1" x14ac:dyDescent="0.25"/>
    <row r="15594" s="42" customFormat="1" x14ac:dyDescent="0.25"/>
    <row r="15595" s="42" customFormat="1" x14ac:dyDescent="0.25"/>
    <row r="15596" s="42" customFormat="1" x14ac:dyDescent="0.25"/>
    <row r="15597" s="42" customFormat="1" x14ac:dyDescent="0.25"/>
    <row r="15598" s="42" customFormat="1" x14ac:dyDescent="0.25"/>
    <row r="15599" s="42" customFormat="1" x14ac:dyDescent="0.25"/>
    <row r="15600" s="42" customFormat="1" x14ac:dyDescent="0.25"/>
    <row r="15601" s="42" customFormat="1" x14ac:dyDescent="0.25"/>
    <row r="15602" s="42" customFormat="1" x14ac:dyDescent="0.25"/>
    <row r="15603" s="42" customFormat="1" x14ac:dyDescent="0.25"/>
    <row r="15604" s="42" customFormat="1" x14ac:dyDescent="0.25"/>
    <row r="15605" s="42" customFormat="1" x14ac:dyDescent="0.25"/>
    <row r="15606" s="42" customFormat="1" x14ac:dyDescent="0.25"/>
    <row r="15607" s="42" customFormat="1" x14ac:dyDescent="0.25"/>
    <row r="15608" s="42" customFormat="1" x14ac:dyDescent="0.25"/>
    <row r="15609" s="42" customFormat="1" x14ac:dyDescent="0.25"/>
    <row r="15610" s="42" customFormat="1" x14ac:dyDescent="0.25"/>
    <row r="15611" s="42" customFormat="1" x14ac:dyDescent="0.25"/>
    <row r="15612" s="42" customFormat="1" x14ac:dyDescent="0.25"/>
    <row r="15613" s="42" customFormat="1" x14ac:dyDescent="0.25"/>
    <row r="15614" s="42" customFormat="1" x14ac:dyDescent="0.25"/>
    <row r="15615" s="42" customFormat="1" x14ac:dyDescent="0.25"/>
    <row r="15616" s="42" customFormat="1" x14ac:dyDescent="0.25"/>
    <row r="15617" s="42" customFormat="1" x14ac:dyDescent="0.25"/>
    <row r="15618" s="42" customFormat="1" x14ac:dyDescent="0.25"/>
    <row r="15619" s="42" customFormat="1" x14ac:dyDescent="0.25"/>
    <row r="15620" s="42" customFormat="1" x14ac:dyDescent="0.25"/>
    <row r="15621" s="42" customFormat="1" x14ac:dyDescent="0.25"/>
    <row r="15622" s="42" customFormat="1" x14ac:dyDescent="0.25"/>
    <row r="15623" s="42" customFormat="1" x14ac:dyDescent="0.25"/>
    <row r="15624" s="42" customFormat="1" x14ac:dyDescent="0.25"/>
    <row r="15625" s="42" customFormat="1" x14ac:dyDescent="0.25"/>
    <row r="15626" s="42" customFormat="1" x14ac:dyDescent="0.25"/>
    <row r="15627" s="42" customFormat="1" x14ac:dyDescent="0.25"/>
    <row r="15628" s="42" customFormat="1" x14ac:dyDescent="0.25"/>
    <row r="15629" s="42" customFormat="1" x14ac:dyDescent="0.25"/>
    <row r="15630" s="42" customFormat="1" x14ac:dyDescent="0.25"/>
    <row r="15631" s="42" customFormat="1" x14ac:dyDescent="0.25"/>
    <row r="15632" s="42" customFormat="1" x14ac:dyDescent="0.25"/>
    <row r="15633" s="42" customFormat="1" x14ac:dyDescent="0.25"/>
    <row r="15634" s="42" customFormat="1" x14ac:dyDescent="0.25"/>
    <row r="15635" s="42" customFormat="1" x14ac:dyDescent="0.25"/>
    <row r="15636" s="42" customFormat="1" x14ac:dyDescent="0.25"/>
    <row r="15637" s="42" customFormat="1" x14ac:dyDescent="0.25"/>
    <row r="15638" s="42" customFormat="1" x14ac:dyDescent="0.25"/>
    <row r="15639" s="42" customFormat="1" x14ac:dyDescent="0.25"/>
    <row r="15640" s="42" customFormat="1" x14ac:dyDescent="0.25"/>
    <row r="15641" s="42" customFormat="1" x14ac:dyDescent="0.25"/>
    <row r="15642" s="42" customFormat="1" x14ac:dyDescent="0.25"/>
    <row r="15643" s="42" customFormat="1" x14ac:dyDescent="0.25"/>
    <row r="15644" s="42" customFormat="1" x14ac:dyDescent="0.25"/>
    <row r="15645" s="42" customFormat="1" x14ac:dyDescent="0.25"/>
    <row r="15646" s="42" customFormat="1" x14ac:dyDescent="0.25"/>
    <row r="15647" s="42" customFormat="1" x14ac:dyDescent="0.25"/>
    <row r="15648" s="42" customFormat="1" x14ac:dyDescent="0.25"/>
    <row r="15649" s="42" customFormat="1" x14ac:dyDescent="0.25"/>
    <row r="15650" s="42" customFormat="1" x14ac:dyDescent="0.25"/>
    <row r="15651" s="42" customFormat="1" x14ac:dyDescent="0.25"/>
    <row r="15652" s="42" customFormat="1" x14ac:dyDescent="0.25"/>
    <row r="15653" s="42" customFormat="1" x14ac:dyDescent="0.25"/>
    <row r="15654" s="42" customFormat="1" x14ac:dyDescent="0.25"/>
    <row r="15655" s="42" customFormat="1" x14ac:dyDescent="0.25"/>
    <row r="15656" s="42" customFormat="1" x14ac:dyDescent="0.25"/>
    <row r="15657" s="42" customFormat="1" x14ac:dyDescent="0.25"/>
    <row r="15658" s="42" customFormat="1" x14ac:dyDescent="0.25"/>
    <row r="15659" s="42" customFormat="1" x14ac:dyDescent="0.25"/>
    <row r="15660" s="42" customFormat="1" x14ac:dyDescent="0.25"/>
    <row r="15661" s="42" customFormat="1" x14ac:dyDescent="0.25"/>
    <row r="15662" s="42" customFormat="1" x14ac:dyDescent="0.25"/>
    <row r="15663" s="42" customFormat="1" x14ac:dyDescent="0.25"/>
    <row r="15664" s="42" customFormat="1" x14ac:dyDescent="0.25"/>
    <row r="15665" s="42" customFormat="1" x14ac:dyDescent="0.25"/>
    <row r="15666" s="42" customFormat="1" x14ac:dyDescent="0.25"/>
    <row r="15667" s="42" customFormat="1" x14ac:dyDescent="0.25"/>
    <row r="15668" s="42" customFormat="1" x14ac:dyDescent="0.25"/>
    <row r="15669" s="42" customFormat="1" x14ac:dyDescent="0.25"/>
    <row r="15670" s="42" customFormat="1" x14ac:dyDescent="0.25"/>
    <row r="15671" s="42" customFormat="1" x14ac:dyDescent="0.25"/>
    <row r="15672" s="42" customFormat="1" x14ac:dyDescent="0.25"/>
    <row r="15673" s="42" customFormat="1" x14ac:dyDescent="0.25"/>
    <row r="15674" s="42" customFormat="1" x14ac:dyDescent="0.25"/>
    <row r="15675" s="42" customFormat="1" x14ac:dyDescent="0.25"/>
    <row r="15676" s="42" customFormat="1" x14ac:dyDescent="0.25"/>
    <row r="15677" s="42" customFormat="1" x14ac:dyDescent="0.25"/>
    <row r="15678" s="42" customFormat="1" x14ac:dyDescent="0.25"/>
    <row r="15679" s="42" customFormat="1" x14ac:dyDescent="0.25"/>
    <row r="15680" s="42" customFormat="1" x14ac:dyDescent="0.25"/>
    <row r="15681" s="42" customFormat="1" x14ac:dyDescent="0.25"/>
    <row r="15682" s="42" customFormat="1" x14ac:dyDescent="0.25"/>
    <row r="15683" s="42" customFormat="1" x14ac:dyDescent="0.25"/>
    <row r="15684" s="42" customFormat="1" x14ac:dyDescent="0.25"/>
    <row r="15685" s="42" customFormat="1" x14ac:dyDescent="0.25"/>
    <row r="15686" s="42" customFormat="1" x14ac:dyDescent="0.25"/>
    <row r="15687" s="42" customFormat="1" x14ac:dyDescent="0.25"/>
    <row r="15688" s="42" customFormat="1" x14ac:dyDescent="0.25"/>
    <row r="15689" s="42" customFormat="1" x14ac:dyDescent="0.25"/>
    <row r="15690" s="42" customFormat="1" x14ac:dyDescent="0.25"/>
    <row r="15691" s="42" customFormat="1" x14ac:dyDescent="0.25"/>
    <row r="15692" s="42" customFormat="1" x14ac:dyDescent="0.25"/>
    <row r="15693" s="42" customFormat="1" x14ac:dyDescent="0.25"/>
    <row r="15694" s="42" customFormat="1" x14ac:dyDescent="0.25"/>
    <row r="15695" s="42" customFormat="1" x14ac:dyDescent="0.25"/>
    <row r="15696" s="42" customFormat="1" x14ac:dyDescent="0.25"/>
    <row r="15697" s="42" customFormat="1" x14ac:dyDescent="0.25"/>
    <row r="15698" s="42" customFormat="1" x14ac:dyDescent="0.25"/>
    <row r="15699" s="42" customFormat="1" x14ac:dyDescent="0.25"/>
    <row r="15700" s="42" customFormat="1" x14ac:dyDescent="0.25"/>
    <row r="15701" s="42" customFormat="1" x14ac:dyDescent="0.25"/>
    <row r="15702" s="42" customFormat="1" x14ac:dyDescent="0.25"/>
    <row r="15703" s="42" customFormat="1" x14ac:dyDescent="0.25"/>
    <row r="15704" s="42" customFormat="1" x14ac:dyDescent="0.25"/>
    <row r="15705" s="42" customFormat="1" x14ac:dyDescent="0.25"/>
    <row r="15706" s="42" customFormat="1" x14ac:dyDescent="0.25"/>
    <row r="15707" s="42" customFormat="1" x14ac:dyDescent="0.25"/>
    <row r="15708" s="42" customFormat="1" x14ac:dyDescent="0.25"/>
    <row r="15709" s="42" customFormat="1" x14ac:dyDescent="0.25"/>
    <row r="15710" s="42" customFormat="1" x14ac:dyDescent="0.25"/>
    <row r="15711" s="42" customFormat="1" x14ac:dyDescent="0.25"/>
    <row r="15712" s="42" customFormat="1" x14ac:dyDescent="0.25"/>
    <row r="15713" s="42" customFormat="1" x14ac:dyDescent="0.25"/>
    <row r="15714" s="42" customFormat="1" x14ac:dyDescent="0.25"/>
    <row r="15715" s="42" customFormat="1" x14ac:dyDescent="0.25"/>
    <row r="15716" s="42" customFormat="1" x14ac:dyDescent="0.25"/>
    <row r="15717" s="42" customFormat="1" x14ac:dyDescent="0.25"/>
    <row r="15718" s="42" customFormat="1" x14ac:dyDescent="0.25"/>
    <row r="15719" s="42" customFormat="1" x14ac:dyDescent="0.25"/>
    <row r="15720" s="42" customFormat="1" x14ac:dyDescent="0.25"/>
    <row r="15721" s="42" customFormat="1" x14ac:dyDescent="0.25"/>
    <row r="15722" s="42" customFormat="1" x14ac:dyDescent="0.25"/>
    <row r="15723" s="42" customFormat="1" x14ac:dyDescent="0.25"/>
    <row r="15724" s="42" customFormat="1" x14ac:dyDescent="0.25"/>
    <row r="15725" s="42" customFormat="1" x14ac:dyDescent="0.25"/>
    <row r="15726" s="42" customFormat="1" x14ac:dyDescent="0.25"/>
    <row r="15727" s="42" customFormat="1" x14ac:dyDescent="0.25"/>
    <row r="15728" s="42" customFormat="1" x14ac:dyDescent="0.25"/>
    <row r="15729" s="42" customFormat="1" x14ac:dyDescent="0.25"/>
    <row r="15730" s="42" customFormat="1" x14ac:dyDescent="0.25"/>
    <row r="15731" s="42" customFormat="1" x14ac:dyDescent="0.25"/>
    <row r="15732" s="42" customFormat="1" x14ac:dyDescent="0.25"/>
    <row r="15733" s="42" customFormat="1" x14ac:dyDescent="0.25"/>
    <row r="15734" s="42" customFormat="1" x14ac:dyDescent="0.25"/>
    <row r="15735" s="42" customFormat="1" x14ac:dyDescent="0.25"/>
    <row r="15736" s="42" customFormat="1" x14ac:dyDescent="0.25"/>
    <row r="15737" s="42" customFormat="1" x14ac:dyDescent="0.25"/>
    <row r="15738" s="42" customFormat="1" x14ac:dyDescent="0.25"/>
    <row r="15739" s="42" customFormat="1" x14ac:dyDescent="0.25"/>
    <row r="15740" s="42" customFormat="1" x14ac:dyDescent="0.25"/>
    <row r="15741" s="42" customFormat="1" x14ac:dyDescent="0.25"/>
    <row r="15742" s="42" customFormat="1" x14ac:dyDescent="0.25"/>
    <row r="15743" s="42" customFormat="1" x14ac:dyDescent="0.25"/>
    <row r="15744" s="42" customFormat="1" x14ac:dyDescent="0.25"/>
    <row r="15745" s="42" customFormat="1" x14ac:dyDescent="0.25"/>
    <row r="15746" s="42" customFormat="1" x14ac:dyDescent="0.25"/>
    <row r="15747" s="42" customFormat="1" x14ac:dyDescent="0.25"/>
    <row r="15748" s="42" customFormat="1" x14ac:dyDescent="0.25"/>
    <row r="15749" s="42" customFormat="1" x14ac:dyDescent="0.25"/>
    <row r="15750" s="42" customFormat="1" x14ac:dyDescent="0.25"/>
    <row r="15751" s="42" customFormat="1" x14ac:dyDescent="0.25"/>
    <row r="15752" s="42" customFormat="1" x14ac:dyDescent="0.25"/>
    <row r="15753" s="42" customFormat="1" x14ac:dyDescent="0.25"/>
    <row r="15754" s="42" customFormat="1" x14ac:dyDescent="0.25"/>
    <row r="15755" s="42" customFormat="1" x14ac:dyDescent="0.25"/>
    <row r="15756" s="42" customFormat="1" x14ac:dyDescent="0.25"/>
    <row r="15757" s="42" customFormat="1" x14ac:dyDescent="0.25"/>
    <row r="15758" s="42" customFormat="1" x14ac:dyDescent="0.25"/>
    <row r="15759" s="42" customFormat="1" x14ac:dyDescent="0.25"/>
    <row r="15760" s="42" customFormat="1" x14ac:dyDescent="0.25"/>
    <row r="15761" s="42" customFormat="1" x14ac:dyDescent="0.25"/>
    <row r="15762" s="42" customFormat="1" x14ac:dyDescent="0.25"/>
    <row r="15763" s="42" customFormat="1" x14ac:dyDescent="0.25"/>
    <row r="15764" s="42" customFormat="1" x14ac:dyDescent="0.25"/>
    <row r="15765" s="42" customFormat="1" x14ac:dyDescent="0.25"/>
    <row r="15766" s="42" customFormat="1" x14ac:dyDescent="0.25"/>
    <row r="15767" s="42" customFormat="1" x14ac:dyDescent="0.25"/>
    <row r="15768" s="42" customFormat="1" x14ac:dyDescent="0.25"/>
    <row r="15769" s="42" customFormat="1" x14ac:dyDescent="0.25"/>
    <row r="15770" s="42" customFormat="1" x14ac:dyDescent="0.25"/>
    <row r="15771" s="42" customFormat="1" x14ac:dyDescent="0.25"/>
    <row r="15772" s="42" customFormat="1" x14ac:dyDescent="0.25"/>
    <row r="15773" s="42" customFormat="1" x14ac:dyDescent="0.25"/>
    <row r="15774" s="42" customFormat="1" x14ac:dyDescent="0.25"/>
    <row r="15775" s="42" customFormat="1" x14ac:dyDescent="0.25"/>
    <row r="15776" s="42" customFormat="1" x14ac:dyDescent="0.25"/>
    <row r="15777" s="42" customFormat="1" x14ac:dyDescent="0.25"/>
    <row r="15778" s="42" customFormat="1" x14ac:dyDescent="0.25"/>
    <row r="15779" s="42" customFormat="1" x14ac:dyDescent="0.25"/>
    <row r="15780" s="42" customFormat="1" x14ac:dyDescent="0.25"/>
    <row r="15781" s="42" customFormat="1" x14ac:dyDescent="0.25"/>
    <row r="15782" s="42" customFormat="1" x14ac:dyDescent="0.25"/>
    <row r="15783" s="42" customFormat="1" x14ac:dyDescent="0.25"/>
    <row r="15784" s="42" customFormat="1" x14ac:dyDescent="0.25"/>
    <row r="15785" s="42" customFormat="1" x14ac:dyDescent="0.25"/>
    <row r="15786" s="42" customFormat="1" x14ac:dyDescent="0.25"/>
    <row r="15787" s="42" customFormat="1" x14ac:dyDescent="0.25"/>
    <row r="15788" s="42" customFormat="1" x14ac:dyDescent="0.25"/>
    <row r="15789" s="42" customFormat="1" x14ac:dyDescent="0.25"/>
    <row r="15790" s="42" customFormat="1" x14ac:dyDescent="0.25"/>
    <row r="15791" s="42" customFormat="1" x14ac:dyDescent="0.25"/>
    <row r="15792" s="42" customFormat="1" x14ac:dyDescent="0.25"/>
    <row r="15793" s="42" customFormat="1" x14ac:dyDescent="0.25"/>
    <row r="15794" s="42" customFormat="1" x14ac:dyDescent="0.25"/>
    <row r="15795" s="42" customFormat="1" x14ac:dyDescent="0.25"/>
    <row r="15796" s="42" customFormat="1" x14ac:dyDescent="0.25"/>
    <row r="15797" s="42" customFormat="1" x14ac:dyDescent="0.25"/>
    <row r="15798" s="42" customFormat="1" x14ac:dyDescent="0.25"/>
    <row r="15799" s="42" customFormat="1" x14ac:dyDescent="0.25"/>
    <row r="15800" s="42" customFormat="1" x14ac:dyDescent="0.25"/>
    <row r="15801" s="42" customFormat="1" x14ac:dyDescent="0.25"/>
    <row r="15802" s="42" customFormat="1" x14ac:dyDescent="0.25"/>
    <row r="15803" s="42" customFormat="1" x14ac:dyDescent="0.25"/>
    <row r="15804" s="42" customFormat="1" x14ac:dyDescent="0.25"/>
    <row r="15805" s="42" customFormat="1" x14ac:dyDescent="0.25"/>
    <row r="15806" s="42" customFormat="1" x14ac:dyDescent="0.25"/>
    <row r="15807" s="42" customFormat="1" x14ac:dyDescent="0.25"/>
    <row r="15808" s="42" customFormat="1" x14ac:dyDescent="0.25"/>
    <row r="15809" s="42" customFormat="1" x14ac:dyDescent="0.25"/>
    <row r="15810" s="42" customFormat="1" x14ac:dyDescent="0.25"/>
    <row r="15811" s="42" customFormat="1" x14ac:dyDescent="0.25"/>
    <row r="15812" s="42" customFormat="1" x14ac:dyDescent="0.25"/>
    <row r="15813" s="42" customFormat="1" x14ac:dyDescent="0.25"/>
    <row r="15814" s="42" customFormat="1" x14ac:dyDescent="0.25"/>
    <row r="15815" s="42" customFormat="1" x14ac:dyDescent="0.25"/>
    <row r="15816" s="42" customFormat="1" x14ac:dyDescent="0.25"/>
    <row r="15817" s="42" customFormat="1" x14ac:dyDescent="0.25"/>
    <row r="15818" s="42" customFormat="1" x14ac:dyDescent="0.25"/>
    <row r="15819" s="42" customFormat="1" x14ac:dyDescent="0.25"/>
    <row r="15820" s="42" customFormat="1" x14ac:dyDescent="0.25"/>
    <row r="15821" s="42" customFormat="1" x14ac:dyDescent="0.25"/>
    <row r="15822" s="42" customFormat="1" x14ac:dyDescent="0.25"/>
    <row r="15823" s="42" customFormat="1" x14ac:dyDescent="0.25"/>
    <row r="15824" s="42" customFormat="1" x14ac:dyDescent="0.25"/>
    <row r="15825" s="42" customFormat="1" x14ac:dyDescent="0.25"/>
    <row r="15826" s="42" customFormat="1" x14ac:dyDescent="0.25"/>
    <row r="15827" s="42" customFormat="1" x14ac:dyDescent="0.25"/>
    <row r="15828" s="42" customFormat="1" x14ac:dyDescent="0.25"/>
    <row r="15829" s="42" customFormat="1" x14ac:dyDescent="0.25"/>
    <row r="15830" s="42" customFormat="1" x14ac:dyDescent="0.25"/>
    <row r="15831" s="42" customFormat="1" x14ac:dyDescent="0.25"/>
    <row r="15832" s="42" customFormat="1" x14ac:dyDescent="0.25"/>
    <row r="15833" s="42" customFormat="1" x14ac:dyDescent="0.25"/>
    <row r="15834" s="42" customFormat="1" x14ac:dyDescent="0.25"/>
    <row r="15835" s="42" customFormat="1" x14ac:dyDescent="0.25"/>
    <row r="15836" s="42" customFormat="1" x14ac:dyDescent="0.25"/>
    <row r="15837" s="42" customFormat="1" x14ac:dyDescent="0.25"/>
    <row r="15838" s="42" customFormat="1" x14ac:dyDescent="0.25"/>
    <row r="15839" s="42" customFormat="1" x14ac:dyDescent="0.25"/>
    <row r="15840" s="42" customFormat="1" x14ac:dyDescent="0.25"/>
    <row r="15841" s="42" customFormat="1" x14ac:dyDescent="0.25"/>
    <row r="15842" s="42" customFormat="1" x14ac:dyDescent="0.25"/>
    <row r="15843" s="42" customFormat="1" x14ac:dyDescent="0.25"/>
    <row r="15844" s="42" customFormat="1" x14ac:dyDescent="0.25"/>
    <row r="15845" s="42" customFormat="1" x14ac:dyDescent="0.25"/>
    <row r="15846" s="42" customFormat="1" x14ac:dyDescent="0.25"/>
    <row r="15847" s="42" customFormat="1" x14ac:dyDescent="0.25"/>
    <row r="15848" s="42" customFormat="1" x14ac:dyDescent="0.25"/>
    <row r="15849" s="42" customFormat="1" x14ac:dyDescent="0.25"/>
    <row r="15850" s="42" customFormat="1" x14ac:dyDescent="0.25"/>
    <row r="15851" s="42" customFormat="1" x14ac:dyDescent="0.25"/>
    <row r="15852" s="42" customFormat="1" x14ac:dyDescent="0.25"/>
    <row r="15853" s="42" customFormat="1" x14ac:dyDescent="0.25"/>
    <row r="15854" s="42" customFormat="1" x14ac:dyDescent="0.25"/>
    <row r="15855" s="42" customFormat="1" x14ac:dyDescent="0.25"/>
    <row r="15856" s="42" customFormat="1" x14ac:dyDescent="0.25"/>
    <row r="15857" s="42" customFormat="1" x14ac:dyDescent="0.25"/>
    <row r="15858" s="42" customFormat="1" x14ac:dyDescent="0.25"/>
    <row r="15859" s="42" customFormat="1" x14ac:dyDescent="0.25"/>
    <row r="15860" s="42" customFormat="1" x14ac:dyDescent="0.25"/>
    <row r="15861" s="42" customFormat="1" x14ac:dyDescent="0.25"/>
    <row r="15862" s="42" customFormat="1" x14ac:dyDescent="0.25"/>
    <row r="15863" s="42" customFormat="1" x14ac:dyDescent="0.25"/>
    <row r="15864" s="42" customFormat="1" x14ac:dyDescent="0.25"/>
    <row r="15865" s="42" customFormat="1" x14ac:dyDescent="0.25"/>
    <row r="15866" s="42" customFormat="1" x14ac:dyDescent="0.25"/>
    <row r="15867" s="42" customFormat="1" x14ac:dyDescent="0.25"/>
    <row r="15868" s="42" customFormat="1" x14ac:dyDescent="0.25"/>
    <row r="15869" s="42" customFormat="1" x14ac:dyDescent="0.25"/>
    <row r="15870" s="42" customFormat="1" x14ac:dyDescent="0.25"/>
    <row r="15871" s="42" customFormat="1" x14ac:dyDescent="0.25"/>
    <row r="15872" s="42" customFormat="1" x14ac:dyDescent="0.25"/>
    <row r="15873" s="42" customFormat="1" x14ac:dyDescent="0.25"/>
    <row r="15874" s="42" customFormat="1" x14ac:dyDescent="0.25"/>
    <row r="15875" s="42" customFormat="1" x14ac:dyDescent="0.25"/>
    <row r="15876" s="42" customFormat="1" x14ac:dyDescent="0.25"/>
    <row r="15877" s="42" customFormat="1" x14ac:dyDescent="0.25"/>
    <row r="15878" s="42" customFormat="1" x14ac:dyDescent="0.25"/>
    <row r="15879" s="42" customFormat="1" x14ac:dyDescent="0.25"/>
    <row r="15880" s="42" customFormat="1" x14ac:dyDescent="0.25"/>
    <row r="15881" s="42" customFormat="1" x14ac:dyDescent="0.25"/>
    <row r="15882" s="42" customFormat="1" x14ac:dyDescent="0.25"/>
    <row r="15883" s="42" customFormat="1" x14ac:dyDescent="0.25"/>
    <row r="15884" s="42" customFormat="1" x14ac:dyDescent="0.25"/>
    <row r="15885" s="42" customFormat="1" x14ac:dyDescent="0.25"/>
    <row r="15886" s="42" customFormat="1" x14ac:dyDescent="0.25"/>
    <row r="15887" s="42" customFormat="1" x14ac:dyDescent="0.25"/>
    <row r="15888" s="42" customFormat="1" x14ac:dyDescent="0.25"/>
    <row r="15889" s="42" customFormat="1" x14ac:dyDescent="0.25"/>
    <row r="15890" s="42" customFormat="1" x14ac:dyDescent="0.25"/>
    <row r="15891" s="42" customFormat="1" x14ac:dyDescent="0.25"/>
    <row r="15892" s="42" customFormat="1" x14ac:dyDescent="0.25"/>
    <row r="15893" s="42" customFormat="1" x14ac:dyDescent="0.25"/>
    <row r="15894" s="42" customFormat="1" x14ac:dyDescent="0.25"/>
    <row r="15895" s="42" customFormat="1" x14ac:dyDescent="0.25"/>
    <row r="15896" s="42" customFormat="1" x14ac:dyDescent="0.25"/>
    <row r="15897" s="42" customFormat="1" x14ac:dyDescent="0.25"/>
    <row r="15898" s="42" customFormat="1" x14ac:dyDescent="0.25"/>
    <row r="15899" s="42" customFormat="1" x14ac:dyDescent="0.25"/>
    <row r="15900" s="42" customFormat="1" x14ac:dyDescent="0.25"/>
    <row r="15901" s="42" customFormat="1" x14ac:dyDescent="0.25"/>
    <row r="15902" s="42" customFormat="1" x14ac:dyDescent="0.25"/>
    <row r="15903" s="42" customFormat="1" x14ac:dyDescent="0.25"/>
    <row r="15904" s="42" customFormat="1" x14ac:dyDescent="0.25"/>
    <row r="15905" s="42" customFormat="1" x14ac:dyDescent="0.25"/>
    <row r="15906" s="42" customFormat="1" x14ac:dyDescent="0.25"/>
    <row r="15907" s="42" customFormat="1" x14ac:dyDescent="0.25"/>
    <row r="15908" s="42" customFormat="1" x14ac:dyDescent="0.25"/>
    <row r="15909" s="42" customFormat="1" x14ac:dyDescent="0.25"/>
    <row r="15910" s="42" customFormat="1" x14ac:dyDescent="0.25"/>
    <row r="15911" s="42" customFormat="1" x14ac:dyDescent="0.25"/>
    <row r="15912" s="42" customFormat="1" x14ac:dyDescent="0.25"/>
    <row r="15913" s="42" customFormat="1" x14ac:dyDescent="0.25"/>
    <row r="15914" s="42" customFormat="1" x14ac:dyDescent="0.25"/>
    <row r="15915" s="42" customFormat="1" x14ac:dyDescent="0.25"/>
    <row r="15916" s="42" customFormat="1" x14ac:dyDescent="0.25"/>
    <row r="15917" s="42" customFormat="1" x14ac:dyDescent="0.25"/>
    <row r="15918" s="42" customFormat="1" x14ac:dyDescent="0.25"/>
    <row r="15919" s="42" customFormat="1" x14ac:dyDescent="0.25"/>
    <row r="15920" s="42" customFormat="1" x14ac:dyDescent="0.25"/>
    <row r="15921" s="42" customFormat="1" x14ac:dyDescent="0.25"/>
    <row r="15922" s="42" customFormat="1" x14ac:dyDescent="0.25"/>
    <row r="15923" s="42" customFormat="1" x14ac:dyDescent="0.25"/>
    <row r="15924" s="42" customFormat="1" x14ac:dyDescent="0.25"/>
    <row r="15925" s="42" customFormat="1" x14ac:dyDescent="0.25"/>
    <row r="15926" s="42" customFormat="1" x14ac:dyDescent="0.25"/>
    <row r="15927" s="42" customFormat="1" x14ac:dyDescent="0.25"/>
    <row r="15928" s="42" customFormat="1" x14ac:dyDescent="0.25"/>
    <row r="15929" s="42" customFormat="1" x14ac:dyDescent="0.25"/>
    <row r="15930" s="42" customFormat="1" x14ac:dyDescent="0.25"/>
    <row r="15931" s="42" customFormat="1" x14ac:dyDescent="0.25"/>
    <row r="15932" s="42" customFormat="1" x14ac:dyDescent="0.25"/>
    <row r="15933" s="42" customFormat="1" x14ac:dyDescent="0.25"/>
    <row r="15934" s="42" customFormat="1" x14ac:dyDescent="0.25"/>
    <row r="15935" s="42" customFormat="1" x14ac:dyDescent="0.25"/>
    <row r="15936" s="42" customFormat="1" x14ac:dyDescent="0.25"/>
    <row r="15937" s="42" customFormat="1" x14ac:dyDescent="0.25"/>
    <row r="15938" s="42" customFormat="1" x14ac:dyDescent="0.25"/>
    <row r="15939" s="42" customFormat="1" x14ac:dyDescent="0.25"/>
    <row r="15940" s="42" customFormat="1" x14ac:dyDescent="0.25"/>
    <row r="15941" s="42" customFormat="1" x14ac:dyDescent="0.25"/>
    <row r="15942" s="42" customFormat="1" x14ac:dyDescent="0.25"/>
    <row r="15943" s="42" customFormat="1" x14ac:dyDescent="0.25"/>
    <row r="15944" s="42" customFormat="1" x14ac:dyDescent="0.25"/>
    <row r="15945" s="42" customFormat="1" x14ac:dyDescent="0.25"/>
    <row r="15946" s="42" customFormat="1" x14ac:dyDescent="0.25"/>
    <row r="15947" s="42" customFormat="1" x14ac:dyDescent="0.25"/>
    <row r="15948" s="42" customFormat="1" x14ac:dyDescent="0.25"/>
    <row r="15949" s="42" customFormat="1" x14ac:dyDescent="0.25"/>
    <row r="15950" s="42" customFormat="1" x14ac:dyDescent="0.25"/>
    <row r="15951" s="42" customFormat="1" x14ac:dyDescent="0.25"/>
    <row r="15952" s="42" customFormat="1" x14ac:dyDescent="0.25"/>
    <row r="15953" s="42" customFormat="1" x14ac:dyDescent="0.25"/>
    <row r="15954" s="42" customFormat="1" x14ac:dyDescent="0.25"/>
    <row r="15955" s="42" customFormat="1" x14ac:dyDescent="0.25"/>
    <row r="15956" s="42" customFormat="1" x14ac:dyDescent="0.25"/>
    <row r="15957" s="42" customFormat="1" x14ac:dyDescent="0.25"/>
    <row r="15958" s="42" customFormat="1" x14ac:dyDescent="0.25"/>
    <row r="15959" s="42" customFormat="1" x14ac:dyDescent="0.25"/>
    <row r="15960" s="42" customFormat="1" x14ac:dyDescent="0.25"/>
    <row r="15961" s="42" customFormat="1" x14ac:dyDescent="0.25"/>
    <row r="15962" s="42" customFormat="1" x14ac:dyDescent="0.25"/>
    <row r="15963" s="42" customFormat="1" x14ac:dyDescent="0.25"/>
    <row r="15964" s="42" customFormat="1" x14ac:dyDescent="0.25"/>
    <row r="15965" s="42" customFormat="1" x14ac:dyDescent="0.25"/>
    <row r="15966" s="42" customFormat="1" x14ac:dyDescent="0.25"/>
    <row r="15967" s="42" customFormat="1" x14ac:dyDescent="0.25"/>
    <row r="15968" s="42" customFormat="1" x14ac:dyDescent="0.25"/>
    <row r="15969" s="42" customFormat="1" x14ac:dyDescent="0.25"/>
    <row r="15970" s="42" customFormat="1" x14ac:dyDescent="0.25"/>
    <row r="15971" s="42" customFormat="1" x14ac:dyDescent="0.25"/>
    <row r="15972" s="42" customFormat="1" x14ac:dyDescent="0.25"/>
    <row r="15973" s="42" customFormat="1" x14ac:dyDescent="0.25"/>
    <row r="15974" s="42" customFormat="1" x14ac:dyDescent="0.25"/>
    <row r="15975" s="42" customFormat="1" x14ac:dyDescent="0.25"/>
    <row r="15976" s="42" customFormat="1" x14ac:dyDescent="0.25"/>
    <row r="15977" s="42" customFormat="1" x14ac:dyDescent="0.25"/>
    <row r="15978" s="42" customFormat="1" x14ac:dyDescent="0.25"/>
    <row r="15979" s="42" customFormat="1" x14ac:dyDescent="0.25"/>
    <row r="15980" s="42" customFormat="1" x14ac:dyDescent="0.25"/>
    <row r="15981" s="42" customFormat="1" x14ac:dyDescent="0.25"/>
    <row r="15982" s="42" customFormat="1" x14ac:dyDescent="0.25"/>
    <row r="15983" s="42" customFormat="1" x14ac:dyDescent="0.25"/>
    <row r="15984" s="42" customFormat="1" x14ac:dyDescent="0.25"/>
    <row r="15985" s="42" customFormat="1" x14ac:dyDescent="0.25"/>
    <row r="15986" s="42" customFormat="1" x14ac:dyDescent="0.25"/>
    <row r="15987" s="42" customFormat="1" x14ac:dyDescent="0.25"/>
    <row r="15988" s="42" customFormat="1" x14ac:dyDescent="0.25"/>
    <row r="15989" s="42" customFormat="1" x14ac:dyDescent="0.25"/>
    <row r="15990" s="42" customFormat="1" x14ac:dyDescent="0.25"/>
    <row r="15991" s="42" customFormat="1" x14ac:dyDescent="0.25"/>
    <row r="15992" s="42" customFormat="1" x14ac:dyDescent="0.25"/>
    <row r="15993" s="42" customFormat="1" x14ac:dyDescent="0.25"/>
    <row r="15994" s="42" customFormat="1" x14ac:dyDescent="0.25"/>
    <row r="15995" s="42" customFormat="1" x14ac:dyDescent="0.25"/>
    <row r="15996" s="42" customFormat="1" x14ac:dyDescent="0.25"/>
    <row r="15997" s="42" customFormat="1" x14ac:dyDescent="0.25"/>
    <row r="15998" s="42" customFormat="1" x14ac:dyDescent="0.25"/>
    <row r="15999" s="42" customFormat="1" x14ac:dyDescent="0.25"/>
    <row r="16000" s="42" customFormat="1" x14ac:dyDescent="0.25"/>
    <row r="16001" s="42" customFormat="1" x14ac:dyDescent="0.25"/>
    <row r="16002" s="42" customFormat="1" x14ac:dyDescent="0.25"/>
    <row r="16003" s="42" customFormat="1" x14ac:dyDescent="0.25"/>
    <row r="16004" s="42" customFormat="1" x14ac:dyDescent="0.25"/>
    <row r="16005" s="42" customFormat="1" x14ac:dyDescent="0.25"/>
    <row r="16006" s="42" customFormat="1" x14ac:dyDescent="0.25"/>
    <row r="16007" s="42" customFormat="1" x14ac:dyDescent="0.25"/>
    <row r="16008" s="42" customFormat="1" x14ac:dyDescent="0.25"/>
    <row r="16009" s="42" customFormat="1" x14ac:dyDescent="0.25"/>
    <row r="16010" s="42" customFormat="1" x14ac:dyDescent="0.25"/>
    <row r="16011" s="42" customFormat="1" x14ac:dyDescent="0.25"/>
    <row r="16012" s="42" customFormat="1" x14ac:dyDescent="0.25"/>
    <row r="16013" s="42" customFormat="1" x14ac:dyDescent="0.25"/>
    <row r="16014" s="42" customFormat="1" x14ac:dyDescent="0.25"/>
    <row r="16015" s="42" customFormat="1" x14ac:dyDescent="0.25"/>
    <row r="16016" s="42" customFormat="1" x14ac:dyDescent="0.25"/>
    <row r="16017" s="42" customFormat="1" x14ac:dyDescent="0.25"/>
    <row r="16018" s="42" customFormat="1" x14ac:dyDescent="0.25"/>
    <row r="16019" s="42" customFormat="1" x14ac:dyDescent="0.25"/>
    <row r="16020" s="42" customFormat="1" x14ac:dyDescent="0.25"/>
    <row r="16021" s="42" customFormat="1" x14ac:dyDescent="0.25"/>
    <row r="16022" s="42" customFormat="1" x14ac:dyDescent="0.25"/>
    <row r="16023" s="42" customFormat="1" x14ac:dyDescent="0.25"/>
    <row r="16024" s="42" customFormat="1" x14ac:dyDescent="0.25"/>
    <row r="16025" s="42" customFormat="1" x14ac:dyDescent="0.25"/>
    <row r="16026" s="42" customFormat="1" x14ac:dyDescent="0.25"/>
    <row r="16027" s="42" customFormat="1" x14ac:dyDescent="0.25"/>
    <row r="16028" s="42" customFormat="1" x14ac:dyDescent="0.25"/>
    <row r="16029" s="42" customFormat="1" x14ac:dyDescent="0.25"/>
    <row r="16030" s="42" customFormat="1" x14ac:dyDescent="0.25"/>
    <row r="16031" s="42" customFormat="1" x14ac:dyDescent="0.25"/>
    <row r="16032" s="42" customFormat="1" x14ac:dyDescent="0.25"/>
    <row r="16033" s="42" customFormat="1" x14ac:dyDescent="0.25"/>
    <row r="16034" s="42" customFormat="1" x14ac:dyDescent="0.25"/>
    <row r="16035" s="42" customFormat="1" x14ac:dyDescent="0.25"/>
    <row r="16036" s="42" customFormat="1" x14ac:dyDescent="0.25"/>
    <row r="16037" s="42" customFormat="1" x14ac:dyDescent="0.25"/>
    <row r="16038" s="42" customFormat="1" x14ac:dyDescent="0.25"/>
    <row r="16039" s="42" customFormat="1" x14ac:dyDescent="0.25"/>
    <row r="16040" s="42" customFormat="1" x14ac:dyDescent="0.25"/>
    <row r="16041" s="42" customFormat="1" x14ac:dyDescent="0.25"/>
    <row r="16042" s="42" customFormat="1" x14ac:dyDescent="0.25"/>
    <row r="16043" s="42" customFormat="1" x14ac:dyDescent="0.25"/>
    <row r="16044" s="42" customFormat="1" x14ac:dyDescent="0.25"/>
    <row r="16045" s="42" customFormat="1" x14ac:dyDescent="0.25"/>
    <row r="16046" s="42" customFormat="1" x14ac:dyDescent="0.25"/>
    <row r="16047" s="42" customFormat="1" x14ac:dyDescent="0.25"/>
    <row r="16048" s="42" customFormat="1" x14ac:dyDescent="0.25"/>
    <row r="16049" s="42" customFormat="1" x14ac:dyDescent="0.25"/>
    <row r="16050" s="42" customFormat="1" x14ac:dyDescent="0.25"/>
    <row r="16051" s="42" customFormat="1" x14ac:dyDescent="0.25"/>
    <row r="16052" s="42" customFormat="1" x14ac:dyDescent="0.25"/>
    <row r="16053" s="42" customFormat="1" x14ac:dyDescent="0.25"/>
    <row r="16054" s="42" customFormat="1" x14ac:dyDescent="0.25"/>
    <row r="16055" s="42" customFormat="1" x14ac:dyDescent="0.25"/>
    <row r="16056" s="42" customFormat="1" x14ac:dyDescent="0.25"/>
    <row r="16057" s="42" customFormat="1" x14ac:dyDescent="0.25"/>
    <row r="16058" s="42" customFormat="1" x14ac:dyDescent="0.25"/>
    <row r="16059" s="42" customFormat="1" x14ac:dyDescent="0.25"/>
    <row r="16060" s="42" customFormat="1" x14ac:dyDescent="0.25"/>
    <row r="16061" s="42" customFormat="1" x14ac:dyDescent="0.25"/>
    <row r="16062" s="42" customFormat="1" x14ac:dyDescent="0.25"/>
    <row r="16063" s="42" customFormat="1" x14ac:dyDescent="0.25"/>
    <row r="16064" s="42" customFormat="1" x14ac:dyDescent="0.25"/>
    <row r="16065" s="42" customFormat="1" x14ac:dyDescent="0.25"/>
    <row r="16066" s="42" customFormat="1" x14ac:dyDescent="0.25"/>
    <row r="16067" s="42" customFormat="1" x14ac:dyDescent="0.25"/>
    <row r="16068" s="42" customFormat="1" x14ac:dyDescent="0.25"/>
    <row r="16069" s="42" customFormat="1" x14ac:dyDescent="0.25"/>
    <row r="16070" s="42" customFormat="1" x14ac:dyDescent="0.25"/>
    <row r="16071" s="42" customFormat="1" x14ac:dyDescent="0.25"/>
    <row r="16072" s="42" customFormat="1" x14ac:dyDescent="0.25"/>
    <row r="16073" s="42" customFormat="1" x14ac:dyDescent="0.25"/>
    <row r="16074" s="42" customFormat="1" x14ac:dyDescent="0.25"/>
    <row r="16075" s="42" customFormat="1" x14ac:dyDescent="0.25"/>
    <row r="16076" s="42" customFormat="1" x14ac:dyDescent="0.25"/>
    <row r="16077" s="42" customFormat="1" x14ac:dyDescent="0.25"/>
    <row r="16078" s="42" customFormat="1" x14ac:dyDescent="0.25"/>
    <row r="16079" s="42" customFormat="1" x14ac:dyDescent="0.25"/>
    <row r="16080" s="42" customFormat="1" x14ac:dyDescent="0.25"/>
    <row r="16081" s="42" customFormat="1" x14ac:dyDescent="0.25"/>
    <row r="16082" s="42" customFormat="1" x14ac:dyDescent="0.25"/>
    <row r="16083" s="42" customFormat="1" x14ac:dyDescent="0.25"/>
    <row r="16084" s="42" customFormat="1" x14ac:dyDescent="0.25"/>
    <row r="16085" s="42" customFormat="1" x14ac:dyDescent="0.25"/>
    <row r="16086" s="42" customFormat="1" x14ac:dyDescent="0.25"/>
    <row r="16087" s="42" customFormat="1" x14ac:dyDescent="0.25"/>
    <row r="16088" s="42" customFormat="1" x14ac:dyDescent="0.25"/>
    <row r="16089" s="42" customFormat="1" x14ac:dyDescent="0.25"/>
    <row r="16090" s="42" customFormat="1" x14ac:dyDescent="0.25"/>
    <row r="16091" s="42" customFormat="1" x14ac:dyDescent="0.25"/>
    <row r="16092" s="42" customFormat="1" x14ac:dyDescent="0.25"/>
    <row r="16093" s="42" customFormat="1" x14ac:dyDescent="0.25"/>
    <row r="16094" s="42" customFormat="1" x14ac:dyDescent="0.25"/>
    <row r="16095" s="42" customFormat="1" x14ac:dyDescent="0.25"/>
    <row r="16096" s="42" customFormat="1" x14ac:dyDescent="0.25"/>
    <row r="16097" s="42" customFormat="1" x14ac:dyDescent="0.25"/>
    <row r="16098" s="42" customFormat="1" x14ac:dyDescent="0.25"/>
    <row r="16099" s="42" customFormat="1" x14ac:dyDescent="0.25"/>
    <row r="16100" s="42" customFormat="1" x14ac:dyDescent="0.25"/>
    <row r="16101" s="42" customFormat="1" x14ac:dyDescent="0.25"/>
    <row r="16102" s="42" customFormat="1" x14ac:dyDescent="0.25"/>
    <row r="16103" s="42" customFormat="1" x14ac:dyDescent="0.25"/>
    <row r="16104" s="42" customFormat="1" x14ac:dyDescent="0.25"/>
    <row r="16105" s="42" customFormat="1" x14ac:dyDescent="0.25"/>
    <row r="16106" s="42" customFormat="1" x14ac:dyDescent="0.25"/>
    <row r="16107" s="42" customFormat="1" x14ac:dyDescent="0.25"/>
    <row r="16108" s="42" customFormat="1" x14ac:dyDescent="0.25"/>
    <row r="16109" s="42" customFormat="1" x14ac:dyDescent="0.25"/>
    <row r="16110" s="42" customFormat="1" x14ac:dyDescent="0.25"/>
    <row r="16111" s="42" customFormat="1" x14ac:dyDescent="0.25"/>
    <row r="16112" s="42" customFormat="1" x14ac:dyDescent="0.25"/>
    <row r="16113" s="42" customFormat="1" x14ac:dyDescent="0.25"/>
    <row r="16114" s="42" customFormat="1" x14ac:dyDescent="0.25"/>
    <row r="16115" s="42" customFormat="1" x14ac:dyDescent="0.25"/>
    <row r="16116" s="42" customFormat="1" x14ac:dyDescent="0.25"/>
    <row r="16117" s="42" customFormat="1" x14ac:dyDescent="0.25"/>
    <row r="16118" s="42" customFormat="1" x14ac:dyDescent="0.25"/>
    <row r="16119" s="42" customFormat="1" x14ac:dyDescent="0.25"/>
    <row r="16120" s="42" customFormat="1" x14ac:dyDescent="0.25"/>
    <row r="16121" s="42" customFormat="1" x14ac:dyDescent="0.25"/>
    <row r="16122" s="42" customFormat="1" x14ac:dyDescent="0.25"/>
    <row r="16123" s="42" customFormat="1" x14ac:dyDescent="0.25"/>
    <row r="16124" s="42" customFormat="1" x14ac:dyDescent="0.25"/>
    <row r="16125" s="42" customFormat="1" x14ac:dyDescent="0.25"/>
    <row r="16126" s="42" customFormat="1" x14ac:dyDescent="0.25"/>
    <row r="16127" s="42" customFormat="1" x14ac:dyDescent="0.25"/>
    <row r="16128" s="42" customFormat="1" x14ac:dyDescent="0.25"/>
    <row r="16129" s="42" customFormat="1" x14ac:dyDescent="0.25"/>
    <row r="16130" s="42" customFormat="1" x14ac:dyDescent="0.25"/>
    <row r="16131" s="42" customFormat="1" x14ac:dyDescent="0.25"/>
    <row r="16132" s="42" customFormat="1" x14ac:dyDescent="0.25"/>
    <row r="16133" s="42" customFormat="1" x14ac:dyDescent="0.25"/>
    <row r="16134" s="42" customFormat="1" x14ac:dyDescent="0.25"/>
    <row r="16135" s="42" customFormat="1" x14ac:dyDescent="0.25"/>
    <row r="16136" s="42" customFormat="1" x14ac:dyDescent="0.25"/>
    <row r="16137" s="42" customFormat="1" x14ac:dyDescent="0.25"/>
    <row r="16138" s="42" customFormat="1" x14ac:dyDescent="0.25"/>
    <row r="16139" s="42" customFormat="1" x14ac:dyDescent="0.25"/>
    <row r="16140" s="42" customFormat="1" x14ac:dyDescent="0.25"/>
    <row r="16141" s="42" customFormat="1" x14ac:dyDescent="0.25"/>
    <row r="16142" s="42" customFormat="1" x14ac:dyDescent="0.25"/>
    <row r="16143" s="42" customFormat="1" x14ac:dyDescent="0.25"/>
    <row r="16144" s="42" customFormat="1" x14ac:dyDescent="0.25"/>
    <row r="16145" s="42" customFormat="1" x14ac:dyDescent="0.25"/>
    <row r="16146" s="42" customFormat="1" x14ac:dyDescent="0.25"/>
    <row r="16147" s="42" customFormat="1" x14ac:dyDescent="0.25"/>
    <row r="16148" s="42" customFormat="1" x14ac:dyDescent="0.25"/>
    <row r="16149" s="42" customFormat="1" x14ac:dyDescent="0.25"/>
    <row r="16150" s="42" customFormat="1" x14ac:dyDescent="0.25"/>
    <row r="16151" s="42" customFormat="1" x14ac:dyDescent="0.25"/>
    <row r="16152" s="42" customFormat="1" x14ac:dyDescent="0.25"/>
    <row r="16153" s="42" customFormat="1" x14ac:dyDescent="0.25"/>
    <row r="16154" s="42" customFormat="1" x14ac:dyDescent="0.25"/>
    <row r="16155" s="42" customFormat="1" x14ac:dyDescent="0.25"/>
    <row r="16156" s="42" customFormat="1" x14ac:dyDescent="0.25"/>
    <row r="16157" s="42" customFormat="1" x14ac:dyDescent="0.25"/>
    <row r="16158" s="42" customFormat="1" x14ac:dyDescent="0.25"/>
    <row r="16159" s="42" customFormat="1" x14ac:dyDescent="0.25"/>
    <row r="16160" s="42" customFormat="1" x14ac:dyDescent="0.25"/>
    <row r="16161" s="42" customFormat="1" x14ac:dyDescent="0.25"/>
    <row r="16162" s="42" customFormat="1" x14ac:dyDescent="0.25"/>
    <row r="16163" s="42" customFormat="1" x14ac:dyDescent="0.25"/>
    <row r="16164" s="42" customFormat="1" x14ac:dyDescent="0.25"/>
    <row r="16165" s="42" customFormat="1" x14ac:dyDescent="0.25"/>
    <row r="16166" s="42" customFormat="1" x14ac:dyDescent="0.25"/>
    <row r="16167" s="42" customFormat="1" x14ac:dyDescent="0.25"/>
    <row r="16168" s="42" customFormat="1" x14ac:dyDescent="0.25"/>
    <row r="16169" s="42" customFormat="1" x14ac:dyDescent="0.25"/>
    <row r="16170" s="42" customFormat="1" x14ac:dyDescent="0.25"/>
    <row r="16171" s="42" customFormat="1" x14ac:dyDescent="0.25"/>
    <row r="16172" s="42" customFormat="1" x14ac:dyDescent="0.25"/>
    <row r="16173" s="42" customFormat="1" x14ac:dyDescent="0.25"/>
    <row r="16174" s="42" customFormat="1" x14ac:dyDescent="0.25"/>
    <row r="16175" s="42" customFormat="1" x14ac:dyDescent="0.25"/>
    <row r="16176" s="42" customFormat="1" x14ac:dyDescent="0.25"/>
    <row r="16177" s="42" customFormat="1" x14ac:dyDescent="0.25"/>
    <row r="16178" s="42" customFormat="1" x14ac:dyDescent="0.25"/>
    <row r="16179" s="42" customFormat="1" x14ac:dyDescent="0.25"/>
    <row r="16180" s="42" customFormat="1" x14ac:dyDescent="0.25"/>
    <row r="16181" s="42" customFormat="1" x14ac:dyDescent="0.25"/>
    <row r="16182" s="42" customFormat="1" x14ac:dyDescent="0.25"/>
    <row r="16183" s="42" customFormat="1" x14ac:dyDescent="0.25"/>
    <row r="16184" s="42" customFormat="1" x14ac:dyDescent="0.25"/>
    <row r="16185" s="42" customFormat="1" x14ac:dyDescent="0.25"/>
    <row r="16186" s="42" customFormat="1" x14ac:dyDescent="0.25"/>
    <row r="16187" s="42" customFormat="1" x14ac:dyDescent="0.25"/>
    <row r="16188" s="42" customFormat="1" x14ac:dyDescent="0.25"/>
    <row r="16189" s="42" customFormat="1" x14ac:dyDescent="0.25"/>
    <row r="16190" s="42" customFormat="1" x14ac:dyDescent="0.25"/>
    <row r="16191" s="42" customFormat="1" x14ac:dyDescent="0.25"/>
    <row r="16192" s="42" customFormat="1" x14ac:dyDescent="0.25"/>
    <row r="16193" s="42" customFormat="1" x14ac:dyDescent="0.25"/>
    <row r="16194" s="42" customFormat="1" x14ac:dyDescent="0.25"/>
    <row r="16195" s="42" customFormat="1" x14ac:dyDescent="0.25"/>
    <row r="16196" s="42" customFormat="1" x14ac:dyDescent="0.25"/>
    <row r="16197" s="42" customFormat="1" x14ac:dyDescent="0.25"/>
    <row r="16198" s="42" customFormat="1" x14ac:dyDescent="0.25"/>
    <row r="16199" s="42" customFormat="1" x14ac:dyDescent="0.25"/>
    <row r="16200" s="42" customFormat="1" x14ac:dyDescent="0.25"/>
    <row r="16201" s="42" customFormat="1" x14ac:dyDescent="0.25"/>
    <row r="16202" s="42" customFormat="1" x14ac:dyDescent="0.25"/>
    <row r="16203" s="42" customFormat="1" x14ac:dyDescent="0.25"/>
    <row r="16204" s="42" customFormat="1" x14ac:dyDescent="0.25"/>
    <row r="16205" s="42" customFormat="1" x14ac:dyDescent="0.25"/>
    <row r="16206" s="42" customFormat="1" x14ac:dyDescent="0.25"/>
    <row r="16207" s="42" customFormat="1" x14ac:dyDescent="0.25"/>
    <row r="16208" s="42" customFormat="1" x14ac:dyDescent="0.25"/>
    <row r="16209" s="42" customFormat="1" x14ac:dyDescent="0.25"/>
    <row r="16210" s="42" customFormat="1" x14ac:dyDescent="0.25"/>
    <row r="16211" s="42" customFormat="1" x14ac:dyDescent="0.25"/>
    <row r="16212" s="42" customFormat="1" x14ac:dyDescent="0.25"/>
    <row r="16213" s="42" customFormat="1" x14ac:dyDescent="0.25"/>
    <row r="16214" s="42" customFormat="1" x14ac:dyDescent="0.25"/>
    <row r="16215" s="42" customFormat="1" x14ac:dyDescent="0.25"/>
    <row r="16216" s="42" customFormat="1" x14ac:dyDescent="0.25"/>
    <row r="16217" s="42" customFormat="1" x14ac:dyDescent="0.25"/>
    <row r="16218" s="42" customFormat="1" x14ac:dyDescent="0.25"/>
    <row r="16219" s="42" customFormat="1" x14ac:dyDescent="0.25"/>
    <row r="16220" s="42" customFormat="1" x14ac:dyDescent="0.25"/>
    <row r="16221" s="42" customFormat="1" x14ac:dyDescent="0.25"/>
    <row r="16222" s="42" customFormat="1" x14ac:dyDescent="0.25"/>
    <row r="16223" s="42" customFormat="1" x14ac:dyDescent="0.25"/>
    <row r="16224" s="42" customFormat="1" x14ac:dyDescent="0.25"/>
    <row r="16225" s="42" customFormat="1" x14ac:dyDescent="0.25"/>
    <row r="16226" s="42" customFormat="1" x14ac:dyDescent="0.25"/>
    <row r="16227" s="42" customFormat="1" x14ac:dyDescent="0.25"/>
    <row r="16228" s="42" customFormat="1" x14ac:dyDescent="0.25"/>
    <row r="16229" s="42" customFormat="1" x14ac:dyDescent="0.25"/>
    <row r="16230" s="42" customFormat="1" x14ac:dyDescent="0.25"/>
    <row r="16231" s="42" customFormat="1" x14ac:dyDescent="0.25"/>
    <row r="16232" s="42" customFormat="1" x14ac:dyDescent="0.25"/>
    <row r="16233" s="42" customFormat="1" x14ac:dyDescent="0.25"/>
    <row r="16234" s="42" customFormat="1" x14ac:dyDescent="0.25"/>
    <row r="16235" s="42" customFormat="1" x14ac:dyDescent="0.25"/>
    <row r="16236" s="42" customFormat="1" x14ac:dyDescent="0.25"/>
    <row r="16237" s="42" customFormat="1" x14ac:dyDescent="0.25"/>
    <row r="16238" s="42" customFormat="1" x14ac:dyDescent="0.25"/>
    <row r="16239" s="42" customFormat="1" x14ac:dyDescent="0.25"/>
    <row r="16240" s="42" customFormat="1" x14ac:dyDescent="0.25"/>
    <row r="16241" s="42" customFormat="1" x14ac:dyDescent="0.25"/>
    <row r="16242" s="42" customFormat="1" x14ac:dyDescent="0.25"/>
    <row r="16243" s="42" customFormat="1" x14ac:dyDescent="0.25"/>
    <row r="16244" s="42" customFormat="1" x14ac:dyDescent="0.25"/>
    <row r="16245" s="42" customFormat="1" x14ac:dyDescent="0.25"/>
    <row r="16246" s="42" customFormat="1" x14ac:dyDescent="0.25"/>
    <row r="16247" s="42" customFormat="1" x14ac:dyDescent="0.25"/>
    <row r="16248" s="42" customFormat="1" x14ac:dyDescent="0.25"/>
    <row r="16249" s="42" customFormat="1" x14ac:dyDescent="0.25"/>
    <row r="16250" s="42" customFormat="1" x14ac:dyDescent="0.25"/>
    <row r="16251" s="42" customFormat="1" x14ac:dyDescent="0.25"/>
    <row r="16252" s="42" customFormat="1" x14ac:dyDescent="0.25"/>
    <row r="16253" s="42" customFormat="1" x14ac:dyDescent="0.25"/>
    <row r="16254" s="42" customFormat="1" x14ac:dyDescent="0.25"/>
    <row r="16255" s="42" customFormat="1" x14ac:dyDescent="0.25"/>
    <row r="16256" s="42" customFormat="1" x14ac:dyDescent="0.25"/>
    <row r="16257" s="42" customFormat="1" x14ac:dyDescent="0.25"/>
    <row r="16258" s="42" customFormat="1" x14ac:dyDescent="0.25"/>
    <row r="16259" s="42" customFormat="1" x14ac:dyDescent="0.25"/>
    <row r="16260" s="42" customFormat="1" x14ac:dyDescent="0.25"/>
    <row r="16261" s="42" customFormat="1" x14ac:dyDescent="0.25"/>
    <row r="16262" s="42" customFormat="1" x14ac:dyDescent="0.25"/>
    <row r="16263" s="42" customFormat="1" x14ac:dyDescent="0.25"/>
    <row r="16264" s="42" customFormat="1" x14ac:dyDescent="0.25"/>
    <row r="16265" s="42" customFormat="1" x14ac:dyDescent="0.25"/>
    <row r="16266" s="42" customFormat="1" x14ac:dyDescent="0.25"/>
    <row r="16267" s="42" customFormat="1" x14ac:dyDescent="0.25"/>
    <row r="16268" s="42" customFormat="1" x14ac:dyDescent="0.25"/>
    <row r="16269" s="42" customFormat="1" x14ac:dyDescent="0.25"/>
    <row r="16270" s="42" customFormat="1" x14ac:dyDescent="0.25"/>
    <row r="16271" s="42" customFormat="1" x14ac:dyDescent="0.25"/>
    <row r="16272" s="42" customFormat="1" x14ac:dyDescent="0.25"/>
    <row r="16273" s="42" customFormat="1" x14ac:dyDescent="0.25"/>
    <row r="16274" s="42" customFormat="1" x14ac:dyDescent="0.25"/>
    <row r="16275" s="42" customFormat="1" x14ac:dyDescent="0.25"/>
    <row r="16276" s="42" customFormat="1" x14ac:dyDescent="0.25"/>
    <row r="16277" s="42" customFormat="1" x14ac:dyDescent="0.25"/>
    <row r="16278" s="42" customFormat="1" x14ac:dyDescent="0.25"/>
    <row r="16279" s="42" customFormat="1" x14ac:dyDescent="0.25"/>
    <row r="16280" s="42" customFormat="1" x14ac:dyDescent="0.25"/>
    <row r="16281" s="42" customFormat="1" x14ac:dyDescent="0.25"/>
    <row r="16282" s="42" customFormat="1" x14ac:dyDescent="0.25"/>
    <row r="16283" s="42" customFormat="1" x14ac:dyDescent="0.25"/>
    <row r="16284" s="42" customFormat="1" x14ac:dyDescent="0.25"/>
    <row r="16285" s="42" customFormat="1" x14ac:dyDescent="0.25"/>
    <row r="16286" s="42" customFormat="1" x14ac:dyDescent="0.25"/>
    <row r="16287" s="42" customFormat="1" x14ac:dyDescent="0.25"/>
    <row r="16288" s="42" customFormat="1" x14ac:dyDescent="0.25"/>
    <row r="16289" s="42" customFormat="1" x14ac:dyDescent="0.25"/>
    <row r="16290" s="42" customFormat="1" x14ac:dyDescent="0.25"/>
    <row r="16291" s="42" customFormat="1" x14ac:dyDescent="0.25"/>
    <row r="16292" s="42" customFormat="1" x14ac:dyDescent="0.25"/>
    <row r="16293" s="42" customFormat="1" x14ac:dyDescent="0.25"/>
    <row r="16294" s="42" customFormat="1" x14ac:dyDescent="0.25"/>
    <row r="16295" s="42" customFormat="1" x14ac:dyDescent="0.25"/>
    <row r="16296" s="42" customFormat="1" x14ac:dyDescent="0.25"/>
    <row r="16297" s="42" customFormat="1" x14ac:dyDescent="0.25"/>
    <row r="16298" s="42" customFormat="1" x14ac:dyDescent="0.25"/>
    <row r="16299" s="42" customFormat="1" x14ac:dyDescent="0.25"/>
    <row r="16300" s="42" customFormat="1" x14ac:dyDescent="0.25"/>
    <row r="16301" s="42" customFormat="1" x14ac:dyDescent="0.25"/>
    <row r="16302" s="42" customFormat="1" x14ac:dyDescent="0.25"/>
    <row r="16303" s="42" customFormat="1" x14ac:dyDescent="0.25"/>
    <row r="16304" s="42" customFormat="1" x14ac:dyDescent="0.25"/>
    <row r="16305" s="42" customFormat="1" x14ac:dyDescent="0.25"/>
    <row r="16306" s="42" customFormat="1" x14ac:dyDescent="0.25"/>
    <row r="16307" s="42" customFormat="1" x14ac:dyDescent="0.25"/>
    <row r="16308" s="42" customFormat="1" x14ac:dyDescent="0.25"/>
    <row r="16309" s="42" customFormat="1" x14ac:dyDescent="0.25"/>
    <row r="16310" s="42" customFormat="1" x14ac:dyDescent="0.25"/>
    <row r="16311" s="42" customFormat="1" x14ac:dyDescent="0.25"/>
    <row r="16312" s="42" customFormat="1" x14ac:dyDescent="0.25"/>
    <row r="16313" s="42" customFormat="1" x14ac:dyDescent="0.25"/>
    <row r="16314" s="42" customFormat="1" x14ac:dyDescent="0.25"/>
    <row r="16315" s="42" customFormat="1" x14ac:dyDescent="0.25"/>
    <row r="16316" s="42" customFormat="1" x14ac:dyDescent="0.25"/>
    <row r="16317" s="42" customFormat="1" x14ac:dyDescent="0.25"/>
    <row r="16318" s="42" customFormat="1" x14ac:dyDescent="0.25"/>
    <row r="16319" s="42" customFormat="1" x14ac:dyDescent="0.25"/>
    <row r="16320" s="42" customFormat="1" x14ac:dyDescent="0.25"/>
    <row r="16321" s="42" customFormat="1" x14ac:dyDescent="0.25"/>
    <row r="16322" s="42" customFormat="1" x14ac:dyDescent="0.25"/>
    <row r="16323" s="42" customFormat="1" x14ac:dyDescent="0.25"/>
    <row r="16324" s="42" customFormat="1" x14ac:dyDescent="0.25"/>
    <row r="16325" s="42" customFormat="1" x14ac:dyDescent="0.25"/>
    <row r="16326" s="42" customFormat="1" x14ac:dyDescent="0.25"/>
    <row r="16327" s="42" customFormat="1" x14ac:dyDescent="0.25"/>
    <row r="16328" s="42" customFormat="1" x14ac:dyDescent="0.25"/>
    <row r="16329" s="42" customFormat="1" x14ac:dyDescent="0.25"/>
    <row r="16330" s="42" customFormat="1" x14ac:dyDescent="0.25"/>
    <row r="16331" s="42" customFormat="1" x14ac:dyDescent="0.25"/>
    <row r="16332" s="42" customFormat="1" x14ac:dyDescent="0.25"/>
    <row r="16333" s="42" customFormat="1" x14ac:dyDescent="0.25"/>
    <row r="16334" s="42" customFormat="1" x14ac:dyDescent="0.25"/>
    <row r="16335" s="42" customFormat="1" x14ac:dyDescent="0.25"/>
    <row r="16336" s="42" customFormat="1" x14ac:dyDescent="0.25"/>
    <row r="16337" s="42" customFormat="1" x14ac:dyDescent="0.25"/>
    <row r="16338" s="42" customFormat="1" x14ac:dyDescent="0.25"/>
    <row r="16339" s="42" customFormat="1" x14ac:dyDescent="0.25"/>
    <row r="16340" s="42" customFormat="1" x14ac:dyDescent="0.25"/>
    <row r="16341" s="42" customFormat="1" x14ac:dyDescent="0.25"/>
    <row r="16342" s="42" customFormat="1" x14ac:dyDescent="0.25"/>
    <row r="16343" s="42" customFormat="1" x14ac:dyDescent="0.25"/>
    <row r="16344" s="42" customFormat="1" x14ac:dyDescent="0.25"/>
    <row r="16345" s="42" customFormat="1" x14ac:dyDescent="0.25"/>
    <row r="16346" s="42" customFormat="1" x14ac:dyDescent="0.25"/>
    <row r="16347" s="42" customFormat="1" x14ac:dyDescent="0.25"/>
    <row r="16348" s="42" customFormat="1" x14ac:dyDescent="0.25"/>
    <row r="16349" s="42" customFormat="1" x14ac:dyDescent="0.25"/>
    <row r="16350" s="42" customFormat="1" x14ac:dyDescent="0.25"/>
    <row r="16351" s="42" customFormat="1" x14ac:dyDescent="0.25"/>
    <row r="16352" s="42" customFormat="1" x14ac:dyDescent="0.25"/>
    <row r="16353" s="42" customFormat="1" x14ac:dyDescent="0.25"/>
    <row r="16354" s="42" customFormat="1" x14ac:dyDescent="0.25"/>
    <row r="16355" s="42" customFormat="1" x14ac:dyDescent="0.25"/>
    <row r="16356" s="42" customFormat="1" x14ac:dyDescent="0.25"/>
    <row r="16357" s="42" customFormat="1" x14ac:dyDescent="0.25"/>
    <row r="16358" s="42" customFormat="1" x14ac:dyDescent="0.25"/>
    <row r="16359" s="42" customFormat="1" x14ac:dyDescent="0.25"/>
    <row r="16360" s="42" customFormat="1" x14ac:dyDescent="0.25"/>
    <row r="16361" s="42" customFormat="1" x14ac:dyDescent="0.25"/>
    <row r="16362" s="42" customFormat="1" x14ac:dyDescent="0.25"/>
    <row r="16363" s="42" customFormat="1" x14ac:dyDescent="0.25"/>
    <row r="16364" s="42" customFormat="1" x14ac:dyDescent="0.25"/>
    <row r="16365" s="42" customFormat="1" x14ac:dyDescent="0.25"/>
    <row r="16366" s="42" customFormat="1" x14ac:dyDescent="0.25"/>
    <row r="16367" s="42" customFormat="1" x14ac:dyDescent="0.25"/>
    <row r="16368" s="42" customFormat="1" x14ac:dyDescent="0.25"/>
    <row r="16369" s="42" customFormat="1" x14ac:dyDescent="0.25"/>
    <row r="16370" s="42" customFormat="1" x14ac:dyDescent="0.25"/>
    <row r="16371" s="42" customFormat="1" x14ac:dyDescent="0.25"/>
    <row r="16372" s="42" customFormat="1" x14ac:dyDescent="0.25"/>
    <row r="16373" s="42" customFormat="1" x14ac:dyDescent="0.25"/>
    <row r="16374" s="42" customFormat="1" x14ac:dyDescent="0.25"/>
    <row r="16375" s="42" customFormat="1" x14ac:dyDescent="0.25"/>
    <row r="16376" s="42" customFormat="1" x14ac:dyDescent="0.25"/>
    <row r="16377" s="42" customFormat="1" x14ac:dyDescent="0.25"/>
    <row r="16378" s="42" customFormat="1" x14ac:dyDescent="0.25"/>
    <row r="16379" s="42" customFormat="1" x14ac:dyDescent="0.25"/>
    <row r="16380" s="42" customFormat="1" x14ac:dyDescent="0.25"/>
    <row r="16381" s="42" customFormat="1" x14ac:dyDescent="0.25"/>
    <row r="16382" s="42" customFormat="1" x14ac:dyDescent="0.25"/>
    <row r="16383" s="42" customFormat="1" x14ac:dyDescent="0.25"/>
    <row r="16384" s="42" customFormat="1" x14ac:dyDescent="0.25"/>
    <row r="16385" s="42" customFormat="1" x14ac:dyDescent="0.25"/>
    <row r="16386" s="42" customFormat="1" x14ac:dyDescent="0.25"/>
    <row r="16387" s="42" customFormat="1" x14ac:dyDescent="0.25"/>
    <row r="16388" s="42" customFormat="1" x14ac:dyDescent="0.25"/>
    <row r="16389" s="42" customFormat="1" x14ac:dyDescent="0.25"/>
    <row r="16390" s="42" customFormat="1" x14ac:dyDescent="0.25"/>
    <row r="16391" s="42" customFormat="1" x14ac:dyDescent="0.25"/>
    <row r="16392" s="42" customFormat="1" x14ac:dyDescent="0.25"/>
    <row r="16393" s="42" customFormat="1" x14ac:dyDescent="0.25"/>
    <row r="16394" s="42" customFormat="1" x14ac:dyDescent="0.25"/>
    <row r="16395" s="42" customFormat="1" x14ac:dyDescent="0.25"/>
    <row r="16396" s="42" customFormat="1" x14ac:dyDescent="0.25"/>
    <row r="16397" s="42" customFormat="1" x14ac:dyDescent="0.25"/>
    <row r="16398" s="42" customFormat="1" x14ac:dyDescent="0.25"/>
    <row r="16399" s="42" customFormat="1" x14ac:dyDescent="0.25"/>
    <row r="16400" s="42" customFormat="1" x14ac:dyDescent="0.25"/>
    <row r="16401" s="42" customFormat="1" x14ac:dyDescent="0.25"/>
    <row r="16402" s="42" customFormat="1" x14ac:dyDescent="0.25"/>
    <row r="16403" s="42" customFormat="1" x14ac:dyDescent="0.25"/>
    <row r="16404" s="42" customFormat="1" x14ac:dyDescent="0.25"/>
    <row r="16405" s="42" customFormat="1" x14ac:dyDescent="0.25"/>
    <row r="16406" s="42" customFormat="1" x14ac:dyDescent="0.25"/>
    <row r="16407" s="42" customFormat="1" x14ac:dyDescent="0.25"/>
    <row r="16408" s="42" customFormat="1" x14ac:dyDescent="0.25"/>
    <row r="16409" s="42" customFormat="1" x14ac:dyDescent="0.25"/>
    <row r="16410" s="42" customFormat="1" x14ac:dyDescent="0.25"/>
    <row r="16411" s="42" customFormat="1" x14ac:dyDescent="0.25"/>
    <row r="16412" s="42" customFormat="1" x14ac:dyDescent="0.25"/>
    <row r="16413" s="42" customFormat="1" x14ac:dyDescent="0.25"/>
    <row r="16414" s="42" customFormat="1" x14ac:dyDescent="0.25"/>
    <row r="16415" s="42" customFormat="1" x14ac:dyDescent="0.25"/>
    <row r="16416" s="42" customFormat="1" x14ac:dyDescent="0.25"/>
    <row r="16417" s="42" customFormat="1" x14ac:dyDescent="0.25"/>
    <row r="16418" s="42" customFormat="1" x14ac:dyDescent="0.25"/>
    <row r="16419" s="42" customFormat="1" x14ac:dyDescent="0.25"/>
    <row r="16420" s="42" customFormat="1" x14ac:dyDescent="0.25"/>
    <row r="16421" s="42" customFormat="1" x14ac:dyDescent="0.25"/>
    <row r="16422" s="42" customFormat="1" x14ac:dyDescent="0.25"/>
    <row r="16423" s="42" customFormat="1" x14ac:dyDescent="0.25"/>
    <row r="16424" s="42" customFormat="1" x14ac:dyDescent="0.25"/>
    <row r="16425" s="42" customFormat="1" x14ac:dyDescent="0.25"/>
    <row r="16426" s="42" customFormat="1" x14ac:dyDescent="0.25"/>
    <row r="16427" s="42" customFormat="1" x14ac:dyDescent="0.25"/>
    <row r="16428" s="42" customFormat="1" x14ac:dyDescent="0.25"/>
    <row r="16429" s="42" customFormat="1" x14ac:dyDescent="0.25"/>
    <row r="16430" s="42" customFormat="1" x14ac:dyDescent="0.25"/>
    <row r="16431" s="42" customFormat="1" x14ac:dyDescent="0.25"/>
    <row r="16432" s="42" customFormat="1" x14ac:dyDescent="0.25"/>
    <row r="16433" s="42" customFormat="1" x14ac:dyDescent="0.25"/>
    <row r="16434" s="42" customFormat="1" x14ac:dyDescent="0.25"/>
    <row r="16435" s="42" customFormat="1" x14ac:dyDescent="0.25"/>
    <row r="16436" s="42" customFormat="1" x14ac:dyDescent="0.25"/>
    <row r="16437" s="42" customFormat="1" x14ac:dyDescent="0.25"/>
    <row r="16438" s="42" customFormat="1" x14ac:dyDescent="0.25"/>
    <row r="16439" s="42" customFormat="1" x14ac:dyDescent="0.25"/>
    <row r="16440" s="42" customFormat="1" x14ac:dyDescent="0.25"/>
    <row r="16441" s="42" customFormat="1" x14ac:dyDescent="0.25"/>
    <row r="16442" s="42" customFormat="1" x14ac:dyDescent="0.25"/>
    <row r="16443" s="42" customFormat="1" x14ac:dyDescent="0.25"/>
    <row r="16444" s="42" customFormat="1" x14ac:dyDescent="0.25"/>
    <row r="16445" s="42" customFormat="1" x14ac:dyDescent="0.25"/>
    <row r="16446" s="42" customFormat="1" x14ac:dyDescent="0.25"/>
    <row r="16447" s="42" customFormat="1" x14ac:dyDescent="0.25"/>
    <row r="16448" s="42" customFormat="1" x14ac:dyDescent="0.25"/>
    <row r="16449" s="42" customFormat="1" x14ac:dyDescent="0.25"/>
    <row r="16450" s="42" customFormat="1" x14ac:dyDescent="0.25"/>
    <row r="16451" s="42" customFormat="1" x14ac:dyDescent="0.25"/>
    <row r="16452" s="42" customFormat="1" x14ac:dyDescent="0.25"/>
    <row r="16453" s="42" customFormat="1" x14ac:dyDescent="0.25"/>
    <row r="16454" s="42" customFormat="1" x14ac:dyDescent="0.25"/>
    <row r="16455" s="42" customFormat="1" x14ac:dyDescent="0.25"/>
    <row r="16456" s="42" customFormat="1" x14ac:dyDescent="0.25"/>
    <row r="16457" s="42" customFormat="1" x14ac:dyDescent="0.25"/>
    <row r="16458" s="42" customFormat="1" x14ac:dyDescent="0.25"/>
    <row r="16459" s="42" customFormat="1" x14ac:dyDescent="0.25"/>
    <row r="16460" s="42" customFormat="1" x14ac:dyDescent="0.25"/>
    <row r="16461" s="42" customFormat="1" x14ac:dyDescent="0.25"/>
    <row r="16462" s="42" customFormat="1" x14ac:dyDescent="0.25"/>
    <row r="16463" s="42" customFormat="1" x14ac:dyDescent="0.25"/>
    <row r="16464" s="42" customFormat="1" x14ac:dyDescent="0.25"/>
    <row r="16465" s="42" customFormat="1" x14ac:dyDescent="0.25"/>
    <row r="16466" s="42" customFormat="1" x14ac:dyDescent="0.25"/>
    <row r="16467" s="42" customFormat="1" x14ac:dyDescent="0.25"/>
    <row r="16468" s="42" customFormat="1" x14ac:dyDescent="0.25"/>
    <row r="16469" s="42" customFormat="1" x14ac:dyDescent="0.25"/>
    <row r="16470" s="42" customFormat="1" x14ac:dyDescent="0.25"/>
    <row r="16471" s="42" customFormat="1" x14ac:dyDescent="0.25"/>
    <row r="16472" s="42" customFormat="1" x14ac:dyDescent="0.25"/>
    <row r="16473" s="42" customFormat="1" x14ac:dyDescent="0.25"/>
    <row r="16474" s="42" customFormat="1" x14ac:dyDescent="0.25"/>
    <row r="16475" s="42" customFormat="1" x14ac:dyDescent="0.25"/>
    <row r="16476" s="42" customFormat="1" x14ac:dyDescent="0.25"/>
    <row r="16477" s="42" customFormat="1" x14ac:dyDescent="0.25"/>
    <row r="16478" s="42" customFormat="1" x14ac:dyDescent="0.25"/>
    <row r="16479" s="42" customFormat="1" x14ac:dyDescent="0.25"/>
    <row r="16480" s="42" customFormat="1" x14ac:dyDescent="0.25"/>
    <row r="16481" s="42" customFormat="1" x14ac:dyDescent="0.25"/>
    <row r="16482" s="42" customFormat="1" x14ac:dyDescent="0.25"/>
    <row r="16483" s="42" customFormat="1" x14ac:dyDescent="0.25"/>
    <row r="16484" s="42" customFormat="1" x14ac:dyDescent="0.25"/>
    <row r="16485" s="42" customFormat="1" x14ac:dyDescent="0.25"/>
    <row r="16486" s="42" customFormat="1" x14ac:dyDescent="0.25"/>
    <row r="16487" s="42" customFormat="1" x14ac:dyDescent="0.25"/>
    <row r="16488" s="42" customFormat="1" x14ac:dyDescent="0.25"/>
    <row r="16489" s="42" customFormat="1" x14ac:dyDescent="0.25"/>
    <row r="16490" s="42" customFormat="1" x14ac:dyDescent="0.25"/>
    <row r="16491" s="42" customFormat="1" x14ac:dyDescent="0.25"/>
    <row r="16492" s="42" customFormat="1" x14ac:dyDescent="0.25"/>
    <row r="16493" s="42" customFormat="1" x14ac:dyDescent="0.25"/>
    <row r="16494" s="42" customFormat="1" x14ac:dyDescent="0.25"/>
    <row r="16495" s="42" customFormat="1" x14ac:dyDescent="0.25"/>
    <row r="16496" s="42" customFormat="1" x14ac:dyDescent="0.25"/>
    <row r="16497" s="42" customFormat="1" x14ac:dyDescent="0.25"/>
    <row r="16498" s="42" customFormat="1" x14ac:dyDescent="0.25"/>
    <row r="16499" s="42" customFormat="1" x14ac:dyDescent="0.25"/>
    <row r="16500" s="42" customFormat="1" x14ac:dyDescent="0.25"/>
    <row r="16501" s="42" customFormat="1" x14ac:dyDescent="0.25"/>
    <row r="16502" s="42" customFormat="1" x14ac:dyDescent="0.25"/>
    <row r="16503" s="42" customFormat="1" x14ac:dyDescent="0.25"/>
    <row r="16504" s="42" customFormat="1" x14ac:dyDescent="0.25"/>
    <row r="16505" s="42" customFormat="1" x14ac:dyDescent="0.25"/>
    <row r="16506" s="42" customFormat="1" x14ac:dyDescent="0.25"/>
    <row r="16507" s="42" customFormat="1" x14ac:dyDescent="0.25"/>
    <row r="16508" s="42" customFormat="1" x14ac:dyDescent="0.25"/>
    <row r="16509" s="42" customFormat="1" x14ac:dyDescent="0.25"/>
    <row r="16510" s="42" customFormat="1" x14ac:dyDescent="0.25"/>
    <row r="16511" s="42" customFormat="1" x14ac:dyDescent="0.25"/>
    <row r="16512" s="42" customFormat="1" x14ac:dyDescent="0.25"/>
    <row r="16513" s="42" customFormat="1" x14ac:dyDescent="0.25"/>
    <row r="16514" s="42" customFormat="1" x14ac:dyDescent="0.25"/>
    <row r="16515" s="42" customFormat="1" x14ac:dyDescent="0.25"/>
    <row r="16516" s="42" customFormat="1" x14ac:dyDescent="0.25"/>
    <row r="16517" s="42" customFormat="1" x14ac:dyDescent="0.25"/>
    <row r="16518" s="42" customFormat="1" x14ac:dyDescent="0.25"/>
    <row r="16519" s="42" customFormat="1" x14ac:dyDescent="0.25"/>
    <row r="16520" s="42" customFormat="1" x14ac:dyDescent="0.25"/>
    <row r="16521" s="42" customFormat="1" x14ac:dyDescent="0.25"/>
    <row r="16522" s="42" customFormat="1" x14ac:dyDescent="0.25"/>
    <row r="16523" s="42" customFormat="1" x14ac:dyDescent="0.25"/>
    <row r="16524" s="42" customFormat="1" x14ac:dyDescent="0.25"/>
    <row r="16525" s="42" customFormat="1" x14ac:dyDescent="0.25"/>
    <row r="16526" s="42" customFormat="1" x14ac:dyDescent="0.25"/>
    <row r="16527" s="42" customFormat="1" x14ac:dyDescent="0.25"/>
    <row r="16528" s="42" customFormat="1" x14ac:dyDescent="0.25"/>
    <row r="16529" s="42" customFormat="1" x14ac:dyDescent="0.25"/>
    <row r="16530" s="42" customFormat="1" x14ac:dyDescent="0.25"/>
    <row r="16531" s="42" customFormat="1" x14ac:dyDescent="0.25"/>
    <row r="16532" s="42" customFormat="1" x14ac:dyDescent="0.25"/>
    <row r="16533" s="42" customFormat="1" x14ac:dyDescent="0.25"/>
    <row r="16534" s="42" customFormat="1" x14ac:dyDescent="0.25"/>
    <row r="16535" s="42" customFormat="1" x14ac:dyDescent="0.25"/>
    <row r="16536" s="42" customFormat="1" x14ac:dyDescent="0.25"/>
    <row r="16537" s="42" customFormat="1" x14ac:dyDescent="0.25"/>
    <row r="16538" s="42" customFormat="1" x14ac:dyDescent="0.25"/>
    <row r="16539" s="42" customFormat="1" x14ac:dyDescent="0.25"/>
    <row r="16540" s="42" customFormat="1" x14ac:dyDescent="0.25"/>
    <row r="16541" s="42" customFormat="1" x14ac:dyDescent="0.25"/>
    <row r="16542" s="42" customFormat="1" x14ac:dyDescent="0.25"/>
    <row r="16543" s="42" customFormat="1" x14ac:dyDescent="0.25"/>
    <row r="16544" s="42" customFormat="1" x14ac:dyDescent="0.25"/>
    <row r="16545" s="42" customFormat="1" x14ac:dyDescent="0.25"/>
    <row r="16546" s="42" customFormat="1" x14ac:dyDescent="0.25"/>
    <row r="16547" s="42" customFormat="1" x14ac:dyDescent="0.25"/>
    <row r="16548" s="42" customFormat="1" x14ac:dyDescent="0.25"/>
    <row r="16549" s="42" customFormat="1" x14ac:dyDescent="0.25"/>
    <row r="16550" s="42" customFormat="1" x14ac:dyDescent="0.25"/>
    <row r="16551" s="42" customFormat="1" x14ac:dyDescent="0.25"/>
    <row r="16552" s="42" customFormat="1" x14ac:dyDescent="0.25"/>
    <row r="16553" s="42" customFormat="1" x14ac:dyDescent="0.25"/>
    <row r="16554" s="42" customFormat="1" x14ac:dyDescent="0.25"/>
    <row r="16555" s="42" customFormat="1" x14ac:dyDescent="0.25"/>
    <row r="16556" s="42" customFormat="1" x14ac:dyDescent="0.25"/>
    <row r="16557" s="42" customFormat="1" x14ac:dyDescent="0.25"/>
    <row r="16558" s="42" customFormat="1" x14ac:dyDescent="0.25"/>
    <row r="16559" s="42" customFormat="1" x14ac:dyDescent="0.25"/>
    <row r="16560" s="42" customFormat="1" x14ac:dyDescent="0.25"/>
    <row r="16561" s="42" customFormat="1" x14ac:dyDescent="0.25"/>
    <row r="16562" s="42" customFormat="1" x14ac:dyDescent="0.25"/>
    <row r="16563" s="42" customFormat="1" x14ac:dyDescent="0.25"/>
    <row r="16564" s="42" customFormat="1" x14ac:dyDescent="0.25"/>
    <row r="16565" s="42" customFormat="1" x14ac:dyDescent="0.25"/>
    <row r="16566" s="42" customFormat="1" x14ac:dyDescent="0.25"/>
    <row r="16567" s="42" customFormat="1" x14ac:dyDescent="0.25"/>
    <row r="16568" s="42" customFormat="1" x14ac:dyDescent="0.25"/>
    <row r="16569" s="42" customFormat="1" x14ac:dyDescent="0.25"/>
    <row r="16570" s="42" customFormat="1" x14ac:dyDescent="0.25"/>
    <row r="16571" s="42" customFormat="1" x14ac:dyDescent="0.25"/>
    <row r="16572" s="42" customFormat="1" x14ac:dyDescent="0.25"/>
    <row r="16573" s="42" customFormat="1" x14ac:dyDescent="0.25"/>
    <row r="16574" s="42" customFormat="1" x14ac:dyDescent="0.25"/>
    <row r="16575" s="42" customFormat="1" x14ac:dyDescent="0.25"/>
    <row r="16576" s="42" customFormat="1" x14ac:dyDescent="0.25"/>
    <row r="16577" s="42" customFormat="1" x14ac:dyDescent="0.25"/>
    <row r="16578" s="42" customFormat="1" x14ac:dyDescent="0.25"/>
    <row r="16579" s="42" customFormat="1" x14ac:dyDescent="0.25"/>
    <row r="16580" s="42" customFormat="1" x14ac:dyDescent="0.25"/>
    <row r="16581" s="42" customFormat="1" x14ac:dyDescent="0.25"/>
    <row r="16582" s="42" customFormat="1" x14ac:dyDescent="0.25"/>
    <row r="16583" s="42" customFormat="1" x14ac:dyDescent="0.25"/>
    <row r="16584" s="42" customFormat="1" x14ac:dyDescent="0.25"/>
    <row r="16585" s="42" customFormat="1" x14ac:dyDescent="0.25"/>
    <row r="16586" s="42" customFormat="1" x14ac:dyDescent="0.25"/>
    <row r="16587" s="42" customFormat="1" x14ac:dyDescent="0.25"/>
    <row r="16588" s="42" customFormat="1" x14ac:dyDescent="0.25"/>
    <row r="16589" s="42" customFormat="1" x14ac:dyDescent="0.25"/>
    <row r="16590" s="42" customFormat="1" x14ac:dyDescent="0.25"/>
    <row r="16591" s="42" customFormat="1" x14ac:dyDescent="0.25"/>
    <row r="16592" s="42" customFormat="1" x14ac:dyDescent="0.25"/>
    <row r="16593" s="42" customFormat="1" x14ac:dyDescent="0.25"/>
    <row r="16594" s="42" customFormat="1" x14ac:dyDescent="0.25"/>
    <row r="16595" s="42" customFormat="1" x14ac:dyDescent="0.25"/>
    <row r="16596" s="42" customFormat="1" x14ac:dyDescent="0.25"/>
    <row r="16597" s="42" customFormat="1" x14ac:dyDescent="0.25"/>
    <row r="16598" s="42" customFormat="1" x14ac:dyDescent="0.25"/>
    <row r="16599" s="42" customFormat="1" x14ac:dyDescent="0.25"/>
    <row r="16600" s="42" customFormat="1" x14ac:dyDescent="0.25"/>
    <row r="16601" s="42" customFormat="1" x14ac:dyDescent="0.25"/>
    <row r="16602" s="42" customFormat="1" x14ac:dyDescent="0.25"/>
    <row r="16603" s="42" customFormat="1" x14ac:dyDescent="0.25"/>
    <row r="16604" s="42" customFormat="1" x14ac:dyDescent="0.25"/>
    <row r="16605" s="42" customFormat="1" x14ac:dyDescent="0.25"/>
    <row r="16606" s="42" customFormat="1" x14ac:dyDescent="0.25"/>
    <row r="16607" s="42" customFormat="1" x14ac:dyDescent="0.25"/>
    <row r="16608" s="42" customFormat="1" x14ac:dyDescent="0.25"/>
    <row r="16609" s="42" customFormat="1" x14ac:dyDescent="0.25"/>
    <row r="16610" s="42" customFormat="1" x14ac:dyDescent="0.25"/>
    <row r="16611" s="42" customFormat="1" x14ac:dyDescent="0.25"/>
    <row r="16612" s="42" customFormat="1" x14ac:dyDescent="0.25"/>
    <row r="16613" s="42" customFormat="1" x14ac:dyDescent="0.25"/>
    <row r="16614" s="42" customFormat="1" x14ac:dyDescent="0.25"/>
    <row r="16615" s="42" customFormat="1" x14ac:dyDescent="0.25"/>
    <row r="16616" s="42" customFormat="1" x14ac:dyDescent="0.25"/>
    <row r="16617" s="42" customFormat="1" x14ac:dyDescent="0.25"/>
    <row r="16618" s="42" customFormat="1" x14ac:dyDescent="0.25"/>
    <row r="16619" s="42" customFormat="1" x14ac:dyDescent="0.25"/>
    <row r="16620" s="42" customFormat="1" x14ac:dyDescent="0.25"/>
    <row r="16621" s="42" customFormat="1" x14ac:dyDescent="0.25"/>
    <row r="16622" s="42" customFormat="1" x14ac:dyDescent="0.25"/>
    <row r="16623" s="42" customFormat="1" x14ac:dyDescent="0.25"/>
    <row r="16624" s="42" customFormat="1" x14ac:dyDescent="0.25"/>
    <row r="16625" s="42" customFormat="1" x14ac:dyDescent="0.25"/>
    <row r="16626" s="42" customFormat="1" x14ac:dyDescent="0.25"/>
    <row r="16627" s="42" customFormat="1" x14ac:dyDescent="0.25"/>
    <row r="16628" s="42" customFormat="1" x14ac:dyDescent="0.25"/>
    <row r="16629" s="42" customFormat="1" x14ac:dyDescent="0.25"/>
    <row r="16630" s="42" customFormat="1" x14ac:dyDescent="0.25"/>
    <row r="16631" s="42" customFormat="1" x14ac:dyDescent="0.25"/>
    <row r="16632" s="42" customFormat="1" x14ac:dyDescent="0.25"/>
    <row r="16633" s="42" customFormat="1" x14ac:dyDescent="0.25"/>
    <row r="16634" s="42" customFormat="1" x14ac:dyDescent="0.25"/>
    <row r="16635" s="42" customFormat="1" x14ac:dyDescent="0.25"/>
    <row r="16636" s="42" customFormat="1" x14ac:dyDescent="0.25"/>
    <row r="16637" s="42" customFormat="1" x14ac:dyDescent="0.25"/>
    <row r="16638" s="42" customFormat="1" x14ac:dyDescent="0.25"/>
    <row r="16639" s="42" customFormat="1" x14ac:dyDescent="0.25"/>
    <row r="16640" s="42" customFormat="1" x14ac:dyDescent="0.25"/>
    <row r="16641" s="42" customFormat="1" x14ac:dyDescent="0.25"/>
    <row r="16642" s="42" customFormat="1" x14ac:dyDescent="0.25"/>
    <row r="16643" s="42" customFormat="1" x14ac:dyDescent="0.25"/>
    <row r="16644" s="42" customFormat="1" x14ac:dyDescent="0.25"/>
    <row r="16645" s="42" customFormat="1" x14ac:dyDescent="0.25"/>
    <row r="16646" s="42" customFormat="1" x14ac:dyDescent="0.25"/>
    <row r="16647" s="42" customFormat="1" x14ac:dyDescent="0.25"/>
    <row r="16648" s="42" customFormat="1" x14ac:dyDescent="0.25"/>
    <row r="16649" s="42" customFormat="1" x14ac:dyDescent="0.25"/>
    <row r="16650" s="42" customFormat="1" x14ac:dyDescent="0.25"/>
    <row r="16651" s="42" customFormat="1" x14ac:dyDescent="0.25"/>
    <row r="16652" s="42" customFormat="1" x14ac:dyDescent="0.25"/>
    <row r="16653" s="42" customFormat="1" x14ac:dyDescent="0.25"/>
    <row r="16654" s="42" customFormat="1" x14ac:dyDescent="0.25"/>
    <row r="16655" s="42" customFormat="1" x14ac:dyDescent="0.25"/>
    <row r="16656" s="42" customFormat="1" x14ac:dyDescent="0.25"/>
    <row r="16657" s="42" customFormat="1" x14ac:dyDescent="0.25"/>
    <row r="16658" s="42" customFormat="1" x14ac:dyDescent="0.25"/>
    <row r="16659" s="42" customFormat="1" x14ac:dyDescent="0.25"/>
    <row r="16660" s="42" customFormat="1" x14ac:dyDescent="0.25"/>
    <row r="16661" s="42" customFormat="1" x14ac:dyDescent="0.25"/>
    <row r="16662" s="42" customFormat="1" x14ac:dyDescent="0.25"/>
    <row r="16663" s="42" customFormat="1" x14ac:dyDescent="0.25"/>
    <row r="16664" s="42" customFormat="1" x14ac:dyDescent="0.25"/>
    <row r="16665" s="42" customFormat="1" x14ac:dyDescent="0.25"/>
    <row r="16666" s="42" customFormat="1" x14ac:dyDescent="0.25"/>
    <row r="16667" s="42" customFormat="1" x14ac:dyDescent="0.25"/>
    <row r="16668" s="42" customFormat="1" x14ac:dyDescent="0.25"/>
    <row r="16669" s="42" customFormat="1" x14ac:dyDescent="0.25"/>
    <row r="16670" s="42" customFormat="1" x14ac:dyDescent="0.25"/>
    <row r="16671" s="42" customFormat="1" x14ac:dyDescent="0.25"/>
    <row r="16672" s="42" customFormat="1" x14ac:dyDescent="0.25"/>
    <row r="16673" s="42" customFormat="1" x14ac:dyDescent="0.25"/>
    <row r="16674" s="42" customFormat="1" x14ac:dyDescent="0.25"/>
    <row r="16675" s="42" customFormat="1" x14ac:dyDescent="0.25"/>
    <row r="16676" s="42" customFormat="1" x14ac:dyDescent="0.25"/>
    <row r="16677" s="42" customFormat="1" x14ac:dyDescent="0.25"/>
    <row r="16678" s="42" customFormat="1" x14ac:dyDescent="0.25"/>
    <row r="16679" s="42" customFormat="1" x14ac:dyDescent="0.25"/>
    <row r="16680" s="42" customFormat="1" x14ac:dyDescent="0.25"/>
    <row r="16681" s="42" customFormat="1" x14ac:dyDescent="0.25"/>
    <row r="16682" s="42" customFormat="1" x14ac:dyDescent="0.25"/>
    <row r="16683" s="42" customFormat="1" x14ac:dyDescent="0.25"/>
    <row r="16684" s="42" customFormat="1" x14ac:dyDescent="0.25"/>
    <row r="16685" s="42" customFormat="1" x14ac:dyDescent="0.25"/>
    <row r="16686" s="42" customFormat="1" x14ac:dyDescent="0.25"/>
    <row r="16687" s="42" customFormat="1" x14ac:dyDescent="0.25"/>
    <row r="16688" s="42" customFormat="1" x14ac:dyDescent="0.25"/>
    <row r="16689" s="42" customFormat="1" x14ac:dyDescent="0.25"/>
    <row r="16690" s="42" customFormat="1" x14ac:dyDescent="0.25"/>
    <row r="16691" s="42" customFormat="1" x14ac:dyDescent="0.25"/>
    <row r="16692" s="42" customFormat="1" x14ac:dyDescent="0.25"/>
    <row r="16693" s="42" customFormat="1" x14ac:dyDescent="0.25"/>
    <row r="16694" s="42" customFormat="1" x14ac:dyDescent="0.25"/>
    <row r="16695" s="42" customFormat="1" x14ac:dyDescent="0.25"/>
    <row r="16696" s="42" customFormat="1" x14ac:dyDescent="0.25"/>
    <row r="16697" s="42" customFormat="1" x14ac:dyDescent="0.25"/>
    <row r="16698" s="42" customFormat="1" x14ac:dyDescent="0.25"/>
    <row r="16699" s="42" customFormat="1" x14ac:dyDescent="0.25"/>
    <row r="16700" s="42" customFormat="1" x14ac:dyDescent="0.25"/>
    <row r="16701" s="42" customFormat="1" x14ac:dyDescent="0.25"/>
    <row r="16702" s="42" customFormat="1" x14ac:dyDescent="0.25"/>
    <row r="16703" s="42" customFormat="1" x14ac:dyDescent="0.25"/>
    <row r="16704" s="42" customFormat="1" x14ac:dyDescent="0.25"/>
    <row r="16705" s="42" customFormat="1" x14ac:dyDescent="0.25"/>
    <row r="16706" s="42" customFormat="1" x14ac:dyDescent="0.25"/>
    <row r="16707" s="42" customFormat="1" x14ac:dyDescent="0.25"/>
    <row r="16708" s="42" customFormat="1" x14ac:dyDescent="0.25"/>
    <row r="16709" s="42" customFormat="1" x14ac:dyDescent="0.25"/>
    <row r="16710" s="42" customFormat="1" x14ac:dyDescent="0.25"/>
    <row r="16711" s="42" customFormat="1" x14ac:dyDescent="0.25"/>
    <row r="16712" s="42" customFormat="1" x14ac:dyDescent="0.25"/>
    <row r="16713" s="42" customFormat="1" x14ac:dyDescent="0.25"/>
    <row r="16714" s="42" customFormat="1" x14ac:dyDescent="0.25"/>
    <row r="16715" s="42" customFormat="1" x14ac:dyDescent="0.25"/>
    <row r="16716" s="42" customFormat="1" x14ac:dyDescent="0.25"/>
    <row r="16717" s="42" customFormat="1" x14ac:dyDescent="0.25"/>
    <row r="16718" s="42" customFormat="1" x14ac:dyDescent="0.25"/>
    <row r="16719" s="42" customFormat="1" x14ac:dyDescent="0.25"/>
    <row r="16720" s="42" customFormat="1" x14ac:dyDescent="0.25"/>
    <row r="16721" s="42" customFormat="1" x14ac:dyDescent="0.25"/>
    <row r="16722" s="42" customFormat="1" x14ac:dyDescent="0.25"/>
    <row r="16723" s="42" customFormat="1" x14ac:dyDescent="0.25"/>
    <row r="16724" s="42" customFormat="1" x14ac:dyDescent="0.25"/>
    <row r="16725" s="42" customFormat="1" x14ac:dyDescent="0.25"/>
    <row r="16726" s="42" customFormat="1" x14ac:dyDescent="0.25"/>
    <row r="16727" s="42" customFormat="1" x14ac:dyDescent="0.25"/>
    <row r="16728" s="42" customFormat="1" x14ac:dyDescent="0.25"/>
    <row r="16729" s="42" customFormat="1" x14ac:dyDescent="0.25"/>
    <row r="16730" s="42" customFormat="1" x14ac:dyDescent="0.25"/>
    <row r="16731" s="42" customFormat="1" x14ac:dyDescent="0.25"/>
    <row r="16732" s="42" customFormat="1" x14ac:dyDescent="0.25"/>
    <row r="16733" s="42" customFormat="1" x14ac:dyDescent="0.25"/>
    <row r="16734" s="42" customFormat="1" x14ac:dyDescent="0.25"/>
    <row r="16735" s="42" customFormat="1" x14ac:dyDescent="0.25"/>
    <row r="16736" s="42" customFormat="1" x14ac:dyDescent="0.25"/>
    <row r="16737" s="42" customFormat="1" x14ac:dyDescent="0.25"/>
    <row r="16738" s="42" customFormat="1" x14ac:dyDescent="0.25"/>
    <row r="16739" s="42" customFormat="1" x14ac:dyDescent="0.25"/>
    <row r="16740" s="42" customFormat="1" x14ac:dyDescent="0.25"/>
    <row r="16741" s="42" customFormat="1" x14ac:dyDescent="0.25"/>
    <row r="16742" s="42" customFormat="1" x14ac:dyDescent="0.25"/>
    <row r="16743" s="42" customFormat="1" x14ac:dyDescent="0.25"/>
    <row r="16744" s="42" customFormat="1" x14ac:dyDescent="0.25"/>
    <row r="16745" s="42" customFormat="1" x14ac:dyDescent="0.25"/>
    <row r="16746" s="42" customFormat="1" x14ac:dyDescent="0.25"/>
    <row r="16747" s="42" customFormat="1" x14ac:dyDescent="0.25"/>
    <row r="16748" s="42" customFormat="1" x14ac:dyDescent="0.25"/>
    <row r="16749" s="42" customFormat="1" x14ac:dyDescent="0.25"/>
    <row r="16750" s="42" customFormat="1" x14ac:dyDescent="0.25"/>
    <row r="16751" s="42" customFormat="1" x14ac:dyDescent="0.25"/>
    <row r="16752" s="42" customFormat="1" x14ac:dyDescent="0.25"/>
    <row r="16753" s="42" customFormat="1" x14ac:dyDescent="0.25"/>
    <row r="16754" s="42" customFormat="1" x14ac:dyDescent="0.25"/>
    <row r="16755" s="42" customFormat="1" x14ac:dyDescent="0.25"/>
    <row r="16756" s="42" customFormat="1" x14ac:dyDescent="0.25"/>
    <row r="16757" s="42" customFormat="1" x14ac:dyDescent="0.25"/>
    <row r="16758" s="42" customFormat="1" x14ac:dyDescent="0.25"/>
    <row r="16759" s="42" customFormat="1" x14ac:dyDescent="0.25"/>
    <row r="16760" s="42" customFormat="1" x14ac:dyDescent="0.25"/>
    <row r="16761" s="42" customFormat="1" x14ac:dyDescent="0.25"/>
    <row r="16762" s="42" customFormat="1" x14ac:dyDescent="0.25"/>
    <row r="16763" s="42" customFormat="1" x14ac:dyDescent="0.25"/>
    <row r="16764" s="42" customFormat="1" x14ac:dyDescent="0.25"/>
    <row r="16765" s="42" customFormat="1" x14ac:dyDescent="0.25"/>
    <row r="16766" s="42" customFormat="1" x14ac:dyDescent="0.25"/>
    <row r="16767" s="42" customFormat="1" x14ac:dyDescent="0.25"/>
    <row r="16768" s="42" customFormat="1" x14ac:dyDescent="0.25"/>
    <row r="16769" s="42" customFormat="1" x14ac:dyDescent="0.25"/>
    <row r="16770" s="42" customFormat="1" x14ac:dyDescent="0.25"/>
    <row r="16771" s="42" customFormat="1" x14ac:dyDescent="0.25"/>
    <row r="16772" s="42" customFormat="1" x14ac:dyDescent="0.25"/>
    <row r="16773" s="42" customFormat="1" x14ac:dyDescent="0.25"/>
    <row r="16774" s="42" customFormat="1" x14ac:dyDescent="0.25"/>
    <row r="16775" s="42" customFormat="1" x14ac:dyDescent="0.25"/>
    <row r="16776" s="42" customFormat="1" x14ac:dyDescent="0.25"/>
    <row r="16777" s="42" customFormat="1" x14ac:dyDescent="0.25"/>
    <row r="16778" s="42" customFormat="1" x14ac:dyDescent="0.25"/>
    <row r="16779" s="42" customFormat="1" x14ac:dyDescent="0.25"/>
    <row r="16780" s="42" customFormat="1" x14ac:dyDescent="0.25"/>
    <row r="16781" s="42" customFormat="1" x14ac:dyDescent="0.25"/>
    <row r="16782" s="42" customFormat="1" x14ac:dyDescent="0.25"/>
    <row r="16783" s="42" customFormat="1" x14ac:dyDescent="0.25"/>
    <row r="16784" s="42" customFormat="1" x14ac:dyDescent="0.25"/>
    <row r="16785" s="42" customFormat="1" x14ac:dyDescent="0.25"/>
    <row r="16786" s="42" customFormat="1" x14ac:dyDescent="0.25"/>
    <row r="16787" s="42" customFormat="1" x14ac:dyDescent="0.25"/>
    <row r="16788" s="42" customFormat="1" x14ac:dyDescent="0.25"/>
    <row r="16789" s="42" customFormat="1" x14ac:dyDescent="0.25"/>
    <row r="16790" s="42" customFormat="1" x14ac:dyDescent="0.25"/>
    <row r="16791" s="42" customFormat="1" x14ac:dyDescent="0.25"/>
    <row r="16792" s="42" customFormat="1" x14ac:dyDescent="0.25"/>
    <row r="16793" s="42" customFormat="1" x14ac:dyDescent="0.25"/>
    <row r="16794" s="42" customFormat="1" x14ac:dyDescent="0.25"/>
    <row r="16795" s="42" customFormat="1" x14ac:dyDescent="0.25"/>
    <row r="16796" s="42" customFormat="1" x14ac:dyDescent="0.25"/>
    <row r="16797" s="42" customFormat="1" x14ac:dyDescent="0.25"/>
    <row r="16798" s="42" customFormat="1" x14ac:dyDescent="0.25"/>
    <row r="16799" s="42" customFormat="1" x14ac:dyDescent="0.25"/>
    <row r="16800" s="42" customFormat="1" x14ac:dyDescent="0.25"/>
    <row r="16801" s="42" customFormat="1" x14ac:dyDescent="0.25"/>
    <row r="16802" s="42" customFormat="1" x14ac:dyDescent="0.25"/>
    <row r="16803" s="42" customFormat="1" x14ac:dyDescent="0.25"/>
    <row r="16804" s="42" customFormat="1" x14ac:dyDescent="0.25"/>
    <row r="16805" s="42" customFormat="1" x14ac:dyDescent="0.25"/>
    <row r="16806" s="42" customFormat="1" x14ac:dyDescent="0.25"/>
    <row r="16807" s="42" customFormat="1" x14ac:dyDescent="0.25"/>
    <row r="16808" s="42" customFormat="1" x14ac:dyDescent="0.25"/>
    <row r="16809" s="42" customFormat="1" x14ac:dyDescent="0.25"/>
    <row r="16810" s="42" customFormat="1" x14ac:dyDescent="0.25"/>
    <row r="16811" s="42" customFormat="1" x14ac:dyDescent="0.25"/>
    <row r="16812" s="42" customFormat="1" x14ac:dyDescent="0.25"/>
    <row r="16813" s="42" customFormat="1" x14ac:dyDescent="0.25"/>
    <row r="16814" s="42" customFormat="1" x14ac:dyDescent="0.25"/>
    <row r="16815" s="42" customFormat="1" x14ac:dyDescent="0.25"/>
    <row r="16816" s="42" customFormat="1" x14ac:dyDescent="0.25"/>
    <row r="16817" s="42" customFormat="1" x14ac:dyDescent="0.25"/>
    <row r="16818" s="42" customFormat="1" x14ac:dyDescent="0.25"/>
    <row r="16819" s="42" customFormat="1" x14ac:dyDescent="0.25"/>
    <row r="16820" s="42" customFormat="1" x14ac:dyDescent="0.25"/>
    <row r="16821" s="42" customFormat="1" x14ac:dyDescent="0.25"/>
    <row r="16822" s="42" customFormat="1" x14ac:dyDescent="0.25"/>
    <row r="16823" s="42" customFormat="1" x14ac:dyDescent="0.25"/>
    <row r="16824" s="42" customFormat="1" x14ac:dyDescent="0.25"/>
    <row r="16825" s="42" customFormat="1" x14ac:dyDescent="0.25"/>
    <row r="16826" s="42" customFormat="1" x14ac:dyDescent="0.25"/>
    <row r="16827" s="42" customFormat="1" x14ac:dyDescent="0.25"/>
    <row r="16828" s="42" customFormat="1" x14ac:dyDescent="0.25"/>
    <row r="16829" s="42" customFormat="1" x14ac:dyDescent="0.25"/>
    <row r="16830" s="42" customFormat="1" x14ac:dyDescent="0.25"/>
    <row r="16831" s="42" customFormat="1" x14ac:dyDescent="0.25"/>
    <row r="16832" s="42" customFormat="1" x14ac:dyDescent="0.25"/>
    <row r="16833" s="42" customFormat="1" x14ac:dyDescent="0.25"/>
    <row r="16834" s="42" customFormat="1" x14ac:dyDescent="0.25"/>
    <row r="16835" s="42" customFormat="1" x14ac:dyDescent="0.25"/>
    <row r="16836" s="42" customFormat="1" x14ac:dyDescent="0.25"/>
    <row r="16837" s="42" customFormat="1" x14ac:dyDescent="0.25"/>
    <row r="16838" s="42" customFormat="1" x14ac:dyDescent="0.25"/>
    <row r="16839" s="42" customFormat="1" x14ac:dyDescent="0.25"/>
    <row r="16840" s="42" customFormat="1" x14ac:dyDescent="0.25"/>
    <row r="16841" s="42" customFormat="1" x14ac:dyDescent="0.25"/>
    <row r="16842" s="42" customFormat="1" x14ac:dyDescent="0.25"/>
    <row r="16843" s="42" customFormat="1" x14ac:dyDescent="0.25"/>
    <row r="16844" s="42" customFormat="1" x14ac:dyDescent="0.25"/>
    <row r="16845" s="42" customFormat="1" x14ac:dyDescent="0.25"/>
    <row r="16846" s="42" customFormat="1" x14ac:dyDescent="0.25"/>
    <row r="16847" s="42" customFormat="1" x14ac:dyDescent="0.25"/>
    <row r="16848" s="42" customFormat="1" x14ac:dyDescent="0.25"/>
    <row r="16849" s="42" customFormat="1" x14ac:dyDescent="0.25"/>
    <row r="16850" s="42" customFormat="1" x14ac:dyDescent="0.25"/>
    <row r="16851" s="42" customFormat="1" x14ac:dyDescent="0.25"/>
    <row r="16852" s="42" customFormat="1" x14ac:dyDescent="0.25"/>
    <row r="16853" s="42" customFormat="1" x14ac:dyDescent="0.25"/>
    <row r="16854" s="42" customFormat="1" x14ac:dyDescent="0.25"/>
    <row r="16855" s="42" customFormat="1" x14ac:dyDescent="0.25"/>
    <row r="16856" s="42" customFormat="1" x14ac:dyDescent="0.25"/>
    <row r="16857" s="42" customFormat="1" x14ac:dyDescent="0.25"/>
    <row r="16858" s="42" customFormat="1" x14ac:dyDescent="0.25"/>
    <row r="16859" s="42" customFormat="1" x14ac:dyDescent="0.25"/>
    <row r="16860" s="42" customFormat="1" x14ac:dyDescent="0.25"/>
    <row r="16861" s="42" customFormat="1" x14ac:dyDescent="0.25"/>
    <row r="16862" s="42" customFormat="1" x14ac:dyDescent="0.25"/>
    <row r="16863" s="42" customFormat="1" x14ac:dyDescent="0.25"/>
    <row r="16864" s="42" customFormat="1" x14ac:dyDescent="0.25"/>
    <row r="16865" s="42" customFormat="1" x14ac:dyDescent="0.25"/>
    <row r="16866" s="42" customFormat="1" x14ac:dyDescent="0.25"/>
    <row r="16867" s="42" customFormat="1" x14ac:dyDescent="0.25"/>
    <row r="16868" s="42" customFormat="1" x14ac:dyDescent="0.25"/>
    <row r="16869" s="42" customFormat="1" x14ac:dyDescent="0.25"/>
    <row r="16870" s="42" customFormat="1" x14ac:dyDescent="0.25"/>
    <row r="16871" s="42" customFormat="1" x14ac:dyDescent="0.25"/>
    <row r="16872" s="42" customFormat="1" x14ac:dyDescent="0.25"/>
    <row r="16873" s="42" customFormat="1" x14ac:dyDescent="0.25"/>
    <row r="16874" s="42" customFormat="1" x14ac:dyDescent="0.25"/>
    <row r="16875" s="42" customFormat="1" x14ac:dyDescent="0.25"/>
    <row r="16876" s="42" customFormat="1" x14ac:dyDescent="0.25"/>
    <row r="16877" s="42" customFormat="1" x14ac:dyDescent="0.25"/>
    <row r="16878" s="42" customFormat="1" x14ac:dyDescent="0.25"/>
    <row r="16879" s="42" customFormat="1" x14ac:dyDescent="0.25"/>
    <row r="16880" s="42" customFormat="1" x14ac:dyDescent="0.25"/>
    <row r="16881" s="42" customFormat="1" x14ac:dyDescent="0.25"/>
    <row r="16882" s="42" customFormat="1" x14ac:dyDescent="0.25"/>
    <row r="16883" s="42" customFormat="1" x14ac:dyDescent="0.25"/>
    <row r="16884" s="42" customFormat="1" x14ac:dyDescent="0.25"/>
    <row r="16885" s="42" customFormat="1" x14ac:dyDescent="0.25"/>
    <row r="16886" s="42" customFormat="1" x14ac:dyDescent="0.25"/>
    <row r="16887" s="42" customFormat="1" x14ac:dyDescent="0.25"/>
    <row r="16888" s="42" customFormat="1" x14ac:dyDescent="0.25"/>
    <row r="16889" s="42" customFormat="1" x14ac:dyDescent="0.25"/>
    <row r="16890" s="42" customFormat="1" x14ac:dyDescent="0.25"/>
    <row r="16891" s="42" customFormat="1" x14ac:dyDescent="0.25"/>
    <row r="16892" s="42" customFormat="1" x14ac:dyDescent="0.25"/>
    <row r="16893" s="42" customFormat="1" x14ac:dyDescent="0.25"/>
    <row r="16894" s="42" customFormat="1" x14ac:dyDescent="0.25"/>
    <row r="16895" s="42" customFormat="1" x14ac:dyDescent="0.25"/>
    <row r="16896" s="42" customFormat="1" x14ac:dyDescent="0.25"/>
    <row r="16897" s="42" customFormat="1" x14ac:dyDescent="0.25"/>
    <row r="16898" s="42" customFormat="1" x14ac:dyDescent="0.25"/>
    <row r="16899" s="42" customFormat="1" x14ac:dyDescent="0.25"/>
    <row r="16900" s="42" customFormat="1" x14ac:dyDescent="0.25"/>
    <row r="16901" s="42" customFormat="1" x14ac:dyDescent="0.25"/>
    <row r="16902" s="42" customFormat="1" x14ac:dyDescent="0.25"/>
    <row r="16903" s="42" customFormat="1" x14ac:dyDescent="0.25"/>
    <row r="16904" s="42" customFormat="1" x14ac:dyDescent="0.25"/>
    <row r="16905" s="42" customFormat="1" x14ac:dyDescent="0.25"/>
    <row r="16906" s="42" customFormat="1" x14ac:dyDescent="0.25"/>
    <row r="16907" s="42" customFormat="1" x14ac:dyDescent="0.25"/>
    <row r="16908" s="42" customFormat="1" x14ac:dyDescent="0.25"/>
    <row r="16909" s="42" customFormat="1" x14ac:dyDescent="0.25"/>
    <row r="16910" s="42" customFormat="1" x14ac:dyDescent="0.25"/>
    <row r="16911" s="42" customFormat="1" x14ac:dyDescent="0.25"/>
    <row r="16912" s="42" customFormat="1" x14ac:dyDescent="0.25"/>
    <row r="16913" s="42" customFormat="1" x14ac:dyDescent="0.25"/>
    <row r="16914" s="42" customFormat="1" x14ac:dyDescent="0.25"/>
    <row r="16915" s="42" customFormat="1" x14ac:dyDescent="0.25"/>
    <row r="16916" s="42" customFormat="1" x14ac:dyDescent="0.25"/>
    <row r="16917" s="42" customFormat="1" x14ac:dyDescent="0.25"/>
    <row r="16918" s="42" customFormat="1" x14ac:dyDescent="0.25"/>
    <row r="16919" s="42" customFormat="1" x14ac:dyDescent="0.25"/>
    <row r="16920" s="42" customFormat="1" x14ac:dyDescent="0.25"/>
    <row r="16921" s="42" customFormat="1" x14ac:dyDescent="0.25"/>
    <row r="16922" s="42" customFormat="1" x14ac:dyDescent="0.25"/>
    <row r="16923" s="42" customFormat="1" x14ac:dyDescent="0.25"/>
    <row r="16924" s="42" customFormat="1" x14ac:dyDescent="0.25"/>
    <row r="16925" s="42" customFormat="1" x14ac:dyDescent="0.25"/>
    <row r="16926" s="42" customFormat="1" x14ac:dyDescent="0.25"/>
    <row r="16927" s="42" customFormat="1" x14ac:dyDescent="0.25"/>
    <row r="16928" s="42" customFormat="1" x14ac:dyDescent="0.25"/>
    <row r="16929" s="42" customFormat="1" x14ac:dyDescent="0.25"/>
    <row r="16930" s="42" customFormat="1" x14ac:dyDescent="0.25"/>
    <row r="16931" s="42" customFormat="1" x14ac:dyDescent="0.25"/>
    <row r="16932" s="42" customFormat="1" x14ac:dyDescent="0.25"/>
    <row r="16933" s="42" customFormat="1" x14ac:dyDescent="0.25"/>
    <row r="16934" s="42" customFormat="1" x14ac:dyDescent="0.25"/>
    <row r="16935" s="42" customFormat="1" x14ac:dyDescent="0.25"/>
    <row r="16936" s="42" customFormat="1" x14ac:dyDescent="0.25"/>
    <row r="16937" s="42" customFormat="1" x14ac:dyDescent="0.25"/>
    <row r="16938" s="42" customFormat="1" x14ac:dyDescent="0.25"/>
    <row r="16939" s="42" customFormat="1" x14ac:dyDescent="0.25"/>
    <row r="16940" s="42" customFormat="1" x14ac:dyDescent="0.25"/>
    <row r="16941" s="42" customFormat="1" x14ac:dyDescent="0.25"/>
    <row r="16942" s="42" customFormat="1" x14ac:dyDescent="0.25"/>
    <row r="16943" s="42" customFormat="1" x14ac:dyDescent="0.25"/>
    <row r="16944" s="42" customFormat="1" x14ac:dyDescent="0.25"/>
    <row r="16945" s="42" customFormat="1" x14ac:dyDescent="0.25"/>
    <row r="16946" s="42" customFormat="1" x14ac:dyDescent="0.25"/>
    <row r="16947" s="42" customFormat="1" x14ac:dyDescent="0.25"/>
    <row r="16948" s="42" customFormat="1" x14ac:dyDescent="0.25"/>
    <row r="16949" s="42" customFormat="1" x14ac:dyDescent="0.25"/>
    <row r="16950" s="42" customFormat="1" x14ac:dyDescent="0.25"/>
    <row r="16951" s="42" customFormat="1" x14ac:dyDescent="0.25"/>
    <row r="16952" s="42" customFormat="1" x14ac:dyDescent="0.25"/>
    <row r="16953" s="42" customFormat="1" x14ac:dyDescent="0.25"/>
    <row r="16954" s="42" customFormat="1" x14ac:dyDescent="0.25"/>
    <row r="16955" s="42" customFormat="1" x14ac:dyDescent="0.25"/>
    <row r="16956" s="42" customFormat="1" x14ac:dyDescent="0.25"/>
    <row r="16957" s="42" customFormat="1" x14ac:dyDescent="0.25"/>
    <row r="16958" s="42" customFormat="1" x14ac:dyDescent="0.25"/>
    <row r="16959" s="42" customFormat="1" x14ac:dyDescent="0.25"/>
    <row r="16960" s="42" customFormat="1" x14ac:dyDescent="0.25"/>
    <row r="16961" s="42" customFormat="1" x14ac:dyDescent="0.25"/>
    <row r="16962" s="42" customFormat="1" x14ac:dyDescent="0.25"/>
    <row r="16963" s="42" customFormat="1" x14ac:dyDescent="0.25"/>
    <row r="16964" s="42" customFormat="1" x14ac:dyDescent="0.25"/>
    <row r="16965" s="42" customFormat="1" x14ac:dyDescent="0.25"/>
    <row r="16966" s="42" customFormat="1" x14ac:dyDescent="0.25"/>
    <row r="16967" s="42" customFormat="1" x14ac:dyDescent="0.25"/>
    <row r="16968" s="42" customFormat="1" x14ac:dyDescent="0.25"/>
    <row r="16969" s="42" customFormat="1" x14ac:dyDescent="0.25"/>
    <row r="16970" s="42" customFormat="1" x14ac:dyDescent="0.25"/>
    <row r="16971" s="42" customFormat="1" x14ac:dyDescent="0.25"/>
    <row r="16972" s="42" customFormat="1" x14ac:dyDescent="0.25"/>
    <row r="16973" s="42" customFormat="1" x14ac:dyDescent="0.25"/>
    <row r="16974" s="42" customFormat="1" x14ac:dyDescent="0.25"/>
    <row r="16975" s="42" customFormat="1" x14ac:dyDescent="0.25"/>
    <row r="16976" s="42" customFormat="1" x14ac:dyDescent="0.25"/>
    <row r="16977" s="42" customFormat="1" x14ac:dyDescent="0.25"/>
    <row r="16978" s="42" customFormat="1" x14ac:dyDescent="0.25"/>
    <row r="16979" s="42" customFormat="1" x14ac:dyDescent="0.25"/>
    <row r="16980" s="42" customFormat="1" x14ac:dyDescent="0.25"/>
    <row r="16981" s="42" customFormat="1" x14ac:dyDescent="0.25"/>
    <row r="16982" s="42" customFormat="1" x14ac:dyDescent="0.25"/>
    <row r="16983" s="42" customFormat="1" x14ac:dyDescent="0.25"/>
    <row r="16984" s="42" customFormat="1" x14ac:dyDescent="0.25"/>
    <row r="16985" s="42" customFormat="1" x14ac:dyDescent="0.25"/>
    <row r="16986" s="42" customFormat="1" x14ac:dyDescent="0.25"/>
    <row r="16987" s="42" customFormat="1" x14ac:dyDescent="0.25"/>
    <row r="16988" s="42" customFormat="1" x14ac:dyDescent="0.25"/>
    <row r="16989" s="42" customFormat="1" x14ac:dyDescent="0.25"/>
    <row r="16990" s="42" customFormat="1" x14ac:dyDescent="0.25"/>
    <row r="16991" s="42" customFormat="1" x14ac:dyDescent="0.25"/>
    <row r="16992" s="42" customFormat="1" x14ac:dyDescent="0.25"/>
    <row r="16993" s="42" customFormat="1" x14ac:dyDescent="0.25"/>
    <row r="16994" s="42" customFormat="1" x14ac:dyDescent="0.25"/>
    <row r="16995" s="42" customFormat="1" x14ac:dyDescent="0.25"/>
    <row r="16996" s="42" customFormat="1" x14ac:dyDescent="0.25"/>
    <row r="16997" s="42" customFormat="1" x14ac:dyDescent="0.25"/>
    <row r="16998" s="42" customFormat="1" x14ac:dyDescent="0.25"/>
    <row r="16999" s="42" customFormat="1" x14ac:dyDescent="0.25"/>
    <row r="17000" s="42" customFormat="1" x14ac:dyDescent="0.25"/>
    <row r="17001" s="42" customFormat="1" x14ac:dyDescent="0.25"/>
    <row r="17002" s="42" customFormat="1" x14ac:dyDescent="0.25"/>
    <row r="17003" s="42" customFormat="1" x14ac:dyDescent="0.25"/>
    <row r="17004" s="42" customFormat="1" x14ac:dyDescent="0.25"/>
    <row r="17005" s="42" customFormat="1" x14ac:dyDescent="0.25"/>
    <row r="17006" s="42" customFormat="1" x14ac:dyDescent="0.25"/>
    <row r="17007" s="42" customFormat="1" x14ac:dyDescent="0.25"/>
    <row r="17008" s="42" customFormat="1" x14ac:dyDescent="0.25"/>
    <row r="17009" s="42" customFormat="1" x14ac:dyDescent="0.25"/>
    <row r="17010" s="42" customFormat="1" x14ac:dyDescent="0.25"/>
    <row r="17011" s="42" customFormat="1" x14ac:dyDescent="0.25"/>
    <row r="17012" s="42" customFormat="1" x14ac:dyDescent="0.25"/>
    <row r="17013" s="42" customFormat="1" x14ac:dyDescent="0.25"/>
    <row r="17014" s="42" customFormat="1" x14ac:dyDescent="0.25"/>
    <row r="17015" s="42" customFormat="1" x14ac:dyDescent="0.25"/>
    <row r="17016" s="42" customFormat="1" x14ac:dyDescent="0.25"/>
    <row r="17017" s="42" customFormat="1" x14ac:dyDescent="0.25"/>
    <row r="17018" s="42" customFormat="1" x14ac:dyDescent="0.25"/>
    <row r="17019" s="42" customFormat="1" x14ac:dyDescent="0.25"/>
    <row r="17020" s="42" customFormat="1" x14ac:dyDescent="0.25"/>
    <row r="17021" s="42" customFormat="1" x14ac:dyDescent="0.25"/>
    <row r="17022" s="42" customFormat="1" x14ac:dyDescent="0.25"/>
    <row r="17023" s="42" customFormat="1" x14ac:dyDescent="0.25"/>
    <row r="17024" s="42" customFormat="1" x14ac:dyDescent="0.25"/>
    <row r="17025" s="42" customFormat="1" x14ac:dyDescent="0.25"/>
    <row r="17026" s="42" customFormat="1" x14ac:dyDescent="0.25"/>
    <row r="17027" s="42" customFormat="1" x14ac:dyDescent="0.25"/>
    <row r="17028" s="42" customFormat="1" x14ac:dyDescent="0.25"/>
    <row r="17029" s="42" customFormat="1" x14ac:dyDescent="0.25"/>
    <row r="17030" s="42" customFormat="1" x14ac:dyDescent="0.25"/>
    <row r="17031" s="42" customFormat="1" x14ac:dyDescent="0.25"/>
    <row r="17032" s="42" customFormat="1" x14ac:dyDescent="0.25"/>
    <row r="17033" s="42" customFormat="1" x14ac:dyDescent="0.25"/>
    <row r="17034" s="42" customFormat="1" x14ac:dyDescent="0.25"/>
    <row r="17035" s="42" customFormat="1" x14ac:dyDescent="0.25"/>
    <row r="17036" s="42" customFormat="1" x14ac:dyDescent="0.25"/>
    <row r="17037" s="42" customFormat="1" x14ac:dyDescent="0.25"/>
    <row r="17038" s="42" customFormat="1" x14ac:dyDescent="0.25"/>
    <row r="17039" s="42" customFormat="1" x14ac:dyDescent="0.25"/>
    <row r="17040" s="42" customFormat="1" x14ac:dyDescent="0.25"/>
    <row r="17041" s="42" customFormat="1" x14ac:dyDescent="0.25"/>
    <row r="17042" s="42" customFormat="1" x14ac:dyDescent="0.25"/>
    <row r="17043" s="42" customFormat="1" x14ac:dyDescent="0.25"/>
    <row r="17044" s="42" customFormat="1" x14ac:dyDescent="0.25"/>
    <row r="17045" s="42" customFormat="1" x14ac:dyDescent="0.25"/>
    <row r="17046" s="42" customFormat="1" x14ac:dyDescent="0.25"/>
    <row r="17047" s="42" customFormat="1" x14ac:dyDescent="0.25"/>
    <row r="17048" s="42" customFormat="1" x14ac:dyDescent="0.25"/>
    <row r="17049" s="42" customFormat="1" x14ac:dyDescent="0.25"/>
    <row r="17050" s="42" customFormat="1" x14ac:dyDescent="0.25"/>
    <row r="17051" s="42" customFormat="1" x14ac:dyDescent="0.25"/>
    <row r="17052" s="42" customFormat="1" x14ac:dyDescent="0.25"/>
    <row r="17053" s="42" customFormat="1" x14ac:dyDescent="0.25"/>
    <row r="17054" s="42" customFormat="1" x14ac:dyDescent="0.25"/>
    <row r="17055" s="42" customFormat="1" x14ac:dyDescent="0.25"/>
    <row r="17056" s="42" customFormat="1" x14ac:dyDescent="0.25"/>
    <row r="17057" s="42" customFormat="1" x14ac:dyDescent="0.25"/>
    <row r="17058" s="42" customFormat="1" x14ac:dyDescent="0.25"/>
    <row r="17059" s="42" customFormat="1" x14ac:dyDescent="0.25"/>
    <row r="17060" s="42" customFormat="1" x14ac:dyDescent="0.25"/>
    <row r="17061" s="42" customFormat="1" x14ac:dyDescent="0.25"/>
    <row r="17062" s="42" customFormat="1" x14ac:dyDescent="0.25"/>
    <row r="17063" s="42" customFormat="1" x14ac:dyDescent="0.25"/>
    <row r="17064" s="42" customFormat="1" x14ac:dyDescent="0.25"/>
    <row r="17065" s="42" customFormat="1" x14ac:dyDescent="0.25"/>
    <row r="17066" s="42" customFormat="1" x14ac:dyDescent="0.25"/>
    <row r="17067" s="42" customFormat="1" x14ac:dyDescent="0.25"/>
    <row r="17068" s="42" customFormat="1" x14ac:dyDescent="0.25"/>
    <row r="17069" s="42" customFormat="1" x14ac:dyDescent="0.25"/>
    <row r="17070" s="42" customFormat="1" x14ac:dyDescent="0.25"/>
    <row r="17071" s="42" customFormat="1" x14ac:dyDescent="0.25"/>
    <row r="17072" s="42" customFormat="1" x14ac:dyDescent="0.25"/>
    <row r="17073" s="42" customFormat="1" x14ac:dyDescent="0.25"/>
    <row r="17074" s="42" customFormat="1" x14ac:dyDescent="0.25"/>
    <row r="17075" s="42" customFormat="1" x14ac:dyDescent="0.25"/>
    <row r="17076" s="42" customFormat="1" x14ac:dyDescent="0.25"/>
    <row r="17077" s="42" customFormat="1" x14ac:dyDescent="0.25"/>
    <row r="17078" s="42" customFormat="1" x14ac:dyDescent="0.25"/>
    <row r="17079" s="42" customFormat="1" x14ac:dyDescent="0.25"/>
    <row r="17080" s="42" customFormat="1" x14ac:dyDescent="0.25"/>
    <row r="17081" s="42" customFormat="1" x14ac:dyDescent="0.25"/>
    <row r="17082" s="42" customFormat="1" x14ac:dyDescent="0.25"/>
    <row r="17083" s="42" customFormat="1" x14ac:dyDescent="0.25"/>
    <row r="17084" s="42" customFormat="1" x14ac:dyDescent="0.25"/>
    <row r="17085" s="42" customFormat="1" x14ac:dyDescent="0.25"/>
    <row r="17086" s="42" customFormat="1" x14ac:dyDescent="0.25"/>
    <row r="17087" s="42" customFormat="1" x14ac:dyDescent="0.25"/>
    <row r="17088" s="42" customFormat="1" x14ac:dyDescent="0.25"/>
    <row r="17089" s="42" customFormat="1" x14ac:dyDescent="0.25"/>
    <row r="17090" s="42" customFormat="1" x14ac:dyDescent="0.25"/>
    <row r="17091" s="42" customFormat="1" x14ac:dyDescent="0.25"/>
    <row r="17092" s="42" customFormat="1" x14ac:dyDescent="0.25"/>
    <row r="17093" s="42" customFormat="1" x14ac:dyDescent="0.25"/>
    <row r="17094" s="42" customFormat="1" x14ac:dyDescent="0.25"/>
    <row r="17095" s="42" customFormat="1" x14ac:dyDescent="0.25"/>
    <row r="17096" s="42" customFormat="1" x14ac:dyDescent="0.25"/>
    <row r="17097" s="42" customFormat="1" x14ac:dyDescent="0.25"/>
    <row r="17098" s="42" customFormat="1" x14ac:dyDescent="0.25"/>
    <row r="17099" s="42" customFormat="1" x14ac:dyDescent="0.25"/>
    <row r="17100" s="42" customFormat="1" x14ac:dyDescent="0.25"/>
    <row r="17101" s="42" customFormat="1" x14ac:dyDescent="0.25"/>
    <row r="17102" s="42" customFormat="1" x14ac:dyDescent="0.25"/>
    <row r="17103" s="42" customFormat="1" x14ac:dyDescent="0.25"/>
    <row r="17104" s="42" customFormat="1" x14ac:dyDescent="0.25"/>
    <row r="17105" s="42" customFormat="1" x14ac:dyDescent="0.25"/>
    <row r="17106" s="42" customFormat="1" x14ac:dyDescent="0.25"/>
    <row r="17107" s="42" customFormat="1" x14ac:dyDescent="0.25"/>
    <row r="17108" s="42" customFormat="1" x14ac:dyDescent="0.25"/>
    <row r="17109" s="42" customFormat="1" x14ac:dyDescent="0.25"/>
    <row r="17110" s="42" customFormat="1" x14ac:dyDescent="0.25"/>
    <row r="17111" s="42" customFormat="1" x14ac:dyDescent="0.25"/>
    <row r="17112" s="42" customFormat="1" x14ac:dyDescent="0.25"/>
    <row r="17113" s="42" customFormat="1" x14ac:dyDescent="0.25"/>
    <row r="17114" s="42" customFormat="1" x14ac:dyDescent="0.25"/>
    <row r="17115" s="42" customFormat="1" x14ac:dyDescent="0.25"/>
    <row r="17116" s="42" customFormat="1" x14ac:dyDescent="0.25"/>
    <row r="17117" s="42" customFormat="1" x14ac:dyDescent="0.25"/>
    <row r="17118" s="42" customFormat="1" x14ac:dyDescent="0.25"/>
    <row r="17119" s="42" customFormat="1" x14ac:dyDescent="0.25"/>
    <row r="17120" s="42" customFormat="1" x14ac:dyDescent="0.25"/>
    <row r="17121" s="42" customFormat="1" x14ac:dyDescent="0.25"/>
    <row r="17122" s="42" customFormat="1" x14ac:dyDescent="0.25"/>
    <row r="17123" s="42" customFormat="1" x14ac:dyDescent="0.25"/>
    <row r="17124" s="42" customFormat="1" x14ac:dyDescent="0.25"/>
    <row r="17125" s="42" customFormat="1" x14ac:dyDescent="0.25"/>
    <row r="17126" s="42" customFormat="1" x14ac:dyDescent="0.25"/>
    <row r="17127" s="42" customFormat="1" x14ac:dyDescent="0.25"/>
    <row r="17128" s="42" customFormat="1" x14ac:dyDescent="0.25"/>
    <row r="17129" s="42" customFormat="1" x14ac:dyDescent="0.25"/>
    <row r="17130" s="42" customFormat="1" x14ac:dyDescent="0.25"/>
    <row r="17131" s="42" customFormat="1" x14ac:dyDescent="0.25"/>
    <row r="17132" s="42" customFormat="1" x14ac:dyDescent="0.25"/>
    <row r="17133" s="42" customFormat="1" x14ac:dyDescent="0.25"/>
    <row r="17134" s="42" customFormat="1" x14ac:dyDescent="0.25"/>
    <row r="17135" s="42" customFormat="1" x14ac:dyDescent="0.25"/>
    <row r="17136" s="42" customFormat="1" x14ac:dyDescent="0.25"/>
    <row r="17137" s="42" customFormat="1" x14ac:dyDescent="0.25"/>
    <row r="17138" s="42" customFormat="1" x14ac:dyDescent="0.25"/>
    <row r="17139" s="42" customFormat="1" x14ac:dyDescent="0.25"/>
    <row r="17140" s="42" customFormat="1" x14ac:dyDescent="0.25"/>
    <row r="17141" s="42" customFormat="1" x14ac:dyDescent="0.25"/>
    <row r="17142" s="42" customFormat="1" x14ac:dyDescent="0.25"/>
    <row r="17143" s="42" customFormat="1" x14ac:dyDescent="0.25"/>
    <row r="17144" s="42" customFormat="1" x14ac:dyDescent="0.25"/>
    <row r="17145" s="42" customFormat="1" x14ac:dyDescent="0.25"/>
    <row r="17146" s="42" customFormat="1" x14ac:dyDescent="0.25"/>
    <row r="17147" s="42" customFormat="1" x14ac:dyDescent="0.25"/>
    <row r="17148" s="42" customFormat="1" x14ac:dyDescent="0.25"/>
    <row r="17149" s="42" customFormat="1" x14ac:dyDescent="0.25"/>
    <row r="17150" s="42" customFormat="1" x14ac:dyDescent="0.25"/>
    <row r="17151" s="42" customFormat="1" x14ac:dyDescent="0.25"/>
    <row r="17152" s="42" customFormat="1" x14ac:dyDescent="0.25"/>
    <row r="17153" s="42" customFormat="1" x14ac:dyDescent="0.25"/>
    <row r="17154" s="42" customFormat="1" x14ac:dyDescent="0.25"/>
    <row r="17155" s="42" customFormat="1" x14ac:dyDescent="0.25"/>
    <row r="17156" s="42" customFormat="1" x14ac:dyDescent="0.25"/>
    <row r="17157" s="42" customFormat="1" x14ac:dyDescent="0.25"/>
    <row r="17158" s="42" customFormat="1" x14ac:dyDescent="0.25"/>
    <row r="17159" s="42" customFormat="1" x14ac:dyDescent="0.25"/>
    <row r="17160" s="42" customFormat="1" x14ac:dyDescent="0.25"/>
    <row r="17161" s="42" customFormat="1" x14ac:dyDescent="0.25"/>
    <row r="17162" s="42" customFormat="1" x14ac:dyDescent="0.25"/>
    <row r="17163" s="42" customFormat="1" x14ac:dyDescent="0.25"/>
    <row r="17164" s="42" customFormat="1" x14ac:dyDescent="0.25"/>
    <row r="17165" s="42" customFormat="1" x14ac:dyDescent="0.25"/>
    <row r="17166" s="42" customFormat="1" x14ac:dyDescent="0.25"/>
    <row r="17167" s="42" customFormat="1" x14ac:dyDescent="0.25"/>
    <row r="17168" s="42" customFormat="1" x14ac:dyDescent="0.25"/>
    <row r="17169" s="42" customFormat="1" x14ac:dyDescent="0.25"/>
    <row r="17170" s="42" customFormat="1" x14ac:dyDescent="0.25"/>
    <row r="17171" s="42" customFormat="1" x14ac:dyDescent="0.25"/>
    <row r="17172" s="42" customFormat="1" x14ac:dyDescent="0.25"/>
    <row r="17173" s="42" customFormat="1" x14ac:dyDescent="0.25"/>
    <row r="17174" s="42" customFormat="1" x14ac:dyDescent="0.25"/>
    <row r="17175" s="42" customFormat="1" x14ac:dyDescent="0.25"/>
    <row r="17176" s="42" customFormat="1" x14ac:dyDescent="0.25"/>
    <row r="17177" s="42" customFormat="1" x14ac:dyDescent="0.25"/>
    <row r="17178" s="42" customFormat="1" x14ac:dyDescent="0.25"/>
    <row r="17179" s="42" customFormat="1" x14ac:dyDescent="0.25"/>
    <row r="17180" s="42" customFormat="1" x14ac:dyDescent="0.25"/>
    <row r="17181" s="42" customFormat="1" x14ac:dyDescent="0.25"/>
    <row r="17182" s="42" customFormat="1" x14ac:dyDescent="0.25"/>
    <row r="17183" s="42" customFormat="1" x14ac:dyDescent="0.25"/>
    <row r="17184" s="42" customFormat="1" x14ac:dyDescent="0.25"/>
    <row r="17185" s="42" customFormat="1" x14ac:dyDescent="0.25"/>
    <row r="17186" s="42" customFormat="1" x14ac:dyDescent="0.25"/>
    <row r="17187" s="42" customFormat="1" x14ac:dyDescent="0.25"/>
    <row r="17188" s="42" customFormat="1" x14ac:dyDescent="0.25"/>
    <row r="17189" s="42" customFormat="1" x14ac:dyDescent="0.25"/>
    <row r="17190" s="42" customFormat="1" x14ac:dyDescent="0.25"/>
    <row r="17191" s="42" customFormat="1" x14ac:dyDescent="0.25"/>
    <row r="17192" s="42" customFormat="1" x14ac:dyDescent="0.25"/>
    <row r="17193" s="42" customFormat="1" x14ac:dyDescent="0.25"/>
    <row r="17194" s="42" customFormat="1" x14ac:dyDescent="0.25"/>
    <row r="17195" s="42" customFormat="1" x14ac:dyDescent="0.25"/>
    <row r="17196" s="42" customFormat="1" x14ac:dyDescent="0.25"/>
    <row r="17197" s="42" customFormat="1" x14ac:dyDescent="0.25"/>
    <row r="17198" s="42" customFormat="1" x14ac:dyDescent="0.25"/>
    <row r="17199" s="42" customFormat="1" x14ac:dyDescent="0.25"/>
    <row r="17200" s="42" customFormat="1" x14ac:dyDescent="0.25"/>
    <row r="17201" s="42" customFormat="1" x14ac:dyDescent="0.25"/>
    <row r="17202" s="42" customFormat="1" x14ac:dyDescent="0.25"/>
    <row r="17203" s="42" customFormat="1" x14ac:dyDescent="0.25"/>
    <row r="17204" s="42" customFormat="1" x14ac:dyDescent="0.25"/>
    <row r="17205" s="42" customFormat="1" x14ac:dyDescent="0.25"/>
    <row r="17206" s="42" customFormat="1" x14ac:dyDescent="0.25"/>
    <row r="17207" s="42" customFormat="1" x14ac:dyDescent="0.25"/>
    <row r="17208" s="42" customFormat="1" x14ac:dyDescent="0.25"/>
    <row r="17209" s="42" customFormat="1" x14ac:dyDescent="0.25"/>
    <row r="17210" s="42" customFormat="1" x14ac:dyDescent="0.25"/>
    <row r="17211" s="42" customFormat="1" x14ac:dyDescent="0.25"/>
    <row r="17212" s="42" customFormat="1" x14ac:dyDescent="0.25"/>
    <row r="17213" s="42" customFormat="1" x14ac:dyDescent="0.25"/>
    <row r="17214" s="42" customFormat="1" x14ac:dyDescent="0.25"/>
    <row r="17215" s="42" customFormat="1" x14ac:dyDescent="0.25"/>
    <row r="17216" s="42" customFormat="1" x14ac:dyDescent="0.25"/>
    <row r="17217" s="42" customFormat="1" x14ac:dyDescent="0.25"/>
    <row r="17218" s="42" customFormat="1" x14ac:dyDescent="0.25"/>
    <row r="17219" s="42" customFormat="1" x14ac:dyDescent="0.25"/>
    <row r="17220" s="42" customFormat="1" x14ac:dyDescent="0.25"/>
    <row r="17221" s="42" customFormat="1" x14ac:dyDescent="0.25"/>
    <row r="17222" s="42" customFormat="1" x14ac:dyDescent="0.25"/>
    <row r="17223" s="42" customFormat="1" x14ac:dyDescent="0.25"/>
    <row r="17224" s="42" customFormat="1" x14ac:dyDescent="0.25"/>
    <row r="17225" s="42" customFormat="1" x14ac:dyDescent="0.25"/>
    <row r="17226" s="42" customFormat="1" x14ac:dyDescent="0.25"/>
    <row r="17227" s="42" customFormat="1" x14ac:dyDescent="0.25"/>
    <row r="17228" s="42" customFormat="1" x14ac:dyDescent="0.25"/>
    <row r="17229" s="42" customFormat="1" x14ac:dyDescent="0.25"/>
    <row r="17230" s="42" customFormat="1" x14ac:dyDescent="0.25"/>
    <row r="17231" s="42" customFormat="1" x14ac:dyDescent="0.25"/>
    <row r="17232" s="42" customFormat="1" x14ac:dyDescent="0.25"/>
    <row r="17233" s="42" customFormat="1" x14ac:dyDescent="0.25"/>
    <row r="17234" s="42" customFormat="1" x14ac:dyDescent="0.25"/>
    <row r="17235" s="42" customFormat="1" x14ac:dyDescent="0.25"/>
    <row r="17236" s="42" customFormat="1" x14ac:dyDescent="0.25"/>
    <row r="17237" s="42" customFormat="1" x14ac:dyDescent="0.25"/>
    <row r="17238" s="42" customFormat="1" x14ac:dyDescent="0.25"/>
    <row r="17239" s="42" customFormat="1" x14ac:dyDescent="0.25"/>
    <row r="17240" s="42" customFormat="1" x14ac:dyDescent="0.25"/>
    <row r="17241" s="42" customFormat="1" x14ac:dyDescent="0.25"/>
    <row r="17242" s="42" customFormat="1" x14ac:dyDescent="0.25"/>
    <row r="17243" s="42" customFormat="1" x14ac:dyDescent="0.25"/>
    <row r="17244" s="42" customFormat="1" x14ac:dyDescent="0.25"/>
    <row r="17245" s="42" customFormat="1" x14ac:dyDescent="0.25"/>
    <row r="17246" s="42" customFormat="1" x14ac:dyDescent="0.25"/>
    <row r="17247" s="42" customFormat="1" x14ac:dyDescent="0.25"/>
    <row r="17248" s="42" customFormat="1" x14ac:dyDescent="0.25"/>
    <row r="17249" s="42" customFormat="1" x14ac:dyDescent="0.25"/>
    <row r="17250" s="42" customFormat="1" x14ac:dyDescent="0.25"/>
    <row r="17251" s="42" customFormat="1" x14ac:dyDescent="0.25"/>
    <row r="17252" s="42" customFormat="1" x14ac:dyDescent="0.25"/>
    <row r="17253" s="42" customFormat="1" x14ac:dyDescent="0.25"/>
    <row r="17254" s="42" customFormat="1" x14ac:dyDescent="0.25"/>
    <row r="17255" s="42" customFormat="1" x14ac:dyDescent="0.25"/>
    <row r="17256" s="42" customFormat="1" x14ac:dyDescent="0.25"/>
    <row r="17257" s="42" customFormat="1" x14ac:dyDescent="0.25"/>
    <row r="17258" s="42" customFormat="1" x14ac:dyDescent="0.25"/>
    <row r="17259" s="42" customFormat="1" x14ac:dyDescent="0.25"/>
    <row r="17260" s="42" customFormat="1" x14ac:dyDescent="0.25"/>
    <row r="17261" s="42" customFormat="1" x14ac:dyDescent="0.25"/>
    <row r="17262" s="42" customFormat="1" x14ac:dyDescent="0.25"/>
    <row r="17263" s="42" customFormat="1" x14ac:dyDescent="0.25"/>
    <row r="17264" s="42" customFormat="1" x14ac:dyDescent="0.25"/>
    <row r="17265" s="42" customFormat="1" x14ac:dyDescent="0.25"/>
    <row r="17266" s="42" customFormat="1" x14ac:dyDescent="0.25"/>
    <row r="17267" s="42" customFormat="1" x14ac:dyDescent="0.25"/>
    <row r="17268" s="42" customFormat="1" x14ac:dyDescent="0.25"/>
    <row r="17269" s="42" customFormat="1" x14ac:dyDescent="0.25"/>
    <row r="17270" s="42" customFormat="1" x14ac:dyDescent="0.25"/>
    <row r="17271" s="42" customFormat="1" x14ac:dyDescent="0.25"/>
    <row r="17272" s="42" customFormat="1" x14ac:dyDescent="0.25"/>
    <row r="17273" s="42" customFormat="1" x14ac:dyDescent="0.25"/>
    <row r="17274" s="42" customFormat="1" x14ac:dyDescent="0.25"/>
    <row r="17275" s="42" customFormat="1" x14ac:dyDescent="0.25"/>
    <row r="17276" s="42" customFormat="1" x14ac:dyDescent="0.25"/>
    <row r="17277" s="42" customFormat="1" x14ac:dyDescent="0.25"/>
    <row r="17278" s="42" customFormat="1" x14ac:dyDescent="0.25"/>
    <row r="17279" s="42" customFormat="1" x14ac:dyDescent="0.25"/>
    <row r="17280" s="42" customFormat="1" x14ac:dyDescent="0.25"/>
    <row r="17281" s="42" customFormat="1" x14ac:dyDescent="0.25"/>
    <row r="17282" s="42" customFormat="1" x14ac:dyDescent="0.25"/>
    <row r="17283" s="42" customFormat="1" x14ac:dyDescent="0.25"/>
    <row r="17284" s="42" customFormat="1" x14ac:dyDescent="0.25"/>
    <row r="17285" s="42" customFormat="1" x14ac:dyDescent="0.25"/>
    <row r="17286" s="42" customFormat="1" x14ac:dyDescent="0.25"/>
    <row r="17287" s="42" customFormat="1" x14ac:dyDescent="0.25"/>
    <row r="17288" s="42" customFormat="1" x14ac:dyDescent="0.25"/>
    <row r="17289" s="42" customFormat="1" x14ac:dyDescent="0.25"/>
    <row r="17290" s="42" customFormat="1" x14ac:dyDescent="0.25"/>
    <row r="17291" s="42" customFormat="1" x14ac:dyDescent="0.25"/>
    <row r="17292" s="42" customFormat="1" x14ac:dyDescent="0.25"/>
    <row r="17293" s="42" customFormat="1" x14ac:dyDescent="0.25"/>
    <row r="17294" s="42" customFormat="1" x14ac:dyDescent="0.25"/>
    <row r="17295" s="42" customFormat="1" x14ac:dyDescent="0.25"/>
    <row r="17296" s="42" customFormat="1" x14ac:dyDescent="0.25"/>
    <row r="17297" s="42" customFormat="1" x14ac:dyDescent="0.25"/>
    <row r="17298" s="42" customFormat="1" x14ac:dyDescent="0.25"/>
    <row r="17299" s="42" customFormat="1" x14ac:dyDescent="0.25"/>
    <row r="17300" s="42" customFormat="1" x14ac:dyDescent="0.25"/>
    <row r="17301" s="42" customFormat="1" x14ac:dyDescent="0.25"/>
    <row r="17302" s="42" customFormat="1" x14ac:dyDescent="0.25"/>
    <row r="17303" s="42" customFormat="1" x14ac:dyDescent="0.25"/>
    <row r="17304" s="42" customFormat="1" x14ac:dyDescent="0.25"/>
    <row r="17305" s="42" customFormat="1" x14ac:dyDescent="0.25"/>
    <row r="17306" s="42" customFormat="1" x14ac:dyDescent="0.25"/>
    <row r="17307" s="42" customFormat="1" x14ac:dyDescent="0.25"/>
    <row r="17308" s="42" customFormat="1" x14ac:dyDescent="0.25"/>
    <row r="17309" s="42" customFormat="1" x14ac:dyDescent="0.25"/>
    <row r="17310" s="42" customFormat="1" x14ac:dyDescent="0.25"/>
    <row r="17311" s="42" customFormat="1" x14ac:dyDescent="0.25"/>
    <row r="17312" s="42" customFormat="1" x14ac:dyDescent="0.25"/>
    <row r="17313" s="42" customFormat="1" x14ac:dyDescent="0.25"/>
    <row r="17314" s="42" customFormat="1" x14ac:dyDescent="0.25"/>
    <row r="17315" s="42" customFormat="1" x14ac:dyDescent="0.25"/>
    <row r="17316" s="42" customFormat="1" x14ac:dyDescent="0.25"/>
    <row r="17317" s="42" customFormat="1" x14ac:dyDescent="0.25"/>
    <row r="17318" s="42" customFormat="1" x14ac:dyDescent="0.25"/>
    <row r="17319" s="42" customFormat="1" x14ac:dyDescent="0.25"/>
    <row r="17320" s="42" customFormat="1" x14ac:dyDescent="0.25"/>
    <row r="17321" s="42" customFormat="1" x14ac:dyDescent="0.25"/>
    <row r="17322" s="42" customFormat="1" x14ac:dyDescent="0.25"/>
    <row r="17323" s="42" customFormat="1" x14ac:dyDescent="0.25"/>
    <row r="17324" s="42" customFormat="1" x14ac:dyDescent="0.25"/>
    <row r="17325" s="42" customFormat="1" x14ac:dyDescent="0.25"/>
    <row r="17326" s="42" customFormat="1" x14ac:dyDescent="0.25"/>
    <row r="17327" s="42" customFormat="1" x14ac:dyDescent="0.25"/>
    <row r="17328" s="42" customFormat="1" x14ac:dyDescent="0.25"/>
    <row r="17329" s="42" customFormat="1" x14ac:dyDescent="0.25"/>
    <row r="17330" s="42" customFormat="1" x14ac:dyDescent="0.25"/>
    <row r="17331" s="42" customFormat="1" x14ac:dyDescent="0.25"/>
    <row r="17332" s="42" customFormat="1" x14ac:dyDescent="0.25"/>
    <row r="17333" s="42" customFormat="1" x14ac:dyDescent="0.25"/>
    <row r="17334" s="42" customFormat="1" x14ac:dyDescent="0.25"/>
    <row r="17335" s="42" customFormat="1" x14ac:dyDescent="0.25"/>
    <row r="17336" s="42" customFormat="1" x14ac:dyDescent="0.25"/>
    <row r="17337" s="42" customFormat="1" x14ac:dyDescent="0.25"/>
    <row r="17338" s="42" customFormat="1" x14ac:dyDescent="0.25"/>
    <row r="17339" s="42" customFormat="1" x14ac:dyDescent="0.25"/>
    <row r="17340" s="42" customFormat="1" x14ac:dyDescent="0.25"/>
    <row r="17341" s="42" customFormat="1" x14ac:dyDescent="0.25"/>
    <row r="17342" s="42" customFormat="1" x14ac:dyDescent="0.25"/>
    <row r="17343" s="42" customFormat="1" x14ac:dyDescent="0.25"/>
    <row r="17344" s="42" customFormat="1" x14ac:dyDescent="0.25"/>
    <row r="17345" s="42" customFormat="1" x14ac:dyDescent="0.25"/>
    <row r="17346" s="42" customFormat="1" x14ac:dyDescent="0.25"/>
    <row r="17347" s="42" customFormat="1" x14ac:dyDescent="0.25"/>
    <row r="17348" s="42" customFormat="1" x14ac:dyDescent="0.25"/>
    <row r="17349" s="42" customFormat="1" x14ac:dyDescent="0.25"/>
    <row r="17350" s="42" customFormat="1" x14ac:dyDescent="0.25"/>
    <row r="17351" s="42" customFormat="1" x14ac:dyDescent="0.25"/>
    <row r="17352" s="42" customFormat="1" x14ac:dyDescent="0.25"/>
    <row r="17353" s="42" customFormat="1" x14ac:dyDescent="0.25"/>
    <row r="17354" s="42" customFormat="1" x14ac:dyDescent="0.25"/>
    <row r="17355" s="42" customFormat="1" x14ac:dyDescent="0.25"/>
    <row r="17356" s="42" customFormat="1" x14ac:dyDescent="0.25"/>
    <row r="17357" s="42" customFormat="1" x14ac:dyDescent="0.25"/>
    <row r="17358" s="42" customFormat="1" x14ac:dyDescent="0.25"/>
    <row r="17359" s="42" customFormat="1" x14ac:dyDescent="0.25"/>
    <row r="17360" s="42" customFormat="1" x14ac:dyDescent="0.25"/>
    <row r="17361" s="42" customFormat="1" x14ac:dyDescent="0.25"/>
    <row r="17362" s="42" customFormat="1" x14ac:dyDescent="0.25"/>
    <row r="17363" s="42" customFormat="1" x14ac:dyDescent="0.25"/>
    <row r="17364" s="42" customFormat="1" x14ac:dyDescent="0.25"/>
    <row r="17365" s="42" customFormat="1" x14ac:dyDescent="0.25"/>
    <row r="17366" s="42" customFormat="1" x14ac:dyDescent="0.25"/>
    <row r="17367" s="42" customFormat="1" x14ac:dyDescent="0.25"/>
    <row r="17368" s="42" customFormat="1" x14ac:dyDescent="0.25"/>
    <row r="17369" s="42" customFormat="1" x14ac:dyDescent="0.25"/>
    <row r="17370" s="42" customFormat="1" x14ac:dyDescent="0.25"/>
    <row r="17371" s="42" customFormat="1" x14ac:dyDescent="0.25"/>
    <row r="17372" s="42" customFormat="1" x14ac:dyDescent="0.25"/>
    <row r="17373" s="42" customFormat="1" x14ac:dyDescent="0.25"/>
    <row r="17374" s="42" customFormat="1" x14ac:dyDescent="0.25"/>
    <row r="17375" s="42" customFormat="1" x14ac:dyDescent="0.25"/>
    <row r="17376" s="42" customFormat="1" x14ac:dyDescent="0.25"/>
    <row r="17377" s="42" customFormat="1" x14ac:dyDescent="0.25"/>
    <row r="17378" s="42" customFormat="1" x14ac:dyDescent="0.25"/>
    <row r="17379" s="42" customFormat="1" x14ac:dyDescent="0.25"/>
    <row r="17380" s="42" customFormat="1" x14ac:dyDescent="0.25"/>
    <row r="17381" s="42" customFormat="1" x14ac:dyDescent="0.25"/>
    <row r="17382" s="42" customFormat="1" x14ac:dyDescent="0.25"/>
    <row r="17383" s="42" customFormat="1" x14ac:dyDescent="0.25"/>
    <row r="17384" s="42" customFormat="1" x14ac:dyDescent="0.25"/>
    <row r="17385" s="42" customFormat="1" x14ac:dyDescent="0.25"/>
    <row r="17386" s="42" customFormat="1" x14ac:dyDescent="0.25"/>
    <row r="17387" s="42" customFormat="1" x14ac:dyDescent="0.25"/>
    <row r="17388" s="42" customFormat="1" x14ac:dyDescent="0.25"/>
    <row r="17389" s="42" customFormat="1" x14ac:dyDescent="0.25"/>
    <row r="17390" s="42" customFormat="1" x14ac:dyDescent="0.25"/>
    <row r="17391" s="42" customFormat="1" x14ac:dyDescent="0.25"/>
    <row r="17392" s="42" customFormat="1" x14ac:dyDescent="0.25"/>
    <row r="17393" s="42" customFormat="1" x14ac:dyDescent="0.25"/>
    <row r="17394" s="42" customFormat="1" x14ac:dyDescent="0.25"/>
    <row r="17395" s="42" customFormat="1" x14ac:dyDescent="0.25"/>
    <row r="17396" s="42" customFormat="1" x14ac:dyDescent="0.25"/>
    <row r="17397" s="42" customFormat="1" x14ac:dyDescent="0.25"/>
    <row r="17398" s="42" customFormat="1" x14ac:dyDescent="0.25"/>
    <row r="17399" s="42" customFormat="1" x14ac:dyDescent="0.25"/>
    <row r="17400" s="42" customFormat="1" x14ac:dyDescent="0.25"/>
    <row r="17401" s="42" customFormat="1" x14ac:dyDescent="0.25"/>
    <row r="17402" s="42" customFormat="1" x14ac:dyDescent="0.25"/>
    <row r="17403" s="42" customFormat="1" x14ac:dyDescent="0.25"/>
    <row r="17404" s="42" customFormat="1" x14ac:dyDescent="0.25"/>
    <row r="17405" s="42" customFormat="1" x14ac:dyDescent="0.25"/>
    <row r="17406" s="42" customFormat="1" x14ac:dyDescent="0.25"/>
    <row r="17407" s="42" customFormat="1" x14ac:dyDescent="0.25"/>
    <row r="17408" s="42" customFormat="1" x14ac:dyDescent="0.25"/>
    <row r="17409" s="42" customFormat="1" x14ac:dyDescent="0.25"/>
    <row r="17410" s="42" customFormat="1" x14ac:dyDescent="0.25"/>
    <row r="17411" s="42" customFormat="1" x14ac:dyDescent="0.25"/>
    <row r="17412" s="42" customFormat="1" x14ac:dyDescent="0.25"/>
    <row r="17413" s="42" customFormat="1" x14ac:dyDescent="0.25"/>
    <row r="17414" s="42" customFormat="1" x14ac:dyDescent="0.25"/>
    <row r="17415" s="42" customFormat="1" x14ac:dyDescent="0.25"/>
    <row r="17416" s="42" customFormat="1" x14ac:dyDescent="0.25"/>
    <row r="17417" s="42" customFormat="1" x14ac:dyDescent="0.25"/>
    <row r="17418" s="42" customFormat="1" x14ac:dyDescent="0.25"/>
    <row r="17419" s="42" customFormat="1" x14ac:dyDescent="0.25"/>
    <row r="17420" s="42" customFormat="1" x14ac:dyDescent="0.25"/>
    <row r="17421" s="42" customFormat="1" x14ac:dyDescent="0.25"/>
    <row r="17422" s="42" customFormat="1" x14ac:dyDescent="0.25"/>
    <row r="17423" s="42" customFormat="1" x14ac:dyDescent="0.25"/>
    <row r="17424" s="42" customFormat="1" x14ac:dyDescent="0.25"/>
    <row r="17425" s="42" customFormat="1" x14ac:dyDescent="0.25"/>
    <row r="17426" s="42" customFormat="1" x14ac:dyDescent="0.25"/>
    <row r="17427" s="42" customFormat="1" x14ac:dyDescent="0.25"/>
    <row r="17428" s="42" customFormat="1" x14ac:dyDescent="0.25"/>
    <row r="17429" s="42" customFormat="1" x14ac:dyDescent="0.25"/>
    <row r="17430" s="42" customFormat="1" x14ac:dyDescent="0.25"/>
    <row r="17431" s="42" customFormat="1" x14ac:dyDescent="0.25"/>
    <row r="17432" s="42" customFormat="1" x14ac:dyDescent="0.25"/>
    <row r="17433" s="42" customFormat="1" x14ac:dyDescent="0.25"/>
    <row r="17434" s="42" customFormat="1" x14ac:dyDescent="0.25"/>
    <row r="17435" s="42" customFormat="1" x14ac:dyDescent="0.25"/>
    <row r="17436" s="42" customFormat="1" x14ac:dyDescent="0.25"/>
    <row r="17437" s="42" customFormat="1" x14ac:dyDescent="0.25"/>
    <row r="17438" s="42" customFormat="1" x14ac:dyDescent="0.25"/>
    <row r="17439" s="42" customFormat="1" x14ac:dyDescent="0.25"/>
    <row r="17440" s="42" customFormat="1" x14ac:dyDescent="0.25"/>
    <row r="17441" s="42" customFormat="1" x14ac:dyDescent="0.25"/>
    <row r="17442" s="42" customFormat="1" x14ac:dyDescent="0.25"/>
    <row r="17443" s="42" customFormat="1" x14ac:dyDescent="0.25"/>
    <row r="17444" s="42" customFormat="1" x14ac:dyDescent="0.25"/>
    <row r="17445" s="42" customFormat="1" x14ac:dyDescent="0.25"/>
    <row r="17446" s="42" customFormat="1" x14ac:dyDescent="0.25"/>
    <row r="17447" s="42" customFormat="1" x14ac:dyDescent="0.25"/>
    <row r="17448" s="42" customFormat="1" x14ac:dyDescent="0.25"/>
    <row r="17449" s="42" customFormat="1" x14ac:dyDescent="0.25"/>
    <row r="17450" s="42" customFormat="1" x14ac:dyDescent="0.25"/>
    <row r="17451" s="42" customFormat="1" x14ac:dyDescent="0.25"/>
    <row r="17452" s="42" customFormat="1" x14ac:dyDescent="0.25"/>
    <row r="17453" s="42" customFormat="1" x14ac:dyDescent="0.25"/>
    <row r="17454" s="42" customFormat="1" x14ac:dyDescent="0.25"/>
    <row r="17455" s="42" customFormat="1" x14ac:dyDescent="0.25"/>
    <row r="17456" s="42" customFormat="1" x14ac:dyDescent="0.25"/>
    <row r="17457" s="42" customFormat="1" x14ac:dyDescent="0.25"/>
    <row r="17458" s="42" customFormat="1" x14ac:dyDescent="0.25"/>
    <row r="17459" s="42" customFormat="1" x14ac:dyDescent="0.25"/>
    <row r="17460" s="42" customFormat="1" x14ac:dyDescent="0.25"/>
    <row r="17461" s="42" customFormat="1" x14ac:dyDescent="0.25"/>
    <row r="17462" s="42" customFormat="1" x14ac:dyDescent="0.25"/>
    <row r="17463" s="42" customFormat="1" x14ac:dyDescent="0.25"/>
    <row r="17464" s="42" customFormat="1" x14ac:dyDescent="0.25"/>
    <row r="17465" s="42" customFormat="1" x14ac:dyDescent="0.25"/>
    <row r="17466" s="42" customFormat="1" x14ac:dyDescent="0.25"/>
    <row r="17467" s="42" customFormat="1" x14ac:dyDescent="0.25"/>
    <row r="17468" s="42" customFormat="1" x14ac:dyDescent="0.25"/>
    <row r="17469" s="42" customFormat="1" x14ac:dyDescent="0.25"/>
    <row r="17470" s="42" customFormat="1" x14ac:dyDescent="0.25"/>
    <row r="17471" s="42" customFormat="1" x14ac:dyDescent="0.25"/>
    <row r="17472" s="42" customFormat="1" x14ac:dyDescent="0.25"/>
    <row r="17473" s="42" customFormat="1" x14ac:dyDescent="0.25"/>
    <row r="17474" s="42" customFormat="1" x14ac:dyDescent="0.25"/>
    <row r="17475" s="42" customFormat="1" x14ac:dyDescent="0.25"/>
    <row r="17476" s="42" customFormat="1" x14ac:dyDescent="0.25"/>
    <row r="17477" s="42" customFormat="1" x14ac:dyDescent="0.25"/>
    <row r="17478" s="42" customFormat="1" x14ac:dyDescent="0.25"/>
    <row r="17479" s="42" customFormat="1" x14ac:dyDescent="0.25"/>
    <row r="17480" s="42" customFormat="1" x14ac:dyDescent="0.25"/>
    <row r="17481" s="42" customFormat="1" x14ac:dyDescent="0.25"/>
    <row r="17482" s="42" customFormat="1" x14ac:dyDescent="0.25"/>
    <row r="17483" s="42" customFormat="1" x14ac:dyDescent="0.25"/>
    <row r="17484" s="42" customFormat="1" x14ac:dyDescent="0.25"/>
    <row r="17485" s="42" customFormat="1" x14ac:dyDescent="0.25"/>
    <row r="17486" s="42" customFormat="1" x14ac:dyDescent="0.25"/>
    <row r="17487" s="42" customFormat="1" x14ac:dyDescent="0.25"/>
    <row r="17488" s="42" customFormat="1" x14ac:dyDescent="0.25"/>
    <row r="17489" s="42" customFormat="1" x14ac:dyDescent="0.25"/>
    <row r="17490" s="42" customFormat="1" x14ac:dyDescent="0.25"/>
    <row r="17491" s="42" customFormat="1" x14ac:dyDescent="0.25"/>
    <row r="17492" s="42" customFormat="1" x14ac:dyDescent="0.25"/>
    <row r="17493" s="42" customFormat="1" x14ac:dyDescent="0.25"/>
    <row r="17494" s="42" customFormat="1" x14ac:dyDescent="0.25"/>
    <row r="17495" s="42" customFormat="1" x14ac:dyDescent="0.25"/>
    <row r="17496" s="42" customFormat="1" x14ac:dyDescent="0.25"/>
    <row r="17497" s="42" customFormat="1" x14ac:dyDescent="0.25"/>
    <row r="17498" s="42" customFormat="1" x14ac:dyDescent="0.25"/>
    <row r="17499" s="42" customFormat="1" x14ac:dyDescent="0.25"/>
    <row r="17500" s="42" customFormat="1" x14ac:dyDescent="0.25"/>
    <row r="17501" s="42" customFormat="1" x14ac:dyDescent="0.25"/>
    <row r="17502" s="42" customFormat="1" x14ac:dyDescent="0.25"/>
    <row r="17503" s="42" customFormat="1" x14ac:dyDescent="0.25"/>
    <row r="17504" s="42" customFormat="1" x14ac:dyDescent="0.25"/>
    <row r="17505" s="42" customFormat="1" x14ac:dyDescent="0.25"/>
    <row r="17506" s="42" customFormat="1" x14ac:dyDescent="0.25"/>
    <row r="17507" s="42" customFormat="1" x14ac:dyDescent="0.25"/>
    <row r="17508" s="42" customFormat="1" x14ac:dyDescent="0.25"/>
    <row r="17509" s="42" customFormat="1" x14ac:dyDescent="0.25"/>
    <row r="17510" s="42" customFormat="1" x14ac:dyDescent="0.25"/>
    <row r="17511" s="42" customFormat="1" x14ac:dyDescent="0.25"/>
    <row r="17512" s="42" customFormat="1" x14ac:dyDescent="0.25"/>
    <row r="17513" s="42" customFormat="1" x14ac:dyDescent="0.25"/>
    <row r="17514" s="42" customFormat="1" x14ac:dyDescent="0.25"/>
    <row r="17515" s="42" customFormat="1" x14ac:dyDescent="0.25"/>
    <row r="17516" s="42" customFormat="1" x14ac:dyDescent="0.25"/>
    <row r="17517" s="42" customFormat="1" x14ac:dyDescent="0.25"/>
    <row r="17518" s="42" customFormat="1" x14ac:dyDescent="0.25"/>
    <row r="17519" s="42" customFormat="1" x14ac:dyDescent="0.25"/>
    <row r="17520" s="42" customFormat="1" x14ac:dyDescent="0.25"/>
    <row r="17521" s="42" customFormat="1" x14ac:dyDescent="0.25"/>
    <row r="17522" s="42" customFormat="1" x14ac:dyDescent="0.25"/>
    <row r="17523" s="42" customFormat="1" x14ac:dyDescent="0.25"/>
    <row r="17524" s="42" customFormat="1" x14ac:dyDescent="0.25"/>
    <row r="17525" s="42" customFormat="1" x14ac:dyDescent="0.25"/>
    <row r="17526" s="42" customFormat="1" x14ac:dyDescent="0.25"/>
    <row r="17527" s="42" customFormat="1" x14ac:dyDescent="0.25"/>
    <row r="17528" s="42" customFormat="1" x14ac:dyDescent="0.25"/>
    <row r="17529" s="42" customFormat="1" x14ac:dyDescent="0.25"/>
    <row r="17530" s="42" customFormat="1" x14ac:dyDescent="0.25"/>
    <row r="17531" s="42" customFormat="1" x14ac:dyDescent="0.25"/>
    <row r="17532" s="42" customFormat="1" x14ac:dyDescent="0.25"/>
    <row r="17533" s="42" customFormat="1" x14ac:dyDescent="0.25"/>
    <row r="17534" s="42" customFormat="1" x14ac:dyDescent="0.25"/>
    <row r="17535" s="42" customFormat="1" x14ac:dyDescent="0.25"/>
    <row r="17536" s="42" customFormat="1" x14ac:dyDescent="0.25"/>
    <row r="17537" s="42" customFormat="1" x14ac:dyDescent="0.25"/>
    <row r="17538" s="42" customFormat="1" x14ac:dyDescent="0.25"/>
    <row r="17539" s="42" customFormat="1" x14ac:dyDescent="0.25"/>
    <row r="17540" s="42" customFormat="1" x14ac:dyDescent="0.25"/>
    <row r="17541" s="42" customFormat="1" x14ac:dyDescent="0.25"/>
    <row r="17542" s="42" customFormat="1" x14ac:dyDescent="0.25"/>
    <row r="17543" s="42" customFormat="1" x14ac:dyDescent="0.25"/>
    <row r="17544" s="42" customFormat="1" x14ac:dyDescent="0.25"/>
    <row r="17545" s="42" customFormat="1" x14ac:dyDescent="0.25"/>
    <row r="17546" s="42" customFormat="1" x14ac:dyDescent="0.25"/>
    <row r="17547" s="42" customFormat="1" x14ac:dyDescent="0.25"/>
    <row r="17548" s="42" customFormat="1" x14ac:dyDescent="0.25"/>
    <row r="17549" s="42" customFormat="1" x14ac:dyDescent="0.25"/>
    <row r="17550" s="42" customFormat="1" x14ac:dyDescent="0.25"/>
    <row r="17551" s="42" customFormat="1" x14ac:dyDescent="0.25"/>
    <row r="17552" s="42" customFormat="1" x14ac:dyDescent="0.25"/>
    <row r="17553" s="42" customFormat="1" x14ac:dyDescent="0.25"/>
    <row r="17554" s="42" customFormat="1" x14ac:dyDescent="0.25"/>
    <row r="17555" s="42" customFormat="1" x14ac:dyDescent="0.25"/>
    <row r="17556" s="42" customFormat="1" x14ac:dyDescent="0.25"/>
    <row r="17557" s="42" customFormat="1" x14ac:dyDescent="0.25"/>
    <row r="17558" s="42" customFormat="1" x14ac:dyDescent="0.25"/>
    <row r="17559" s="42" customFormat="1" x14ac:dyDescent="0.25"/>
    <row r="17560" s="42" customFormat="1" x14ac:dyDescent="0.25"/>
    <row r="17561" s="42" customFormat="1" x14ac:dyDescent="0.25"/>
    <row r="17562" s="42" customFormat="1" x14ac:dyDescent="0.25"/>
    <row r="17563" s="42" customFormat="1" x14ac:dyDescent="0.25"/>
    <row r="17564" s="42" customFormat="1" x14ac:dyDescent="0.25"/>
    <row r="17565" s="42" customFormat="1" x14ac:dyDescent="0.25"/>
    <row r="17566" s="42" customFormat="1" x14ac:dyDescent="0.25"/>
    <row r="17567" s="42" customFormat="1" x14ac:dyDescent="0.25"/>
    <row r="17568" s="42" customFormat="1" x14ac:dyDescent="0.25"/>
    <row r="17569" s="42" customFormat="1" x14ac:dyDescent="0.25"/>
    <row r="17570" s="42" customFormat="1" x14ac:dyDescent="0.25"/>
    <row r="17571" s="42" customFormat="1" x14ac:dyDescent="0.25"/>
    <row r="17572" s="42" customFormat="1" x14ac:dyDescent="0.25"/>
    <row r="17573" s="42" customFormat="1" x14ac:dyDescent="0.25"/>
    <row r="17574" s="42" customFormat="1" x14ac:dyDescent="0.25"/>
    <row r="17575" s="42" customFormat="1" x14ac:dyDescent="0.25"/>
    <row r="17576" s="42" customFormat="1" x14ac:dyDescent="0.25"/>
    <row r="17577" s="42" customFormat="1" x14ac:dyDescent="0.25"/>
    <row r="17578" s="42" customFormat="1" x14ac:dyDescent="0.25"/>
    <row r="17579" s="42" customFormat="1" x14ac:dyDescent="0.25"/>
    <row r="17580" s="42" customFormat="1" x14ac:dyDescent="0.25"/>
    <row r="17581" s="42" customFormat="1" x14ac:dyDescent="0.25"/>
    <row r="17582" s="42" customFormat="1" x14ac:dyDescent="0.25"/>
    <row r="17583" s="42" customFormat="1" x14ac:dyDescent="0.25"/>
    <row r="17584" s="42" customFormat="1" x14ac:dyDescent="0.25"/>
    <row r="17585" s="42" customFormat="1" x14ac:dyDescent="0.25"/>
    <row r="17586" s="42" customFormat="1" x14ac:dyDescent="0.25"/>
    <row r="17587" s="42" customFormat="1" x14ac:dyDescent="0.25"/>
    <row r="17588" s="42" customFormat="1" x14ac:dyDescent="0.25"/>
    <row r="17589" s="42" customFormat="1" x14ac:dyDescent="0.25"/>
    <row r="17590" s="42" customFormat="1" x14ac:dyDescent="0.25"/>
    <row r="17591" s="42" customFormat="1" x14ac:dyDescent="0.25"/>
    <row r="17592" s="42" customFormat="1" x14ac:dyDescent="0.25"/>
    <row r="17593" s="42" customFormat="1" x14ac:dyDescent="0.25"/>
    <row r="17594" s="42" customFormat="1" x14ac:dyDescent="0.25"/>
    <row r="17595" s="42" customFormat="1" x14ac:dyDescent="0.25"/>
    <row r="17596" s="42" customFormat="1" x14ac:dyDescent="0.25"/>
    <row r="17597" s="42" customFormat="1" x14ac:dyDescent="0.25"/>
    <row r="17598" s="42" customFormat="1" x14ac:dyDescent="0.25"/>
    <row r="17599" s="42" customFormat="1" x14ac:dyDescent="0.25"/>
    <row r="17600" s="42" customFormat="1" x14ac:dyDescent="0.25"/>
    <row r="17601" s="42" customFormat="1" x14ac:dyDescent="0.25"/>
    <row r="17602" s="42" customFormat="1" x14ac:dyDescent="0.25"/>
    <row r="17603" s="42" customFormat="1" x14ac:dyDescent="0.25"/>
    <row r="17604" s="42" customFormat="1" x14ac:dyDescent="0.25"/>
    <row r="17605" s="42" customFormat="1" x14ac:dyDescent="0.25"/>
    <row r="17606" s="42" customFormat="1" x14ac:dyDescent="0.25"/>
    <row r="17607" s="42" customFormat="1" x14ac:dyDescent="0.25"/>
    <row r="17608" s="42" customFormat="1" x14ac:dyDescent="0.25"/>
    <row r="17609" s="42" customFormat="1" x14ac:dyDescent="0.25"/>
    <row r="17610" s="42" customFormat="1" x14ac:dyDescent="0.25"/>
    <row r="17611" s="42" customFormat="1" x14ac:dyDescent="0.25"/>
    <row r="17612" s="42" customFormat="1" x14ac:dyDescent="0.25"/>
    <row r="17613" s="42" customFormat="1" x14ac:dyDescent="0.25"/>
    <row r="17614" s="42" customFormat="1" x14ac:dyDescent="0.25"/>
    <row r="17615" s="42" customFormat="1" x14ac:dyDescent="0.25"/>
    <row r="17616" s="42" customFormat="1" x14ac:dyDescent="0.25"/>
    <row r="17617" s="42" customFormat="1" x14ac:dyDescent="0.25"/>
    <row r="17618" s="42" customFormat="1" x14ac:dyDescent="0.25"/>
    <row r="17619" s="42" customFormat="1" x14ac:dyDescent="0.25"/>
    <row r="17620" s="42" customFormat="1" x14ac:dyDescent="0.25"/>
    <row r="17621" s="42" customFormat="1" x14ac:dyDescent="0.25"/>
    <row r="17622" s="42" customFormat="1" x14ac:dyDescent="0.25"/>
    <row r="17623" s="42" customFormat="1" x14ac:dyDescent="0.25"/>
    <row r="17624" s="42" customFormat="1" x14ac:dyDescent="0.25"/>
    <row r="17625" s="42" customFormat="1" x14ac:dyDescent="0.25"/>
    <row r="17626" s="42" customFormat="1" x14ac:dyDescent="0.25"/>
    <row r="17627" s="42" customFormat="1" x14ac:dyDescent="0.25"/>
    <row r="17628" s="42" customFormat="1" x14ac:dyDescent="0.25"/>
    <row r="17629" s="42" customFormat="1" x14ac:dyDescent="0.25"/>
    <row r="17630" s="42" customFormat="1" x14ac:dyDescent="0.25"/>
    <row r="17631" s="42" customFormat="1" x14ac:dyDescent="0.25"/>
    <row r="17632" s="42" customFormat="1" x14ac:dyDescent="0.25"/>
    <row r="17633" s="42" customFormat="1" x14ac:dyDescent="0.25"/>
    <row r="17634" s="42" customFormat="1" x14ac:dyDescent="0.25"/>
    <row r="17635" s="42" customFormat="1" x14ac:dyDescent="0.25"/>
    <row r="17636" s="42" customFormat="1" x14ac:dyDescent="0.25"/>
    <row r="17637" s="42" customFormat="1" x14ac:dyDescent="0.25"/>
    <row r="17638" s="42" customFormat="1" x14ac:dyDescent="0.25"/>
    <row r="17639" s="42" customFormat="1" x14ac:dyDescent="0.25"/>
    <row r="17640" s="42" customFormat="1" x14ac:dyDescent="0.25"/>
    <row r="17641" s="42" customFormat="1" x14ac:dyDescent="0.25"/>
    <row r="17642" s="42" customFormat="1" x14ac:dyDescent="0.25"/>
    <row r="17643" s="42" customFormat="1" x14ac:dyDescent="0.25"/>
    <row r="17644" s="42" customFormat="1" x14ac:dyDescent="0.25"/>
    <row r="17645" s="42" customFormat="1" x14ac:dyDescent="0.25"/>
    <row r="17646" s="42" customFormat="1" x14ac:dyDescent="0.25"/>
    <row r="17647" s="42" customFormat="1" x14ac:dyDescent="0.25"/>
    <row r="17648" s="42" customFormat="1" x14ac:dyDescent="0.25"/>
    <row r="17649" s="42" customFormat="1" x14ac:dyDescent="0.25"/>
    <row r="17650" s="42" customFormat="1" x14ac:dyDescent="0.25"/>
    <row r="17651" s="42" customFormat="1" x14ac:dyDescent="0.25"/>
    <row r="17652" s="42" customFormat="1" x14ac:dyDescent="0.25"/>
    <row r="17653" s="42" customFormat="1" x14ac:dyDescent="0.25"/>
    <row r="17654" s="42" customFormat="1" x14ac:dyDescent="0.25"/>
    <row r="17655" s="42" customFormat="1" x14ac:dyDescent="0.25"/>
    <row r="17656" s="42" customFormat="1" x14ac:dyDescent="0.25"/>
    <row r="17657" s="42" customFormat="1" x14ac:dyDescent="0.25"/>
    <row r="17658" s="42" customFormat="1" x14ac:dyDescent="0.25"/>
    <row r="17659" s="42" customFormat="1" x14ac:dyDescent="0.25"/>
    <row r="17660" s="42" customFormat="1" x14ac:dyDescent="0.25"/>
    <row r="17661" s="42" customFormat="1" x14ac:dyDescent="0.25"/>
    <row r="17662" s="42" customFormat="1" x14ac:dyDescent="0.25"/>
    <row r="17663" s="42" customFormat="1" x14ac:dyDescent="0.25"/>
    <row r="17664" s="42" customFormat="1" x14ac:dyDescent="0.25"/>
    <row r="17665" s="42" customFormat="1" x14ac:dyDescent="0.25"/>
    <row r="17666" s="42" customFormat="1" x14ac:dyDescent="0.25"/>
    <row r="17667" s="42" customFormat="1" x14ac:dyDescent="0.25"/>
    <row r="17668" s="42" customFormat="1" x14ac:dyDescent="0.25"/>
    <row r="17669" s="42" customFormat="1" x14ac:dyDescent="0.25"/>
    <row r="17670" s="42" customFormat="1" x14ac:dyDescent="0.25"/>
    <row r="17671" s="42" customFormat="1" x14ac:dyDescent="0.25"/>
    <row r="17672" s="42" customFormat="1" x14ac:dyDescent="0.25"/>
    <row r="17673" s="42" customFormat="1" x14ac:dyDescent="0.25"/>
    <row r="17674" s="42" customFormat="1" x14ac:dyDescent="0.25"/>
    <row r="17675" s="42" customFormat="1" x14ac:dyDescent="0.25"/>
    <row r="17676" s="42" customFormat="1" x14ac:dyDescent="0.25"/>
    <row r="17677" s="42" customFormat="1" x14ac:dyDescent="0.25"/>
    <row r="17678" s="42" customFormat="1" x14ac:dyDescent="0.25"/>
    <row r="17679" s="42" customFormat="1" x14ac:dyDescent="0.25"/>
    <row r="17680" s="42" customFormat="1" x14ac:dyDescent="0.25"/>
    <row r="17681" s="42" customFormat="1" x14ac:dyDescent="0.25"/>
    <row r="17682" s="42" customFormat="1" x14ac:dyDescent="0.25"/>
    <row r="17683" s="42" customFormat="1" x14ac:dyDescent="0.25"/>
    <row r="17684" s="42" customFormat="1" x14ac:dyDescent="0.25"/>
    <row r="17685" s="42" customFormat="1" x14ac:dyDescent="0.25"/>
    <row r="17686" s="42" customFormat="1" x14ac:dyDescent="0.25"/>
    <row r="17687" s="42" customFormat="1" x14ac:dyDescent="0.25"/>
    <row r="17688" s="42" customFormat="1" x14ac:dyDescent="0.25"/>
    <row r="17689" s="42" customFormat="1" x14ac:dyDescent="0.25"/>
    <row r="17690" s="42" customFormat="1" x14ac:dyDescent="0.25"/>
    <row r="17691" s="42" customFormat="1" x14ac:dyDescent="0.25"/>
    <row r="17692" s="42" customFormat="1" x14ac:dyDescent="0.25"/>
    <row r="17693" s="42" customFormat="1" x14ac:dyDescent="0.25"/>
    <row r="17694" s="42" customFormat="1" x14ac:dyDescent="0.25"/>
    <row r="17695" s="42" customFormat="1" x14ac:dyDescent="0.25"/>
    <row r="17696" s="42" customFormat="1" x14ac:dyDescent="0.25"/>
    <row r="17697" s="42" customFormat="1" x14ac:dyDescent="0.25"/>
    <row r="17698" s="42" customFormat="1" x14ac:dyDescent="0.25"/>
    <row r="17699" s="42" customFormat="1" x14ac:dyDescent="0.25"/>
    <row r="17700" s="42" customFormat="1" x14ac:dyDescent="0.25"/>
    <row r="17701" s="42" customFormat="1" x14ac:dyDescent="0.25"/>
    <row r="17702" s="42" customFormat="1" x14ac:dyDescent="0.25"/>
    <row r="17703" s="42" customFormat="1" x14ac:dyDescent="0.25"/>
    <row r="17704" s="42" customFormat="1" x14ac:dyDescent="0.25"/>
    <row r="17705" s="42" customFormat="1" x14ac:dyDescent="0.25"/>
    <row r="17706" s="42" customFormat="1" x14ac:dyDescent="0.25"/>
    <row r="17707" s="42" customFormat="1" x14ac:dyDescent="0.25"/>
    <row r="17708" s="42" customFormat="1" x14ac:dyDescent="0.25"/>
    <row r="17709" s="42" customFormat="1" x14ac:dyDescent="0.25"/>
    <row r="17710" s="42" customFormat="1" x14ac:dyDescent="0.25"/>
    <row r="17711" s="42" customFormat="1" x14ac:dyDescent="0.25"/>
    <row r="17712" s="42" customFormat="1" x14ac:dyDescent="0.25"/>
    <row r="17713" s="42" customFormat="1" x14ac:dyDescent="0.25"/>
    <row r="17714" s="42" customFormat="1" x14ac:dyDescent="0.25"/>
    <row r="17715" s="42" customFormat="1" x14ac:dyDescent="0.25"/>
    <row r="17716" s="42" customFormat="1" x14ac:dyDescent="0.25"/>
    <row r="17717" s="42" customFormat="1" x14ac:dyDescent="0.25"/>
    <row r="17718" s="42" customFormat="1" x14ac:dyDescent="0.25"/>
    <row r="17719" s="42" customFormat="1" x14ac:dyDescent="0.25"/>
    <row r="17720" s="42" customFormat="1" x14ac:dyDescent="0.25"/>
    <row r="17721" s="42" customFormat="1" x14ac:dyDescent="0.25"/>
    <row r="17722" s="42" customFormat="1" x14ac:dyDescent="0.25"/>
    <row r="17723" s="42" customFormat="1" x14ac:dyDescent="0.25"/>
    <row r="17724" s="42" customFormat="1" x14ac:dyDescent="0.25"/>
    <row r="17725" s="42" customFormat="1" x14ac:dyDescent="0.25"/>
    <row r="17726" s="42" customFormat="1" x14ac:dyDescent="0.25"/>
    <row r="17727" s="42" customFormat="1" x14ac:dyDescent="0.25"/>
    <row r="17728" s="42" customFormat="1" x14ac:dyDescent="0.25"/>
    <row r="17729" s="42" customFormat="1" x14ac:dyDescent="0.25"/>
    <row r="17730" s="42" customFormat="1" x14ac:dyDescent="0.25"/>
    <row r="17731" s="42" customFormat="1" x14ac:dyDescent="0.25"/>
    <row r="17732" s="42" customFormat="1" x14ac:dyDescent="0.25"/>
    <row r="17733" s="42" customFormat="1" x14ac:dyDescent="0.25"/>
    <row r="17734" s="42" customFormat="1" x14ac:dyDescent="0.25"/>
    <row r="17735" s="42" customFormat="1" x14ac:dyDescent="0.25"/>
    <row r="17736" s="42" customFormat="1" x14ac:dyDescent="0.25"/>
    <row r="17737" s="42" customFormat="1" x14ac:dyDescent="0.25"/>
    <row r="17738" s="42" customFormat="1" x14ac:dyDescent="0.25"/>
    <row r="17739" s="42" customFormat="1" x14ac:dyDescent="0.25"/>
    <row r="17740" s="42" customFormat="1" x14ac:dyDescent="0.25"/>
    <row r="17741" s="42" customFormat="1" x14ac:dyDescent="0.25"/>
    <row r="17742" s="42" customFormat="1" x14ac:dyDescent="0.25"/>
    <row r="17743" s="42" customFormat="1" x14ac:dyDescent="0.25"/>
    <row r="17744" s="42" customFormat="1" x14ac:dyDescent="0.25"/>
    <row r="17745" s="42" customFormat="1" x14ac:dyDescent="0.25"/>
    <row r="17746" s="42" customFormat="1" x14ac:dyDescent="0.25"/>
    <row r="17747" s="42" customFormat="1" x14ac:dyDescent="0.25"/>
    <row r="17748" s="42" customFormat="1" x14ac:dyDescent="0.25"/>
    <row r="17749" s="42" customFormat="1" x14ac:dyDescent="0.25"/>
    <row r="17750" s="42" customFormat="1" x14ac:dyDescent="0.25"/>
    <row r="17751" s="42" customFormat="1" x14ac:dyDescent="0.25"/>
    <row r="17752" s="42" customFormat="1" x14ac:dyDescent="0.25"/>
    <row r="17753" s="42" customFormat="1" x14ac:dyDescent="0.25"/>
    <row r="17754" s="42" customFormat="1" x14ac:dyDescent="0.25"/>
    <row r="17755" s="42" customFormat="1" x14ac:dyDescent="0.25"/>
    <row r="17756" s="42" customFormat="1" x14ac:dyDescent="0.25"/>
    <row r="17757" s="42" customFormat="1" x14ac:dyDescent="0.25"/>
    <row r="17758" s="42" customFormat="1" x14ac:dyDescent="0.25"/>
    <row r="17759" s="42" customFormat="1" x14ac:dyDescent="0.25"/>
    <row r="17760" s="42" customFormat="1" x14ac:dyDescent="0.25"/>
    <row r="17761" s="42" customFormat="1" x14ac:dyDescent="0.25"/>
    <row r="17762" s="42" customFormat="1" x14ac:dyDescent="0.25"/>
    <row r="17763" s="42" customFormat="1" x14ac:dyDescent="0.25"/>
    <row r="17764" s="42" customFormat="1" x14ac:dyDescent="0.25"/>
    <row r="17765" s="42" customFormat="1" x14ac:dyDescent="0.25"/>
    <row r="17766" s="42" customFormat="1" x14ac:dyDescent="0.25"/>
    <row r="17767" s="42" customFormat="1" x14ac:dyDescent="0.25"/>
    <row r="17768" s="42" customFormat="1" x14ac:dyDescent="0.25"/>
    <row r="17769" s="42" customFormat="1" x14ac:dyDescent="0.25"/>
    <row r="17770" s="42" customFormat="1" x14ac:dyDescent="0.25"/>
    <row r="17771" s="42" customFormat="1" x14ac:dyDescent="0.25"/>
    <row r="17772" s="42" customFormat="1" x14ac:dyDescent="0.25"/>
    <row r="17773" s="42" customFormat="1" x14ac:dyDescent="0.25"/>
    <row r="17774" s="42" customFormat="1" x14ac:dyDescent="0.25"/>
    <row r="17775" s="42" customFormat="1" x14ac:dyDescent="0.25"/>
    <row r="17776" s="42" customFormat="1" x14ac:dyDescent="0.25"/>
    <row r="17777" s="42" customFormat="1" x14ac:dyDescent="0.25"/>
    <row r="17778" s="42" customFormat="1" x14ac:dyDescent="0.25"/>
    <row r="17779" s="42" customFormat="1" x14ac:dyDescent="0.25"/>
    <row r="17780" s="42" customFormat="1" x14ac:dyDescent="0.25"/>
    <row r="17781" s="42" customFormat="1" x14ac:dyDescent="0.25"/>
    <row r="17782" s="42" customFormat="1" x14ac:dyDescent="0.25"/>
    <row r="17783" s="42" customFormat="1" x14ac:dyDescent="0.25"/>
    <row r="17784" s="42" customFormat="1" x14ac:dyDescent="0.25"/>
    <row r="17785" s="42" customFormat="1" x14ac:dyDescent="0.25"/>
    <row r="17786" s="42" customFormat="1" x14ac:dyDescent="0.25"/>
    <row r="17787" s="42" customFormat="1" x14ac:dyDescent="0.25"/>
    <row r="17788" s="42" customFormat="1" x14ac:dyDescent="0.25"/>
    <row r="17789" s="42" customFormat="1" x14ac:dyDescent="0.25"/>
    <row r="17790" s="42" customFormat="1" x14ac:dyDescent="0.25"/>
    <row r="17791" s="42" customFormat="1" x14ac:dyDescent="0.25"/>
    <row r="17792" s="42" customFormat="1" x14ac:dyDescent="0.25"/>
    <row r="17793" s="42" customFormat="1" x14ac:dyDescent="0.25"/>
    <row r="17794" s="42" customFormat="1" x14ac:dyDescent="0.25"/>
    <row r="17795" s="42" customFormat="1" x14ac:dyDescent="0.25"/>
    <row r="17796" s="42" customFormat="1" x14ac:dyDescent="0.25"/>
    <row r="17797" s="42" customFormat="1" x14ac:dyDescent="0.25"/>
    <row r="17798" s="42" customFormat="1" x14ac:dyDescent="0.25"/>
    <row r="17799" s="42" customFormat="1" x14ac:dyDescent="0.25"/>
    <row r="17800" s="42" customFormat="1" x14ac:dyDescent="0.25"/>
    <row r="17801" s="42" customFormat="1" x14ac:dyDescent="0.25"/>
    <row r="17802" s="42" customFormat="1" x14ac:dyDescent="0.25"/>
    <row r="17803" s="42" customFormat="1" x14ac:dyDescent="0.25"/>
    <row r="17804" s="42" customFormat="1" x14ac:dyDescent="0.25"/>
    <row r="17805" s="42" customFormat="1" x14ac:dyDescent="0.25"/>
    <row r="17806" s="42" customFormat="1" x14ac:dyDescent="0.25"/>
    <row r="17807" s="42" customFormat="1" x14ac:dyDescent="0.25"/>
    <row r="17808" s="42" customFormat="1" x14ac:dyDescent="0.25"/>
    <row r="17809" s="42" customFormat="1" x14ac:dyDescent="0.25"/>
    <row r="17810" s="42" customFormat="1" x14ac:dyDescent="0.25"/>
    <row r="17811" s="42" customFormat="1" x14ac:dyDescent="0.25"/>
    <row r="17812" s="42" customFormat="1" x14ac:dyDescent="0.25"/>
    <row r="17813" s="42" customFormat="1" x14ac:dyDescent="0.25"/>
    <row r="17814" s="42" customFormat="1" x14ac:dyDescent="0.25"/>
    <row r="17815" s="42" customFormat="1" x14ac:dyDescent="0.25"/>
    <row r="17816" s="42" customFormat="1" x14ac:dyDescent="0.25"/>
    <row r="17817" s="42" customFormat="1" x14ac:dyDescent="0.25"/>
    <row r="17818" s="42" customFormat="1" x14ac:dyDescent="0.25"/>
    <row r="17819" s="42" customFormat="1" x14ac:dyDescent="0.25"/>
    <row r="17820" s="42" customFormat="1" x14ac:dyDescent="0.25"/>
    <row r="17821" s="42" customFormat="1" x14ac:dyDescent="0.25"/>
    <row r="17822" s="42" customFormat="1" x14ac:dyDescent="0.25"/>
    <row r="17823" s="42" customFormat="1" x14ac:dyDescent="0.25"/>
    <row r="17824" s="42" customFormat="1" x14ac:dyDescent="0.25"/>
    <row r="17825" s="42" customFormat="1" x14ac:dyDescent="0.25"/>
    <row r="17826" s="42" customFormat="1" x14ac:dyDescent="0.25"/>
    <row r="17827" s="42" customFormat="1" x14ac:dyDescent="0.25"/>
    <row r="17828" s="42" customFormat="1" x14ac:dyDescent="0.25"/>
    <row r="17829" s="42" customFormat="1" x14ac:dyDescent="0.25"/>
    <row r="17830" s="42" customFormat="1" x14ac:dyDescent="0.25"/>
    <row r="17831" s="42" customFormat="1" x14ac:dyDescent="0.25"/>
    <row r="17832" s="42" customFormat="1" x14ac:dyDescent="0.25"/>
    <row r="17833" s="42" customFormat="1" x14ac:dyDescent="0.25"/>
    <row r="17834" s="42" customFormat="1" x14ac:dyDescent="0.25"/>
    <row r="17835" s="42" customFormat="1" x14ac:dyDescent="0.25"/>
    <row r="17836" s="42" customFormat="1" x14ac:dyDescent="0.25"/>
    <row r="17837" s="42" customFormat="1" x14ac:dyDescent="0.25"/>
    <row r="17838" s="42" customFormat="1" x14ac:dyDescent="0.25"/>
    <row r="17839" s="42" customFormat="1" x14ac:dyDescent="0.25"/>
    <row r="17840" s="42" customFormat="1" x14ac:dyDescent="0.25"/>
    <row r="17841" s="42" customFormat="1" x14ac:dyDescent="0.25"/>
    <row r="17842" s="42" customFormat="1" x14ac:dyDescent="0.25"/>
    <row r="17843" s="42" customFormat="1" x14ac:dyDescent="0.25"/>
    <row r="17844" s="42" customFormat="1" x14ac:dyDescent="0.25"/>
    <row r="17845" s="42" customFormat="1" x14ac:dyDescent="0.25"/>
    <row r="17846" s="42" customFormat="1" x14ac:dyDescent="0.25"/>
    <row r="17847" s="42" customFormat="1" x14ac:dyDescent="0.25"/>
    <row r="17848" s="42" customFormat="1" x14ac:dyDescent="0.25"/>
    <row r="17849" s="42" customFormat="1" x14ac:dyDescent="0.25"/>
    <row r="17850" s="42" customFormat="1" x14ac:dyDescent="0.25"/>
    <row r="17851" s="42" customFormat="1" x14ac:dyDescent="0.25"/>
    <row r="17852" s="42" customFormat="1" x14ac:dyDescent="0.25"/>
    <row r="17853" s="42" customFormat="1" x14ac:dyDescent="0.25"/>
    <row r="17854" s="42" customFormat="1" x14ac:dyDescent="0.25"/>
    <row r="17855" s="42" customFormat="1" x14ac:dyDescent="0.25"/>
    <row r="17856" s="42" customFormat="1" x14ac:dyDescent="0.25"/>
    <row r="17857" s="42" customFormat="1" x14ac:dyDescent="0.25"/>
    <row r="17858" s="42" customFormat="1" x14ac:dyDescent="0.25"/>
    <row r="17859" s="42" customFormat="1" x14ac:dyDescent="0.25"/>
    <row r="17860" s="42" customFormat="1" x14ac:dyDescent="0.25"/>
    <row r="17861" s="42" customFormat="1" x14ac:dyDescent="0.25"/>
    <row r="17862" s="42" customFormat="1" x14ac:dyDescent="0.25"/>
    <row r="17863" s="42" customFormat="1" x14ac:dyDescent="0.25"/>
    <row r="17864" s="42" customFormat="1" x14ac:dyDescent="0.25"/>
    <row r="17865" s="42" customFormat="1" x14ac:dyDescent="0.25"/>
    <row r="17866" s="42" customFormat="1" x14ac:dyDescent="0.25"/>
    <row r="17867" s="42" customFormat="1" x14ac:dyDescent="0.25"/>
    <row r="17868" s="42" customFormat="1" x14ac:dyDescent="0.25"/>
    <row r="17869" s="42" customFormat="1" x14ac:dyDescent="0.25"/>
    <row r="17870" s="42" customFormat="1" x14ac:dyDescent="0.25"/>
    <row r="17871" s="42" customFormat="1" x14ac:dyDescent="0.25"/>
    <row r="17872" s="42" customFormat="1" x14ac:dyDescent="0.25"/>
    <row r="17873" s="42" customFormat="1" x14ac:dyDescent="0.25"/>
    <row r="17874" s="42" customFormat="1" x14ac:dyDescent="0.25"/>
    <row r="17875" s="42" customFormat="1" x14ac:dyDescent="0.25"/>
    <row r="17876" s="42" customFormat="1" x14ac:dyDescent="0.25"/>
    <row r="17877" s="42" customFormat="1" x14ac:dyDescent="0.25"/>
    <row r="17878" s="42" customFormat="1" x14ac:dyDescent="0.25"/>
    <row r="17879" s="42" customFormat="1" x14ac:dyDescent="0.25"/>
    <row r="17880" s="42" customFormat="1" x14ac:dyDescent="0.25"/>
    <row r="17881" s="42" customFormat="1" x14ac:dyDescent="0.25"/>
    <row r="17882" s="42" customFormat="1" x14ac:dyDescent="0.25"/>
    <row r="17883" s="42" customFormat="1" x14ac:dyDescent="0.25"/>
    <row r="17884" s="42" customFormat="1" x14ac:dyDescent="0.25"/>
    <row r="17885" s="42" customFormat="1" x14ac:dyDescent="0.25"/>
    <row r="17886" s="42" customFormat="1" x14ac:dyDescent="0.25"/>
    <row r="17887" s="42" customFormat="1" x14ac:dyDescent="0.25"/>
    <row r="17888" s="42" customFormat="1" x14ac:dyDescent="0.25"/>
    <row r="17889" s="42" customFormat="1" x14ac:dyDescent="0.25"/>
    <row r="17890" s="42" customFormat="1" x14ac:dyDescent="0.25"/>
    <row r="17891" s="42" customFormat="1" x14ac:dyDescent="0.25"/>
    <row r="17892" s="42" customFormat="1" x14ac:dyDescent="0.25"/>
    <row r="17893" s="42" customFormat="1" x14ac:dyDescent="0.25"/>
    <row r="17894" s="42" customFormat="1" x14ac:dyDescent="0.25"/>
    <row r="17895" s="42" customFormat="1" x14ac:dyDescent="0.25"/>
    <row r="17896" s="42" customFormat="1" x14ac:dyDescent="0.25"/>
    <row r="17897" s="42" customFormat="1" x14ac:dyDescent="0.25"/>
    <row r="17898" s="42" customFormat="1" x14ac:dyDescent="0.25"/>
    <row r="17899" s="42" customFormat="1" x14ac:dyDescent="0.25"/>
    <row r="17900" s="42" customFormat="1" x14ac:dyDescent="0.25"/>
    <row r="17901" s="42" customFormat="1" x14ac:dyDescent="0.25"/>
    <row r="17902" s="42" customFormat="1" x14ac:dyDescent="0.25"/>
    <row r="17903" s="42" customFormat="1" x14ac:dyDescent="0.25"/>
    <row r="17904" s="42" customFormat="1" x14ac:dyDescent="0.25"/>
    <row r="17905" s="42" customFormat="1" x14ac:dyDescent="0.25"/>
    <row r="17906" s="42" customFormat="1" x14ac:dyDescent="0.25"/>
    <row r="17907" s="42" customFormat="1" x14ac:dyDescent="0.25"/>
    <row r="17908" s="42" customFormat="1" x14ac:dyDescent="0.25"/>
    <row r="17909" s="42" customFormat="1" x14ac:dyDescent="0.25"/>
    <row r="17910" s="42" customFormat="1" x14ac:dyDescent="0.25"/>
    <row r="17911" s="42" customFormat="1" x14ac:dyDescent="0.25"/>
    <row r="17912" s="42" customFormat="1" x14ac:dyDescent="0.25"/>
    <row r="17913" s="42" customFormat="1" x14ac:dyDescent="0.25"/>
    <row r="17914" s="42" customFormat="1" x14ac:dyDescent="0.25"/>
    <row r="17915" s="42" customFormat="1" x14ac:dyDescent="0.25"/>
    <row r="17916" s="42" customFormat="1" x14ac:dyDescent="0.25"/>
    <row r="17917" s="42" customFormat="1" x14ac:dyDescent="0.25"/>
    <row r="17918" s="42" customFormat="1" x14ac:dyDescent="0.25"/>
    <row r="17919" s="42" customFormat="1" x14ac:dyDescent="0.25"/>
    <row r="17920" s="42" customFormat="1" x14ac:dyDescent="0.25"/>
    <row r="17921" s="42" customFormat="1" x14ac:dyDescent="0.25"/>
    <row r="17922" s="42" customFormat="1" x14ac:dyDescent="0.25"/>
    <row r="17923" s="42" customFormat="1" x14ac:dyDescent="0.25"/>
    <row r="17924" s="42" customFormat="1" x14ac:dyDescent="0.25"/>
    <row r="17925" s="42" customFormat="1" x14ac:dyDescent="0.25"/>
    <row r="17926" s="42" customFormat="1" x14ac:dyDescent="0.25"/>
    <row r="17927" s="42" customFormat="1" x14ac:dyDescent="0.25"/>
    <row r="17928" s="42" customFormat="1" x14ac:dyDescent="0.25"/>
    <row r="17929" s="42" customFormat="1" x14ac:dyDescent="0.25"/>
    <row r="17930" s="42" customFormat="1" x14ac:dyDescent="0.25"/>
    <row r="17931" s="42" customFormat="1" x14ac:dyDescent="0.25"/>
    <row r="17932" s="42" customFormat="1" x14ac:dyDescent="0.25"/>
    <row r="17933" s="42" customFormat="1" x14ac:dyDescent="0.25"/>
    <row r="17934" s="42" customFormat="1" x14ac:dyDescent="0.25"/>
    <row r="17935" s="42" customFormat="1" x14ac:dyDescent="0.25"/>
    <row r="17936" s="42" customFormat="1" x14ac:dyDescent="0.25"/>
    <row r="17937" s="42" customFormat="1" x14ac:dyDescent="0.25"/>
    <row r="17938" s="42" customFormat="1" x14ac:dyDescent="0.25"/>
    <row r="17939" s="42" customFormat="1" x14ac:dyDescent="0.25"/>
    <row r="17940" s="42" customFormat="1" x14ac:dyDescent="0.25"/>
    <row r="17941" s="42" customFormat="1" x14ac:dyDescent="0.25"/>
    <row r="17942" s="42" customFormat="1" x14ac:dyDescent="0.25"/>
    <row r="17943" s="42" customFormat="1" x14ac:dyDescent="0.25"/>
    <row r="17944" s="42" customFormat="1" x14ac:dyDescent="0.25"/>
    <row r="17945" s="42" customFormat="1" x14ac:dyDescent="0.25"/>
    <row r="17946" s="42" customFormat="1" x14ac:dyDescent="0.25"/>
    <row r="17947" s="42" customFormat="1" x14ac:dyDescent="0.25"/>
    <row r="17948" s="42" customFormat="1" x14ac:dyDescent="0.25"/>
    <row r="17949" s="42" customFormat="1" x14ac:dyDescent="0.25"/>
    <row r="17950" s="42" customFormat="1" x14ac:dyDescent="0.25"/>
    <row r="17951" s="42" customFormat="1" x14ac:dyDescent="0.25"/>
    <row r="17952" s="42" customFormat="1" x14ac:dyDescent="0.25"/>
    <row r="17953" s="42" customFormat="1" x14ac:dyDescent="0.25"/>
    <row r="17954" s="42" customFormat="1" x14ac:dyDescent="0.25"/>
    <row r="17955" s="42" customFormat="1" x14ac:dyDescent="0.25"/>
    <row r="17956" s="42" customFormat="1" x14ac:dyDescent="0.25"/>
    <row r="17957" s="42" customFormat="1" x14ac:dyDescent="0.25"/>
    <row r="17958" s="42" customFormat="1" x14ac:dyDescent="0.25"/>
    <row r="17959" s="42" customFormat="1" x14ac:dyDescent="0.25"/>
    <row r="17960" s="42" customFormat="1" x14ac:dyDescent="0.25"/>
    <row r="17961" s="42" customFormat="1" x14ac:dyDescent="0.25"/>
    <row r="17962" s="42" customFormat="1" x14ac:dyDescent="0.25"/>
    <row r="17963" s="42" customFormat="1" x14ac:dyDescent="0.25"/>
    <row r="17964" s="42" customFormat="1" x14ac:dyDescent="0.25"/>
    <row r="17965" s="42" customFormat="1" x14ac:dyDescent="0.25"/>
    <row r="17966" s="42" customFormat="1" x14ac:dyDescent="0.25"/>
    <row r="17967" s="42" customFormat="1" x14ac:dyDescent="0.25"/>
    <row r="17968" s="42" customFormat="1" x14ac:dyDescent="0.25"/>
    <row r="17969" s="42" customFormat="1" x14ac:dyDescent="0.25"/>
    <row r="17970" s="42" customFormat="1" x14ac:dyDescent="0.25"/>
    <row r="17971" s="42" customFormat="1" x14ac:dyDescent="0.25"/>
    <row r="17972" s="42" customFormat="1" x14ac:dyDescent="0.25"/>
    <row r="17973" s="42" customFormat="1" x14ac:dyDescent="0.25"/>
    <row r="17974" s="42" customFormat="1" x14ac:dyDescent="0.25"/>
    <row r="17975" s="42" customFormat="1" x14ac:dyDescent="0.25"/>
    <row r="17976" s="42" customFormat="1" x14ac:dyDescent="0.25"/>
    <row r="17977" s="42" customFormat="1" x14ac:dyDescent="0.25"/>
    <row r="17978" s="42" customFormat="1" x14ac:dyDescent="0.25"/>
    <row r="17979" s="42" customFormat="1" x14ac:dyDescent="0.25"/>
    <row r="17980" s="42" customFormat="1" x14ac:dyDescent="0.25"/>
    <row r="17981" s="42" customFormat="1" x14ac:dyDescent="0.25"/>
    <row r="17982" s="42" customFormat="1" x14ac:dyDescent="0.25"/>
    <row r="17983" s="42" customFormat="1" x14ac:dyDescent="0.25"/>
    <row r="17984" s="42" customFormat="1" x14ac:dyDescent="0.25"/>
    <row r="17985" s="42" customFormat="1" x14ac:dyDescent="0.25"/>
    <row r="17986" s="42" customFormat="1" x14ac:dyDescent="0.25"/>
    <row r="17987" s="42" customFormat="1" x14ac:dyDescent="0.25"/>
    <row r="17988" s="42" customFormat="1" x14ac:dyDescent="0.25"/>
    <row r="17989" s="42" customFormat="1" x14ac:dyDescent="0.25"/>
    <row r="17990" s="42" customFormat="1" x14ac:dyDescent="0.25"/>
    <row r="17991" s="42" customFormat="1" x14ac:dyDescent="0.25"/>
    <row r="17992" s="42" customFormat="1" x14ac:dyDescent="0.25"/>
    <row r="17993" s="42" customFormat="1" x14ac:dyDescent="0.25"/>
    <row r="17994" s="42" customFormat="1" x14ac:dyDescent="0.25"/>
    <row r="17995" s="42" customFormat="1" x14ac:dyDescent="0.25"/>
    <row r="17996" s="42" customFormat="1" x14ac:dyDescent="0.25"/>
    <row r="17997" s="42" customFormat="1" x14ac:dyDescent="0.25"/>
    <row r="17998" s="42" customFormat="1" x14ac:dyDescent="0.25"/>
    <row r="17999" s="42" customFormat="1" x14ac:dyDescent="0.25"/>
    <row r="18000" s="42" customFormat="1" x14ac:dyDescent="0.25"/>
    <row r="18001" s="42" customFormat="1" x14ac:dyDescent="0.25"/>
    <row r="18002" s="42" customFormat="1" x14ac:dyDescent="0.25"/>
    <row r="18003" s="42" customFormat="1" x14ac:dyDescent="0.25"/>
    <row r="18004" s="42" customFormat="1" x14ac:dyDescent="0.25"/>
    <row r="18005" s="42" customFormat="1" x14ac:dyDescent="0.25"/>
    <row r="18006" s="42" customFormat="1" x14ac:dyDescent="0.25"/>
    <row r="18007" s="42" customFormat="1" x14ac:dyDescent="0.25"/>
    <row r="18008" s="42" customFormat="1" x14ac:dyDescent="0.25"/>
    <row r="18009" s="42" customFormat="1" x14ac:dyDescent="0.25"/>
    <row r="18010" s="42" customFormat="1" x14ac:dyDescent="0.25"/>
    <row r="18011" s="42" customFormat="1" x14ac:dyDescent="0.25"/>
    <row r="18012" s="42" customFormat="1" x14ac:dyDescent="0.25"/>
    <row r="18013" s="42" customFormat="1" x14ac:dyDescent="0.25"/>
    <row r="18014" s="42" customFormat="1" x14ac:dyDescent="0.25"/>
    <row r="18015" s="42" customFormat="1" x14ac:dyDescent="0.25"/>
    <row r="18016" s="42" customFormat="1" x14ac:dyDescent="0.25"/>
    <row r="18017" s="42" customFormat="1" x14ac:dyDescent="0.25"/>
    <row r="18018" s="42" customFormat="1" x14ac:dyDescent="0.25"/>
    <row r="18019" s="42" customFormat="1" x14ac:dyDescent="0.25"/>
    <row r="18020" s="42" customFormat="1" x14ac:dyDescent="0.25"/>
    <row r="18021" s="42" customFormat="1" x14ac:dyDescent="0.25"/>
    <row r="18022" s="42" customFormat="1" x14ac:dyDescent="0.25"/>
    <row r="18023" s="42" customFormat="1" x14ac:dyDescent="0.25"/>
    <row r="18024" s="42" customFormat="1" x14ac:dyDescent="0.25"/>
    <row r="18025" s="42" customFormat="1" x14ac:dyDescent="0.25"/>
    <row r="18026" s="42" customFormat="1" x14ac:dyDescent="0.25"/>
    <row r="18027" s="42" customFormat="1" x14ac:dyDescent="0.25"/>
    <row r="18028" s="42" customFormat="1" x14ac:dyDescent="0.25"/>
    <row r="18029" s="42" customFormat="1" x14ac:dyDescent="0.25"/>
    <row r="18030" s="42" customFormat="1" x14ac:dyDescent="0.25"/>
    <row r="18031" s="42" customFormat="1" x14ac:dyDescent="0.25"/>
    <row r="18032" s="42" customFormat="1" x14ac:dyDescent="0.25"/>
    <row r="18033" s="42" customFormat="1" x14ac:dyDescent="0.25"/>
    <row r="18034" s="42" customFormat="1" x14ac:dyDescent="0.25"/>
    <row r="18035" s="42" customFormat="1" x14ac:dyDescent="0.25"/>
    <row r="18036" s="42" customFormat="1" x14ac:dyDescent="0.25"/>
    <row r="18037" s="42" customFormat="1" x14ac:dyDescent="0.25"/>
    <row r="18038" s="42" customFormat="1" x14ac:dyDescent="0.25"/>
    <row r="18039" s="42" customFormat="1" x14ac:dyDescent="0.25"/>
    <row r="18040" s="42" customFormat="1" x14ac:dyDescent="0.25"/>
    <row r="18041" s="42" customFormat="1" x14ac:dyDescent="0.25"/>
    <row r="18042" s="42" customFormat="1" x14ac:dyDescent="0.25"/>
    <row r="18043" s="42" customFormat="1" x14ac:dyDescent="0.25"/>
    <row r="18044" s="42" customFormat="1" x14ac:dyDescent="0.25"/>
    <row r="18045" s="42" customFormat="1" x14ac:dyDescent="0.25"/>
    <row r="18046" s="42" customFormat="1" x14ac:dyDescent="0.25"/>
    <row r="18047" s="42" customFormat="1" x14ac:dyDescent="0.25"/>
    <row r="18048" s="42" customFormat="1" x14ac:dyDescent="0.25"/>
    <row r="18049" s="42" customFormat="1" x14ac:dyDescent="0.25"/>
    <row r="18050" s="42" customFormat="1" x14ac:dyDescent="0.25"/>
    <row r="18051" s="42" customFormat="1" x14ac:dyDescent="0.25"/>
    <row r="18052" s="42" customFormat="1" x14ac:dyDescent="0.25"/>
    <row r="18053" s="42" customFormat="1" x14ac:dyDescent="0.25"/>
    <row r="18054" s="42" customFormat="1" x14ac:dyDescent="0.25"/>
    <row r="18055" s="42" customFormat="1" x14ac:dyDescent="0.25"/>
    <row r="18056" s="42" customFormat="1" x14ac:dyDescent="0.25"/>
    <row r="18057" s="42" customFormat="1" x14ac:dyDescent="0.25"/>
    <row r="18058" s="42" customFormat="1" x14ac:dyDescent="0.25"/>
    <row r="18059" s="42" customFormat="1" x14ac:dyDescent="0.25"/>
    <row r="18060" s="42" customFormat="1" x14ac:dyDescent="0.25"/>
    <row r="18061" s="42" customFormat="1" x14ac:dyDescent="0.25"/>
    <row r="18062" s="42" customFormat="1" x14ac:dyDescent="0.25"/>
    <row r="18063" s="42" customFormat="1" x14ac:dyDescent="0.25"/>
    <row r="18064" s="42" customFormat="1" x14ac:dyDescent="0.25"/>
    <row r="18065" s="42" customFormat="1" x14ac:dyDescent="0.25"/>
    <row r="18066" s="42" customFormat="1" x14ac:dyDescent="0.25"/>
    <row r="18067" s="42" customFormat="1" x14ac:dyDescent="0.25"/>
    <row r="18068" s="42" customFormat="1" x14ac:dyDescent="0.25"/>
    <row r="18069" s="42" customFormat="1" x14ac:dyDescent="0.25"/>
    <row r="18070" s="42" customFormat="1" x14ac:dyDescent="0.25"/>
    <row r="18071" s="42" customFormat="1" x14ac:dyDescent="0.25"/>
    <row r="18072" s="42" customFormat="1" x14ac:dyDescent="0.25"/>
    <row r="18073" s="42" customFormat="1" x14ac:dyDescent="0.25"/>
    <row r="18074" s="42" customFormat="1" x14ac:dyDescent="0.25"/>
    <row r="18075" s="42" customFormat="1" x14ac:dyDescent="0.25"/>
    <row r="18076" s="42" customFormat="1" x14ac:dyDescent="0.25"/>
    <row r="18077" s="42" customFormat="1" x14ac:dyDescent="0.25"/>
    <row r="18078" s="42" customFormat="1" x14ac:dyDescent="0.25"/>
    <row r="18079" s="42" customFormat="1" x14ac:dyDescent="0.25"/>
    <row r="18080" s="42" customFormat="1" x14ac:dyDescent="0.25"/>
    <row r="18081" s="42" customFormat="1" x14ac:dyDescent="0.25"/>
    <row r="18082" s="42" customFormat="1" x14ac:dyDescent="0.25"/>
    <row r="18083" s="42" customFormat="1" x14ac:dyDescent="0.25"/>
    <row r="18084" s="42" customFormat="1" x14ac:dyDescent="0.25"/>
    <row r="18085" s="42" customFormat="1" x14ac:dyDescent="0.25"/>
    <row r="18086" s="42" customFormat="1" x14ac:dyDescent="0.25"/>
    <row r="18087" s="42" customFormat="1" x14ac:dyDescent="0.25"/>
    <row r="18088" s="42" customFormat="1" x14ac:dyDescent="0.25"/>
    <row r="18089" s="42" customFormat="1" x14ac:dyDescent="0.25"/>
    <row r="18090" s="42" customFormat="1" x14ac:dyDescent="0.25"/>
    <row r="18091" s="42" customFormat="1" x14ac:dyDescent="0.25"/>
    <row r="18092" s="42" customFormat="1" x14ac:dyDescent="0.25"/>
    <row r="18093" s="42" customFormat="1" x14ac:dyDescent="0.25"/>
    <row r="18094" s="42" customFormat="1" x14ac:dyDescent="0.25"/>
    <row r="18095" s="42" customFormat="1" x14ac:dyDescent="0.25"/>
    <row r="18096" s="42" customFormat="1" x14ac:dyDescent="0.25"/>
    <row r="18097" s="42" customFormat="1" x14ac:dyDescent="0.25"/>
    <row r="18098" s="42" customFormat="1" x14ac:dyDescent="0.25"/>
    <row r="18099" s="42" customFormat="1" x14ac:dyDescent="0.25"/>
    <row r="18100" s="42" customFormat="1" x14ac:dyDescent="0.25"/>
    <row r="18101" s="42" customFormat="1" x14ac:dyDescent="0.25"/>
    <row r="18102" s="42" customFormat="1" x14ac:dyDescent="0.25"/>
    <row r="18103" s="42" customFormat="1" x14ac:dyDescent="0.25"/>
    <row r="18104" s="42" customFormat="1" x14ac:dyDescent="0.25"/>
    <row r="18105" s="42" customFormat="1" x14ac:dyDescent="0.25"/>
    <row r="18106" s="42" customFormat="1" x14ac:dyDescent="0.25"/>
    <row r="18107" s="42" customFormat="1" x14ac:dyDescent="0.25"/>
    <row r="18108" s="42" customFormat="1" x14ac:dyDescent="0.25"/>
    <row r="18109" s="42" customFormat="1" x14ac:dyDescent="0.25"/>
    <row r="18110" s="42" customFormat="1" x14ac:dyDescent="0.25"/>
    <row r="18111" s="42" customFormat="1" x14ac:dyDescent="0.25"/>
    <row r="18112" s="42" customFormat="1" x14ac:dyDescent="0.25"/>
    <row r="18113" s="42" customFormat="1" x14ac:dyDescent="0.25"/>
    <row r="18114" s="42" customFormat="1" x14ac:dyDescent="0.25"/>
    <row r="18115" s="42" customFormat="1" x14ac:dyDescent="0.25"/>
    <row r="18116" s="42" customFormat="1" x14ac:dyDescent="0.25"/>
    <row r="18117" s="42" customFormat="1" x14ac:dyDescent="0.25"/>
    <row r="18118" s="42" customFormat="1" x14ac:dyDescent="0.25"/>
    <row r="18119" s="42" customFormat="1" x14ac:dyDescent="0.25"/>
    <row r="18120" s="42" customFormat="1" x14ac:dyDescent="0.25"/>
    <row r="18121" s="42" customFormat="1" x14ac:dyDescent="0.25"/>
    <row r="18122" s="42" customFormat="1" x14ac:dyDescent="0.25"/>
    <row r="18123" s="42" customFormat="1" x14ac:dyDescent="0.25"/>
    <row r="18124" s="42" customFormat="1" x14ac:dyDescent="0.25"/>
    <row r="18125" s="42" customFormat="1" x14ac:dyDescent="0.25"/>
    <row r="18126" s="42" customFormat="1" x14ac:dyDescent="0.25"/>
    <row r="18127" s="42" customFormat="1" x14ac:dyDescent="0.25"/>
    <row r="18128" s="42" customFormat="1" x14ac:dyDescent="0.25"/>
    <row r="18129" s="42" customFormat="1" x14ac:dyDescent="0.25"/>
    <row r="18130" s="42" customFormat="1" x14ac:dyDescent="0.25"/>
    <row r="18131" s="42" customFormat="1" x14ac:dyDescent="0.25"/>
    <row r="18132" s="42" customFormat="1" x14ac:dyDescent="0.25"/>
    <row r="18133" s="42" customFormat="1" x14ac:dyDescent="0.25"/>
    <row r="18134" s="42" customFormat="1" x14ac:dyDescent="0.25"/>
    <row r="18135" s="42" customFormat="1" x14ac:dyDescent="0.25"/>
    <row r="18136" s="42" customFormat="1" x14ac:dyDescent="0.25"/>
    <row r="18137" s="42" customFormat="1" x14ac:dyDescent="0.25"/>
    <row r="18138" s="42" customFormat="1" x14ac:dyDescent="0.25"/>
    <row r="18139" s="42" customFormat="1" x14ac:dyDescent="0.25"/>
    <row r="18140" s="42" customFormat="1" x14ac:dyDescent="0.25"/>
    <row r="18141" s="42" customFormat="1" x14ac:dyDescent="0.25"/>
    <row r="18142" s="42" customFormat="1" x14ac:dyDescent="0.25"/>
    <row r="18143" s="42" customFormat="1" x14ac:dyDescent="0.25"/>
    <row r="18144" s="42" customFormat="1" x14ac:dyDescent="0.25"/>
    <row r="18145" s="42" customFormat="1" x14ac:dyDescent="0.25"/>
    <row r="18146" s="42" customFormat="1" x14ac:dyDescent="0.25"/>
    <row r="18147" s="42" customFormat="1" x14ac:dyDescent="0.25"/>
    <row r="18148" s="42" customFormat="1" x14ac:dyDescent="0.25"/>
    <row r="18149" s="42" customFormat="1" x14ac:dyDescent="0.25"/>
    <row r="18150" s="42" customFormat="1" x14ac:dyDescent="0.25"/>
    <row r="18151" s="42" customFormat="1" x14ac:dyDescent="0.25"/>
    <row r="18152" s="42" customFormat="1" x14ac:dyDescent="0.25"/>
    <row r="18153" s="42" customFormat="1" x14ac:dyDescent="0.25"/>
    <row r="18154" s="42" customFormat="1" x14ac:dyDescent="0.25"/>
    <row r="18155" s="42" customFormat="1" x14ac:dyDescent="0.25"/>
    <row r="18156" s="42" customFormat="1" x14ac:dyDescent="0.25"/>
    <row r="18157" s="42" customFormat="1" x14ac:dyDescent="0.25"/>
    <row r="18158" s="42" customFormat="1" x14ac:dyDescent="0.25"/>
    <row r="18159" s="42" customFormat="1" x14ac:dyDescent="0.25"/>
    <row r="18160" s="42" customFormat="1" x14ac:dyDescent="0.25"/>
    <row r="18161" s="42" customFormat="1" x14ac:dyDescent="0.25"/>
    <row r="18162" s="42" customFormat="1" x14ac:dyDescent="0.25"/>
    <row r="18163" s="42" customFormat="1" x14ac:dyDescent="0.25"/>
    <row r="18164" s="42" customFormat="1" x14ac:dyDescent="0.25"/>
    <row r="18165" s="42" customFormat="1" x14ac:dyDescent="0.25"/>
    <row r="18166" s="42" customFormat="1" x14ac:dyDescent="0.25"/>
    <row r="18167" s="42" customFormat="1" x14ac:dyDescent="0.25"/>
    <row r="18168" s="42" customFormat="1" x14ac:dyDescent="0.25"/>
    <row r="18169" s="42" customFormat="1" x14ac:dyDescent="0.25"/>
    <row r="18170" s="42" customFormat="1" x14ac:dyDescent="0.25"/>
    <row r="18171" s="42" customFormat="1" x14ac:dyDescent="0.25"/>
    <row r="18172" s="42" customFormat="1" x14ac:dyDescent="0.25"/>
    <row r="18173" s="42" customFormat="1" x14ac:dyDescent="0.25"/>
    <row r="18174" s="42" customFormat="1" x14ac:dyDescent="0.25"/>
    <row r="18175" s="42" customFormat="1" x14ac:dyDescent="0.25"/>
    <row r="18176" s="42" customFormat="1" x14ac:dyDescent="0.25"/>
    <row r="18177" s="42" customFormat="1" x14ac:dyDescent="0.25"/>
    <row r="18178" s="42" customFormat="1" x14ac:dyDescent="0.25"/>
    <row r="18179" s="42" customFormat="1" x14ac:dyDescent="0.25"/>
    <row r="18180" s="42" customFormat="1" x14ac:dyDescent="0.25"/>
    <row r="18181" s="42" customFormat="1" x14ac:dyDescent="0.25"/>
    <row r="18182" s="42" customFormat="1" x14ac:dyDescent="0.25"/>
    <row r="18183" s="42" customFormat="1" x14ac:dyDescent="0.25"/>
    <row r="18184" s="42" customFormat="1" x14ac:dyDescent="0.25"/>
    <row r="18185" s="42" customFormat="1" x14ac:dyDescent="0.25"/>
    <row r="18186" s="42" customFormat="1" x14ac:dyDescent="0.25"/>
    <row r="18187" s="42" customFormat="1" x14ac:dyDescent="0.25"/>
    <row r="18188" s="42" customFormat="1" x14ac:dyDescent="0.25"/>
    <row r="18189" s="42" customFormat="1" x14ac:dyDescent="0.25"/>
    <row r="18190" s="42" customFormat="1" x14ac:dyDescent="0.25"/>
    <row r="18191" s="42" customFormat="1" x14ac:dyDescent="0.25"/>
    <row r="18192" s="42" customFormat="1" x14ac:dyDescent="0.25"/>
    <row r="18193" s="42" customFormat="1" x14ac:dyDescent="0.25"/>
    <row r="18194" s="42" customFormat="1" x14ac:dyDescent="0.25"/>
    <row r="18195" s="42" customFormat="1" x14ac:dyDescent="0.25"/>
    <row r="18196" s="42" customFormat="1" x14ac:dyDescent="0.25"/>
    <row r="18197" s="42" customFormat="1" x14ac:dyDescent="0.25"/>
    <row r="18198" s="42" customFormat="1" x14ac:dyDescent="0.25"/>
    <row r="18199" s="42" customFormat="1" x14ac:dyDescent="0.25"/>
    <row r="18200" s="42" customFormat="1" x14ac:dyDescent="0.25"/>
    <row r="18201" s="42" customFormat="1" x14ac:dyDescent="0.25"/>
    <row r="18202" s="42" customFormat="1" x14ac:dyDescent="0.25"/>
    <row r="18203" s="42" customFormat="1" x14ac:dyDescent="0.25"/>
    <row r="18204" s="42" customFormat="1" x14ac:dyDescent="0.25"/>
    <row r="18205" s="42" customFormat="1" x14ac:dyDescent="0.25"/>
    <row r="18206" s="42" customFormat="1" x14ac:dyDescent="0.25"/>
    <row r="18207" s="42" customFormat="1" x14ac:dyDescent="0.25"/>
    <row r="18208" s="42" customFormat="1" x14ac:dyDescent="0.25"/>
    <row r="18209" s="42" customFormat="1" x14ac:dyDescent="0.25"/>
    <row r="18210" s="42" customFormat="1" x14ac:dyDescent="0.25"/>
    <row r="18211" s="42" customFormat="1" x14ac:dyDescent="0.25"/>
    <row r="18212" s="42" customFormat="1" x14ac:dyDescent="0.25"/>
    <row r="18213" s="42" customFormat="1" x14ac:dyDescent="0.25"/>
    <row r="18214" s="42" customFormat="1" x14ac:dyDescent="0.25"/>
    <row r="18215" s="42" customFormat="1" x14ac:dyDescent="0.25"/>
    <row r="18216" s="42" customFormat="1" x14ac:dyDescent="0.25"/>
    <row r="18217" s="42" customFormat="1" x14ac:dyDescent="0.25"/>
    <row r="18218" s="42" customFormat="1" x14ac:dyDescent="0.25"/>
    <row r="18219" s="42" customFormat="1" x14ac:dyDescent="0.25"/>
    <row r="18220" s="42" customFormat="1" x14ac:dyDescent="0.25"/>
    <row r="18221" s="42" customFormat="1" x14ac:dyDescent="0.25"/>
    <row r="18222" s="42" customFormat="1" x14ac:dyDescent="0.25"/>
    <row r="18223" s="42" customFormat="1" x14ac:dyDescent="0.25"/>
    <row r="18224" s="42" customFormat="1" x14ac:dyDescent="0.25"/>
    <row r="18225" s="42" customFormat="1" x14ac:dyDescent="0.25"/>
    <row r="18226" s="42" customFormat="1" x14ac:dyDescent="0.25"/>
    <row r="18227" s="42" customFormat="1" x14ac:dyDescent="0.25"/>
    <row r="18228" s="42" customFormat="1" x14ac:dyDescent="0.25"/>
    <row r="18229" s="42" customFormat="1" x14ac:dyDescent="0.25"/>
    <row r="18230" s="42" customFormat="1" x14ac:dyDescent="0.25"/>
    <row r="18231" s="42" customFormat="1" x14ac:dyDescent="0.25"/>
    <row r="18232" s="42" customFormat="1" x14ac:dyDescent="0.25"/>
    <row r="18233" s="42" customFormat="1" x14ac:dyDescent="0.25"/>
    <row r="18234" s="42" customFormat="1" x14ac:dyDescent="0.25"/>
    <row r="18235" s="42" customFormat="1" x14ac:dyDescent="0.25"/>
    <row r="18236" s="42" customFormat="1" x14ac:dyDescent="0.25"/>
    <row r="18237" s="42" customFormat="1" x14ac:dyDescent="0.25"/>
    <row r="18238" s="42" customFormat="1" x14ac:dyDescent="0.25"/>
    <row r="18239" s="42" customFormat="1" x14ac:dyDescent="0.25"/>
    <row r="18240" s="42" customFormat="1" x14ac:dyDescent="0.25"/>
    <row r="18241" s="42" customFormat="1" x14ac:dyDescent="0.25"/>
    <row r="18242" s="42" customFormat="1" x14ac:dyDescent="0.25"/>
    <row r="18243" s="42" customFormat="1" x14ac:dyDescent="0.25"/>
    <row r="18244" s="42" customFormat="1" x14ac:dyDescent="0.25"/>
    <row r="18245" s="42" customFormat="1" x14ac:dyDescent="0.25"/>
    <row r="18246" s="42" customFormat="1" x14ac:dyDescent="0.25"/>
    <row r="18247" s="42" customFormat="1" x14ac:dyDescent="0.25"/>
    <row r="18248" s="42" customFormat="1" x14ac:dyDescent="0.25"/>
    <row r="18249" s="42" customFormat="1" x14ac:dyDescent="0.25"/>
    <row r="18250" s="42" customFormat="1" x14ac:dyDescent="0.25"/>
    <row r="18251" s="42" customFormat="1" x14ac:dyDescent="0.25"/>
    <row r="18252" s="42" customFormat="1" x14ac:dyDescent="0.25"/>
    <row r="18253" s="42" customFormat="1" x14ac:dyDescent="0.25"/>
    <row r="18254" s="42" customFormat="1" x14ac:dyDescent="0.25"/>
    <row r="18255" s="42" customFormat="1" x14ac:dyDescent="0.25"/>
    <row r="18256" s="42" customFormat="1" x14ac:dyDescent="0.25"/>
    <row r="18257" s="42" customFormat="1" x14ac:dyDescent="0.25"/>
    <row r="18258" s="42" customFormat="1" x14ac:dyDescent="0.25"/>
    <row r="18259" s="42" customFormat="1" x14ac:dyDescent="0.25"/>
    <row r="18260" s="42" customFormat="1" x14ac:dyDescent="0.25"/>
    <row r="18261" s="42" customFormat="1" x14ac:dyDescent="0.25"/>
    <row r="18262" s="42" customFormat="1" x14ac:dyDescent="0.25"/>
    <row r="18263" s="42" customFormat="1" x14ac:dyDescent="0.25"/>
    <row r="18264" s="42" customFormat="1" x14ac:dyDescent="0.25"/>
    <row r="18265" s="42" customFormat="1" x14ac:dyDescent="0.25"/>
    <row r="18266" s="42" customFormat="1" x14ac:dyDescent="0.25"/>
    <row r="18267" s="42" customFormat="1" x14ac:dyDescent="0.25"/>
    <row r="18268" s="42" customFormat="1" x14ac:dyDescent="0.25"/>
    <row r="18269" s="42" customFormat="1" x14ac:dyDescent="0.25"/>
    <row r="18270" s="42" customFormat="1" x14ac:dyDescent="0.25"/>
    <row r="18271" s="42" customFormat="1" x14ac:dyDescent="0.25"/>
    <row r="18272" s="42" customFormat="1" x14ac:dyDescent="0.25"/>
    <row r="18273" s="42" customFormat="1" x14ac:dyDescent="0.25"/>
    <row r="18274" s="42" customFormat="1" x14ac:dyDescent="0.25"/>
    <row r="18275" s="42" customFormat="1" x14ac:dyDescent="0.25"/>
    <row r="18276" s="42" customFormat="1" x14ac:dyDescent="0.25"/>
    <row r="18277" s="42" customFormat="1" x14ac:dyDescent="0.25"/>
    <row r="18278" s="42" customFormat="1" x14ac:dyDescent="0.25"/>
    <row r="18279" s="42" customFormat="1" x14ac:dyDescent="0.25"/>
    <row r="18280" s="42" customFormat="1" x14ac:dyDescent="0.25"/>
    <row r="18281" s="42" customFormat="1" x14ac:dyDescent="0.25"/>
    <row r="18282" s="42" customFormat="1" x14ac:dyDescent="0.25"/>
    <row r="18283" s="42" customFormat="1" x14ac:dyDescent="0.25"/>
    <row r="18284" s="42" customFormat="1" x14ac:dyDescent="0.25"/>
    <row r="18285" s="42" customFormat="1" x14ac:dyDescent="0.25"/>
    <row r="18286" s="42" customFormat="1" x14ac:dyDescent="0.25"/>
    <row r="18287" s="42" customFormat="1" x14ac:dyDescent="0.25"/>
    <row r="18288" s="42" customFormat="1" x14ac:dyDescent="0.25"/>
    <row r="18289" s="42" customFormat="1" x14ac:dyDescent="0.25"/>
    <row r="18290" s="42" customFormat="1" x14ac:dyDescent="0.25"/>
    <row r="18291" s="42" customFormat="1" x14ac:dyDescent="0.25"/>
    <row r="18292" s="42" customFormat="1" x14ac:dyDescent="0.25"/>
    <row r="18293" s="42" customFormat="1" x14ac:dyDescent="0.25"/>
    <row r="18294" s="42" customFormat="1" x14ac:dyDescent="0.25"/>
    <row r="18295" s="42" customFormat="1" x14ac:dyDescent="0.25"/>
    <row r="18296" s="42" customFormat="1" x14ac:dyDescent="0.25"/>
    <row r="18297" s="42" customFormat="1" x14ac:dyDescent="0.25"/>
    <row r="18298" s="42" customFormat="1" x14ac:dyDescent="0.25"/>
    <row r="18299" s="42" customFormat="1" x14ac:dyDescent="0.25"/>
    <row r="18300" s="42" customFormat="1" x14ac:dyDescent="0.25"/>
    <row r="18301" s="42" customFormat="1" x14ac:dyDescent="0.25"/>
    <row r="18302" s="42" customFormat="1" x14ac:dyDescent="0.25"/>
    <row r="18303" s="42" customFormat="1" x14ac:dyDescent="0.25"/>
    <row r="18304" s="42" customFormat="1" x14ac:dyDescent="0.25"/>
    <row r="18305" s="42" customFormat="1" x14ac:dyDescent="0.25"/>
    <row r="18306" s="42" customFormat="1" x14ac:dyDescent="0.25"/>
    <row r="18307" s="42" customFormat="1" x14ac:dyDescent="0.25"/>
    <row r="18308" s="42" customFormat="1" x14ac:dyDescent="0.25"/>
    <row r="18309" s="42" customFormat="1" x14ac:dyDescent="0.25"/>
    <row r="18310" s="42" customFormat="1" x14ac:dyDescent="0.25"/>
    <row r="18311" s="42" customFormat="1" x14ac:dyDescent="0.25"/>
    <row r="18312" s="42" customFormat="1" x14ac:dyDescent="0.25"/>
    <row r="18313" s="42" customFormat="1" x14ac:dyDescent="0.25"/>
    <row r="18314" s="42" customFormat="1" x14ac:dyDescent="0.25"/>
    <row r="18315" s="42" customFormat="1" x14ac:dyDescent="0.25"/>
    <row r="18316" s="42" customFormat="1" x14ac:dyDescent="0.25"/>
    <row r="18317" s="42" customFormat="1" x14ac:dyDescent="0.25"/>
    <row r="18318" s="42" customFormat="1" x14ac:dyDescent="0.25"/>
    <row r="18319" s="42" customFormat="1" x14ac:dyDescent="0.25"/>
    <row r="18320" s="42" customFormat="1" x14ac:dyDescent="0.25"/>
    <row r="18321" s="42" customFormat="1" x14ac:dyDescent="0.25"/>
    <row r="18322" s="42" customFormat="1" x14ac:dyDescent="0.25"/>
    <row r="18323" s="42" customFormat="1" x14ac:dyDescent="0.25"/>
    <row r="18324" s="42" customFormat="1" x14ac:dyDescent="0.25"/>
    <row r="18325" s="42" customFormat="1" x14ac:dyDescent="0.25"/>
    <row r="18326" s="42" customFormat="1" x14ac:dyDescent="0.25"/>
    <row r="18327" s="42" customFormat="1" x14ac:dyDescent="0.25"/>
    <row r="18328" s="42" customFormat="1" x14ac:dyDescent="0.25"/>
    <row r="18329" s="42" customFormat="1" x14ac:dyDescent="0.25"/>
    <row r="18330" s="42" customFormat="1" x14ac:dyDescent="0.25"/>
    <row r="18331" s="42" customFormat="1" x14ac:dyDescent="0.25"/>
    <row r="18332" s="42" customFormat="1" x14ac:dyDescent="0.25"/>
    <row r="18333" s="42" customFormat="1" x14ac:dyDescent="0.25"/>
    <row r="18334" s="42" customFormat="1" x14ac:dyDescent="0.25"/>
    <row r="18335" s="42" customFormat="1" x14ac:dyDescent="0.25"/>
    <row r="18336" s="42" customFormat="1" x14ac:dyDescent="0.25"/>
    <row r="18337" s="42" customFormat="1" x14ac:dyDescent="0.25"/>
    <row r="18338" s="42" customFormat="1" x14ac:dyDescent="0.25"/>
    <row r="18339" s="42" customFormat="1" x14ac:dyDescent="0.25"/>
    <row r="18340" s="42" customFormat="1" x14ac:dyDescent="0.25"/>
    <row r="18341" s="42" customFormat="1" x14ac:dyDescent="0.25"/>
    <row r="18342" s="42" customFormat="1" x14ac:dyDescent="0.25"/>
    <row r="18343" s="42" customFormat="1" x14ac:dyDescent="0.25"/>
    <row r="18344" s="42" customFormat="1" x14ac:dyDescent="0.25"/>
    <row r="18345" s="42" customFormat="1" x14ac:dyDescent="0.25"/>
    <row r="18346" s="42" customFormat="1" x14ac:dyDescent="0.25"/>
    <row r="18347" s="42" customFormat="1" x14ac:dyDescent="0.25"/>
    <row r="18348" s="42" customFormat="1" x14ac:dyDescent="0.25"/>
    <row r="18349" s="42" customFormat="1" x14ac:dyDescent="0.25"/>
    <row r="18350" s="42" customFormat="1" x14ac:dyDescent="0.25"/>
    <row r="18351" s="42" customFormat="1" x14ac:dyDescent="0.25"/>
    <row r="18352" s="42" customFormat="1" x14ac:dyDescent="0.25"/>
    <row r="18353" s="42" customFormat="1" x14ac:dyDescent="0.25"/>
    <row r="18354" s="42" customFormat="1" x14ac:dyDescent="0.25"/>
    <row r="18355" s="42" customFormat="1" x14ac:dyDescent="0.25"/>
    <row r="18356" s="42" customFormat="1" x14ac:dyDescent="0.25"/>
    <row r="18357" s="42" customFormat="1" x14ac:dyDescent="0.25"/>
    <row r="18358" s="42" customFormat="1" x14ac:dyDescent="0.25"/>
    <row r="18359" s="42" customFormat="1" x14ac:dyDescent="0.25"/>
    <row r="18360" s="42" customFormat="1" x14ac:dyDescent="0.25"/>
    <row r="18361" s="42" customFormat="1" x14ac:dyDescent="0.25"/>
    <row r="18362" s="42" customFormat="1" x14ac:dyDescent="0.25"/>
    <row r="18363" s="42" customFormat="1" x14ac:dyDescent="0.25"/>
    <row r="18364" s="42" customFormat="1" x14ac:dyDescent="0.25"/>
    <row r="18365" s="42" customFormat="1" x14ac:dyDescent="0.25"/>
    <row r="18366" s="42" customFormat="1" x14ac:dyDescent="0.25"/>
    <row r="18367" s="42" customFormat="1" x14ac:dyDescent="0.25"/>
    <row r="18368" s="42" customFormat="1" x14ac:dyDescent="0.25"/>
    <row r="18369" s="42" customFormat="1" x14ac:dyDescent="0.25"/>
    <row r="18370" s="42" customFormat="1" x14ac:dyDescent="0.25"/>
    <row r="18371" s="42" customFormat="1" x14ac:dyDescent="0.25"/>
    <row r="18372" s="42" customFormat="1" x14ac:dyDescent="0.25"/>
    <row r="18373" s="42" customFormat="1" x14ac:dyDescent="0.25"/>
    <row r="18374" s="42" customFormat="1" x14ac:dyDescent="0.25"/>
    <row r="18375" s="42" customFormat="1" x14ac:dyDescent="0.25"/>
    <row r="18376" s="42" customFormat="1" x14ac:dyDescent="0.25"/>
    <row r="18377" s="42" customFormat="1" x14ac:dyDescent="0.25"/>
    <row r="18378" s="42" customFormat="1" x14ac:dyDescent="0.25"/>
    <row r="18379" s="42" customFormat="1" x14ac:dyDescent="0.25"/>
    <row r="18380" s="42" customFormat="1" x14ac:dyDescent="0.25"/>
    <row r="18381" s="42" customFormat="1" x14ac:dyDescent="0.25"/>
    <row r="18382" s="42" customFormat="1" x14ac:dyDescent="0.25"/>
    <row r="18383" s="42" customFormat="1" x14ac:dyDescent="0.25"/>
    <row r="18384" s="42" customFormat="1" x14ac:dyDescent="0.25"/>
    <row r="18385" s="42" customFormat="1" x14ac:dyDescent="0.25"/>
    <row r="18386" s="42" customFormat="1" x14ac:dyDescent="0.25"/>
    <row r="18387" s="42" customFormat="1" x14ac:dyDescent="0.25"/>
    <row r="18388" s="42" customFormat="1" x14ac:dyDescent="0.25"/>
    <row r="18389" s="42" customFormat="1" x14ac:dyDescent="0.25"/>
    <row r="18390" s="42" customFormat="1" x14ac:dyDescent="0.25"/>
    <row r="18391" s="42" customFormat="1" x14ac:dyDescent="0.25"/>
    <row r="18392" s="42" customFormat="1" x14ac:dyDescent="0.25"/>
    <row r="18393" s="42" customFormat="1" x14ac:dyDescent="0.25"/>
    <row r="18394" s="42" customFormat="1" x14ac:dyDescent="0.25"/>
    <row r="18395" s="42" customFormat="1" x14ac:dyDescent="0.25"/>
    <row r="18396" s="42" customFormat="1" x14ac:dyDescent="0.25"/>
    <row r="18397" s="42" customFormat="1" x14ac:dyDescent="0.25"/>
    <row r="18398" s="42" customFormat="1" x14ac:dyDescent="0.25"/>
    <row r="18399" s="42" customFormat="1" x14ac:dyDescent="0.25"/>
    <row r="18400" s="42" customFormat="1" x14ac:dyDescent="0.25"/>
    <row r="18401" s="42" customFormat="1" x14ac:dyDescent="0.25"/>
    <row r="18402" s="42" customFormat="1" x14ac:dyDescent="0.25"/>
    <row r="18403" s="42" customFormat="1" x14ac:dyDescent="0.25"/>
    <row r="18404" s="42" customFormat="1" x14ac:dyDescent="0.25"/>
    <row r="18405" s="42" customFormat="1" x14ac:dyDescent="0.25"/>
    <row r="18406" s="42" customFormat="1" x14ac:dyDescent="0.25"/>
    <row r="18407" s="42" customFormat="1" x14ac:dyDescent="0.25"/>
    <row r="18408" s="42" customFormat="1" x14ac:dyDescent="0.25"/>
    <row r="18409" s="42" customFormat="1" x14ac:dyDescent="0.25"/>
    <row r="18410" s="42" customFormat="1" x14ac:dyDescent="0.25"/>
    <row r="18411" s="42" customFormat="1" x14ac:dyDescent="0.25"/>
    <row r="18412" s="42" customFormat="1" x14ac:dyDescent="0.25"/>
    <row r="18413" s="42" customFormat="1" x14ac:dyDescent="0.25"/>
    <row r="18414" s="42" customFormat="1" x14ac:dyDescent="0.25"/>
    <row r="18415" s="42" customFormat="1" x14ac:dyDescent="0.25"/>
    <row r="18416" s="42" customFormat="1" x14ac:dyDescent="0.25"/>
    <row r="18417" s="42" customFormat="1" x14ac:dyDescent="0.25"/>
    <row r="18418" s="42" customFormat="1" x14ac:dyDescent="0.25"/>
    <row r="18419" s="42" customFormat="1" x14ac:dyDescent="0.25"/>
    <row r="18420" s="42" customFormat="1" x14ac:dyDescent="0.25"/>
    <row r="18421" s="42" customFormat="1" x14ac:dyDescent="0.25"/>
    <row r="18422" s="42" customFormat="1" x14ac:dyDescent="0.25"/>
    <row r="18423" s="42" customFormat="1" x14ac:dyDescent="0.25"/>
    <row r="18424" s="42" customFormat="1" x14ac:dyDescent="0.25"/>
    <row r="18425" s="42" customFormat="1" x14ac:dyDescent="0.25"/>
    <row r="18426" s="42" customFormat="1" x14ac:dyDescent="0.25"/>
    <row r="18427" s="42" customFormat="1" x14ac:dyDescent="0.25"/>
    <row r="18428" s="42" customFormat="1" x14ac:dyDescent="0.25"/>
    <row r="18429" s="42" customFormat="1" x14ac:dyDescent="0.25"/>
    <row r="18430" s="42" customFormat="1" x14ac:dyDescent="0.25"/>
    <row r="18431" s="42" customFormat="1" x14ac:dyDescent="0.25"/>
    <row r="18432" s="42" customFormat="1" x14ac:dyDescent="0.25"/>
    <row r="18433" s="42" customFormat="1" x14ac:dyDescent="0.25"/>
    <row r="18434" s="42" customFormat="1" x14ac:dyDescent="0.25"/>
    <row r="18435" s="42" customFormat="1" x14ac:dyDescent="0.25"/>
    <row r="18436" s="42" customFormat="1" x14ac:dyDescent="0.25"/>
    <row r="18437" s="42" customFormat="1" x14ac:dyDescent="0.25"/>
    <row r="18438" s="42" customFormat="1" x14ac:dyDescent="0.25"/>
    <row r="18439" s="42" customFormat="1" x14ac:dyDescent="0.25"/>
    <row r="18440" s="42" customFormat="1" x14ac:dyDescent="0.25"/>
    <row r="18441" s="42" customFormat="1" x14ac:dyDescent="0.25"/>
    <row r="18442" s="42" customFormat="1" x14ac:dyDescent="0.25"/>
    <row r="18443" s="42" customFormat="1" x14ac:dyDescent="0.25"/>
    <row r="18444" s="42" customFormat="1" x14ac:dyDescent="0.25"/>
    <row r="18445" s="42" customFormat="1" x14ac:dyDescent="0.25"/>
    <row r="18446" s="42" customFormat="1" x14ac:dyDescent="0.25"/>
    <row r="18447" s="42" customFormat="1" x14ac:dyDescent="0.25"/>
    <row r="18448" s="42" customFormat="1" x14ac:dyDescent="0.25"/>
    <row r="18449" s="42" customFormat="1" x14ac:dyDescent="0.25"/>
    <row r="18450" s="42" customFormat="1" x14ac:dyDescent="0.25"/>
    <row r="18451" s="42" customFormat="1" x14ac:dyDescent="0.25"/>
    <row r="18452" s="42" customFormat="1" x14ac:dyDescent="0.25"/>
    <row r="18453" s="42" customFormat="1" x14ac:dyDescent="0.25"/>
    <row r="18454" s="42" customFormat="1" x14ac:dyDescent="0.25"/>
    <row r="18455" s="42" customFormat="1" x14ac:dyDescent="0.25"/>
    <row r="18456" s="42" customFormat="1" x14ac:dyDescent="0.25"/>
    <row r="18457" s="42" customFormat="1" x14ac:dyDescent="0.25"/>
    <row r="18458" s="42" customFormat="1" x14ac:dyDescent="0.25"/>
    <row r="18459" s="42" customFormat="1" x14ac:dyDescent="0.25"/>
    <row r="18460" s="42" customFormat="1" x14ac:dyDescent="0.25"/>
    <row r="18461" s="42" customFormat="1" x14ac:dyDescent="0.25"/>
    <row r="18462" s="42" customFormat="1" x14ac:dyDescent="0.25"/>
    <row r="18463" s="42" customFormat="1" x14ac:dyDescent="0.25"/>
    <row r="18464" s="42" customFormat="1" x14ac:dyDescent="0.25"/>
    <row r="18465" s="42" customFormat="1" x14ac:dyDescent="0.25"/>
    <row r="18466" s="42" customFormat="1" x14ac:dyDescent="0.25"/>
    <row r="18467" s="42" customFormat="1" x14ac:dyDescent="0.25"/>
    <row r="18468" s="42" customFormat="1" x14ac:dyDescent="0.25"/>
    <row r="18469" s="42" customFormat="1" x14ac:dyDescent="0.25"/>
    <row r="18470" s="42" customFormat="1" x14ac:dyDescent="0.25"/>
    <row r="18471" s="42" customFormat="1" x14ac:dyDescent="0.25"/>
    <row r="18472" s="42" customFormat="1" x14ac:dyDescent="0.25"/>
    <row r="18473" s="42" customFormat="1" x14ac:dyDescent="0.25"/>
    <row r="18474" s="42" customFormat="1" x14ac:dyDescent="0.25"/>
    <row r="18475" s="42" customFormat="1" x14ac:dyDescent="0.25"/>
    <row r="18476" s="42" customFormat="1" x14ac:dyDescent="0.25"/>
    <row r="18477" s="42" customFormat="1" x14ac:dyDescent="0.25"/>
    <row r="18478" s="42" customFormat="1" x14ac:dyDescent="0.25"/>
    <row r="18479" s="42" customFormat="1" x14ac:dyDescent="0.25"/>
    <row r="18480" s="42" customFormat="1" x14ac:dyDescent="0.25"/>
    <row r="18481" s="42" customFormat="1" x14ac:dyDescent="0.25"/>
    <row r="18482" s="42" customFormat="1" x14ac:dyDescent="0.25"/>
    <row r="18483" s="42" customFormat="1" x14ac:dyDescent="0.25"/>
    <row r="18484" s="42" customFormat="1" x14ac:dyDescent="0.25"/>
    <row r="18485" s="42" customFormat="1" x14ac:dyDescent="0.25"/>
    <row r="18486" s="42" customFormat="1" x14ac:dyDescent="0.25"/>
    <row r="18487" s="42" customFormat="1" x14ac:dyDescent="0.25"/>
    <row r="18488" s="42" customFormat="1" x14ac:dyDescent="0.25"/>
    <row r="18489" s="42" customFormat="1" x14ac:dyDescent="0.25"/>
    <row r="18490" s="42" customFormat="1" x14ac:dyDescent="0.25"/>
    <row r="18491" s="42" customFormat="1" x14ac:dyDescent="0.25"/>
    <row r="18492" s="42" customFormat="1" x14ac:dyDescent="0.25"/>
    <row r="18493" s="42" customFormat="1" x14ac:dyDescent="0.25"/>
    <row r="18494" s="42" customFormat="1" x14ac:dyDescent="0.25"/>
    <row r="18495" s="42" customFormat="1" x14ac:dyDescent="0.25"/>
    <row r="18496" s="42" customFormat="1" x14ac:dyDescent="0.25"/>
    <row r="18497" s="42" customFormat="1" x14ac:dyDescent="0.25"/>
    <row r="18498" s="42" customFormat="1" x14ac:dyDescent="0.25"/>
    <row r="18499" s="42" customFormat="1" x14ac:dyDescent="0.25"/>
    <row r="18500" s="42" customFormat="1" x14ac:dyDescent="0.25"/>
    <row r="18501" s="42" customFormat="1" x14ac:dyDescent="0.25"/>
    <row r="18502" s="42" customFormat="1" x14ac:dyDescent="0.25"/>
    <row r="18503" s="42" customFormat="1" x14ac:dyDescent="0.25"/>
    <row r="18504" s="42" customFormat="1" x14ac:dyDescent="0.25"/>
    <row r="18505" s="42" customFormat="1" x14ac:dyDescent="0.25"/>
    <row r="18506" s="42" customFormat="1" x14ac:dyDescent="0.25"/>
    <row r="18507" s="42" customFormat="1" x14ac:dyDescent="0.25"/>
    <row r="18508" s="42" customFormat="1" x14ac:dyDescent="0.25"/>
    <row r="18509" s="42" customFormat="1" x14ac:dyDescent="0.25"/>
    <row r="18510" s="42" customFormat="1" x14ac:dyDescent="0.25"/>
    <row r="18511" s="42" customFormat="1" x14ac:dyDescent="0.25"/>
    <row r="18512" s="42" customFormat="1" x14ac:dyDescent="0.25"/>
    <row r="18513" s="42" customFormat="1" x14ac:dyDescent="0.25"/>
    <row r="18514" s="42" customFormat="1" x14ac:dyDescent="0.25"/>
    <row r="18515" s="42" customFormat="1" x14ac:dyDescent="0.25"/>
    <row r="18516" s="42" customFormat="1" x14ac:dyDescent="0.25"/>
    <row r="18517" s="42" customFormat="1" x14ac:dyDescent="0.25"/>
    <row r="18518" s="42" customFormat="1" x14ac:dyDescent="0.25"/>
    <row r="18519" s="42" customFormat="1" x14ac:dyDescent="0.25"/>
    <row r="18520" s="42" customFormat="1" x14ac:dyDescent="0.25"/>
    <row r="18521" s="42" customFormat="1" x14ac:dyDescent="0.25"/>
    <row r="18522" s="42" customFormat="1" x14ac:dyDescent="0.25"/>
    <row r="18523" s="42" customFormat="1" x14ac:dyDescent="0.25"/>
    <row r="18524" s="42" customFormat="1" x14ac:dyDescent="0.25"/>
    <row r="18525" s="42" customFormat="1" x14ac:dyDescent="0.25"/>
    <row r="18526" s="42" customFormat="1" x14ac:dyDescent="0.25"/>
    <row r="18527" s="42" customFormat="1" x14ac:dyDescent="0.25"/>
    <row r="18528" s="42" customFormat="1" x14ac:dyDescent="0.25"/>
    <row r="18529" s="42" customFormat="1" x14ac:dyDescent="0.25"/>
    <row r="18530" s="42" customFormat="1" x14ac:dyDescent="0.25"/>
    <row r="18531" s="42" customFormat="1" x14ac:dyDescent="0.25"/>
    <row r="18532" s="42" customFormat="1" x14ac:dyDescent="0.25"/>
    <row r="18533" s="42" customFormat="1" x14ac:dyDescent="0.25"/>
    <row r="18534" s="42" customFormat="1" x14ac:dyDescent="0.25"/>
    <row r="18535" s="42" customFormat="1" x14ac:dyDescent="0.25"/>
    <row r="18536" s="42" customFormat="1" x14ac:dyDescent="0.25"/>
    <row r="18537" s="42" customFormat="1" x14ac:dyDescent="0.25"/>
    <row r="18538" s="42" customFormat="1" x14ac:dyDescent="0.25"/>
    <row r="18539" s="42" customFormat="1" x14ac:dyDescent="0.25"/>
    <row r="18540" s="42" customFormat="1" x14ac:dyDescent="0.25"/>
    <row r="18541" s="42" customFormat="1" x14ac:dyDescent="0.25"/>
    <row r="18542" s="42" customFormat="1" x14ac:dyDescent="0.25"/>
    <row r="18543" s="42" customFormat="1" x14ac:dyDescent="0.25"/>
    <row r="18544" s="42" customFormat="1" x14ac:dyDescent="0.25"/>
    <row r="18545" s="42" customFormat="1" x14ac:dyDescent="0.25"/>
    <row r="18546" s="42" customFormat="1" x14ac:dyDescent="0.25"/>
    <row r="18547" s="42" customFormat="1" x14ac:dyDescent="0.25"/>
    <row r="18548" s="42" customFormat="1" x14ac:dyDescent="0.25"/>
    <row r="18549" s="42" customFormat="1" x14ac:dyDescent="0.25"/>
    <row r="18550" s="42" customFormat="1" x14ac:dyDescent="0.25"/>
    <row r="18551" s="42" customFormat="1" x14ac:dyDescent="0.25"/>
    <row r="18552" s="42" customFormat="1" x14ac:dyDescent="0.25"/>
    <row r="18553" s="42" customFormat="1" x14ac:dyDescent="0.25"/>
    <row r="18554" s="42" customFormat="1" x14ac:dyDescent="0.25"/>
    <row r="18555" s="42" customFormat="1" x14ac:dyDescent="0.25"/>
    <row r="18556" s="42" customFormat="1" x14ac:dyDescent="0.25"/>
    <row r="18557" s="42" customFormat="1" x14ac:dyDescent="0.25"/>
    <row r="18558" s="42" customFormat="1" x14ac:dyDescent="0.25"/>
    <row r="18559" s="42" customFormat="1" x14ac:dyDescent="0.25"/>
    <row r="18560" s="42" customFormat="1" x14ac:dyDescent="0.25"/>
    <row r="18561" s="42" customFormat="1" x14ac:dyDescent="0.25"/>
    <row r="18562" s="42" customFormat="1" x14ac:dyDescent="0.25"/>
    <row r="18563" s="42" customFormat="1" x14ac:dyDescent="0.25"/>
    <row r="18564" s="42" customFormat="1" x14ac:dyDescent="0.25"/>
    <row r="18565" s="42" customFormat="1" x14ac:dyDescent="0.25"/>
    <row r="18566" s="42" customFormat="1" x14ac:dyDescent="0.25"/>
    <row r="18567" s="42" customFormat="1" x14ac:dyDescent="0.25"/>
    <row r="18568" s="42" customFormat="1" x14ac:dyDescent="0.25"/>
    <row r="18569" s="42" customFormat="1" x14ac:dyDescent="0.25"/>
    <row r="18570" s="42" customFormat="1" x14ac:dyDescent="0.25"/>
    <row r="18571" s="42" customFormat="1" x14ac:dyDescent="0.25"/>
    <row r="18572" s="42" customFormat="1" x14ac:dyDescent="0.25"/>
    <row r="18573" s="42" customFormat="1" x14ac:dyDescent="0.25"/>
    <row r="18574" s="42" customFormat="1" x14ac:dyDescent="0.25"/>
    <row r="18575" s="42" customFormat="1" x14ac:dyDescent="0.25"/>
    <row r="18576" s="42" customFormat="1" x14ac:dyDescent="0.25"/>
    <row r="18577" s="42" customFormat="1" x14ac:dyDescent="0.25"/>
    <row r="18578" s="42" customFormat="1" x14ac:dyDescent="0.25"/>
    <row r="18579" s="42" customFormat="1" x14ac:dyDescent="0.25"/>
    <row r="18580" s="42" customFormat="1" x14ac:dyDescent="0.25"/>
    <row r="18581" s="42" customFormat="1" x14ac:dyDescent="0.25"/>
    <row r="18582" s="42" customFormat="1" x14ac:dyDescent="0.25"/>
    <row r="18583" s="42" customFormat="1" x14ac:dyDescent="0.25"/>
    <row r="18584" s="42" customFormat="1" x14ac:dyDescent="0.25"/>
    <row r="18585" s="42" customFormat="1" x14ac:dyDescent="0.25"/>
    <row r="18586" s="42" customFormat="1" x14ac:dyDescent="0.25"/>
    <row r="18587" s="42" customFormat="1" x14ac:dyDescent="0.25"/>
    <row r="18588" s="42" customFormat="1" x14ac:dyDescent="0.25"/>
    <row r="18589" s="42" customFormat="1" x14ac:dyDescent="0.25"/>
    <row r="18590" s="42" customFormat="1" x14ac:dyDescent="0.25"/>
    <row r="18591" s="42" customFormat="1" x14ac:dyDescent="0.25"/>
    <row r="18592" s="42" customFormat="1" x14ac:dyDescent="0.25"/>
    <row r="18593" s="42" customFormat="1" x14ac:dyDescent="0.25"/>
    <row r="18594" s="42" customFormat="1" x14ac:dyDescent="0.25"/>
    <row r="18595" s="42" customFormat="1" x14ac:dyDescent="0.25"/>
    <row r="18596" s="42" customFormat="1" x14ac:dyDescent="0.25"/>
    <row r="18597" s="42" customFormat="1" x14ac:dyDescent="0.25"/>
    <row r="18598" s="42" customFormat="1" x14ac:dyDescent="0.25"/>
    <row r="18599" s="42" customFormat="1" x14ac:dyDescent="0.25"/>
    <row r="18600" s="42" customFormat="1" x14ac:dyDescent="0.25"/>
    <row r="18601" s="42" customFormat="1" x14ac:dyDescent="0.25"/>
    <row r="18602" s="42" customFormat="1" x14ac:dyDescent="0.25"/>
    <row r="18603" s="42" customFormat="1" x14ac:dyDescent="0.25"/>
    <row r="18604" s="42" customFormat="1" x14ac:dyDescent="0.25"/>
    <row r="18605" s="42" customFormat="1" x14ac:dyDescent="0.25"/>
    <row r="18606" s="42" customFormat="1" x14ac:dyDescent="0.25"/>
    <row r="18607" s="42" customFormat="1" x14ac:dyDescent="0.25"/>
    <row r="18608" s="42" customFormat="1" x14ac:dyDescent="0.25"/>
    <row r="18609" s="42" customFormat="1" x14ac:dyDescent="0.25"/>
    <row r="18610" s="42" customFormat="1" x14ac:dyDescent="0.25"/>
    <row r="18611" s="42" customFormat="1" x14ac:dyDescent="0.25"/>
    <row r="18612" s="42" customFormat="1" x14ac:dyDescent="0.25"/>
    <row r="18613" s="42" customFormat="1" x14ac:dyDescent="0.25"/>
    <row r="18614" s="42" customFormat="1" x14ac:dyDescent="0.25"/>
    <row r="18615" s="42" customFormat="1" x14ac:dyDescent="0.25"/>
    <row r="18616" s="42" customFormat="1" x14ac:dyDescent="0.25"/>
    <row r="18617" s="42" customFormat="1" x14ac:dyDescent="0.25"/>
    <row r="18618" s="42" customFormat="1" x14ac:dyDescent="0.25"/>
    <row r="18619" s="42" customFormat="1" x14ac:dyDescent="0.25"/>
    <row r="18620" s="42" customFormat="1" x14ac:dyDescent="0.25"/>
    <row r="18621" s="42" customFormat="1" x14ac:dyDescent="0.25"/>
    <row r="18622" s="42" customFormat="1" x14ac:dyDescent="0.25"/>
    <row r="18623" s="42" customFormat="1" x14ac:dyDescent="0.25"/>
    <row r="18624" s="42" customFormat="1" x14ac:dyDescent="0.25"/>
    <row r="18625" s="42" customFormat="1" x14ac:dyDescent="0.25"/>
    <row r="18626" s="42" customFormat="1" x14ac:dyDescent="0.25"/>
    <row r="18627" s="42" customFormat="1" x14ac:dyDescent="0.25"/>
    <row r="18628" s="42" customFormat="1" x14ac:dyDescent="0.25"/>
    <row r="18629" s="42" customFormat="1" x14ac:dyDescent="0.25"/>
    <row r="18630" s="42" customFormat="1" x14ac:dyDescent="0.25"/>
    <row r="18631" s="42" customFormat="1" x14ac:dyDescent="0.25"/>
    <row r="18632" s="42" customFormat="1" x14ac:dyDescent="0.25"/>
    <row r="18633" s="42" customFormat="1" x14ac:dyDescent="0.25"/>
    <row r="18634" s="42" customFormat="1" x14ac:dyDescent="0.25"/>
    <row r="18635" s="42" customFormat="1" x14ac:dyDescent="0.25"/>
    <row r="18636" s="42" customFormat="1" x14ac:dyDescent="0.25"/>
    <row r="18637" s="42" customFormat="1" x14ac:dyDescent="0.25"/>
    <row r="18638" s="42" customFormat="1" x14ac:dyDescent="0.25"/>
    <row r="18639" s="42" customFormat="1" x14ac:dyDescent="0.25"/>
    <row r="18640" s="42" customFormat="1" x14ac:dyDescent="0.25"/>
    <row r="18641" s="42" customFormat="1" x14ac:dyDescent="0.25"/>
    <row r="18642" s="42" customFormat="1" x14ac:dyDescent="0.25"/>
    <row r="18643" s="42" customFormat="1" x14ac:dyDescent="0.25"/>
    <row r="18644" s="42" customFormat="1" x14ac:dyDescent="0.25"/>
    <row r="18645" s="42" customFormat="1" x14ac:dyDescent="0.25"/>
    <row r="18646" s="42" customFormat="1" x14ac:dyDescent="0.25"/>
    <row r="18647" s="42" customFormat="1" x14ac:dyDescent="0.25"/>
    <row r="18648" s="42" customFormat="1" x14ac:dyDescent="0.25"/>
    <row r="18649" s="42" customFormat="1" x14ac:dyDescent="0.25"/>
    <row r="18650" s="42" customFormat="1" x14ac:dyDescent="0.25"/>
    <row r="18651" s="42" customFormat="1" x14ac:dyDescent="0.25"/>
    <row r="18652" s="42" customFormat="1" x14ac:dyDescent="0.25"/>
    <row r="18653" s="42" customFormat="1" x14ac:dyDescent="0.25"/>
    <row r="18654" s="42" customFormat="1" x14ac:dyDescent="0.25"/>
    <row r="18655" s="42" customFormat="1" x14ac:dyDescent="0.25"/>
    <row r="18656" s="42" customFormat="1" x14ac:dyDescent="0.25"/>
    <row r="18657" s="42" customFormat="1" x14ac:dyDescent="0.25"/>
    <row r="18658" s="42" customFormat="1" x14ac:dyDescent="0.25"/>
    <row r="18659" s="42" customFormat="1" x14ac:dyDescent="0.25"/>
    <row r="18660" s="42" customFormat="1" x14ac:dyDescent="0.25"/>
    <row r="18661" s="42" customFormat="1" x14ac:dyDescent="0.25"/>
    <row r="18662" s="42" customFormat="1" x14ac:dyDescent="0.25"/>
    <row r="18663" s="42" customFormat="1" x14ac:dyDescent="0.25"/>
    <row r="18664" s="42" customFormat="1" x14ac:dyDescent="0.25"/>
    <row r="18665" s="42" customFormat="1" x14ac:dyDescent="0.25"/>
    <row r="18666" s="42" customFormat="1" x14ac:dyDescent="0.25"/>
    <row r="18667" s="42" customFormat="1" x14ac:dyDescent="0.25"/>
    <row r="18668" s="42" customFormat="1" x14ac:dyDescent="0.25"/>
    <row r="18669" s="42" customFormat="1" x14ac:dyDescent="0.25"/>
    <row r="18670" s="42" customFormat="1" x14ac:dyDescent="0.25"/>
    <row r="18671" s="42" customFormat="1" x14ac:dyDescent="0.25"/>
    <row r="18672" s="42" customFormat="1" x14ac:dyDescent="0.25"/>
    <row r="18673" s="42" customFormat="1" x14ac:dyDescent="0.25"/>
    <row r="18674" s="42" customFormat="1" x14ac:dyDescent="0.25"/>
    <row r="18675" s="42" customFormat="1" x14ac:dyDescent="0.25"/>
    <row r="18676" s="42" customFormat="1" x14ac:dyDescent="0.25"/>
    <row r="18677" s="42" customFormat="1" x14ac:dyDescent="0.25"/>
    <row r="18678" s="42" customFormat="1" x14ac:dyDescent="0.25"/>
    <row r="18679" s="42" customFormat="1" x14ac:dyDescent="0.25"/>
    <row r="18680" s="42" customFormat="1" x14ac:dyDescent="0.25"/>
    <row r="18681" s="42" customFormat="1" x14ac:dyDescent="0.25"/>
    <row r="18682" s="42" customFormat="1" x14ac:dyDescent="0.25"/>
    <row r="18683" s="42" customFormat="1" x14ac:dyDescent="0.25"/>
    <row r="18684" s="42" customFormat="1" x14ac:dyDescent="0.25"/>
    <row r="18685" s="42" customFormat="1" x14ac:dyDescent="0.25"/>
    <row r="18686" s="42" customFormat="1" x14ac:dyDescent="0.25"/>
    <row r="18687" s="42" customFormat="1" x14ac:dyDescent="0.25"/>
    <row r="18688" s="42" customFormat="1" x14ac:dyDescent="0.25"/>
    <row r="18689" s="42" customFormat="1" x14ac:dyDescent="0.25"/>
    <row r="18690" s="42" customFormat="1" x14ac:dyDescent="0.25"/>
    <row r="18691" s="42" customFormat="1" x14ac:dyDescent="0.25"/>
    <row r="18692" s="42" customFormat="1" x14ac:dyDescent="0.25"/>
    <row r="18693" s="42" customFormat="1" x14ac:dyDescent="0.25"/>
    <row r="18694" s="42" customFormat="1" x14ac:dyDescent="0.25"/>
    <row r="18695" s="42" customFormat="1" x14ac:dyDescent="0.25"/>
    <row r="18696" s="42" customFormat="1" x14ac:dyDescent="0.25"/>
    <row r="18697" s="42" customFormat="1" x14ac:dyDescent="0.25"/>
    <row r="18698" s="42" customFormat="1" x14ac:dyDescent="0.25"/>
    <row r="18699" s="42" customFormat="1" x14ac:dyDescent="0.25"/>
    <row r="18700" s="42" customFormat="1" x14ac:dyDescent="0.25"/>
    <row r="18701" s="42" customFormat="1" x14ac:dyDescent="0.25"/>
    <row r="18702" s="42" customFormat="1" x14ac:dyDescent="0.25"/>
    <row r="18703" s="42" customFormat="1" x14ac:dyDescent="0.25"/>
    <row r="18704" s="42" customFormat="1" x14ac:dyDescent="0.25"/>
    <row r="18705" s="42" customFormat="1" x14ac:dyDescent="0.25"/>
    <row r="18706" s="42" customFormat="1" x14ac:dyDescent="0.25"/>
    <row r="18707" s="42" customFormat="1" x14ac:dyDescent="0.25"/>
    <row r="18708" s="42" customFormat="1" x14ac:dyDescent="0.25"/>
    <row r="18709" s="42" customFormat="1" x14ac:dyDescent="0.25"/>
    <row r="18710" s="42" customFormat="1" x14ac:dyDescent="0.25"/>
    <row r="18711" s="42" customFormat="1" x14ac:dyDescent="0.25"/>
    <row r="18712" s="42" customFormat="1" x14ac:dyDescent="0.25"/>
    <row r="18713" s="42" customFormat="1" x14ac:dyDescent="0.25"/>
    <row r="18714" s="42" customFormat="1" x14ac:dyDescent="0.25"/>
    <row r="18715" s="42" customFormat="1" x14ac:dyDescent="0.25"/>
    <row r="18716" s="42" customFormat="1" x14ac:dyDescent="0.25"/>
    <row r="18717" s="42" customFormat="1" x14ac:dyDescent="0.25"/>
    <row r="18718" s="42" customFormat="1" x14ac:dyDescent="0.25"/>
    <row r="18719" s="42" customFormat="1" x14ac:dyDescent="0.25"/>
    <row r="18720" s="42" customFormat="1" x14ac:dyDescent="0.25"/>
    <row r="18721" s="42" customFormat="1" x14ac:dyDescent="0.25"/>
    <row r="18722" s="42" customFormat="1" x14ac:dyDescent="0.25"/>
    <row r="18723" s="42" customFormat="1" x14ac:dyDescent="0.25"/>
    <row r="18724" s="42" customFormat="1" x14ac:dyDescent="0.25"/>
    <row r="18725" s="42" customFormat="1" x14ac:dyDescent="0.25"/>
    <row r="18726" s="42" customFormat="1" x14ac:dyDescent="0.25"/>
    <row r="18727" s="42" customFormat="1" x14ac:dyDescent="0.25"/>
    <row r="18728" s="42" customFormat="1" x14ac:dyDescent="0.25"/>
    <row r="18729" s="42" customFormat="1" x14ac:dyDescent="0.25"/>
    <row r="18730" s="42" customFormat="1" x14ac:dyDescent="0.25"/>
    <row r="18731" s="42" customFormat="1" x14ac:dyDescent="0.25"/>
    <row r="18732" s="42" customFormat="1" x14ac:dyDescent="0.25"/>
    <row r="18733" s="42" customFormat="1" x14ac:dyDescent="0.25"/>
    <row r="18734" s="42" customFormat="1" x14ac:dyDescent="0.25"/>
    <row r="18735" s="42" customFormat="1" x14ac:dyDescent="0.25"/>
    <row r="18736" s="42" customFormat="1" x14ac:dyDescent="0.25"/>
    <row r="18737" s="42" customFormat="1" x14ac:dyDescent="0.25"/>
    <row r="18738" s="42" customFormat="1" x14ac:dyDescent="0.25"/>
    <row r="18739" s="42" customFormat="1" x14ac:dyDescent="0.25"/>
    <row r="18740" s="42" customFormat="1" x14ac:dyDescent="0.25"/>
    <row r="18741" s="42" customFormat="1" x14ac:dyDescent="0.25"/>
    <row r="18742" s="42" customFormat="1" x14ac:dyDescent="0.25"/>
    <row r="18743" s="42" customFormat="1" x14ac:dyDescent="0.25"/>
    <row r="18744" s="42" customFormat="1" x14ac:dyDescent="0.25"/>
    <row r="18745" s="42" customFormat="1" x14ac:dyDescent="0.25"/>
    <row r="18746" s="42" customFormat="1" x14ac:dyDescent="0.25"/>
    <row r="18747" s="42" customFormat="1" x14ac:dyDescent="0.25"/>
    <row r="18748" s="42" customFormat="1" x14ac:dyDescent="0.25"/>
    <row r="18749" s="42" customFormat="1" x14ac:dyDescent="0.25"/>
    <row r="18750" s="42" customFormat="1" x14ac:dyDescent="0.25"/>
    <row r="18751" s="42" customFormat="1" x14ac:dyDescent="0.25"/>
    <row r="18752" s="42" customFormat="1" x14ac:dyDescent="0.25"/>
    <row r="18753" s="42" customFormat="1" x14ac:dyDescent="0.25"/>
    <row r="18754" s="42" customFormat="1" x14ac:dyDescent="0.25"/>
    <row r="18755" s="42" customFormat="1" x14ac:dyDescent="0.25"/>
    <row r="18756" s="42" customFormat="1" x14ac:dyDescent="0.25"/>
    <row r="18757" s="42" customFormat="1" x14ac:dyDescent="0.25"/>
    <row r="18758" s="42" customFormat="1" x14ac:dyDescent="0.25"/>
    <row r="18759" s="42" customFormat="1" x14ac:dyDescent="0.25"/>
    <row r="18760" s="42" customFormat="1" x14ac:dyDescent="0.25"/>
    <row r="18761" s="42" customFormat="1" x14ac:dyDescent="0.25"/>
    <row r="18762" s="42" customFormat="1" x14ac:dyDescent="0.25"/>
    <row r="18763" s="42" customFormat="1" x14ac:dyDescent="0.25"/>
    <row r="18764" s="42" customFormat="1" x14ac:dyDescent="0.25"/>
    <row r="18765" s="42" customFormat="1" x14ac:dyDescent="0.25"/>
    <row r="18766" s="42" customFormat="1" x14ac:dyDescent="0.25"/>
    <row r="18767" s="42" customFormat="1" x14ac:dyDescent="0.25"/>
    <row r="18768" s="42" customFormat="1" x14ac:dyDescent="0.25"/>
    <row r="18769" s="42" customFormat="1" x14ac:dyDescent="0.25"/>
    <row r="18770" s="42" customFormat="1" x14ac:dyDescent="0.25"/>
    <row r="18771" s="42" customFormat="1" x14ac:dyDescent="0.25"/>
    <row r="18772" s="42" customFormat="1" x14ac:dyDescent="0.25"/>
    <row r="18773" s="42" customFormat="1" x14ac:dyDescent="0.25"/>
    <row r="18774" s="42" customFormat="1" x14ac:dyDescent="0.25"/>
    <row r="18775" s="42" customFormat="1" x14ac:dyDescent="0.25"/>
    <row r="18776" s="42" customFormat="1" x14ac:dyDescent="0.25"/>
    <row r="18777" s="42" customFormat="1" x14ac:dyDescent="0.25"/>
    <row r="18778" s="42" customFormat="1" x14ac:dyDescent="0.25"/>
    <row r="18779" s="42" customFormat="1" x14ac:dyDescent="0.25"/>
    <row r="18780" s="42" customFormat="1" x14ac:dyDescent="0.25"/>
    <row r="18781" s="42" customFormat="1" x14ac:dyDescent="0.25"/>
    <row r="18782" s="42" customFormat="1" x14ac:dyDescent="0.25"/>
    <row r="18783" s="42" customFormat="1" x14ac:dyDescent="0.25"/>
    <row r="18784" s="42" customFormat="1" x14ac:dyDescent="0.25"/>
    <row r="18785" s="42" customFormat="1" x14ac:dyDescent="0.25"/>
    <row r="18786" s="42" customFormat="1" x14ac:dyDescent="0.25"/>
    <row r="18787" s="42" customFormat="1" x14ac:dyDescent="0.25"/>
    <row r="18788" s="42" customFormat="1" x14ac:dyDescent="0.25"/>
    <row r="18789" s="42" customFormat="1" x14ac:dyDescent="0.25"/>
    <row r="18790" s="42" customFormat="1" x14ac:dyDescent="0.25"/>
    <row r="18791" s="42" customFormat="1" x14ac:dyDescent="0.25"/>
    <row r="18792" s="42" customFormat="1" x14ac:dyDescent="0.25"/>
    <row r="18793" s="42" customFormat="1" x14ac:dyDescent="0.25"/>
    <row r="18794" s="42" customFormat="1" x14ac:dyDescent="0.25"/>
    <row r="18795" s="42" customFormat="1" x14ac:dyDescent="0.25"/>
    <row r="18796" s="42" customFormat="1" x14ac:dyDescent="0.25"/>
    <row r="18797" s="42" customFormat="1" x14ac:dyDescent="0.25"/>
    <row r="18798" s="42" customFormat="1" x14ac:dyDescent="0.25"/>
    <row r="18799" s="42" customFormat="1" x14ac:dyDescent="0.25"/>
    <row r="18800" s="42" customFormat="1" x14ac:dyDescent="0.25"/>
    <row r="18801" s="42" customFormat="1" x14ac:dyDescent="0.25"/>
    <row r="18802" s="42" customFormat="1" x14ac:dyDescent="0.25"/>
    <row r="18803" s="42" customFormat="1" x14ac:dyDescent="0.25"/>
    <row r="18804" s="42" customFormat="1" x14ac:dyDescent="0.25"/>
    <row r="18805" s="42" customFormat="1" x14ac:dyDescent="0.25"/>
    <row r="18806" s="42" customFormat="1" x14ac:dyDescent="0.25"/>
    <row r="18807" s="42" customFormat="1" x14ac:dyDescent="0.25"/>
    <row r="18808" s="42" customFormat="1" x14ac:dyDescent="0.25"/>
    <row r="18809" s="42" customFormat="1" x14ac:dyDescent="0.25"/>
    <row r="18810" s="42" customFormat="1" x14ac:dyDescent="0.25"/>
    <row r="18811" s="42" customFormat="1" x14ac:dyDescent="0.25"/>
    <row r="18812" s="42" customFormat="1" x14ac:dyDescent="0.25"/>
    <row r="18813" s="42" customFormat="1" x14ac:dyDescent="0.25"/>
    <row r="18814" s="42" customFormat="1" x14ac:dyDescent="0.25"/>
    <row r="18815" s="42" customFormat="1" x14ac:dyDescent="0.25"/>
    <row r="18816" s="42" customFormat="1" x14ac:dyDescent="0.25"/>
    <row r="18817" s="42" customFormat="1" x14ac:dyDescent="0.25"/>
    <row r="18818" s="42" customFormat="1" x14ac:dyDescent="0.25"/>
    <row r="18819" s="42" customFormat="1" x14ac:dyDescent="0.25"/>
    <row r="18820" s="42" customFormat="1" x14ac:dyDescent="0.25"/>
    <row r="18821" s="42" customFormat="1" x14ac:dyDescent="0.25"/>
    <row r="18822" s="42" customFormat="1" x14ac:dyDescent="0.25"/>
    <row r="18823" s="42" customFormat="1" x14ac:dyDescent="0.25"/>
    <row r="18824" s="42" customFormat="1" x14ac:dyDescent="0.25"/>
    <row r="18825" s="42" customFormat="1" x14ac:dyDescent="0.25"/>
    <row r="18826" s="42" customFormat="1" x14ac:dyDescent="0.25"/>
    <row r="18827" s="42" customFormat="1" x14ac:dyDescent="0.25"/>
    <row r="18828" s="42" customFormat="1" x14ac:dyDescent="0.25"/>
    <row r="18829" s="42" customFormat="1" x14ac:dyDescent="0.25"/>
    <row r="18830" s="42" customFormat="1" x14ac:dyDescent="0.25"/>
    <row r="18831" s="42" customFormat="1" x14ac:dyDescent="0.25"/>
    <row r="18832" s="42" customFormat="1" x14ac:dyDescent="0.25"/>
    <row r="18833" s="42" customFormat="1" x14ac:dyDescent="0.25"/>
    <row r="18834" s="42" customFormat="1" x14ac:dyDescent="0.25"/>
    <row r="18835" s="42" customFormat="1" x14ac:dyDescent="0.25"/>
    <row r="18836" s="42" customFormat="1" x14ac:dyDescent="0.25"/>
    <row r="18837" s="42" customFormat="1" x14ac:dyDescent="0.25"/>
    <row r="18838" s="42" customFormat="1" x14ac:dyDescent="0.25"/>
    <row r="18839" s="42" customFormat="1" x14ac:dyDescent="0.25"/>
    <row r="18840" s="42" customFormat="1" x14ac:dyDescent="0.25"/>
    <row r="18841" s="42" customFormat="1" x14ac:dyDescent="0.25"/>
    <row r="18842" s="42" customFormat="1" x14ac:dyDescent="0.25"/>
    <row r="18843" s="42" customFormat="1" x14ac:dyDescent="0.25"/>
    <row r="18844" s="42" customFormat="1" x14ac:dyDescent="0.25"/>
    <row r="18845" s="42" customFormat="1" x14ac:dyDescent="0.25"/>
    <row r="18846" s="42" customFormat="1" x14ac:dyDescent="0.25"/>
    <row r="18847" s="42" customFormat="1" x14ac:dyDescent="0.25"/>
    <row r="18848" s="42" customFormat="1" x14ac:dyDescent="0.25"/>
    <row r="18849" s="42" customFormat="1" x14ac:dyDescent="0.25"/>
    <row r="18850" s="42" customFormat="1" x14ac:dyDescent="0.25"/>
    <row r="18851" s="42" customFormat="1" x14ac:dyDescent="0.25"/>
    <row r="18852" s="42" customFormat="1" x14ac:dyDescent="0.25"/>
    <row r="18853" s="42" customFormat="1" x14ac:dyDescent="0.25"/>
    <row r="18854" s="42" customFormat="1" x14ac:dyDescent="0.25"/>
    <row r="18855" s="42" customFormat="1" x14ac:dyDescent="0.25"/>
    <row r="18856" s="42" customFormat="1" x14ac:dyDescent="0.25"/>
    <row r="18857" s="42" customFormat="1" x14ac:dyDescent="0.25"/>
    <row r="18858" s="42" customFormat="1" x14ac:dyDescent="0.25"/>
    <row r="18859" s="42" customFormat="1" x14ac:dyDescent="0.25"/>
    <row r="18860" s="42" customFormat="1" x14ac:dyDescent="0.25"/>
    <row r="18861" s="42" customFormat="1" x14ac:dyDescent="0.25"/>
    <row r="18862" s="42" customFormat="1" x14ac:dyDescent="0.25"/>
    <row r="18863" s="42" customFormat="1" x14ac:dyDescent="0.25"/>
    <row r="18864" s="42" customFormat="1" x14ac:dyDescent="0.25"/>
    <row r="18865" s="42" customFormat="1" x14ac:dyDescent="0.25"/>
    <row r="18866" s="42" customFormat="1" x14ac:dyDescent="0.25"/>
    <row r="18867" s="42" customFormat="1" x14ac:dyDescent="0.25"/>
    <row r="18868" s="42" customFormat="1" x14ac:dyDescent="0.25"/>
    <row r="18869" s="42" customFormat="1" x14ac:dyDescent="0.25"/>
    <row r="18870" s="42" customFormat="1" x14ac:dyDescent="0.25"/>
    <row r="18871" s="42" customFormat="1" x14ac:dyDescent="0.25"/>
    <row r="18872" s="42" customFormat="1" x14ac:dyDescent="0.25"/>
    <row r="18873" s="42" customFormat="1" x14ac:dyDescent="0.25"/>
    <row r="18874" s="42" customFormat="1" x14ac:dyDescent="0.25"/>
    <row r="18875" s="42" customFormat="1" x14ac:dyDescent="0.25"/>
    <row r="18876" s="42" customFormat="1" x14ac:dyDescent="0.25"/>
    <row r="18877" s="42" customFormat="1" x14ac:dyDescent="0.25"/>
    <row r="18878" s="42" customFormat="1" x14ac:dyDescent="0.25"/>
    <row r="18879" s="42" customFormat="1" x14ac:dyDescent="0.25"/>
    <row r="18880" s="42" customFormat="1" x14ac:dyDescent="0.25"/>
    <row r="18881" s="42" customFormat="1" x14ac:dyDescent="0.25"/>
    <row r="18882" s="42" customFormat="1" x14ac:dyDescent="0.25"/>
    <row r="18883" s="42" customFormat="1" x14ac:dyDescent="0.25"/>
    <row r="18884" s="42" customFormat="1" x14ac:dyDescent="0.25"/>
    <row r="18885" s="42" customFormat="1" x14ac:dyDescent="0.25"/>
    <row r="18886" s="42" customFormat="1" x14ac:dyDescent="0.25"/>
    <row r="18887" s="42" customFormat="1" x14ac:dyDescent="0.25"/>
    <row r="18888" s="42" customFormat="1" x14ac:dyDescent="0.25"/>
    <row r="18889" s="42" customFormat="1" x14ac:dyDescent="0.25"/>
    <row r="18890" s="42" customFormat="1" x14ac:dyDescent="0.25"/>
    <row r="18891" s="42" customFormat="1" x14ac:dyDescent="0.25"/>
    <row r="18892" s="42" customFormat="1" x14ac:dyDescent="0.25"/>
    <row r="18893" s="42" customFormat="1" x14ac:dyDescent="0.25"/>
    <row r="18894" s="42" customFormat="1" x14ac:dyDescent="0.25"/>
    <row r="18895" s="42" customFormat="1" x14ac:dyDescent="0.25"/>
    <row r="18896" s="42" customFormat="1" x14ac:dyDescent="0.25"/>
    <row r="18897" s="42" customFormat="1" x14ac:dyDescent="0.25"/>
    <row r="18898" s="42" customFormat="1" x14ac:dyDescent="0.25"/>
    <row r="18899" s="42" customFormat="1" x14ac:dyDescent="0.25"/>
    <row r="18900" s="42" customFormat="1" x14ac:dyDescent="0.25"/>
    <row r="18901" s="42" customFormat="1" x14ac:dyDescent="0.25"/>
    <row r="18902" s="42" customFormat="1" x14ac:dyDescent="0.25"/>
    <row r="18903" s="42" customFormat="1" x14ac:dyDescent="0.25"/>
    <row r="18904" s="42" customFormat="1" x14ac:dyDescent="0.25"/>
    <row r="18905" s="42" customFormat="1" x14ac:dyDescent="0.25"/>
    <row r="18906" s="42" customFormat="1" x14ac:dyDescent="0.25"/>
    <row r="18907" s="42" customFormat="1" x14ac:dyDescent="0.25"/>
    <row r="18908" s="42" customFormat="1" x14ac:dyDescent="0.25"/>
    <row r="18909" s="42" customFormat="1" x14ac:dyDescent="0.25"/>
    <row r="18910" s="42" customFormat="1" x14ac:dyDescent="0.25"/>
    <row r="18911" s="42" customFormat="1" x14ac:dyDescent="0.25"/>
    <row r="18912" s="42" customFormat="1" x14ac:dyDescent="0.25"/>
    <row r="18913" s="42" customFormat="1" x14ac:dyDescent="0.25"/>
    <row r="18914" s="42" customFormat="1" x14ac:dyDescent="0.25"/>
    <row r="18915" s="42" customFormat="1" x14ac:dyDescent="0.25"/>
    <row r="18916" s="42" customFormat="1" x14ac:dyDescent="0.25"/>
    <row r="18917" s="42" customFormat="1" x14ac:dyDescent="0.25"/>
    <row r="18918" s="42" customFormat="1" x14ac:dyDescent="0.25"/>
    <row r="18919" s="42" customFormat="1" x14ac:dyDescent="0.25"/>
    <row r="18920" s="42" customFormat="1" x14ac:dyDescent="0.25"/>
    <row r="18921" s="42" customFormat="1" x14ac:dyDescent="0.25"/>
    <row r="18922" s="42" customFormat="1" x14ac:dyDescent="0.25"/>
    <row r="18923" s="42" customFormat="1" x14ac:dyDescent="0.25"/>
    <row r="18924" s="42" customFormat="1" x14ac:dyDescent="0.25"/>
    <row r="18925" s="42" customFormat="1" x14ac:dyDescent="0.25"/>
    <row r="18926" s="42" customFormat="1" x14ac:dyDescent="0.25"/>
    <row r="18927" s="42" customFormat="1" x14ac:dyDescent="0.25"/>
    <row r="18928" s="42" customFormat="1" x14ac:dyDescent="0.25"/>
    <row r="18929" s="42" customFormat="1" x14ac:dyDescent="0.25"/>
    <row r="18930" s="42" customFormat="1" x14ac:dyDescent="0.25"/>
    <row r="18931" s="42" customFormat="1" x14ac:dyDescent="0.25"/>
    <row r="18932" s="42" customFormat="1" x14ac:dyDescent="0.25"/>
    <row r="18933" s="42" customFormat="1" x14ac:dyDescent="0.25"/>
    <row r="18934" s="42" customFormat="1" x14ac:dyDescent="0.25"/>
    <row r="18935" s="42" customFormat="1" x14ac:dyDescent="0.25"/>
    <row r="18936" s="42" customFormat="1" x14ac:dyDescent="0.25"/>
    <row r="18937" s="42" customFormat="1" x14ac:dyDescent="0.25"/>
    <row r="18938" s="42" customFormat="1" x14ac:dyDescent="0.25"/>
    <row r="18939" s="42" customFormat="1" x14ac:dyDescent="0.25"/>
    <row r="18940" s="42" customFormat="1" x14ac:dyDescent="0.25"/>
    <row r="18941" s="42" customFormat="1" x14ac:dyDescent="0.25"/>
    <row r="18942" s="42" customFormat="1" x14ac:dyDescent="0.25"/>
    <row r="18943" s="42" customFormat="1" x14ac:dyDescent="0.25"/>
    <row r="18944" s="42" customFormat="1" x14ac:dyDescent="0.25"/>
    <row r="18945" s="42" customFormat="1" x14ac:dyDescent="0.25"/>
    <row r="18946" s="42" customFormat="1" x14ac:dyDescent="0.25"/>
    <row r="18947" s="42" customFormat="1" x14ac:dyDescent="0.25"/>
    <row r="18948" s="42" customFormat="1" x14ac:dyDescent="0.25"/>
    <row r="18949" s="42" customFormat="1" x14ac:dyDescent="0.25"/>
    <row r="18950" s="42" customFormat="1" x14ac:dyDescent="0.25"/>
    <row r="18951" s="42" customFormat="1" x14ac:dyDescent="0.25"/>
    <row r="18952" s="42" customFormat="1" x14ac:dyDescent="0.25"/>
    <row r="18953" s="42" customFormat="1" x14ac:dyDescent="0.25"/>
    <row r="18954" s="42" customFormat="1" x14ac:dyDescent="0.25"/>
    <row r="18955" s="42" customFormat="1" x14ac:dyDescent="0.25"/>
    <row r="18956" s="42" customFormat="1" x14ac:dyDescent="0.25"/>
    <row r="18957" s="42" customFormat="1" x14ac:dyDescent="0.25"/>
    <row r="18958" s="42" customFormat="1" x14ac:dyDescent="0.25"/>
    <row r="18959" s="42" customFormat="1" x14ac:dyDescent="0.25"/>
    <row r="18960" s="42" customFormat="1" x14ac:dyDescent="0.25"/>
    <row r="18961" s="42" customFormat="1" x14ac:dyDescent="0.25"/>
    <row r="18962" s="42" customFormat="1" x14ac:dyDescent="0.25"/>
    <row r="18963" s="42" customFormat="1" x14ac:dyDescent="0.25"/>
    <row r="18964" s="42" customFormat="1" x14ac:dyDescent="0.25"/>
    <row r="18965" s="42" customFormat="1" x14ac:dyDescent="0.25"/>
    <row r="18966" s="42" customFormat="1" x14ac:dyDescent="0.25"/>
    <row r="18967" s="42" customFormat="1" x14ac:dyDescent="0.25"/>
    <row r="18968" s="42" customFormat="1" x14ac:dyDescent="0.25"/>
    <row r="18969" s="42" customFormat="1" x14ac:dyDescent="0.25"/>
    <row r="18970" s="42" customFormat="1" x14ac:dyDescent="0.25"/>
    <row r="18971" s="42" customFormat="1" x14ac:dyDescent="0.25"/>
    <row r="18972" s="42" customFormat="1" x14ac:dyDescent="0.25"/>
    <row r="18973" s="42" customFormat="1" x14ac:dyDescent="0.25"/>
    <row r="18974" s="42" customFormat="1" x14ac:dyDescent="0.25"/>
    <row r="18975" s="42" customFormat="1" x14ac:dyDescent="0.25"/>
    <row r="18976" s="42" customFormat="1" x14ac:dyDescent="0.25"/>
    <row r="18977" s="42" customFormat="1" x14ac:dyDescent="0.25"/>
    <row r="18978" s="42" customFormat="1" x14ac:dyDescent="0.25"/>
    <row r="18979" s="42" customFormat="1" x14ac:dyDescent="0.25"/>
    <row r="18980" s="42" customFormat="1" x14ac:dyDescent="0.25"/>
    <row r="18981" s="42" customFormat="1" x14ac:dyDescent="0.25"/>
    <row r="18982" s="42" customFormat="1" x14ac:dyDescent="0.25"/>
    <row r="18983" s="42" customFormat="1" x14ac:dyDescent="0.25"/>
    <row r="18984" s="42" customFormat="1" x14ac:dyDescent="0.25"/>
    <row r="18985" s="42" customFormat="1" x14ac:dyDescent="0.25"/>
    <row r="18986" s="42" customFormat="1" x14ac:dyDescent="0.25"/>
    <row r="18987" s="42" customFormat="1" x14ac:dyDescent="0.25"/>
    <row r="18988" s="42" customFormat="1" x14ac:dyDescent="0.25"/>
    <row r="18989" s="42" customFormat="1" x14ac:dyDescent="0.25"/>
    <row r="18990" s="42" customFormat="1" x14ac:dyDescent="0.25"/>
    <row r="18991" s="42" customFormat="1" x14ac:dyDescent="0.25"/>
    <row r="18992" s="42" customFormat="1" x14ac:dyDescent="0.25"/>
    <row r="18993" s="42" customFormat="1" x14ac:dyDescent="0.25"/>
    <row r="18994" s="42" customFormat="1" x14ac:dyDescent="0.25"/>
    <row r="18995" s="42" customFormat="1" x14ac:dyDescent="0.25"/>
    <row r="18996" s="42" customFormat="1" x14ac:dyDescent="0.25"/>
    <row r="18997" s="42" customFormat="1" x14ac:dyDescent="0.25"/>
    <row r="18998" s="42" customFormat="1" x14ac:dyDescent="0.25"/>
    <row r="18999" s="42" customFormat="1" x14ac:dyDescent="0.25"/>
    <row r="19000" s="42" customFormat="1" x14ac:dyDescent="0.25"/>
    <row r="19001" s="42" customFormat="1" x14ac:dyDescent="0.25"/>
    <row r="19002" s="42" customFormat="1" x14ac:dyDescent="0.25"/>
    <row r="19003" s="42" customFormat="1" x14ac:dyDescent="0.25"/>
    <row r="19004" s="42" customFormat="1" x14ac:dyDescent="0.25"/>
    <row r="19005" s="42" customFormat="1" x14ac:dyDescent="0.25"/>
    <row r="19006" s="42" customFormat="1" x14ac:dyDescent="0.25"/>
    <row r="19007" s="42" customFormat="1" x14ac:dyDescent="0.25"/>
    <row r="19008" s="42" customFormat="1" x14ac:dyDescent="0.25"/>
    <row r="19009" s="42" customFormat="1" x14ac:dyDescent="0.25"/>
    <row r="19010" s="42" customFormat="1" x14ac:dyDescent="0.25"/>
    <row r="19011" s="42" customFormat="1" x14ac:dyDescent="0.25"/>
    <row r="19012" s="42" customFormat="1" x14ac:dyDescent="0.25"/>
    <row r="19013" s="42" customFormat="1" x14ac:dyDescent="0.25"/>
    <row r="19014" s="42" customFormat="1" x14ac:dyDescent="0.25"/>
    <row r="19015" s="42" customFormat="1" x14ac:dyDescent="0.25"/>
    <row r="19016" s="42" customFormat="1" x14ac:dyDescent="0.25"/>
    <row r="19017" s="42" customFormat="1" x14ac:dyDescent="0.25"/>
    <row r="19018" s="42" customFormat="1" x14ac:dyDescent="0.25"/>
    <row r="19019" s="42" customFormat="1" x14ac:dyDescent="0.25"/>
    <row r="19020" s="42" customFormat="1" x14ac:dyDescent="0.25"/>
    <row r="19021" s="42" customFormat="1" x14ac:dyDescent="0.25"/>
    <row r="19022" s="42" customFormat="1" x14ac:dyDescent="0.25"/>
    <row r="19023" s="42" customFormat="1" x14ac:dyDescent="0.25"/>
    <row r="19024" s="42" customFormat="1" x14ac:dyDescent="0.25"/>
    <row r="19025" s="42" customFormat="1" x14ac:dyDescent="0.25"/>
    <row r="19026" s="42" customFormat="1" x14ac:dyDescent="0.25"/>
    <row r="19027" s="42" customFormat="1" x14ac:dyDescent="0.25"/>
    <row r="19028" s="42" customFormat="1" x14ac:dyDescent="0.25"/>
    <row r="19029" s="42" customFormat="1" x14ac:dyDescent="0.25"/>
    <row r="19030" s="42" customFormat="1" x14ac:dyDescent="0.25"/>
    <row r="19031" s="42" customFormat="1" x14ac:dyDescent="0.25"/>
    <row r="19032" s="42" customFormat="1" x14ac:dyDescent="0.25"/>
    <row r="19033" s="42" customFormat="1" x14ac:dyDescent="0.25"/>
    <row r="19034" s="42" customFormat="1" x14ac:dyDescent="0.25"/>
    <row r="19035" s="42" customFormat="1" x14ac:dyDescent="0.25"/>
    <row r="19036" s="42" customFormat="1" x14ac:dyDescent="0.25"/>
    <row r="19037" s="42" customFormat="1" x14ac:dyDescent="0.25"/>
    <row r="19038" s="42" customFormat="1" x14ac:dyDescent="0.25"/>
    <row r="19039" s="42" customFormat="1" x14ac:dyDescent="0.25"/>
    <row r="19040" s="42" customFormat="1" x14ac:dyDescent="0.25"/>
    <row r="19041" s="42" customFormat="1" x14ac:dyDescent="0.25"/>
    <row r="19042" s="42" customFormat="1" x14ac:dyDescent="0.25"/>
    <row r="19043" s="42" customFormat="1" x14ac:dyDescent="0.25"/>
    <row r="19044" s="42" customFormat="1" x14ac:dyDescent="0.25"/>
    <row r="19045" s="42" customFormat="1" x14ac:dyDescent="0.25"/>
    <row r="19046" s="42" customFormat="1" x14ac:dyDescent="0.25"/>
    <row r="19047" s="42" customFormat="1" x14ac:dyDescent="0.25"/>
    <row r="19048" s="42" customFormat="1" x14ac:dyDescent="0.25"/>
    <row r="19049" s="42" customFormat="1" x14ac:dyDescent="0.25"/>
    <row r="19050" s="42" customFormat="1" x14ac:dyDescent="0.25"/>
    <row r="19051" s="42" customFormat="1" x14ac:dyDescent="0.25"/>
    <row r="19052" s="42" customFormat="1" x14ac:dyDescent="0.25"/>
    <row r="19053" s="42" customFormat="1" x14ac:dyDescent="0.25"/>
    <row r="19054" s="42" customFormat="1" x14ac:dyDescent="0.25"/>
    <row r="19055" s="42" customFormat="1" x14ac:dyDescent="0.25"/>
    <row r="19056" s="42" customFormat="1" x14ac:dyDescent="0.25"/>
    <row r="19057" s="42" customFormat="1" x14ac:dyDescent="0.25"/>
    <row r="19058" s="42" customFormat="1" x14ac:dyDescent="0.25"/>
    <row r="19059" s="42" customFormat="1" x14ac:dyDescent="0.25"/>
    <row r="19060" s="42" customFormat="1" x14ac:dyDescent="0.25"/>
    <row r="19061" s="42" customFormat="1" x14ac:dyDescent="0.25"/>
    <row r="19062" s="42" customFormat="1" x14ac:dyDescent="0.25"/>
    <row r="19063" s="42" customFormat="1" x14ac:dyDescent="0.25"/>
    <row r="19064" s="42" customFormat="1" x14ac:dyDescent="0.25"/>
    <row r="19065" s="42" customFormat="1" x14ac:dyDescent="0.25"/>
    <row r="19066" s="42" customFormat="1" x14ac:dyDescent="0.25"/>
    <row r="19067" s="42" customFormat="1" x14ac:dyDescent="0.25"/>
    <row r="19068" s="42" customFormat="1" x14ac:dyDescent="0.25"/>
    <row r="19069" s="42" customFormat="1" x14ac:dyDescent="0.25"/>
    <row r="19070" s="42" customFormat="1" x14ac:dyDescent="0.25"/>
    <row r="19071" s="42" customFormat="1" x14ac:dyDescent="0.25"/>
    <row r="19072" s="42" customFormat="1" x14ac:dyDescent="0.25"/>
    <row r="19073" s="42" customFormat="1" x14ac:dyDescent="0.25"/>
    <row r="19074" s="42" customFormat="1" x14ac:dyDescent="0.25"/>
    <row r="19075" s="42" customFormat="1" x14ac:dyDescent="0.25"/>
    <row r="19076" s="42" customFormat="1" x14ac:dyDescent="0.25"/>
    <row r="19077" s="42" customFormat="1" x14ac:dyDescent="0.25"/>
    <row r="19078" s="42" customFormat="1" x14ac:dyDescent="0.25"/>
    <row r="19079" s="42" customFormat="1" x14ac:dyDescent="0.25"/>
    <row r="19080" s="42" customFormat="1" x14ac:dyDescent="0.25"/>
    <row r="19081" s="42" customFormat="1" x14ac:dyDescent="0.25"/>
    <row r="19082" s="42" customFormat="1" x14ac:dyDescent="0.25"/>
    <row r="19083" s="42" customFormat="1" x14ac:dyDescent="0.25"/>
    <row r="19084" s="42" customFormat="1" x14ac:dyDescent="0.25"/>
    <row r="19085" s="42" customFormat="1" x14ac:dyDescent="0.25"/>
    <row r="19086" s="42" customFormat="1" x14ac:dyDescent="0.25"/>
    <row r="19087" s="42" customFormat="1" x14ac:dyDescent="0.25"/>
    <row r="19088" s="42" customFormat="1" x14ac:dyDescent="0.25"/>
    <row r="19089" s="42" customFormat="1" x14ac:dyDescent="0.25"/>
    <row r="19090" s="42" customFormat="1" x14ac:dyDescent="0.25"/>
    <row r="19091" s="42" customFormat="1" x14ac:dyDescent="0.25"/>
    <row r="19092" s="42" customFormat="1" x14ac:dyDescent="0.25"/>
    <row r="19093" s="42" customFormat="1" x14ac:dyDescent="0.25"/>
    <row r="19094" s="42" customFormat="1" x14ac:dyDescent="0.25"/>
    <row r="19095" s="42" customFormat="1" x14ac:dyDescent="0.25"/>
    <row r="19096" s="42" customFormat="1" x14ac:dyDescent="0.25"/>
    <row r="19097" s="42" customFormat="1" x14ac:dyDescent="0.25"/>
    <row r="19098" s="42" customFormat="1" x14ac:dyDescent="0.25"/>
    <row r="19099" s="42" customFormat="1" x14ac:dyDescent="0.25"/>
    <row r="19100" s="42" customFormat="1" x14ac:dyDescent="0.25"/>
    <row r="19101" s="42" customFormat="1" x14ac:dyDescent="0.25"/>
    <row r="19102" s="42" customFormat="1" x14ac:dyDescent="0.25"/>
    <row r="19103" s="42" customFormat="1" x14ac:dyDescent="0.25"/>
    <row r="19104" s="42" customFormat="1" x14ac:dyDescent="0.25"/>
    <row r="19105" s="42" customFormat="1" x14ac:dyDescent="0.25"/>
    <row r="19106" s="42" customFormat="1" x14ac:dyDescent="0.25"/>
    <row r="19107" s="42" customFormat="1" x14ac:dyDescent="0.25"/>
    <row r="19108" s="42" customFormat="1" x14ac:dyDescent="0.25"/>
    <row r="19109" s="42" customFormat="1" x14ac:dyDescent="0.25"/>
    <row r="19110" s="42" customFormat="1" x14ac:dyDescent="0.25"/>
    <row r="19111" s="42" customFormat="1" x14ac:dyDescent="0.25"/>
    <row r="19112" s="42" customFormat="1" x14ac:dyDescent="0.25"/>
    <row r="19113" s="42" customFormat="1" x14ac:dyDescent="0.25"/>
    <row r="19114" s="42" customFormat="1" x14ac:dyDescent="0.25"/>
    <row r="19115" s="42" customFormat="1" x14ac:dyDescent="0.25"/>
    <row r="19116" s="42" customFormat="1" x14ac:dyDescent="0.25"/>
    <row r="19117" s="42" customFormat="1" x14ac:dyDescent="0.25"/>
    <row r="19118" s="42" customFormat="1" x14ac:dyDescent="0.25"/>
    <row r="19119" s="42" customFormat="1" x14ac:dyDescent="0.25"/>
    <row r="19120" s="42" customFormat="1" x14ac:dyDescent="0.25"/>
    <row r="19121" s="42" customFormat="1" x14ac:dyDescent="0.25"/>
    <row r="19122" s="42" customFormat="1" x14ac:dyDescent="0.25"/>
    <row r="19123" s="42" customFormat="1" x14ac:dyDescent="0.25"/>
    <row r="19124" s="42" customFormat="1" x14ac:dyDescent="0.25"/>
    <row r="19125" s="42" customFormat="1" x14ac:dyDescent="0.25"/>
    <row r="19126" s="42" customFormat="1" x14ac:dyDescent="0.25"/>
    <row r="19127" s="42" customFormat="1" x14ac:dyDescent="0.25"/>
    <row r="19128" s="42" customFormat="1" x14ac:dyDescent="0.25"/>
    <row r="19129" s="42" customFormat="1" x14ac:dyDescent="0.25"/>
    <row r="19130" s="42" customFormat="1" x14ac:dyDescent="0.25"/>
    <row r="19131" s="42" customFormat="1" x14ac:dyDescent="0.25"/>
    <row r="19132" s="42" customFormat="1" x14ac:dyDescent="0.25"/>
    <row r="19133" s="42" customFormat="1" x14ac:dyDescent="0.25"/>
    <row r="19134" s="42" customFormat="1" x14ac:dyDescent="0.25"/>
    <row r="19135" s="42" customFormat="1" x14ac:dyDescent="0.25"/>
    <row r="19136" s="42" customFormat="1" x14ac:dyDescent="0.25"/>
    <row r="19137" s="42" customFormat="1" x14ac:dyDescent="0.25"/>
    <row r="19138" s="42" customFormat="1" x14ac:dyDescent="0.25"/>
    <row r="19139" s="42" customFormat="1" x14ac:dyDescent="0.25"/>
    <row r="19140" s="42" customFormat="1" x14ac:dyDescent="0.25"/>
    <row r="19141" s="42" customFormat="1" x14ac:dyDescent="0.25"/>
    <row r="19142" s="42" customFormat="1" x14ac:dyDescent="0.25"/>
    <row r="19143" s="42" customFormat="1" x14ac:dyDescent="0.25"/>
    <row r="19144" s="42" customFormat="1" x14ac:dyDescent="0.25"/>
    <row r="19145" s="42" customFormat="1" x14ac:dyDescent="0.25"/>
    <row r="19146" s="42" customFormat="1" x14ac:dyDescent="0.25"/>
    <row r="19147" s="42" customFormat="1" x14ac:dyDescent="0.25"/>
    <row r="19148" s="42" customFormat="1" x14ac:dyDescent="0.25"/>
    <row r="19149" s="42" customFormat="1" x14ac:dyDescent="0.25"/>
    <row r="19150" s="42" customFormat="1" x14ac:dyDescent="0.25"/>
    <row r="19151" s="42" customFormat="1" x14ac:dyDescent="0.25"/>
    <row r="19152" s="42" customFormat="1" x14ac:dyDescent="0.25"/>
    <row r="19153" s="42" customFormat="1" x14ac:dyDescent="0.25"/>
    <row r="19154" s="42" customFormat="1" x14ac:dyDescent="0.25"/>
    <row r="19155" s="42" customFormat="1" x14ac:dyDescent="0.25"/>
    <row r="19156" s="42" customFormat="1" x14ac:dyDescent="0.25"/>
    <row r="19157" s="42" customFormat="1" x14ac:dyDescent="0.25"/>
    <row r="19158" s="42" customFormat="1" x14ac:dyDescent="0.25"/>
    <row r="19159" s="42" customFormat="1" x14ac:dyDescent="0.25"/>
    <row r="19160" s="42" customFormat="1" x14ac:dyDescent="0.25"/>
    <row r="19161" s="42" customFormat="1" x14ac:dyDescent="0.25"/>
    <row r="19162" s="42" customFormat="1" x14ac:dyDescent="0.25"/>
    <row r="19163" s="42" customFormat="1" x14ac:dyDescent="0.25"/>
    <row r="19164" s="42" customFormat="1" x14ac:dyDescent="0.25"/>
    <row r="19165" s="42" customFormat="1" x14ac:dyDescent="0.25"/>
    <row r="19166" s="42" customFormat="1" x14ac:dyDescent="0.25"/>
    <row r="19167" s="42" customFormat="1" x14ac:dyDescent="0.25"/>
    <row r="19168" s="42" customFormat="1" x14ac:dyDescent="0.25"/>
    <row r="19169" s="42" customFormat="1" x14ac:dyDescent="0.25"/>
    <row r="19170" s="42" customFormat="1" x14ac:dyDescent="0.25"/>
    <row r="19171" s="42" customFormat="1" x14ac:dyDescent="0.25"/>
    <row r="19172" s="42" customFormat="1" x14ac:dyDescent="0.25"/>
    <row r="19173" s="42" customFormat="1" x14ac:dyDescent="0.25"/>
    <row r="19174" s="42" customFormat="1" x14ac:dyDescent="0.25"/>
    <row r="19175" s="42" customFormat="1" x14ac:dyDescent="0.25"/>
    <row r="19176" s="42" customFormat="1" x14ac:dyDescent="0.25"/>
    <row r="19177" s="42" customFormat="1" x14ac:dyDescent="0.25"/>
    <row r="19178" s="42" customFormat="1" x14ac:dyDescent="0.25"/>
    <row r="19179" s="42" customFormat="1" x14ac:dyDescent="0.25"/>
    <row r="19180" s="42" customFormat="1" x14ac:dyDescent="0.25"/>
    <row r="19181" s="42" customFormat="1" x14ac:dyDescent="0.25"/>
    <row r="19182" s="42" customFormat="1" x14ac:dyDescent="0.25"/>
    <row r="19183" s="42" customFormat="1" x14ac:dyDescent="0.25"/>
    <row r="19184" s="42" customFormat="1" x14ac:dyDescent="0.25"/>
    <row r="19185" s="42" customFormat="1" x14ac:dyDescent="0.25"/>
    <row r="19186" s="42" customFormat="1" x14ac:dyDescent="0.25"/>
    <row r="19187" s="42" customFormat="1" x14ac:dyDescent="0.25"/>
    <row r="19188" s="42" customFormat="1" x14ac:dyDescent="0.25"/>
    <row r="19189" s="42" customFormat="1" x14ac:dyDescent="0.25"/>
    <row r="19190" s="42" customFormat="1" x14ac:dyDescent="0.25"/>
    <row r="19191" s="42" customFormat="1" x14ac:dyDescent="0.25"/>
    <row r="19192" s="42" customFormat="1" x14ac:dyDescent="0.25"/>
    <row r="19193" s="42" customFormat="1" x14ac:dyDescent="0.25"/>
    <row r="19194" s="42" customFormat="1" x14ac:dyDescent="0.25"/>
    <row r="19195" s="42" customFormat="1" x14ac:dyDescent="0.25"/>
    <row r="19196" s="42" customFormat="1" x14ac:dyDescent="0.25"/>
    <row r="19197" s="42" customFormat="1" x14ac:dyDescent="0.25"/>
    <row r="19198" s="42" customFormat="1" x14ac:dyDescent="0.25"/>
    <row r="19199" s="42" customFormat="1" x14ac:dyDescent="0.25"/>
    <row r="19200" s="42" customFormat="1" x14ac:dyDescent="0.25"/>
    <row r="19201" s="42" customFormat="1" x14ac:dyDescent="0.25"/>
    <row r="19202" s="42" customFormat="1" x14ac:dyDescent="0.25"/>
    <row r="19203" s="42" customFormat="1" x14ac:dyDescent="0.25"/>
    <row r="19204" s="42" customFormat="1" x14ac:dyDescent="0.25"/>
    <row r="19205" s="42" customFormat="1" x14ac:dyDescent="0.25"/>
    <row r="19206" s="42" customFormat="1" x14ac:dyDescent="0.25"/>
    <row r="19207" s="42" customFormat="1" x14ac:dyDescent="0.25"/>
    <row r="19208" s="42" customFormat="1" x14ac:dyDescent="0.25"/>
    <row r="19209" s="42" customFormat="1" x14ac:dyDescent="0.25"/>
    <row r="19210" s="42" customFormat="1" x14ac:dyDescent="0.25"/>
    <row r="19211" s="42" customFormat="1" x14ac:dyDescent="0.25"/>
    <row r="19212" s="42" customFormat="1" x14ac:dyDescent="0.25"/>
    <row r="19213" s="42" customFormat="1" x14ac:dyDescent="0.25"/>
    <row r="19214" s="42" customFormat="1" x14ac:dyDescent="0.25"/>
    <row r="19215" s="42" customFormat="1" x14ac:dyDescent="0.25"/>
    <row r="19216" s="42" customFormat="1" x14ac:dyDescent="0.25"/>
    <row r="19217" s="42" customFormat="1" x14ac:dyDescent="0.25"/>
    <row r="19218" s="42" customFormat="1" x14ac:dyDescent="0.25"/>
    <row r="19219" s="42" customFormat="1" x14ac:dyDescent="0.25"/>
    <row r="19220" s="42" customFormat="1" x14ac:dyDescent="0.25"/>
    <row r="19221" s="42" customFormat="1" x14ac:dyDescent="0.25"/>
    <row r="19222" s="42" customFormat="1" x14ac:dyDescent="0.25"/>
    <row r="19223" s="42" customFormat="1" x14ac:dyDescent="0.25"/>
    <row r="19224" s="42" customFormat="1" x14ac:dyDescent="0.25"/>
    <row r="19225" s="42" customFormat="1" x14ac:dyDescent="0.25"/>
    <row r="19226" s="42" customFormat="1" x14ac:dyDescent="0.25"/>
    <row r="19227" s="42" customFormat="1" x14ac:dyDescent="0.25"/>
    <row r="19228" s="42" customFormat="1" x14ac:dyDescent="0.25"/>
    <row r="19229" s="42" customFormat="1" x14ac:dyDescent="0.25"/>
    <row r="19230" s="42" customFormat="1" x14ac:dyDescent="0.25"/>
    <row r="19231" s="42" customFormat="1" x14ac:dyDescent="0.25"/>
    <row r="19232" s="42" customFormat="1" x14ac:dyDescent="0.25"/>
    <row r="19233" s="42" customFormat="1" x14ac:dyDescent="0.25"/>
    <row r="19234" s="42" customFormat="1" x14ac:dyDescent="0.25"/>
    <row r="19235" s="42" customFormat="1" x14ac:dyDescent="0.25"/>
    <row r="19236" s="42" customFormat="1" x14ac:dyDescent="0.25"/>
    <row r="19237" s="42" customFormat="1" x14ac:dyDescent="0.25"/>
    <row r="19238" s="42" customFormat="1" x14ac:dyDescent="0.25"/>
    <row r="19239" s="42" customFormat="1" x14ac:dyDescent="0.25"/>
    <row r="19240" s="42" customFormat="1" x14ac:dyDescent="0.25"/>
    <row r="19241" s="42" customFormat="1" x14ac:dyDescent="0.25"/>
    <row r="19242" s="42" customFormat="1" x14ac:dyDescent="0.25"/>
    <row r="19243" s="42" customFormat="1" x14ac:dyDescent="0.25"/>
    <row r="19244" s="42" customFormat="1" x14ac:dyDescent="0.25"/>
    <row r="19245" s="42" customFormat="1" x14ac:dyDescent="0.25"/>
    <row r="19246" s="42" customFormat="1" x14ac:dyDescent="0.25"/>
    <row r="19247" s="42" customFormat="1" x14ac:dyDescent="0.25"/>
    <row r="19248" s="42" customFormat="1" x14ac:dyDescent="0.25"/>
    <row r="19249" s="42" customFormat="1" x14ac:dyDescent="0.25"/>
    <row r="19250" s="42" customFormat="1" x14ac:dyDescent="0.25"/>
    <row r="19251" s="42" customFormat="1" x14ac:dyDescent="0.25"/>
    <row r="19252" s="42" customFormat="1" x14ac:dyDescent="0.25"/>
    <row r="19253" s="42" customFormat="1" x14ac:dyDescent="0.25"/>
    <row r="19254" s="42" customFormat="1" x14ac:dyDescent="0.25"/>
    <row r="19255" s="42" customFormat="1" x14ac:dyDescent="0.25"/>
    <row r="19256" s="42" customFormat="1" x14ac:dyDescent="0.25"/>
    <row r="19257" s="42" customFormat="1" x14ac:dyDescent="0.25"/>
    <row r="19258" s="42" customFormat="1" x14ac:dyDescent="0.25"/>
    <row r="19259" s="42" customFormat="1" x14ac:dyDescent="0.25"/>
    <row r="19260" s="42" customFormat="1" x14ac:dyDescent="0.25"/>
    <row r="19261" s="42" customFormat="1" x14ac:dyDescent="0.25"/>
    <row r="19262" s="42" customFormat="1" x14ac:dyDescent="0.25"/>
    <row r="19263" s="42" customFormat="1" x14ac:dyDescent="0.25"/>
    <row r="19264" s="42" customFormat="1" x14ac:dyDescent="0.25"/>
    <row r="19265" s="42" customFormat="1" x14ac:dyDescent="0.25"/>
    <row r="19266" s="42" customFormat="1" x14ac:dyDescent="0.25"/>
    <row r="19267" s="42" customFormat="1" x14ac:dyDescent="0.25"/>
    <row r="19268" s="42" customFormat="1" x14ac:dyDescent="0.25"/>
    <row r="19269" s="42" customFormat="1" x14ac:dyDescent="0.25"/>
    <row r="19270" s="42" customFormat="1" x14ac:dyDescent="0.25"/>
    <row r="19271" s="42" customFormat="1" x14ac:dyDescent="0.25"/>
    <row r="19272" s="42" customFormat="1" x14ac:dyDescent="0.25"/>
    <row r="19273" s="42" customFormat="1" x14ac:dyDescent="0.25"/>
    <row r="19274" s="42" customFormat="1" x14ac:dyDescent="0.25"/>
    <row r="19275" s="42" customFormat="1" x14ac:dyDescent="0.25"/>
    <row r="19276" s="42" customFormat="1" x14ac:dyDescent="0.25"/>
    <row r="19277" s="42" customFormat="1" x14ac:dyDescent="0.25"/>
    <row r="19278" s="42" customFormat="1" x14ac:dyDescent="0.25"/>
    <row r="19279" s="42" customFormat="1" x14ac:dyDescent="0.25"/>
    <row r="19280" s="42" customFormat="1" x14ac:dyDescent="0.25"/>
    <row r="19281" s="42" customFormat="1" x14ac:dyDescent="0.25"/>
    <row r="19282" s="42" customFormat="1" x14ac:dyDescent="0.25"/>
    <row r="19283" s="42" customFormat="1" x14ac:dyDescent="0.25"/>
    <row r="19284" s="42" customFormat="1" x14ac:dyDescent="0.25"/>
    <row r="19285" s="42" customFormat="1" x14ac:dyDescent="0.25"/>
    <row r="19286" s="42" customFormat="1" x14ac:dyDescent="0.25"/>
    <row r="19287" s="42" customFormat="1" x14ac:dyDescent="0.25"/>
    <row r="19288" s="42" customFormat="1" x14ac:dyDescent="0.25"/>
    <row r="19289" s="42" customFormat="1" x14ac:dyDescent="0.25"/>
    <row r="19290" s="42" customFormat="1" x14ac:dyDescent="0.25"/>
    <row r="19291" s="42" customFormat="1" x14ac:dyDescent="0.25"/>
    <row r="19292" s="42" customFormat="1" x14ac:dyDescent="0.25"/>
    <row r="19293" s="42" customFormat="1" x14ac:dyDescent="0.25"/>
    <row r="19294" s="42" customFormat="1" x14ac:dyDescent="0.25"/>
    <row r="19295" s="42" customFormat="1" x14ac:dyDescent="0.25"/>
    <row r="19296" s="42" customFormat="1" x14ac:dyDescent="0.25"/>
    <row r="19297" s="42" customFormat="1" x14ac:dyDescent="0.25"/>
    <row r="19298" s="42" customFormat="1" x14ac:dyDescent="0.25"/>
    <row r="19299" s="42" customFormat="1" x14ac:dyDescent="0.25"/>
    <row r="19300" s="42" customFormat="1" x14ac:dyDescent="0.25"/>
    <row r="19301" s="42" customFormat="1" x14ac:dyDescent="0.25"/>
    <row r="19302" s="42" customFormat="1" x14ac:dyDescent="0.25"/>
    <row r="19303" s="42" customFormat="1" x14ac:dyDescent="0.25"/>
    <row r="19304" s="42" customFormat="1" x14ac:dyDescent="0.25"/>
    <row r="19305" s="42" customFormat="1" x14ac:dyDescent="0.25"/>
    <row r="19306" s="42" customFormat="1" x14ac:dyDescent="0.25"/>
    <row r="19307" s="42" customFormat="1" x14ac:dyDescent="0.25"/>
    <row r="19308" s="42" customFormat="1" x14ac:dyDescent="0.25"/>
    <row r="19309" s="42" customFormat="1" x14ac:dyDescent="0.25"/>
    <row r="19310" s="42" customFormat="1" x14ac:dyDescent="0.25"/>
    <row r="19311" s="42" customFormat="1" x14ac:dyDescent="0.25"/>
    <row r="19312" s="42" customFormat="1" x14ac:dyDescent="0.25"/>
    <row r="19313" s="42" customFormat="1" x14ac:dyDescent="0.25"/>
    <row r="19314" s="42" customFormat="1" x14ac:dyDescent="0.25"/>
    <row r="19315" s="42" customFormat="1" x14ac:dyDescent="0.25"/>
    <row r="19316" s="42" customFormat="1" x14ac:dyDescent="0.25"/>
    <row r="19317" s="42" customFormat="1" x14ac:dyDescent="0.25"/>
    <row r="19318" s="42" customFormat="1" x14ac:dyDescent="0.25"/>
    <row r="19319" s="42" customFormat="1" x14ac:dyDescent="0.25"/>
    <row r="19320" s="42" customFormat="1" x14ac:dyDescent="0.25"/>
    <row r="19321" s="42" customFormat="1" x14ac:dyDescent="0.25"/>
    <row r="19322" s="42" customFormat="1" x14ac:dyDescent="0.25"/>
    <row r="19323" s="42" customFormat="1" x14ac:dyDescent="0.25"/>
    <row r="19324" s="42" customFormat="1" x14ac:dyDescent="0.25"/>
    <row r="19325" s="42" customFormat="1" x14ac:dyDescent="0.25"/>
    <row r="19326" s="42" customFormat="1" x14ac:dyDescent="0.25"/>
    <row r="19327" s="42" customFormat="1" x14ac:dyDescent="0.25"/>
    <row r="19328" s="42" customFormat="1" x14ac:dyDescent="0.25"/>
    <row r="19329" s="42" customFormat="1" x14ac:dyDescent="0.25"/>
    <row r="19330" s="42" customFormat="1" x14ac:dyDescent="0.25"/>
    <row r="19331" s="42" customFormat="1" x14ac:dyDescent="0.25"/>
    <row r="19332" s="42" customFormat="1" x14ac:dyDescent="0.25"/>
    <row r="19333" s="42" customFormat="1" x14ac:dyDescent="0.25"/>
    <row r="19334" s="42" customFormat="1" x14ac:dyDescent="0.25"/>
    <row r="19335" s="42" customFormat="1" x14ac:dyDescent="0.25"/>
    <row r="19336" s="42" customFormat="1" x14ac:dyDescent="0.25"/>
    <row r="19337" s="42" customFormat="1" x14ac:dyDescent="0.25"/>
    <row r="19338" s="42" customFormat="1" x14ac:dyDescent="0.25"/>
    <row r="19339" s="42" customFormat="1" x14ac:dyDescent="0.25"/>
    <row r="19340" s="42" customFormat="1" x14ac:dyDescent="0.25"/>
    <row r="19341" s="42" customFormat="1" x14ac:dyDescent="0.25"/>
    <row r="19342" s="42" customFormat="1" x14ac:dyDescent="0.25"/>
    <row r="19343" s="42" customFormat="1" x14ac:dyDescent="0.25"/>
    <row r="19344" s="42" customFormat="1" x14ac:dyDescent="0.25"/>
    <row r="19345" s="42" customFormat="1" x14ac:dyDescent="0.25"/>
    <row r="19346" s="42" customFormat="1" x14ac:dyDescent="0.25"/>
    <row r="19347" s="42" customFormat="1" x14ac:dyDescent="0.25"/>
    <row r="19348" s="42" customFormat="1" x14ac:dyDescent="0.25"/>
    <row r="19349" s="42" customFormat="1" x14ac:dyDescent="0.25"/>
    <row r="19350" s="42" customFormat="1" x14ac:dyDescent="0.25"/>
    <row r="19351" s="42" customFormat="1" x14ac:dyDescent="0.25"/>
    <row r="19352" s="42" customFormat="1" x14ac:dyDescent="0.25"/>
    <row r="19353" s="42" customFormat="1" x14ac:dyDescent="0.25"/>
    <row r="19354" s="42" customFormat="1" x14ac:dyDescent="0.25"/>
    <row r="19355" s="42" customFormat="1" x14ac:dyDescent="0.25"/>
    <row r="19356" s="42" customFormat="1" x14ac:dyDescent="0.25"/>
    <row r="19357" s="42" customFormat="1" x14ac:dyDescent="0.25"/>
    <row r="19358" s="42" customFormat="1" x14ac:dyDescent="0.25"/>
    <row r="19359" s="42" customFormat="1" x14ac:dyDescent="0.25"/>
    <row r="19360" s="42" customFormat="1" x14ac:dyDescent="0.25"/>
    <row r="19361" s="42" customFormat="1" x14ac:dyDescent="0.25"/>
    <row r="19362" s="42" customFormat="1" x14ac:dyDescent="0.25"/>
    <row r="19363" s="42" customFormat="1" x14ac:dyDescent="0.25"/>
    <row r="19364" s="42" customFormat="1" x14ac:dyDescent="0.25"/>
    <row r="19365" s="42" customFormat="1" x14ac:dyDescent="0.25"/>
    <row r="19366" s="42" customFormat="1" x14ac:dyDescent="0.25"/>
    <row r="19367" s="42" customFormat="1" x14ac:dyDescent="0.25"/>
    <row r="19368" s="42" customFormat="1" x14ac:dyDescent="0.25"/>
    <row r="19369" s="42" customFormat="1" x14ac:dyDescent="0.25"/>
    <row r="19370" s="42" customFormat="1" x14ac:dyDescent="0.25"/>
    <row r="19371" s="42" customFormat="1" x14ac:dyDescent="0.25"/>
    <row r="19372" s="42" customFormat="1" x14ac:dyDescent="0.25"/>
    <row r="19373" s="42" customFormat="1" x14ac:dyDescent="0.25"/>
    <row r="19374" s="42" customFormat="1" x14ac:dyDescent="0.25"/>
    <row r="19375" s="42" customFormat="1" x14ac:dyDescent="0.25"/>
    <row r="19376" s="42" customFormat="1" x14ac:dyDescent="0.25"/>
    <row r="19377" s="42" customFormat="1" x14ac:dyDescent="0.25"/>
    <row r="19378" s="42" customFormat="1" x14ac:dyDescent="0.25"/>
    <row r="19379" s="42" customFormat="1" x14ac:dyDescent="0.25"/>
    <row r="19380" s="42" customFormat="1" x14ac:dyDescent="0.25"/>
    <row r="19381" s="42" customFormat="1" x14ac:dyDescent="0.25"/>
    <row r="19382" s="42" customFormat="1" x14ac:dyDescent="0.25"/>
    <row r="19383" s="42" customFormat="1" x14ac:dyDescent="0.25"/>
    <row r="19384" s="42" customFormat="1" x14ac:dyDescent="0.25"/>
    <row r="19385" s="42" customFormat="1" x14ac:dyDescent="0.25"/>
    <row r="19386" s="42" customFormat="1" x14ac:dyDescent="0.25"/>
    <row r="19387" s="42" customFormat="1" x14ac:dyDescent="0.25"/>
    <row r="19388" s="42" customFormat="1" x14ac:dyDescent="0.25"/>
    <row r="19389" s="42" customFormat="1" x14ac:dyDescent="0.25"/>
    <row r="19390" s="42" customFormat="1" x14ac:dyDescent="0.25"/>
    <row r="19391" s="42" customFormat="1" x14ac:dyDescent="0.25"/>
    <row r="19392" s="42" customFormat="1" x14ac:dyDescent="0.25"/>
    <row r="19393" s="42" customFormat="1" x14ac:dyDescent="0.25"/>
    <row r="19394" s="42" customFormat="1" x14ac:dyDescent="0.25"/>
    <row r="19395" s="42" customFormat="1" x14ac:dyDescent="0.25"/>
    <row r="19396" s="42" customFormat="1" x14ac:dyDescent="0.25"/>
    <row r="19397" s="42" customFormat="1" x14ac:dyDescent="0.25"/>
    <row r="19398" s="42" customFormat="1" x14ac:dyDescent="0.25"/>
    <row r="19399" s="42" customFormat="1" x14ac:dyDescent="0.25"/>
    <row r="19400" s="42" customFormat="1" x14ac:dyDescent="0.25"/>
    <row r="19401" s="42" customFormat="1" x14ac:dyDescent="0.25"/>
    <row r="19402" s="42" customFormat="1" x14ac:dyDescent="0.25"/>
    <row r="19403" s="42" customFormat="1" x14ac:dyDescent="0.25"/>
    <row r="19404" s="42" customFormat="1" x14ac:dyDescent="0.25"/>
    <row r="19405" s="42" customFormat="1" x14ac:dyDescent="0.25"/>
    <row r="19406" s="42" customFormat="1" x14ac:dyDescent="0.25"/>
    <row r="19407" s="42" customFormat="1" x14ac:dyDescent="0.25"/>
    <row r="19408" s="42" customFormat="1" x14ac:dyDescent="0.25"/>
    <row r="19409" s="42" customFormat="1" x14ac:dyDescent="0.25"/>
    <row r="19410" s="42" customFormat="1" x14ac:dyDescent="0.25"/>
    <row r="19411" s="42" customFormat="1" x14ac:dyDescent="0.25"/>
    <row r="19412" s="42" customFormat="1" x14ac:dyDescent="0.25"/>
    <row r="19413" s="42" customFormat="1" x14ac:dyDescent="0.25"/>
    <row r="19414" s="42" customFormat="1" x14ac:dyDescent="0.25"/>
    <row r="19415" s="42" customFormat="1" x14ac:dyDescent="0.25"/>
    <row r="19416" s="42" customFormat="1" x14ac:dyDescent="0.25"/>
    <row r="19417" s="42" customFormat="1" x14ac:dyDescent="0.25"/>
    <row r="19418" s="42" customFormat="1" x14ac:dyDescent="0.25"/>
    <row r="19419" s="42" customFormat="1" x14ac:dyDescent="0.25"/>
    <row r="19420" s="42" customFormat="1" x14ac:dyDescent="0.25"/>
    <row r="19421" s="42" customFormat="1" x14ac:dyDescent="0.25"/>
    <row r="19422" s="42" customFormat="1" x14ac:dyDescent="0.25"/>
    <row r="19423" s="42" customFormat="1" x14ac:dyDescent="0.25"/>
    <row r="19424" s="42" customFormat="1" x14ac:dyDescent="0.25"/>
    <row r="19425" s="42" customFormat="1" x14ac:dyDescent="0.25"/>
    <row r="19426" s="42" customFormat="1" x14ac:dyDescent="0.25"/>
    <row r="19427" s="42" customFormat="1" x14ac:dyDescent="0.25"/>
    <row r="19428" s="42" customFormat="1" x14ac:dyDescent="0.25"/>
    <row r="19429" s="42" customFormat="1" x14ac:dyDescent="0.25"/>
    <row r="19430" s="42" customFormat="1" x14ac:dyDescent="0.25"/>
    <row r="19431" s="42" customFormat="1" x14ac:dyDescent="0.25"/>
    <row r="19432" s="42" customFormat="1" x14ac:dyDescent="0.25"/>
    <row r="19433" s="42" customFormat="1" x14ac:dyDescent="0.25"/>
    <row r="19434" s="42" customFormat="1" x14ac:dyDescent="0.25"/>
    <row r="19435" s="42" customFormat="1" x14ac:dyDescent="0.25"/>
    <row r="19436" s="42" customFormat="1" x14ac:dyDescent="0.25"/>
    <row r="19437" s="42" customFormat="1" x14ac:dyDescent="0.25"/>
    <row r="19438" s="42" customFormat="1" x14ac:dyDescent="0.25"/>
    <row r="19439" s="42" customFormat="1" x14ac:dyDescent="0.25"/>
    <row r="19440" s="42" customFormat="1" x14ac:dyDescent="0.25"/>
    <row r="19441" s="42" customFormat="1" x14ac:dyDescent="0.25"/>
    <row r="19442" s="42" customFormat="1" x14ac:dyDescent="0.25"/>
    <row r="19443" s="42" customFormat="1" x14ac:dyDescent="0.25"/>
    <row r="19444" s="42" customFormat="1" x14ac:dyDescent="0.25"/>
    <row r="19445" s="42" customFormat="1" x14ac:dyDescent="0.25"/>
    <row r="19446" s="42" customFormat="1" x14ac:dyDescent="0.25"/>
    <row r="19447" s="42" customFormat="1" x14ac:dyDescent="0.25"/>
    <row r="19448" s="42" customFormat="1" x14ac:dyDescent="0.25"/>
    <row r="19449" s="42" customFormat="1" x14ac:dyDescent="0.25"/>
    <row r="19450" s="42" customFormat="1" x14ac:dyDescent="0.25"/>
    <row r="19451" s="42" customFormat="1" x14ac:dyDescent="0.25"/>
    <row r="19452" s="42" customFormat="1" x14ac:dyDescent="0.25"/>
    <row r="19453" s="42" customFormat="1" x14ac:dyDescent="0.25"/>
    <row r="19454" s="42" customFormat="1" x14ac:dyDescent="0.25"/>
    <row r="19455" s="42" customFormat="1" x14ac:dyDescent="0.25"/>
    <row r="19456" s="42" customFormat="1" x14ac:dyDescent="0.25"/>
    <row r="19457" s="42" customFormat="1" x14ac:dyDescent="0.25"/>
    <row r="19458" s="42" customFormat="1" x14ac:dyDescent="0.25"/>
    <row r="19459" s="42" customFormat="1" x14ac:dyDescent="0.25"/>
    <row r="19460" s="42" customFormat="1" x14ac:dyDescent="0.25"/>
    <row r="19461" s="42" customFormat="1" x14ac:dyDescent="0.25"/>
    <row r="19462" s="42" customFormat="1" x14ac:dyDescent="0.25"/>
    <row r="19463" s="42" customFormat="1" x14ac:dyDescent="0.25"/>
    <row r="19464" s="42" customFormat="1" x14ac:dyDescent="0.25"/>
    <row r="19465" s="42" customFormat="1" x14ac:dyDescent="0.25"/>
    <row r="19466" s="42" customFormat="1" x14ac:dyDescent="0.25"/>
    <row r="19467" s="42" customFormat="1" x14ac:dyDescent="0.25"/>
    <row r="19468" s="42" customFormat="1" x14ac:dyDescent="0.25"/>
    <row r="19469" s="42" customFormat="1" x14ac:dyDescent="0.25"/>
    <row r="19470" s="42" customFormat="1" x14ac:dyDescent="0.25"/>
    <row r="19471" s="42" customFormat="1" x14ac:dyDescent="0.25"/>
    <row r="19472" s="42" customFormat="1" x14ac:dyDescent="0.25"/>
    <row r="19473" s="42" customFormat="1" x14ac:dyDescent="0.25"/>
    <row r="19474" s="42" customFormat="1" x14ac:dyDescent="0.25"/>
    <row r="19475" s="42" customFormat="1" x14ac:dyDescent="0.25"/>
    <row r="19476" s="42" customFormat="1" x14ac:dyDescent="0.25"/>
    <row r="19477" s="42" customFormat="1" x14ac:dyDescent="0.25"/>
    <row r="19478" s="42" customFormat="1" x14ac:dyDescent="0.25"/>
    <row r="19479" s="42" customFormat="1" x14ac:dyDescent="0.25"/>
    <row r="19480" s="42" customFormat="1" x14ac:dyDescent="0.25"/>
    <row r="19481" s="42" customFormat="1" x14ac:dyDescent="0.25"/>
    <row r="19482" s="42" customFormat="1" x14ac:dyDescent="0.25"/>
    <row r="19483" s="42" customFormat="1" x14ac:dyDescent="0.25"/>
    <row r="19484" s="42" customFormat="1" x14ac:dyDescent="0.25"/>
    <row r="19485" s="42" customFormat="1" x14ac:dyDescent="0.25"/>
    <row r="19486" s="42" customFormat="1" x14ac:dyDescent="0.25"/>
    <row r="19487" s="42" customFormat="1" x14ac:dyDescent="0.25"/>
    <row r="19488" s="42" customFormat="1" x14ac:dyDescent="0.25"/>
    <row r="19489" s="42" customFormat="1" x14ac:dyDescent="0.25"/>
    <row r="19490" s="42" customFormat="1" x14ac:dyDescent="0.25"/>
    <row r="19491" s="42" customFormat="1" x14ac:dyDescent="0.25"/>
    <row r="19492" s="42" customFormat="1" x14ac:dyDescent="0.25"/>
    <row r="19493" s="42" customFormat="1" x14ac:dyDescent="0.25"/>
    <row r="19494" s="42" customFormat="1" x14ac:dyDescent="0.25"/>
    <row r="19495" s="42" customFormat="1" x14ac:dyDescent="0.25"/>
    <row r="19496" s="42" customFormat="1" x14ac:dyDescent="0.25"/>
    <row r="19497" s="42" customFormat="1" x14ac:dyDescent="0.25"/>
    <row r="19498" s="42" customFormat="1" x14ac:dyDescent="0.25"/>
    <row r="19499" s="42" customFormat="1" x14ac:dyDescent="0.25"/>
    <row r="19500" s="42" customFormat="1" x14ac:dyDescent="0.25"/>
    <row r="19501" s="42" customFormat="1" x14ac:dyDescent="0.25"/>
    <row r="19502" s="42" customFormat="1" x14ac:dyDescent="0.25"/>
    <row r="19503" s="42" customFormat="1" x14ac:dyDescent="0.25"/>
    <row r="19504" s="42" customFormat="1" x14ac:dyDescent="0.25"/>
    <row r="19505" s="42" customFormat="1" x14ac:dyDescent="0.25"/>
    <row r="19506" s="42" customFormat="1" x14ac:dyDescent="0.25"/>
    <row r="19507" s="42" customFormat="1" x14ac:dyDescent="0.25"/>
    <row r="19508" s="42" customFormat="1" x14ac:dyDescent="0.25"/>
    <row r="19509" s="42" customFormat="1" x14ac:dyDescent="0.25"/>
    <row r="19510" s="42" customFormat="1" x14ac:dyDescent="0.25"/>
    <row r="19511" s="42" customFormat="1" x14ac:dyDescent="0.25"/>
    <row r="19512" s="42" customFormat="1" x14ac:dyDescent="0.25"/>
    <row r="19513" s="42" customFormat="1" x14ac:dyDescent="0.25"/>
    <row r="19514" s="42" customFormat="1" x14ac:dyDescent="0.25"/>
    <row r="19515" s="42" customFormat="1" x14ac:dyDescent="0.25"/>
    <row r="19516" s="42" customFormat="1" x14ac:dyDescent="0.25"/>
    <row r="19517" s="42" customFormat="1" x14ac:dyDescent="0.25"/>
    <row r="19518" s="42" customFormat="1" x14ac:dyDescent="0.25"/>
    <row r="19519" s="42" customFormat="1" x14ac:dyDescent="0.25"/>
    <row r="19520" s="42" customFormat="1" x14ac:dyDescent="0.25"/>
    <row r="19521" s="42" customFormat="1" x14ac:dyDescent="0.25"/>
    <row r="19522" s="42" customFormat="1" x14ac:dyDescent="0.25"/>
    <row r="19523" s="42" customFormat="1" x14ac:dyDescent="0.25"/>
    <row r="19524" s="42" customFormat="1" x14ac:dyDescent="0.25"/>
    <row r="19525" s="42" customFormat="1" x14ac:dyDescent="0.25"/>
    <row r="19526" s="42" customFormat="1" x14ac:dyDescent="0.25"/>
    <row r="19527" s="42" customFormat="1" x14ac:dyDescent="0.25"/>
    <row r="19528" s="42" customFormat="1" x14ac:dyDescent="0.25"/>
    <row r="19529" s="42" customFormat="1" x14ac:dyDescent="0.25"/>
    <row r="19530" s="42" customFormat="1" x14ac:dyDescent="0.25"/>
    <row r="19531" s="42" customFormat="1" x14ac:dyDescent="0.25"/>
    <row r="19532" s="42" customFormat="1" x14ac:dyDescent="0.25"/>
    <row r="19533" s="42" customFormat="1" x14ac:dyDescent="0.25"/>
    <row r="19534" s="42" customFormat="1" x14ac:dyDescent="0.25"/>
    <row r="19535" s="42" customFormat="1" x14ac:dyDescent="0.25"/>
    <row r="19536" s="42" customFormat="1" x14ac:dyDescent="0.25"/>
    <row r="19537" s="42" customFormat="1" x14ac:dyDescent="0.25"/>
    <row r="19538" s="42" customFormat="1" x14ac:dyDescent="0.25"/>
    <row r="19539" s="42" customFormat="1" x14ac:dyDescent="0.25"/>
    <row r="19540" s="42" customFormat="1" x14ac:dyDescent="0.25"/>
    <row r="19541" s="42" customFormat="1" x14ac:dyDescent="0.25"/>
    <row r="19542" s="42" customFormat="1" x14ac:dyDescent="0.25"/>
    <row r="19543" s="42" customFormat="1" x14ac:dyDescent="0.25"/>
    <row r="19544" s="42" customFormat="1" x14ac:dyDescent="0.25"/>
    <row r="19545" s="42" customFormat="1" x14ac:dyDescent="0.25"/>
    <row r="19546" s="42" customFormat="1" x14ac:dyDescent="0.25"/>
    <row r="19547" s="42" customFormat="1" x14ac:dyDescent="0.25"/>
    <row r="19548" s="42" customFormat="1" x14ac:dyDescent="0.25"/>
    <row r="19549" s="42" customFormat="1" x14ac:dyDescent="0.25"/>
    <row r="19550" s="42" customFormat="1" x14ac:dyDescent="0.25"/>
    <row r="19551" s="42" customFormat="1" x14ac:dyDescent="0.25"/>
    <row r="19552" s="42" customFormat="1" x14ac:dyDescent="0.25"/>
    <row r="19553" s="42" customFormat="1" x14ac:dyDescent="0.25"/>
    <row r="19554" s="42" customFormat="1" x14ac:dyDescent="0.25"/>
    <row r="19555" s="42" customFormat="1" x14ac:dyDescent="0.25"/>
    <row r="19556" s="42" customFormat="1" x14ac:dyDescent="0.25"/>
    <row r="19557" s="42" customFormat="1" x14ac:dyDescent="0.25"/>
    <row r="19558" s="42" customFormat="1" x14ac:dyDescent="0.25"/>
    <row r="19559" s="42" customFormat="1" x14ac:dyDescent="0.25"/>
    <row r="19560" s="42" customFormat="1" x14ac:dyDescent="0.25"/>
    <row r="19561" s="42" customFormat="1" x14ac:dyDescent="0.25"/>
    <row r="19562" s="42" customFormat="1" x14ac:dyDescent="0.25"/>
    <row r="19563" s="42" customFormat="1" x14ac:dyDescent="0.25"/>
    <row r="19564" s="42" customFormat="1" x14ac:dyDescent="0.25"/>
    <row r="19565" s="42" customFormat="1" x14ac:dyDescent="0.25"/>
    <row r="19566" s="42" customFormat="1" x14ac:dyDescent="0.25"/>
    <row r="19567" s="42" customFormat="1" x14ac:dyDescent="0.25"/>
    <row r="19568" s="42" customFormat="1" x14ac:dyDescent="0.25"/>
    <row r="19569" s="42" customFormat="1" x14ac:dyDescent="0.25"/>
    <row r="19570" s="42" customFormat="1" x14ac:dyDescent="0.25"/>
    <row r="19571" s="42" customFormat="1" x14ac:dyDescent="0.25"/>
    <row r="19572" s="42" customFormat="1" x14ac:dyDescent="0.25"/>
    <row r="19573" s="42" customFormat="1" x14ac:dyDescent="0.25"/>
    <row r="19574" s="42" customFormat="1" x14ac:dyDescent="0.25"/>
    <row r="19575" s="42" customFormat="1" x14ac:dyDescent="0.25"/>
    <row r="19576" s="42" customFormat="1" x14ac:dyDescent="0.25"/>
    <row r="19577" s="42" customFormat="1" x14ac:dyDescent="0.25"/>
    <row r="19578" s="42" customFormat="1" x14ac:dyDescent="0.25"/>
    <row r="19579" s="42" customFormat="1" x14ac:dyDescent="0.25"/>
    <row r="19580" s="42" customFormat="1" x14ac:dyDescent="0.25"/>
    <row r="19581" s="42" customFormat="1" x14ac:dyDescent="0.25"/>
    <row r="19582" s="42" customFormat="1" x14ac:dyDescent="0.25"/>
    <row r="19583" s="42" customFormat="1" x14ac:dyDescent="0.25"/>
    <row r="19584" s="42" customFormat="1" x14ac:dyDescent="0.25"/>
    <row r="19585" s="42" customFormat="1" x14ac:dyDescent="0.25"/>
    <row r="19586" s="42" customFormat="1" x14ac:dyDescent="0.25"/>
    <row r="19587" s="42" customFormat="1" x14ac:dyDescent="0.25"/>
    <row r="19588" s="42" customFormat="1" x14ac:dyDescent="0.25"/>
    <row r="19589" s="42" customFormat="1" x14ac:dyDescent="0.25"/>
    <row r="19590" s="42" customFormat="1" x14ac:dyDescent="0.25"/>
    <row r="19591" s="42" customFormat="1" x14ac:dyDescent="0.25"/>
    <row r="19592" s="42" customFormat="1" x14ac:dyDescent="0.25"/>
    <row r="19593" s="42" customFormat="1" x14ac:dyDescent="0.25"/>
    <row r="19594" s="42" customFormat="1" x14ac:dyDescent="0.25"/>
    <row r="19595" s="42" customFormat="1" x14ac:dyDescent="0.25"/>
    <row r="19596" s="42" customFormat="1" x14ac:dyDescent="0.25"/>
    <row r="19597" s="42" customFormat="1" x14ac:dyDescent="0.25"/>
    <row r="19598" s="42" customFormat="1" x14ac:dyDescent="0.25"/>
    <row r="19599" s="42" customFormat="1" x14ac:dyDescent="0.25"/>
    <row r="19600" s="42" customFormat="1" x14ac:dyDescent="0.25"/>
    <row r="19601" s="42" customFormat="1" x14ac:dyDescent="0.25"/>
    <row r="19602" s="42" customFormat="1" x14ac:dyDescent="0.25"/>
    <row r="19603" s="42" customFormat="1" x14ac:dyDescent="0.25"/>
    <row r="19604" s="42" customFormat="1" x14ac:dyDescent="0.25"/>
    <row r="19605" s="42" customFormat="1" x14ac:dyDescent="0.25"/>
    <row r="19606" s="42" customFormat="1" x14ac:dyDescent="0.25"/>
    <row r="19607" s="42" customFormat="1" x14ac:dyDescent="0.25"/>
    <row r="19608" s="42" customFormat="1" x14ac:dyDescent="0.25"/>
    <row r="19609" s="42" customFormat="1" x14ac:dyDescent="0.25"/>
    <row r="19610" s="42" customFormat="1" x14ac:dyDescent="0.25"/>
    <row r="19611" s="42" customFormat="1" x14ac:dyDescent="0.25"/>
    <row r="19612" s="42" customFormat="1" x14ac:dyDescent="0.25"/>
    <row r="19613" s="42" customFormat="1" x14ac:dyDescent="0.25"/>
    <row r="19614" s="42" customFormat="1" x14ac:dyDescent="0.25"/>
    <row r="19615" s="42" customFormat="1" x14ac:dyDescent="0.25"/>
    <row r="19616" s="42" customFormat="1" x14ac:dyDescent="0.25"/>
    <row r="19617" s="42" customFormat="1" x14ac:dyDescent="0.25"/>
    <row r="19618" s="42" customFormat="1" x14ac:dyDescent="0.25"/>
    <row r="19619" s="42" customFormat="1" x14ac:dyDescent="0.25"/>
    <row r="19620" s="42" customFormat="1" x14ac:dyDescent="0.25"/>
    <row r="19621" s="42" customFormat="1" x14ac:dyDescent="0.25"/>
    <row r="19622" s="42" customFormat="1" x14ac:dyDescent="0.25"/>
    <row r="19623" s="42" customFormat="1" x14ac:dyDescent="0.25"/>
    <row r="19624" s="42" customFormat="1" x14ac:dyDescent="0.25"/>
    <row r="19625" s="42" customFormat="1" x14ac:dyDescent="0.25"/>
    <row r="19626" s="42" customFormat="1" x14ac:dyDescent="0.25"/>
    <row r="19627" s="42" customFormat="1" x14ac:dyDescent="0.25"/>
    <row r="19628" s="42" customFormat="1" x14ac:dyDescent="0.25"/>
    <row r="19629" s="42" customFormat="1" x14ac:dyDescent="0.25"/>
    <row r="19630" s="42" customFormat="1" x14ac:dyDescent="0.25"/>
    <row r="19631" s="42" customFormat="1" x14ac:dyDescent="0.25"/>
    <row r="19632" s="42" customFormat="1" x14ac:dyDescent="0.25"/>
    <row r="19633" s="42" customFormat="1" x14ac:dyDescent="0.25"/>
    <row r="19634" s="42" customFormat="1" x14ac:dyDescent="0.25"/>
    <row r="19635" s="42" customFormat="1" x14ac:dyDescent="0.25"/>
    <row r="19636" s="42" customFormat="1" x14ac:dyDescent="0.25"/>
    <row r="19637" s="42" customFormat="1" x14ac:dyDescent="0.25"/>
    <row r="19638" s="42" customFormat="1" x14ac:dyDescent="0.25"/>
    <row r="19639" s="42" customFormat="1" x14ac:dyDescent="0.25"/>
    <row r="19640" s="42" customFormat="1" x14ac:dyDescent="0.25"/>
    <row r="19641" s="42" customFormat="1" x14ac:dyDescent="0.25"/>
    <row r="19642" s="42" customFormat="1" x14ac:dyDescent="0.25"/>
    <row r="19643" s="42" customFormat="1" x14ac:dyDescent="0.25"/>
    <row r="19644" s="42" customFormat="1" x14ac:dyDescent="0.25"/>
    <row r="19645" s="42" customFormat="1" x14ac:dyDescent="0.25"/>
    <row r="19646" s="42" customFormat="1" x14ac:dyDescent="0.25"/>
    <row r="19647" s="42" customFormat="1" x14ac:dyDescent="0.25"/>
    <row r="19648" s="42" customFormat="1" x14ac:dyDescent="0.25"/>
    <row r="19649" s="42" customFormat="1" x14ac:dyDescent="0.25"/>
    <row r="19650" s="42" customFormat="1" x14ac:dyDescent="0.25"/>
    <row r="19651" s="42" customFormat="1" x14ac:dyDescent="0.25"/>
    <row r="19652" s="42" customFormat="1" x14ac:dyDescent="0.25"/>
    <row r="19653" s="42" customFormat="1" x14ac:dyDescent="0.25"/>
    <row r="19654" s="42" customFormat="1" x14ac:dyDescent="0.25"/>
    <row r="19655" s="42" customFormat="1" x14ac:dyDescent="0.25"/>
    <row r="19656" s="42" customFormat="1" x14ac:dyDescent="0.25"/>
    <row r="19657" s="42" customFormat="1" x14ac:dyDescent="0.25"/>
    <row r="19658" s="42" customFormat="1" x14ac:dyDescent="0.25"/>
    <row r="19659" s="42" customFormat="1" x14ac:dyDescent="0.25"/>
    <row r="19660" s="42" customFormat="1" x14ac:dyDescent="0.25"/>
    <row r="19661" s="42" customFormat="1" x14ac:dyDescent="0.25"/>
    <row r="19662" s="42" customFormat="1" x14ac:dyDescent="0.25"/>
    <row r="19663" s="42" customFormat="1" x14ac:dyDescent="0.25"/>
    <row r="19664" s="42" customFormat="1" x14ac:dyDescent="0.25"/>
    <row r="19665" s="42" customFormat="1" x14ac:dyDescent="0.25"/>
    <row r="19666" s="42" customFormat="1" x14ac:dyDescent="0.25"/>
    <row r="19667" s="42" customFormat="1" x14ac:dyDescent="0.25"/>
    <row r="19668" s="42" customFormat="1" x14ac:dyDescent="0.25"/>
    <row r="19669" s="42" customFormat="1" x14ac:dyDescent="0.25"/>
    <row r="19670" s="42" customFormat="1" x14ac:dyDescent="0.25"/>
    <row r="19671" s="42" customFormat="1" x14ac:dyDescent="0.25"/>
    <row r="19672" s="42" customFormat="1" x14ac:dyDescent="0.25"/>
    <row r="19673" s="42" customFormat="1" x14ac:dyDescent="0.25"/>
    <row r="19674" s="42" customFormat="1" x14ac:dyDescent="0.25"/>
    <row r="19675" s="42" customFormat="1" x14ac:dyDescent="0.25"/>
    <row r="19676" s="42" customFormat="1" x14ac:dyDescent="0.25"/>
    <row r="19677" s="42" customFormat="1" x14ac:dyDescent="0.25"/>
    <row r="19678" s="42" customFormat="1" x14ac:dyDescent="0.25"/>
    <row r="19679" s="42" customFormat="1" x14ac:dyDescent="0.25"/>
    <row r="19680" s="42" customFormat="1" x14ac:dyDescent="0.25"/>
    <row r="19681" s="42" customFormat="1" x14ac:dyDescent="0.25"/>
    <row r="19682" s="42" customFormat="1" x14ac:dyDescent="0.25"/>
    <row r="19683" s="42" customFormat="1" x14ac:dyDescent="0.25"/>
    <row r="19684" s="42" customFormat="1" x14ac:dyDescent="0.25"/>
    <row r="19685" s="42" customFormat="1" x14ac:dyDescent="0.25"/>
    <row r="19686" s="42" customFormat="1" x14ac:dyDescent="0.25"/>
    <row r="19687" s="42" customFormat="1" x14ac:dyDescent="0.25"/>
    <row r="19688" s="42" customFormat="1" x14ac:dyDescent="0.25"/>
    <row r="19689" s="42" customFormat="1" x14ac:dyDescent="0.25"/>
    <row r="19690" s="42" customFormat="1" x14ac:dyDescent="0.25"/>
    <row r="19691" s="42" customFormat="1" x14ac:dyDescent="0.25"/>
    <row r="19692" s="42" customFormat="1" x14ac:dyDescent="0.25"/>
    <row r="19693" s="42" customFormat="1" x14ac:dyDescent="0.25"/>
    <row r="19694" s="42" customFormat="1" x14ac:dyDescent="0.25"/>
    <row r="19695" s="42" customFormat="1" x14ac:dyDescent="0.25"/>
    <row r="19696" s="42" customFormat="1" x14ac:dyDescent="0.25"/>
    <row r="19697" s="42" customFormat="1" x14ac:dyDescent="0.25"/>
    <row r="19698" s="42" customFormat="1" x14ac:dyDescent="0.25"/>
    <row r="19699" s="42" customFormat="1" x14ac:dyDescent="0.25"/>
    <row r="19700" s="42" customFormat="1" x14ac:dyDescent="0.25"/>
    <row r="19701" s="42" customFormat="1" x14ac:dyDescent="0.25"/>
    <row r="19702" s="42" customFormat="1" x14ac:dyDescent="0.25"/>
    <row r="19703" s="42" customFormat="1" x14ac:dyDescent="0.25"/>
    <row r="19704" s="42" customFormat="1" x14ac:dyDescent="0.25"/>
    <row r="19705" s="42" customFormat="1" x14ac:dyDescent="0.25"/>
    <row r="19706" s="42" customFormat="1" x14ac:dyDescent="0.25"/>
    <row r="19707" s="42" customFormat="1" x14ac:dyDescent="0.25"/>
    <row r="19708" s="42" customFormat="1" x14ac:dyDescent="0.25"/>
    <row r="19709" s="42" customFormat="1" x14ac:dyDescent="0.25"/>
    <row r="19710" s="42" customFormat="1" x14ac:dyDescent="0.25"/>
    <row r="19711" s="42" customFormat="1" x14ac:dyDescent="0.25"/>
    <row r="19712" s="42" customFormat="1" x14ac:dyDescent="0.25"/>
    <row r="19713" s="42" customFormat="1" x14ac:dyDescent="0.25"/>
    <row r="19714" s="42" customFormat="1" x14ac:dyDescent="0.25"/>
    <row r="19715" s="42" customFormat="1" x14ac:dyDescent="0.25"/>
    <row r="19716" s="42" customFormat="1" x14ac:dyDescent="0.25"/>
    <row r="19717" s="42" customFormat="1" x14ac:dyDescent="0.25"/>
    <row r="19718" s="42" customFormat="1" x14ac:dyDescent="0.25"/>
    <row r="19719" s="42" customFormat="1" x14ac:dyDescent="0.25"/>
    <row r="19720" s="42" customFormat="1" x14ac:dyDescent="0.25"/>
    <row r="19721" s="42" customFormat="1" x14ac:dyDescent="0.25"/>
    <row r="19722" s="42" customFormat="1" x14ac:dyDescent="0.25"/>
    <row r="19723" s="42" customFormat="1" x14ac:dyDescent="0.25"/>
    <row r="19724" s="42" customFormat="1" x14ac:dyDescent="0.25"/>
    <row r="19725" s="42" customFormat="1" x14ac:dyDescent="0.25"/>
    <row r="19726" s="42" customFormat="1" x14ac:dyDescent="0.25"/>
    <row r="19727" s="42" customFormat="1" x14ac:dyDescent="0.25"/>
    <row r="19728" s="42" customFormat="1" x14ac:dyDescent="0.25"/>
    <row r="19729" s="42" customFormat="1" x14ac:dyDescent="0.25"/>
    <row r="19730" s="42" customFormat="1" x14ac:dyDescent="0.25"/>
    <row r="19731" s="42" customFormat="1" x14ac:dyDescent="0.25"/>
    <row r="19732" s="42" customFormat="1" x14ac:dyDescent="0.25"/>
    <row r="19733" s="42" customFormat="1" x14ac:dyDescent="0.25"/>
    <row r="19734" s="42" customFormat="1" x14ac:dyDescent="0.25"/>
    <row r="19735" s="42" customFormat="1" x14ac:dyDescent="0.25"/>
    <row r="19736" s="42" customFormat="1" x14ac:dyDescent="0.25"/>
    <row r="19737" s="42" customFormat="1" x14ac:dyDescent="0.25"/>
    <row r="19738" s="42" customFormat="1" x14ac:dyDescent="0.25"/>
    <row r="19739" s="42" customFormat="1" x14ac:dyDescent="0.25"/>
    <row r="19740" s="42" customFormat="1" x14ac:dyDescent="0.25"/>
    <row r="19741" s="42" customFormat="1" x14ac:dyDescent="0.25"/>
    <row r="19742" s="42" customFormat="1" x14ac:dyDescent="0.25"/>
    <row r="19743" s="42" customFormat="1" x14ac:dyDescent="0.25"/>
    <row r="19744" s="42" customFormat="1" x14ac:dyDescent="0.25"/>
    <row r="19745" s="42" customFormat="1" x14ac:dyDescent="0.25"/>
    <row r="19746" s="42" customFormat="1" x14ac:dyDescent="0.25"/>
    <row r="19747" s="42" customFormat="1" x14ac:dyDescent="0.25"/>
    <row r="19748" s="42" customFormat="1" x14ac:dyDescent="0.25"/>
    <row r="19749" s="42" customFormat="1" x14ac:dyDescent="0.25"/>
    <row r="19750" s="42" customFormat="1" x14ac:dyDescent="0.25"/>
    <row r="19751" s="42" customFormat="1" x14ac:dyDescent="0.25"/>
    <row r="19752" s="42" customFormat="1" x14ac:dyDescent="0.25"/>
    <row r="19753" s="42" customFormat="1" x14ac:dyDescent="0.25"/>
    <row r="19754" s="42" customFormat="1" x14ac:dyDescent="0.25"/>
    <row r="19755" s="42" customFormat="1" x14ac:dyDescent="0.25"/>
    <row r="19756" s="42" customFormat="1" x14ac:dyDescent="0.25"/>
    <row r="19757" s="42" customFormat="1" x14ac:dyDescent="0.25"/>
    <row r="19758" s="42" customFormat="1" x14ac:dyDescent="0.25"/>
    <row r="19759" s="42" customFormat="1" x14ac:dyDescent="0.25"/>
    <row r="19760" s="42" customFormat="1" x14ac:dyDescent="0.25"/>
    <row r="19761" s="42" customFormat="1" x14ac:dyDescent="0.25"/>
    <row r="19762" s="42" customFormat="1" x14ac:dyDescent="0.25"/>
    <row r="19763" s="42" customFormat="1" x14ac:dyDescent="0.25"/>
    <row r="19764" s="42" customFormat="1" x14ac:dyDescent="0.25"/>
    <row r="19765" s="42" customFormat="1" x14ac:dyDescent="0.25"/>
    <row r="19766" s="42" customFormat="1" x14ac:dyDescent="0.25"/>
    <row r="19767" s="42" customFormat="1" x14ac:dyDescent="0.25"/>
    <row r="19768" s="42" customFormat="1" x14ac:dyDescent="0.25"/>
    <row r="19769" s="42" customFormat="1" x14ac:dyDescent="0.25"/>
    <row r="19770" s="42" customFormat="1" x14ac:dyDescent="0.25"/>
    <row r="19771" s="42" customFormat="1" x14ac:dyDescent="0.25"/>
    <row r="19772" s="42" customFormat="1" x14ac:dyDescent="0.25"/>
    <row r="19773" s="42" customFormat="1" x14ac:dyDescent="0.25"/>
    <row r="19774" s="42" customFormat="1" x14ac:dyDescent="0.25"/>
    <row r="19775" s="42" customFormat="1" x14ac:dyDescent="0.25"/>
    <row r="19776" s="42" customFormat="1" x14ac:dyDescent="0.25"/>
    <row r="19777" s="42" customFormat="1" x14ac:dyDescent="0.25"/>
    <row r="19778" s="42" customFormat="1" x14ac:dyDescent="0.25"/>
    <row r="19779" s="42" customFormat="1" x14ac:dyDescent="0.25"/>
    <row r="19780" s="42" customFormat="1" x14ac:dyDescent="0.25"/>
    <row r="19781" s="42" customFormat="1" x14ac:dyDescent="0.25"/>
    <row r="19782" s="42" customFormat="1" x14ac:dyDescent="0.25"/>
    <row r="19783" s="42" customFormat="1" x14ac:dyDescent="0.25"/>
    <row r="19784" s="42" customFormat="1" x14ac:dyDescent="0.25"/>
    <row r="19785" s="42" customFormat="1" x14ac:dyDescent="0.25"/>
    <row r="19786" s="42" customFormat="1" x14ac:dyDescent="0.25"/>
    <row r="19787" s="42" customFormat="1" x14ac:dyDescent="0.25"/>
    <row r="19788" s="42" customFormat="1" x14ac:dyDescent="0.25"/>
    <row r="19789" s="42" customFormat="1" x14ac:dyDescent="0.25"/>
    <row r="19790" s="42" customFormat="1" x14ac:dyDescent="0.25"/>
    <row r="19791" s="42" customFormat="1" x14ac:dyDescent="0.25"/>
    <row r="19792" s="42" customFormat="1" x14ac:dyDescent="0.25"/>
    <row r="19793" s="42" customFormat="1" x14ac:dyDescent="0.25"/>
    <row r="19794" s="42" customFormat="1" x14ac:dyDescent="0.25"/>
    <row r="19795" s="42" customFormat="1" x14ac:dyDescent="0.25"/>
    <row r="19796" s="42" customFormat="1" x14ac:dyDescent="0.25"/>
    <row r="19797" s="42" customFormat="1" x14ac:dyDescent="0.25"/>
    <row r="19798" s="42" customFormat="1" x14ac:dyDescent="0.25"/>
    <row r="19799" s="42" customFormat="1" x14ac:dyDescent="0.25"/>
    <row r="19800" s="42" customFormat="1" x14ac:dyDescent="0.25"/>
    <row r="19801" s="42" customFormat="1" x14ac:dyDescent="0.25"/>
    <row r="19802" s="42" customFormat="1" x14ac:dyDescent="0.25"/>
    <row r="19803" s="42" customFormat="1" x14ac:dyDescent="0.25"/>
    <row r="19804" s="42" customFormat="1" x14ac:dyDescent="0.25"/>
    <row r="19805" s="42" customFormat="1" x14ac:dyDescent="0.25"/>
    <row r="19806" s="42" customFormat="1" x14ac:dyDescent="0.25"/>
    <row r="19807" s="42" customFormat="1" x14ac:dyDescent="0.25"/>
    <row r="19808" s="42" customFormat="1" x14ac:dyDescent="0.25"/>
    <row r="19809" s="42" customFormat="1" x14ac:dyDescent="0.25"/>
    <row r="19810" s="42" customFormat="1" x14ac:dyDescent="0.25"/>
    <row r="19811" s="42" customFormat="1" x14ac:dyDescent="0.25"/>
    <row r="19812" s="42" customFormat="1" x14ac:dyDescent="0.25"/>
    <row r="19813" s="42" customFormat="1" x14ac:dyDescent="0.25"/>
    <row r="19814" s="42" customFormat="1" x14ac:dyDescent="0.25"/>
    <row r="19815" s="42" customFormat="1" x14ac:dyDescent="0.25"/>
    <row r="19816" s="42" customFormat="1" x14ac:dyDescent="0.25"/>
    <row r="19817" s="42" customFormat="1" x14ac:dyDescent="0.25"/>
    <row r="19818" s="42" customFormat="1" x14ac:dyDescent="0.25"/>
    <row r="19819" s="42" customFormat="1" x14ac:dyDescent="0.25"/>
    <row r="19820" s="42" customFormat="1" x14ac:dyDescent="0.25"/>
    <row r="19821" s="42" customFormat="1" x14ac:dyDescent="0.25"/>
    <row r="19822" s="42" customFormat="1" x14ac:dyDescent="0.25"/>
    <row r="19823" s="42" customFormat="1" x14ac:dyDescent="0.25"/>
    <row r="19824" s="42" customFormat="1" x14ac:dyDescent="0.25"/>
    <row r="19825" s="42" customFormat="1" x14ac:dyDescent="0.25"/>
    <row r="19826" s="42" customFormat="1" x14ac:dyDescent="0.25"/>
    <row r="19827" s="42" customFormat="1" x14ac:dyDescent="0.25"/>
    <row r="19828" s="42" customFormat="1" x14ac:dyDescent="0.25"/>
    <row r="19829" s="42" customFormat="1" x14ac:dyDescent="0.25"/>
    <row r="19830" s="42" customFormat="1" x14ac:dyDescent="0.25"/>
    <row r="19831" s="42" customFormat="1" x14ac:dyDescent="0.25"/>
    <row r="19832" s="42" customFormat="1" x14ac:dyDescent="0.25"/>
    <row r="19833" s="42" customFormat="1" x14ac:dyDescent="0.25"/>
    <row r="19834" s="42" customFormat="1" x14ac:dyDescent="0.25"/>
    <row r="19835" s="42" customFormat="1" x14ac:dyDescent="0.25"/>
    <row r="19836" s="42" customFormat="1" x14ac:dyDescent="0.25"/>
    <row r="19837" s="42" customFormat="1" x14ac:dyDescent="0.25"/>
    <row r="19838" s="42" customFormat="1" x14ac:dyDescent="0.25"/>
    <row r="19839" s="42" customFormat="1" x14ac:dyDescent="0.25"/>
    <row r="19840" s="42" customFormat="1" x14ac:dyDescent="0.25"/>
    <row r="19841" s="42" customFormat="1" x14ac:dyDescent="0.25"/>
    <row r="19842" s="42" customFormat="1" x14ac:dyDescent="0.25"/>
    <row r="19843" s="42" customFormat="1" x14ac:dyDescent="0.25"/>
    <row r="19844" s="42" customFormat="1" x14ac:dyDescent="0.25"/>
    <row r="19845" s="42" customFormat="1" x14ac:dyDescent="0.25"/>
    <row r="19846" s="42" customFormat="1" x14ac:dyDescent="0.25"/>
    <row r="19847" s="42" customFormat="1" x14ac:dyDescent="0.25"/>
    <row r="19848" s="42" customFormat="1" x14ac:dyDescent="0.25"/>
    <row r="19849" s="42" customFormat="1" x14ac:dyDescent="0.25"/>
    <row r="19850" s="42" customFormat="1" x14ac:dyDescent="0.25"/>
    <row r="19851" s="42" customFormat="1" x14ac:dyDescent="0.25"/>
    <row r="19852" s="42" customFormat="1" x14ac:dyDescent="0.25"/>
    <row r="19853" s="42" customFormat="1" x14ac:dyDescent="0.25"/>
    <row r="19854" s="42" customFormat="1" x14ac:dyDescent="0.25"/>
    <row r="19855" s="42" customFormat="1" x14ac:dyDescent="0.25"/>
    <row r="19856" s="42" customFormat="1" x14ac:dyDescent="0.25"/>
    <row r="19857" s="42" customFormat="1" x14ac:dyDescent="0.25"/>
    <row r="19858" s="42" customFormat="1" x14ac:dyDescent="0.25"/>
    <row r="19859" s="42" customFormat="1" x14ac:dyDescent="0.25"/>
    <row r="19860" s="42" customFormat="1" x14ac:dyDescent="0.25"/>
    <row r="19861" s="42" customFormat="1" x14ac:dyDescent="0.25"/>
    <row r="19862" s="42" customFormat="1" x14ac:dyDescent="0.25"/>
    <row r="19863" s="42" customFormat="1" x14ac:dyDescent="0.25"/>
    <row r="19864" s="42" customFormat="1" x14ac:dyDescent="0.25"/>
    <row r="19865" s="42" customFormat="1" x14ac:dyDescent="0.25"/>
    <row r="19866" s="42" customFormat="1" x14ac:dyDescent="0.25"/>
    <row r="19867" s="42" customFormat="1" x14ac:dyDescent="0.25"/>
    <row r="19868" s="42" customFormat="1" x14ac:dyDescent="0.25"/>
    <row r="19869" s="42" customFormat="1" x14ac:dyDescent="0.25"/>
    <row r="19870" s="42" customFormat="1" x14ac:dyDescent="0.25"/>
    <row r="19871" s="42" customFormat="1" x14ac:dyDescent="0.25"/>
    <row r="19872" s="42" customFormat="1" x14ac:dyDescent="0.25"/>
    <row r="19873" s="42" customFormat="1" x14ac:dyDescent="0.25"/>
    <row r="19874" s="42" customFormat="1" x14ac:dyDescent="0.25"/>
    <row r="19875" s="42" customFormat="1" x14ac:dyDescent="0.25"/>
    <row r="19876" s="42" customFormat="1" x14ac:dyDescent="0.25"/>
    <row r="19877" s="42" customFormat="1" x14ac:dyDescent="0.25"/>
    <row r="19878" s="42" customFormat="1" x14ac:dyDescent="0.25"/>
    <row r="19879" s="42" customFormat="1" x14ac:dyDescent="0.25"/>
    <row r="19880" s="42" customFormat="1" x14ac:dyDescent="0.25"/>
    <row r="19881" s="42" customFormat="1" x14ac:dyDescent="0.25"/>
    <row r="19882" s="42" customFormat="1" x14ac:dyDescent="0.25"/>
    <row r="19883" s="42" customFormat="1" x14ac:dyDescent="0.25"/>
    <row r="19884" s="42" customFormat="1" x14ac:dyDescent="0.25"/>
    <row r="19885" s="42" customFormat="1" x14ac:dyDescent="0.25"/>
    <row r="19886" s="42" customFormat="1" x14ac:dyDescent="0.25"/>
    <row r="19887" s="42" customFormat="1" x14ac:dyDescent="0.25"/>
    <row r="19888" s="42" customFormat="1" x14ac:dyDescent="0.25"/>
    <row r="19889" s="42" customFormat="1" x14ac:dyDescent="0.25"/>
    <row r="19890" s="42" customFormat="1" x14ac:dyDescent="0.25"/>
    <row r="19891" s="42" customFormat="1" x14ac:dyDescent="0.25"/>
    <row r="19892" s="42" customFormat="1" x14ac:dyDescent="0.25"/>
    <row r="19893" s="42" customFormat="1" x14ac:dyDescent="0.25"/>
    <row r="19894" s="42" customFormat="1" x14ac:dyDescent="0.25"/>
    <row r="19895" s="42" customFormat="1" x14ac:dyDescent="0.25"/>
    <row r="19896" s="42" customFormat="1" x14ac:dyDescent="0.25"/>
    <row r="19897" s="42" customFormat="1" x14ac:dyDescent="0.25"/>
    <row r="19898" s="42" customFormat="1" x14ac:dyDescent="0.25"/>
    <row r="19899" s="42" customFormat="1" x14ac:dyDescent="0.25"/>
    <row r="19900" s="42" customFormat="1" x14ac:dyDescent="0.25"/>
    <row r="19901" s="42" customFormat="1" x14ac:dyDescent="0.25"/>
    <row r="19902" s="42" customFormat="1" x14ac:dyDescent="0.25"/>
    <row r="19903" s="42" customFormat="1" x14ac:dyDescent="0.25"/>
    <row r="19904" s="42" customFormat="1" x14ac:dyDescent="0.25"/>
    <row r="19905" s="42" customFormat="1" x14ac:dyDescent="0.25"/>
    <row r="19906" s="42" customFormat="1" x14ac:dyDescent="0.25"/>
    <row r="19907" s="42" customFormat="1" x14ac:dyDescent="0.25"/>
    <row r="19908" s="42" customFormat="1" x14ac:dyDescent="0.25"/>
    <row r="19909" s="42" customFormat="1" x14ac:dyDescent="0.25"/>
    <row r="19910" s="42" customFormat="1" x14ac:dyDescent="0.25"/>
    <row r="19911" s="42" customFormat="1" x14ac:dyDescent="0.25"/>
    <row r="19912" s="42" customFormat="1" x14ac:dyDescent="0.25"/>
    <row r="19913" s="42" customFormat="1" x14ac:dyDescent="0.25"/>
    <row r="19914" s="42" customFormat="1" x14ac:dyDescent="0.25"/>
    <row r="19915" s="42" customFormat="1" x14ac:dyDescent="0.25"/>
    <row r="19916" s="42" customFormat="1" x14ac:dyDescent="0.25"/>
    <row r="19917" s="42" customFormat="1" x14ac:dyDescent="0.25"/>
    <row r="19918" s="42" customFormat="1" x14ac:dyDescent="0.25"/>
    <row r="19919" s="42" customFormat="1" x14ac:dyDescent="0.25"/>
    <row r="19920" s="42" customFormat="1" x14ac:dyDescent="0.25"/>
    <row r="19921" s="42" customFormat="1" x14ac:dyDescent="0.25"/>
    <row r="19922" s="42" customFormat="1" x14ac:dyDescent="0.25"/>
    <row r="19923" s="42" customFormat="1" x14ac:dyDescent="0.25"/>
    <row r="19924" s="42" customFormat="1" x14ac:dyDescent="0.25"/>
    <row r="19925" s="42" customFormat="1" x14ac:dyDescent="0.25"/>
    <row r="19926" s="42" customFormat="1" x14ac:dyDescent="0.25"/>
    <row r="19927" s="42" customFormat="1" x14ac:dyDescent="0.25"/>
    <row r="19928" s="42" customFormat="1" x14ac:dyDescent="0.25"/>
    <row r="19929" s="42" customFormat="1" x14ac:dyDescent="0.25"/>
    <row r="19930" s="42" customFormat="1" x14ac:dyDescent="0.25"/>
    <row r="19931" s="42" customFormat="1" x14ac:dyDescent="0.25"/>
    <row r="19932" s="42" customFormat="1" x14ac:dyDescent="0.25"/>
    <row r="19933" s="42" customFormat="1" x14ac:dyDescent="0.25"/>
    <row r="19934" s="42" customFormat="1" x14ac:dyDescent="0.25"/>
    <row r="19935" s="42" customFormat="1" x14ac:dyDescent="0.25"/>
    <row r="19936" s="42" customFormat="1" x14ac:dyDescent="0.25"/>
    <row r="19937" s="42" customFormat="1" x14ac:dyDescent="0.25"/>
    <row r="19938" s="42" customFormat="1" x14ac:dyDescent="0.25"/>
    <row r="19939" s="42" customFormat="1" x14ac:dyDescent="0.25"/>
    <row r="19940" s="42" customFormat="1" x14ac:dyDescent="0.25"/>
    <row r="19941" s="42" customFormat="1" x14ac:dyDescent="0.25"/>
    <row r="19942" s="42" customFormat="1" x14ac:dyDescent="0.25"/>
    <row r="19943" s="42" customFormat="1" x14ac:dyDescent="0.25"/>
    <row r="19944" s="42" customFormat="1" x14ac:dyDescent="0.25"/>
    <row r="19945" s="42" customFormat="1" x14ac:dyDescent="0.25"/>
    <row r="19946" s="42" customFormat="1" x14ac:dyDescent="0.25"/>
    <row r="19947" s="42" customFormat="1" x14ac:dyDescent="0.25"/>
    <row r="19948" s="42" customFormat="1" x14ac:dyDescent="0.25"/>
    <row r="19949" s="42" customFormat="1" x14ac:dyDescent="0.25"/>
    <row r="19950" s="42" customFormat="1" x14ac:dyDescent="0.25"/>
    <row r="19951" s="42" customFormat="1" x14ac:dyDescent="0.25"/>
    <row r="19952" s="42" customFormat="1" x14ac:dyDescent="0.25"/>
    <row r="19953" s="42" customFormat="1" x14ac:dyDescent="0.25"/>
    <row r="19954" s="42" customFormat="1" x14ac:dyDescent="0.25"/>
    <row r="19955" s="42" customFormat="1" x14ac:dyDescent="0.25"/>
    <row r="19956" s="42" customFormat="1" x14ac:dyDescent="0.25"/>
    <row r="19957" s="42" customFormat="1" x14ac:dyDescent="0.25"/>
    <row r="19958" s="42" customFormat="1" x14ac:dyDescent="0.25"/>
    <row r="19959" s="42" customFormat="1" x14ac:dyDescent="0.25"/>
    <row r="19960" s="42" customFormat="1" x14ac:dyDescent="0.25"/>
    <row r="19961" s="42" customFormat="1" x14ac:dyDescent="0.25"/>
    <row r="19962" s="42" customFormat="1" x14ac:dyDescent="0.25"/>
    <row r="19963" s="42" customFormat="1" x14ac:dyDescent="0.25"/>
    <row r="19964" s="42" customFormat="1" x14ac:dyDescent="0.25"/>
    <row r="19965" s="42" customFormat="1" x14ac:dyDescent="0.25"/>
    <row r="19966" s="42" customFormat="1" x14ac:dyDescent="0.25"/>
    <row r="19967" s="42" customFormat="1" x14ac:dyDescent="0.25"/>
    <row r="19968" s="42" customFormat="1" x14ac:dyDescent="0.25"/>
    <row r="19969" s="42" customFormat="1" x14ac:dyDescent="0.25"/>
    <row r="19970" s="42" customFormat="1" x14ac:dyDescent="0.25"/>
    <row r="19971" s="42" customFormat="1" x14ac:dyDescent="0.25"/>
    <row r="19972" s="42" customFormat="1" x14ac:dyDescent="0.25"/>
    <row r="19973" s="42" customFormat="1" x14ac:dyDescent="0.25"/>
    <row r="19974" s="42" customFormat="1" x14ac:dyDescent="0.25"/>
    <row r="19975" s="42" customFormat="1" x14ac:dyDescent="0.25"/>
    <row r="19976" s="42" customFormat="1" x14ac:dyDescent="0.25"/>
    <row r="19977" s="42" customFormat="1" x14ac:dyDescent="0.25"/>
    <row r="19978" s="42" customFormat="1" x14ac:dyDescent="0.25"/>
    <row r="19979" s="42" customFormat="1" x14ac:dyDescent="0.25"/>
    <row r="19980" s="42" customFormat="1" x14ac:dyDescent="0.25"/>
    <row r="19981" s="42" customFormat="1" x14ac:dyDescent="0.25"/>
    <row r="19982" s="42" customFormat="1" x14ac:dyDescent="0.25"/>
    <row r="19983" s="42" customFormat="1" x14ac:dyDescent="0.25"/>
    <row r="19984" s="42" customFormat="1" x14ac:dyDescent="0.25"/>
    <row r="19985" s="42" customFormat="1" x14ac:dyDescent="0.25"/>
    <row r="19986" s="42" customFormat="1" x14ac:dyDescent="0.25"/>
    <row r="19987" s="42" customFormat="1" x14ac:dyDescent="0.25"/>
    <row r="19988" s="42" customFormat="1" x14ac:dyDescent="0.25"/>
    <row r="19989" s="42" customFormat="1" x14ac:dyDescent="0.25"/>
    <row r="19990" s="42" customFormat="1" x14ac:dyDescent="0.25"/>
    <row r="19991" s="42" customFormat="1" x14ac:dyDescent="0.25"/>
    <row r="19992" s="42" customFormat="1" x14ac:dyDescent="0.25"/>
    <row r="19993" s="42" customFormat="1" x14ac:dyDescent="0.25"/>
    <row r="19994" s="42" customFormat="1" x14ac:dyDescent="0.25"/>
    <row r="19995" s="42" customFormat="1" x14ac:dyDescent="0.25"/>
    <row r="19996" s="42" customFormat="1" x14ac:dyDescent="0.25"/>
    <row r="19997" s="42" customFormat="1" x14ac:dyDescent="0.25"/>
    <row r="19998" s="42" customFormat="1" x14ac:dyDescent="0.25"/>
    <row r="19999" s="42" customFormat="1" x14ac:dyDescent="0.25"/>
    <row r="20000" s="42" customFormat="1" x14ac:dyDescent="0.25"/>
    <row r="20001" s="42" customFormat="1" x14ac:dyDescent="0.25"/>
    <row r="20002" s="42" customFormat="1" x14ac:dyDescent="0.25"/>
    <row r="20003" s="42" customFormat="1" x14ac:dyDescent="0.25"/>
    <row r="20004" s="42" customFormat="1" x14ac:dyDescent="0.25"/>
    <row r="20005" s="42" customFormat="1" x14ac:dyDescent="0.25"/>
    <row r="20006" s="42" customFormat="1" x14ac:dyDescent="0.25"/>
    <row r="20007" s="42" customFormat="1" x14ac:dyDescent="0.25"/>
    <row r="20008" s="42" customFormat="1" x14ac:dyDescent="0.25"/>
    <row r="20009" s="42" customFormat="1" x14ac:dyDescent="0.25"/>
    <row r="20010" s="42" customFormat="1" x14ac:dyDescent="0.25"/>
    <row r="20011" s="42" customFormat="1" x14ac:dyDescent="0.25"/>
    <row r="20012" s="42" customFormat="1" x14ac:dyDescent="0.25"/>
    <row r="20013" s="42" customFormat="1" x14ac:dyDescent="0.25"/>
    <row r="20014" s="42" customFormat="1" x14ac:dyDescent="0.25"/>
    <row r="20015" s="42" customFormat="1" x14ac:dyDescent="0.25"/>
    <row r="20016" s="42" customFormat="1" x14ac:dyDescent="0.25"/>
    <row r="20017" s="42" customFormat="1" x14ac:dyDescent="0.25"/>
    <row r="20018" s="42" customFormat="1" x14ac:dyDescent="0.25"/>
    <row r="20019" s="42" customFormat="1" x14ac:dyDescent="0.25"/>
    <row r="20020" s="42" customFormat="1" x14ac:dyDescent="0.25"/>
    <row r="20021" s="42" customFormat="1" x14ac:dyDescent="0.25"/>
    <row r="20022" s="42" customFormat="1" x14ac:dyDescent="0.25"/>
    <row r="20023" s="42" customFormat="1" x14ac:dyDescent="0.25"/>
    <row r="20024" s="42" customFormat="1" x14ac:dyDescent="0.25"/>
    <row r="20025" s="42" customFormat="1" x14ac:dyDescent="0.25"/>
    <row r="20026" s="42" customFormat="1" x14ac:dyDescent="0.25"/>
    <row r="20027" s="42" customFormat="1" x14ac:dyDescent="0.25"/>
    <row r="20028" s="42" customFormat="1" x14ac:dyDescent="0.25"/>
    <row r="20029" s="42" customFormat="1" x14ac:dyDescent="0.25"/>
    <row r="20030" s="42" customFormat="1" x14ac:dyDescent="0.25"/>
    <row r="20031" s="42" customFormat="1" x14ac:dyDescent="0.25"/>
    <row r="20032" s="42" customFormat="1" x14ac:dyDescent="0.25"/>
    <row r="20033" s="42" customFormat="1" x14ac:dyDescent="0.25"/>
    <row r="20034" s="42" customFormat="1" x14ac:dyDescent="0.25"/>
    <row r="20035" s="42" customFormat="1" x14ac:dyDescent="0.25"/>
    <row r="20036" s="42" customFormat="1" x14ac:dyDescent="0.25"/>
    <row r="20037" s="42" customFormat="1" x14ac:dyDescent="0.25"/>
    <row r="20038" s="42" customFormat="1" x14ac:dyDescent="0.25"/>
    <row r="20039" s="42" customFormat="1" x14ac:dyDescent="0.25"/>
    <row r="20040" s="42" customFormat="1" x14ac:dyDescent="0.25"/>
    <row r="20041" s="42" customFormat="1" x14ac:dyDescent="0.25"/>
    <row r="20042" s="42" customFormat="1" x14ac:dyDescent="0.25"/>
    <row r="20043" s="42" customFormat="1" x14ac:dyDescent="0.25"/>
    <row r="20044" s="42" customFormat="1" x14ac:dyDescent="0.25"/>
    <row r="20045" s="42" customFormat="1" x14ac:dyDescent="0.25"/>
    <row r="20046" s="42" customFormat="1" x14ac:dyDescent="0.25"/>
    <row r="20047" s="42" customFormat="1" x14ac:dyDescent="0.25"/>
    <row r="20048" s="42" customFormat="1" x14ac:dyDescent="0.25"/>
    <row r="20049" s="42" customFormat="1" x14ac:dyDescent="0.25"/>
    <row r="20050" s="42" customFormat="1" x14ac:dyDescent="0.25"/>
    <row r="20051" s="42" customFormat="1" x14ac:dyDescent="0.25"/>
    <row r="20052" s="42" customFormat="1" x14ac:dyDescent="0.25"/>
    <row r="20053" s="42" customFormat="1" x14ac:dyDescent="0.25"/>
    <row r="20054" s="42" customFormat="1" x14ac:dyDescent="0.25"/>
    <row r="20055" s="42" customFormat="1" x14ac:dyDescent="0.25"/>
    <row r="20056" s="42" customFormat="1" x14ac:dyDescent="0.25"/>
    <row r="20057" s="42" customFormat="1" x14ac:dyDescent="0.25"/>
    <row r="20058" s="42" customFormat="1" x14ac:dyDescent="0.25"/>
    <row r="20059" s="42" customFormat="1" x14ac:dyDescent="0.25"/>
    <row r="20060" s="42" customFormat="1" x14ac:dyDescent="0.25"/>
    <row r="20061" s="42" customFormat="1" x14ac:dyDescent="0.25"/>
    <row r="20062" s="42" customFormat="1" x14ac:dyDescent="0.25"/>
    <row r="20063" s="42" customFormat="1" x14ac:dyDescent="0.25"/>
    <row r="20064" s="42" customFormat="1" x14ac:dyDescent="0.25"/>
    <row r="20065" s="42" customFormat="1" x14ac:dyDescent="0.25"/>
    <row r="20066" s="42" customFormat="1" x14ac:dyDescent="0.25"/>
    <row r="20067" s="42" customFormat="1" x14ac:dyDescent="0.25"/>
    <row r="20068" s="42" customFormat="1" x14ac:dyDescent="0.25"/>
    <row r="20069" s="42" customFormat="1" x14ac:dyDescent="0.25"/>
    <row r="20070" s="42" customFormat="1" x14ac:dyDescent="0.25"/>
    <row r="20071" s="42" customFormat="1" x14ac:dyDescent="0.25"/>
    <row r="20072" s="42" customFormat="1" x14ac:dyDescent="0.25"/>
    <row r="20073" s="42" customFormat="1" x14ac:dyDescent="0.25"/>
    <row r="20074" s="42" customFormat="1" x14ac:dyDescent="0.25"/>
    <row r="20075" s="42" customFormat="1" x14ac:dyDescent="0.25"/>
    <row r="20076" s="42" customFormat="1" x14ac:dyDescent="0.25"/>
    <row r="20077" s="42" customFormat="1" x14ac:dyDescent="0.25"/>
    <row r="20078" s="42" customFormat="1" x14ac:dyDescent="0.25"/>
    <row r="20079" s="42" customFormat="1" x14ac:dyDescent="0.25"/>
    <row r="20080" s="42" customFormat="1" x14ac:dyDescent="0.25"/>
    <row r="20081" s="42" customFormat="1" x14ac:dyDescent="0.25"/>
    <row r="20082" s="42" customFormat="1" x14ac:dyDescent="0.25"/>
    <row r="20083" s="42" customFormat="1" x14ac:dyDescent="0.25"/>
    <row r="20084" s="42" customFormat="1" x14ac:dyDescent="0.25"/>
    <row r="20085" s="42" customFormat="1" x14ac:dyDescent="0.25"/>
    <row r="20086" s="42" customFormat="1" x14ac:dyDescent="0.25"/>
    <row r="20087" s="42" customFormat="1" x14ac:dyDescent="0.25"/>
    <row r="20088" s="42" customFormat="1" x14ac:dyDescent="0.25"/>
    <row r="20089" s="42" customFormat="1" x14ac:dyDescent="0.25"/>
    <row r="20090" s="42" customFormat="1" x14ac:dyDescent="0.25"/>
    <row r="20091" s="42" customFormat="1" x14ac:dyDescent="0.25"/>
    <row r="20092" s="42" customFormat="1" x14ac:dyDescent="0.25"/>
    <row r="20093" s="42" customFormat="1" x14ac:dyDescent="0.25"/>
    <row r="20094" s="42" customFormat="1" x14ac:dyDescent="0.25"/>
    <row r="20095" s="42" customFormat="1" x14ac:dyDescent="0.25"/>
    <row r="20096" s="42" customFormat="1" x14ac:dyDescent="0.25"/>
    <row r="20097" s="42" customFormat="1" x14ac:dyDescent="0.25"/>
    <row r="20098" s="42" customFormat="1" x14ac:dyDescent="0.25"/>
    <row r="20099" s="42" customFormat="1" x14ac:dyDescent="0.25"/>
    <row r="20100" s="42" customFormat="1" x14ac:dyDescent="0.25"/>
    <row r="20101" s="42" customFormat="1" x14ac:dyDescent="0.25"/>
    <row r="20102" s="42" customFormat="1" x14ac:dyDescent="0.25"/>
    <row r="20103" s="42" customFormat="1" x14ac:dyDescent="0.25"/>
    <row r="20104" s="42" customFormat="1" x14ac:dyDescent="0.25"/>
    <row r="20105" s="42" customFormat="1" x14ac:dyDescent="0.25"/>
    <row r="20106" s="42" customFormat="1" x14ac:dyDescent="0.25"/>
    <row r="20107" s="42" customFormat="1" x14ac:dyDescent="0.25"/>
    <row r="20108" s="42" customFormat="1" x14ac:dyDescent="0.25"/>
    <row r="20109" s="42" customFormat="1" x14ac:dyDescent="0.25"/>
    <row r="20110" s="42" customFormat="1" x14ac:dyDescent="0.25"/>
    <row r="20111" s="42" customFormat="1" x14ac:dyDescent="0.25"/>
    <row r="20112" s="42" customFormat="1" x14ac:dyDescent="0.25"/>
    <row r="20113" s="42" customFormat="1" x14ac:dyDescent="0.25"/>
    <row r="20114" s="42" customFormat="1" x14ac:dyDescent="0.25"/>
    <row r="20115" s="42" customFormat="1" x14ac:dyDescent="0.25"/>
    <row r="20116" s="42" customFormat="1" x14ac:dyDescent="0.25"/>
    <row r="20117" s="42" customFormat="1" x14ac:dyDescent="0.25"/>
    <row r="20118" s="42" customFormat="1" x14ac:dyDescent="0.25"/>
    <row r="20119" s="42" customFormat="1" x14ac:dyDescent="0.25"/>
    <row r="20120" s="42" customFormat="1" x14ac:dyDescent="0.25"/>
    <row r="20121" s="42" customFormat="1" x14ac:dyDescent="0.25"/>
    <row r="20122" s="42" customFormat="1" x14ac:dyDescent="0.25"/>
    <row r="20123" s="42" customFormat="1" x14ac:dyDescent="0.25"/>
    <row r="20124" s="42" customFormat="1" x14ac:dyDescent="0.25"/>
    <row r="20125" s="42" customFormat="1" x14ac:dyDescent="0.25"/>
    <row r="20126" s="42" customFormat="1" x14ac:dyDescent="0.25"/>
    <row r="20127" s="42" customFormat="1" x14ac:dyDescent="0.25"/>
    <row r="20128" s="42" customFormat="1" x14ac:dyDescent="0.25"/>
    <row r="20129" s="42" customFormat="1" x14ac:dyDescent="0.25"/>
    <row r="20130" s="42" customFormat="1" x14ac:dyDescent="0.25"/>
    <row r="20131" s="42" customFormat="1" x14ac:dyDescent="0.25"/>
    <row r="20132" s="42" customFormat="1" x14ac:dyDescent="0.25"/>
    <row r="20133" s="42" customFormat="1" x14ac:dyDescent="0.25"/>
    <row r="20134" s="42" customFormat="1" x14ac:dyDescent="0.25"/>
    <row r="20135" s="42" customFormat="1" x14ac:dyDescent="0.25"/>
    <row r="20136" s="42" customFormat="1" x14ac:dyDescent="0.25"/>
    <row r="20137" s="42" customFormat="1" x14ac:dyDescent="0.25"/>
    <row r="20138" s="42" customFormat="1" x14ac:dyDescent="0.25"/>
    <row r="20139" s="42" customFormat="1" x14ac:dyDescent="0.25"/>
    <row r="20140" s="42" customFormat="1" x14ac:dyDescent="0.25"/>
    <row r="20141" s="42" customFormat="1" x14ac:dyDescent="0.25"/>
    <row r="20142" s="42" customFormat="1" x14ac:dyDescent="0.25"/>
    <row r="20143" s="42" customFormat="1" x14ac:dyDescent="0.25"/>
    <row r="20144" s="42" customFormat="1" x14ac:dyDescent="0.25"/>
    <row r="20145" s="42" customFormat="1" x14ac:dyDescent="0.25"/>
    <row r="20146" s="42" customFormat="1" x14ac:dyDescent="0.25"/>
    <row r="20147" s="42" customFormat="1" x14ac:dyDescent="0.25"/>
    <row r="20148" s="42" customFormat="1" x14ac:dyDescent="0.25"/>
    <row r="20149" s="42" customFormat="1" x14ac:dyDescent="0.25"/>
    <row r="20150" s="42" customFormat="1" x14ac:dyDescent="0.25"/>
    <row r="20151" s="42" customFormat="1" x14ac:dyDescent="0.25"/>
    <row r="20152" s="42" customFormat="1" x14ac:dyDescent="0.25"/>
    <row r="20153" s="42" customFormat="1" x14ac:dyDescent="0.25"/>
    <row r="20154" s="42" customFormat="1" x14ac:dyDescent="0.25"/>
    <row r="20155" s="42" customFormat="1" x14ac:dyDescent="0.25"/>
    <row r="20156" s="42" customFormat="1" x14ac:dyDescent="0.25"/>
    <row r="20157" s="42" customFormat="1" x14ac:dyDescent="0.25"/>
    <row r="20158" s="42" customFormat="1" x14ac:dyDescent="0.25"/>
    <row r="20159" s="42" customFormat="1" x14ac:dyDescent="0.25"/>
    <row r="20160" s="42" customFormat="1" x14ac:dyDescent="0.25"/>
    <row r="20161" s="42" customFormat="1" x14ac:dyDescent="0.25"/>
    <row r="20162" s="42" customFormat="1" x14ac:dyDescent="0.25"/>
    <row r="20163" s="42" customFormat="1" x14ac:dyDescent="0.25"/>
    <row r="20164" s="42" customFormat="1" x14ac:dyDescent="0.25"/>
    <row r="20165" s="42" customFormat="1" x14ac:dyDescent="0.25"/>
    <row r="20166" s="42" customFormat="1" x14ac:dyDescent="0.25"/>
    <row r="20167" s="42" customFormat="1" x14ac:dyDescent="0.25"/>
    <row r="20168" s="42" customFormat="1" x14ac:dyDescent="0.25"/>
    <row r="20169" s="42" customFormat="1" x14ac:dyDescent="0.25"/>
    <row r="20170" s="42" customFormat="1" x14ac:dyDescent="0.25"/>
    <row r="20171" s="42" customFormat="1" x14ac:dyDescent="0.25"/>
    <row r="20172" s="42" customFormat="1" x14ac:dyDescent="0.25"/>
    <row r="20173" s="42" customFormat="1" x14ac:dyDescent="0.25"/>
    <row r="20174" s="42" customFormat="1" x14ac:dyDescent="0.25"/>
    <row r="20175" s="42" customFormat="1" x14ac:dyDescent="0.25"/>
    <row r="20176" s="42" customFormat="1" x14ac:dyDescent="0.25"/>
    <row r="20177" s="42" customFormat="1" x14ac:dyDescent="0.25"/>
    <row r="20178" s="42" customFormat="1" x14ac:dyDescent="0.25"/>
    <row r="20179" s="42" customFormat="1" x14ac:dyDescent="0.25"/>
    <row r="20180" s="42" customFormat="1" x14ac:dyDescent="0.25"/>
    <row r="20181" s="42" customFormat="1" x14ac:dyDescent="0.25"/>
    <row r="20182" s="42" customFormat="1" x14ac:dyDescent="0.25"/>
    <row r="20183" s="42" customFormat="1" x14ac:dyDescent="0.25"/>
    <row r="20184" s="42" customFormat="1" x14ac:dyDescent="0.25"/>
    <row r="20185" s="42" customFormat="1" x14ac:dyDescent="0.25"/>
    <row r="20186" s="42" customFormat="1" x14ac:dyDescent="0.25"/>
    <row r="20187" s="42" customFormat="1" x14ac:dyDescent="0.25"/>
    <row r="20188" s="42" customFormat="1" x14ac:dyDescent="0.25"/>
    <row r="20189" s="42" customFormat="1" x14ac:dyDescent="0.25"/>
    <row r="20190" s="42" customFormat="1" x14ac:dyDescent="0.25"/>
    <row r="20191" s="42" customFormat="1" x14ac:dyDescent="0.25"/>
    <row r="20192" s="42" customFormat="1" x14ac:dyDescent="0.25"/>
    <row r="20193" s="42" customFormat="1" x14ac:dyDescent="0.25"/>
    <row r="20194" s="42" customFormat="1" x14ac:dyDescent="0.25"/>
    <row r="20195" s="42" customFormat="1" x14ac:dyDescent="0.25"/>
    <row r="20196" s="42" customFormat="1" x14ac:dyDescent="0.25"/>
    <row r="20197" s="42" customFormat="1" x14ac:dyDescent="0.25"/>
    <row r="20198" s="42" customFormat="1" x14ac:dyDescent="0.25"/>
    <row r="20199" s="42" customFormat="1" x14ac:dyDescent="0.25"/>
    <row r="20200" s="42" customFormat="1" x14ac:dyDescent="0.25"/>
    <row r="20201" s="42" customFormat="1" x14ac:dyDescent="0.25"/>
    <row r="20202" s="42" customFormat="1" x14ac:dyDescent="0.25"/>
    <row r="20203" s="42" customFormat="1" x14ac:dyDescent="0.25"/>
    <row r="20204" s="42" customFormat="1" x14ac:dyDescent="0.25"/>
    <row r="20205" s="42" customFormat="1" x14ac:dyDescent="0.25"/>
    <row r="20206" s="42" customFormat="1" x14ac:dyDescent="0.25"/>
    <row r="20207" s="42" customFormat="1" x14ac:dyDescent="0.25"/>
    <row r="20208" s="42" customFormat="1" x14ac:dyDescent="0.25"/>
    <row r="20209" s="42" customFormat="1" x14ac:dyDescent="0.25"/>
    <row r="20210" s="42" customFormat="1" x14ac:dyDescent="0.25"/>
    <row r="20211" s="42" customFormat="1" x14ac:dyDescent="0.25"/>
    <row r="20212" s="42" customFormat="1" x14ac:dyDescent="0.25"/>
    <row r="20213" s="42" customFormat="1" x14ac:dyDescent="0.25"/>
    <row r="20214" s="42" customFormat="1" x14ac:dyDescent="0.25"/>
    <row r="20215" s="42" customFormat="1" x14ac:dyDescent="0.25"/>
    <row r="20216" s="42" customFormat="1" x14ac:dyDescent="0.25"/>
    <row r="20217" s="42" customFormat="1" x14ac:dyDescent="0.25"/>
    <row r="20218" s="42" customFormat="1" x14ac:dyDescent="0.25"/>
    <row r="20219" s="42" customFormat="1" x14ac:dyDescent="0.25"/>
    <row r="20220" s="42" customFormat="1" x14ac:dyDescent="0.25"/>
    <row r="20221" s="42" customFormat="1" x14ac:dyDescent="0.25"/>
    <row r="20222" s="42" customFormat="1" x14ac:dyDescent="0.25"/>
    <row r="20223" s="42" customFormat="1" x14ac:dyDescent="0.25"/>
    <row r="20224" s="42" customFormat="1" x14ac:dyDescent="0.25"/>
    <row r="20225" s="42" customFormat="1" x14ac:dyDescent="0.25"/>
    <row r="20226" s="42" customFormat="1" x14ac:dyDescent="0.25"/>
    <row r="20227" s="42" customFormat="1" x14ac:dyDescent="0.25"/>
    <row r="20228" s="42" customFormat="1" x14ac:dyDescent="0.25"/>
    <row r="20229" s="42" customFormat="1" x14ac:dyDescent="0.25"/>
    <row r="20230" s="42" customFormat="1" x14ac:dyDescent="0.25"/>
    <row r="20231" s="42" customFormat="1" x14ac:dyDescent="0.25"/>
    <row r="20232" s="42" customFormat="1" x14ac:dyDescent="0.25"/>
    <row r="20233" s="42" customFormat="1" x14ac:dyDescent="0.25"/>
    <row r="20234" s="42" customFormat="1" x14ac:dyDescent="0.25"/>
    <row r="20235" s="42" customFormat="1" x14ac:dyDescent="0.25"/>
    <row r="20236" s="42" customFormat="1" x14ac:dyDescent="0.25"/>
    <row r="20237" s="42" customFormat="1" x14ac:dyDescent="0.25"/>
    <row r="20238" s="42" customFormat="1" x14ac:dyDescent="0.25"/>
    <row r="20239" s="42" customFormat="1" x14ac:dyDescent="0.25"/>
    <row r="20240" s="42" customFormat="1" x14ac:dyDescent="0.25"/>
    <row r="20241" s="42" customFormat="1" x14ac:dyDescent="0.25"/>
    <row r="20242" s="42" customFormat="1" x14ac:dyDescent="0.25"/>
    <row r="20243" s="42" customFormat="1" x14ac:dyDescent="0.25"/>
    <row r="20244" s="42" customFormat="1" x14ac:dyDescent="0.25"/>
    <row r="20245" s="42" customFormat="1" x14ac:dyDescent="0.25"/>
    <row r="20246" s="42" customFormat="1" x14ac:dyDescent="0.25"/>
    <row r="20247" s="42" customFormat="1" x14ac:dyDescent="0.25"/>
    <row r="20248" s="42" customFormat="1" x14ac:dyDescent="0.25"/>
    <row r="20249" s="42" customFormat="1" x14ac:dyDescent="0.25"/>
    <row r="20250" s="42" customFormat="1" x14ac:dyDescent="0.25"/>
    <row r="20251" s="42" customFormat="1" x14ac:dyDescent="0.25"/>
    <row r="20252" s="42" customFormat="1" x14ac:dyDescent="0.25"/>
    <row r="20253" s="42" customFormat="1" x14ac:dyDescent="0.25"/>
    <row r="20254" s="42" customFormat="1" x14ac:dyDescent="0.25"/>
    <row r="20255" s="42" customFormat="1" x14ac:dyDescent="0.25"/>
    <row r="20256" s="42" customFormat="1" x14ac:dyDescent="0.25"/>
    <row r="20257" s="42" customFormat="1" x14ac:dyDescent="0.25"/>
    <row r="20258" s="42" customFormat="1" x14ac:dyDescent="0.25"/>
    <row r="20259" s="42" customFormat="1" x14ac:dyDescent="0.25"/>
    <row r="20260" s="42" customFormat="1" x14ac:dyDescent="0.25"/>
    <row r="20261" s="42" customFormat="1" x14ac:dyDescent="0.25"/>
    <row r="20262" s="42" customFormat="1" x14ac:dyDescent="0.25"/>
    <row r="20263" s="42" customFormat="1" x14ac:dyDescent="0.25"/>
    <row r="20264" s="42" customFormat="1" x14ac:dyDescent="0.25"/>
    <row r="20265" s="42" customFormat="1" x14ac:dyDescent="0.25"/>
    <row r="20266" s="42" customFormat="1" x14ac:dyDescent="0.25"/>
    <row r="20267" s="42" customFormat="1" x14ac:dyDescent="0.25"/>
    <row r="20268" s="42" customFormat="1" x14ac:dyDescent="0.25"/>
    <row r="20269" s="42" customFormat="1" x14ac:dyDescent="0.25"/>
    <row r="20270" s="42" customFormat="1" x14ac:dyDescent="0.25"/>
    <row r="20271" s="42" customFormat="1" x14ac:dyDescent="0.25"/>
    <row r="20272" s="42" customFormat="1" x14ac:dyDescent="0.25"/>
    <row r="20273" s="42" customFormat="1" x14ac:dyDescent="0.25"/>
    <row r="20274" s="42" customFormat="1" x14ac:dyDescent="0.25"/>
    <row r="20275" s="42" customFormat="1" x14ac:dyDescent="0.25"/>
    <row r="20276" s="42" customFormat="1" x14ac:dyDescent="0.25"/>
    <row r="20277" s="42" customFormat="1" x14ac:dyDescent="0.25"/>
    <row r="20278" s="42" customFormat="1" x14ac:dyDescent="0.25"/>
    <row r="20279" s="42" customFormat="1" x14ac:dyDescent="0.25"/>
    <row r="20280" s="42" customFormat="1" x14ac:dyDescent="0.25"/>
    <row r="20281" s="42" customFormat="1" x14ac:dyDescent="0.25"/>
    <row r="20282" s="42" customFormat="1" x14ac:dyDescent="0.25"/>
    <row r="20283" s="42" customFormat="1" x14ac:dyDescent="0.25"/>
    <row r="20284" s="42" customFormat="1" x14ac:dyDescent="0.25"/>
    <row r="20285" s="42" customFormat="1" x14ac:dyDescent="0.25"/>
    <row r="20286" s="42" customFormat="1" x14ac:dyDescent="0.25"/>
    <row r="20287" s="42" customFormat="1" x14ac:dyDescent="0.25"/>
    <row r="20288" s="42" customFormat="1" x14ac:dyDescent="0.25"/>
    <row r="20289" s="42" customFormat="1" x14ac:dyDescent="0.25"/>
    <row r="20290" s="42" customFormat="1" x14ac:dyDescent="0.25"/>
    <row r="20291" s="42" customFormat="1" x14ac:dyDescent="0.25"/>
    <row r="20292" s="42" customFormat="1" x14ac:dyDescent="0.25"/>
    <row r="20293" s="42" customFormat="1" x14ac:dyDescent="0.25"/>
    <row r="20294" s="42" customFormat="1" x14ac:dyDescent="0.25"/>
    <row r="20295" s="42" customFormat="1" x14ac:dyDescent="0.25"/>
    <row r="20296" s="42" customFormat="1" x14ac:dyDescent="0.25"/>
    <row r="20297" s="42" customFormat="1" x14ac:dyDescent="0.25"/>
    <row r="20298" s="42" customFormat="1" x14ac:dyDescent="0.25"/>
    <row r="20299" s="42" customFormat="1" x14ac:dyDescent="0.25"/>
    <row r="20300" s="42" customFormat="1" x14ac:dyDescent="0.25"/>
    <row r="20301" s="42" customFormat="1" x14ac:dyDescent="0.25"/>
    <row r="20302" s="42" customFormat="1" x14ac:dyDescent="0.25"/>
    <row r="20303" s="42" customFormat="1" x14ac:dyDescent="0.25"/>
    <row r="20304" s="42" customFormat="1" x14ac:dyDescent="0.25"/>
    <row r="20305" s="42" customFormat="1" x14ac:dyDescent="0.25"/>
    <row r="20306" s="42" customFormat="1" x14ac:dyDescent="0.25"/>
    <row r="20307" s="42" customFormat="1" x14ac:dyDescent="0.25"/>
    <row r="20308" s="42" customFormat="1" x14ac:dyDescent="0.25"/>
    <row r="20309" s="42" customFormat="1" x14ac:dyDescent="0.25"/>
    <row r="20310" s="42" customFormat="1" x14ac:dyDescent="0.25"/>
    <row r="20311" s="42" customFormat="1" x14ac:dyDescent="0.25"/>
    <row r="20312" s="42" customFormat="1" x14ac:dyDescent="0.25"/>
    <row r="20313" s="42" customFormat="1" x14ac:dyDescent="0.25"/>
    <row r="20314" s="42" customFormat="1" x14ac:dyDescent="0.25"/>
    <row r="20315" s="42" customFormat="1" x14ac:dyDescent="0.25"/>
    <row r="20316" s="42" customFormat="1" x14ac:dyDescent="0.25"/>
    <row r="20317" s="42" customFormat="1" x14ac:dyDescent="0.25"/>
    <row r="20318" s="42" customFormat="1" x14ac:dyDescent="0.25"/>
    <row r="20319" s="42" customFormat="1" x14ac:dyDescent="0.25"/>
    <row r="20320" s="42" customFormat="1" x14ac:dyDescent="0.25"/>
    <row r="20321" s="42" customFormat="1" x14ac:dyDescent="0.25"/>
    <row r="20322" s="42" customFormat="1" x14ac:dyDescent="0.25"/>
    <row r="20323" s="42" customFormat="1" x14ac:dyDescent="0.25"/>
    <row r="20324" s="42" customFormat="1" x14ac:dyDescent="0.25"/>
    <row r="20325" s="42" customFormat="1" x14ac:dyDescent="0.25"/>
    <row r="20326" s="42" customFormat="1" x14ac:dyDescent="0.25"/>
    <row r="20327" s="42" customFormat="1" x14ac:dyDescent="0.25"/>
    <row r="20328" s="42" customFormat="1" x14ac:dyDescent="0.25"/>
    <row r="20329" s="42" customFormat="1" x14ac:dyDescent="0.25"/>
    <row r="20330" s="42" customFormat="1" x14ac:dyDescent="0.25"/>
    <row r="20331" s="42" customFormat="1" x14ac:dyDescent="0.25"/>
    <row r="20332" s="42" customFormat="1" x14ac:dyDescent="0.25"/>
    <row r="20333" s="42" customFormat="1" x14ac:dyDescent="0.25"/>
    <row r="20334" s="42" customFormat="1" x14ac:dyDescent="0.25"/>
    <row r="20335" s="42" customFormat="1" x14ac:dyDescent="0.25"/>
    <row r="20336" s="42" customFormat="1" x14ac:dyDescent="0.25"/>
    <row r="20337" s="42" customFormat="1" x14ac:dyDescent="0.25"/>
    <row r="20338" s="42" customFormat="1" x14ac:dyDescent="0.25"/>
    <row r="20339" s="42" customFormat="1" x14ac:dyDescent="0.25"/>
    <row r="20340" s="42" customFormat="1" x14ac:dyDescent="0.25"/>
    <row r="20341" s="42" customFormat="1" x14ac:dyDescent="0.25"/>
    <row r="20342" s="42" customFormat="1" x14ac:dyDescent="0.25"/>
    <row r="20343" s="42" customFormat="1" x14ac:dyDescent="0.25"/>
    <row r="20344" s="42" customFormat="1" x14ac:dyDescent="0.25"/>
    <row r="20345" s="42" customFormat="1" x14ac:dyDescent="0.25"/>
    <row r="20346" s="42" customFormat="1" x14ac:dyDescent="0.25"/>
    <row r="20347" s="42" customFormat="1" x14ac:dyDescent="0.25"/>
    <row r="20348" s="42" customFormat="1" x14ac:dyDescent="0.25"/>
    <row r="20349" s="42" customFormat="1" x14ac:dyDescent="0.25"/>
    <row r="20350" s="42" customFormat="1" x14ac:dyDescent="0.25"/>
    <row r="20351" s="42" customFormat="1" x14ac:dyDescent="0.25"/>
    <row r="20352" s="42" customFormat="1" x14ac:dyDescent="0.25"/>
    <row r="20353" s="42" customFormat="1" x14ac:dyDescent="0.25"/>
    <row r="20354" s="42" customFormat="1" x14ac:dyDescent="0.25"/>
    <row r="20355" s="42" customFormat="1" x14ac:dyDescent="0.25"/>
    <row r="20356" s="42" customFormat="1" x14ac:dyDescent="0.25"/>
    <row r="20357" s="42" customFormat="1" x14ac:dyDescent="0.25"/>
    <row r="20358" s="42" customFormat="1" x14ac:dyDescent="0.25"/>
    <row r="20359" s="42" customFormat="1" x14ac:dyDescent="0.25"/>
    <row r="20360" s="42" customFormat="1" x14ac:dyDescent="0.25"/>
    <row r="20361" s="42" customFormat="1" x14ac:dyDescent="0.25"/>
    <row r="20362" s="42" customFormat="1" x14ac:dyDescent="0.25"/>
    <row r="20363" s="42" customFormat="1" x14ac:dyDescent="0.25"/>
    <row r="20364" s="42" customFormat="1" x14ac:dyDescent="0.25"/>
    <row r="20365" s="42" customFormat="1" x14ac:dyDescent="0.25"/>
    <row r="20366" s="42" customFormat="1" x14ac:dyDescent="0.25"/>
    <row r="20367" s="42" customFormat="1" x14ac:dyDescent="0.25"/>
    <row r="20368" s="42" customFormat="1" x14ac:dyDescent="0.25"/>
    <row r="20369" s="42" customFormat="1" x14ac:dyDescent="0.25"/>
    <row r="20370" s="42" customFormat="1" x14ac:dyDescent="0.25"/>
    <row r="20371" s="42" customFormat="1" x14ac:dyDescent="0.25"/>
    <row r="20372" s="42" customFormat="1" x14ac:dyDescent="0.25"/>
    <row r="20373" s="42" customFormat="1" x14ac:dyDescent="0.25"/>
    <row r="20374" s="42" customFormat="1" x14ac:dyDescent="0.25"/>
    <row r="20375" s="42" customFormat="1" x14ac:dyDescent="0.25"/>
    <row r="20376" s="42" customFormat="1" x14ac:dyDescent="0.25"/>
    <row r="20377" s="42" customFormat="1" x14ac:dyDescent="0.25"/>
    <row r="20378" s="42" customFormat="1" x14ac:dyDescent="0.25"/>
    <row r="20379" s="42" customFormat="1" x14ac:dyDescent="0.25"/>
    <row r="20380" s="42" customFormat="1" x14ac:dyDescent="0.25"/>
    <row r="20381" s="42" customFormat="1" x14ac:dyDescent="0.25"/>
    <row r="20382" s="42" customFormat="1" x14ac:dyDescent="0.25"/>
    <row r="20383" s="42" customFormat="1" x14ac:dyDescent="0.25"/>
    <row r="20384" s="42" customFormat="1" x14ac:dyDescent="0.25"/>
    <row r="20385" s="42" customFormat="1" x14ac:dyDescent="0.25"/>
    <row r="20386" s="42" customFormat="1" x14ac:dyDescent="0.25"/>
    <row r="20387" s="42" customFormat="1" x14ac:dyDescent="0.25"/>
    <row r="20388" s="42" customFormat="1" x14ac:dyDescent="0.25"/>
    <row r="20389" s="42" customFormat="1" x14ac:dyDescent="0.25"/>
    <row r="20390" s="42" customFormat="1" x14ac:dyDescent="0.25"/>
    <row r="20391" s="42" customFormat="1" x14ac:dyDescent="0.25"/>
    <row r="20392" s="42" customFormat="1" x14ac:dyDescent="0.25"/>
    <row r="20393" s="42" customFormat="1" x14ac:dyDescent="0.25"/>
    <row r="20394" s="42" customFormat="1" x14ac:dyDescent="0.25"/>
    <row r="20395" s="42" customFormat="1" x14ac:dyDescent="0.25"/>
    <row r="20396" s="42" customFormat="1" x14ac:dyDescent="0.25"/>
    <row r="20397" s="42" customFormat="1" x14ac:dyDescent="0.25"/>
    <row r="20398" s="42" customFormat="1" x14ac:dyDescent="0.25"/>
    <row r="20399" s="42" customFormat="1" x14ac:dyDescent="0.25"/>
    <row r="20400" s="42" customFormat="1" x14ac:dyDescent="0.25"/>
    <row r="20401" s="42" customFormat="1" x14ac:dyDescent="0.25"/>
    <row r="20402" s="42" customFormat="1" x14ac:dyDescent="0.25"/>
    <row r="20403" s="42" customFormat="1" x14ac:dyDescent="0.25"/>
    <row r="20404" s="42" customFormat="1" x14ac:dyDescent="0.25"/>
    <row r="20405" s="42" customFormat="1" x14ac:dyDescent="0.25"/>
    <row r="20406" s="42" customFormat="1" x14ac:dyDescent="0.25"/>
    <row r="20407" s="42" customFormat="1" x14ac:dyDescent="0.25"/>
    <row r="20408" s="42" customFormat="1" x14ac:dyDescent="0.25"/>
    <row r="20409" s="42" customFormat="1" x14ac:dyDescent="0.25"/>
    <row r="20410" s="42" customFormat="1" x14ac:dyDescent="0.25"/>
    <row r="20411" s="42" customFormat="1" x14ac:dyDescent="0.25"/>
    <row r="20412" s="42" customFormat="1" x14ac:dyDescent="0.25"/>
    <row r="20413" s="42" customFormat="1" x14ac:dyDescent="0.25"/>
    <row r="20414" s="42" customFormat="1" x14ac:dyDescent="0.25"/>
    <row r="20415" s="42" customFormat="1" x14ac:dyDescent="0.25"/>
    <row r="20416" s="42" customFormat="1" x14ac:dyDescent="0.25"/>
    <row r="20417" s="42" customFormat="1" x14ac:dyDescent="0.25"/>
    <row r="20418" s="42" customFormat="1" x14ac:dyDescent="0.25"/>
    <row r="20419" s="42" customFormat="1" x14ac:dyDescent="0.25"/>
    <row r="20420" s="42" customFormat="1" x14ac:dyDescent="0.25"/>
    <row r="20421" s="42" customFormat="1" x14ac:dyDescent="0.25"/>
    <row r="20422" s="42" customFormat="1" x14ac:dyDescent="0.25"/>
    <row r="20423" s="42" customFormat="1" x14ac:dyDescent="0.25"/>
    <row r="20424" s="42" customFormat="1" x14ac:dyDescent="0.25"/>
    <row r="20425" s="42" customFormat="1" x14ac:dyDescent="0.25"/>
    <row r="20426" s="42" customFormat="1" x14ac:dyDescent="0.25"/>
    <row r="20427" s="42" customFormat="1" x14ac:dyDescent="0.25"/>
    <row r="20428" s="42" customFormat="1" x14ac:dyDescent="0.25"/>
    <row r="20429" s="42" customFormat="1" x14ac:dyDescent="0.25"/>
    <row r="20430" s="42" customFormat="1" x14ac:dyDescent="0.25"/>
    <row r="20431" s="42" customFormat="1" x14ac:dyDescent="0.25"/>
    <row r="20432" s="42" customFormat="1" x14ac:dyDescent="0.25"/>
    <row r="20433" s="42" customFormat="1" x14ac:dyDescent="0.25"/>
    <row r="20434" s="42" customFormat="1" x14ac:dyDescent="0.25"/>
    <row r="20435" s="42" customFormat="1" x14ac:dyDescent="0.25"/>
    <row r="20436" s="42" customFormat="1" x14ac:dyDescent="0.25"/>
    <row r="20437" s="42" customFormat="1" x14ac:dyDescent="0.25"/>
    <row r="20438" s="42" customFormat="1" x14ac:dyDescent="0.25"/>
    <row r="20439" s="42" customFormat="1" x14ac:dyDescent="0.25"/>
    <row r="20440" s="42" customFormat="1" x14ac:dyDescent="0.25"/>
    <row r="20441" s="42" customFormat="1" x14ac:dyDescent="0.25"/>
    <row r="20442" s="42" customFormat="1" x14ac:dyDescent="0.25"/>
    <row r="20443" s="42" customFormat="1" x14ac:dyDescent="0.25"/>
    <row r="20444" s="42" customFormat="1" x14ac:dyDescent="0.25"/>
    <row r="20445" s="42" customFormat="1" x14ac:dyDescent="0.25"/>
    <row r="20446" s="42" customFormat="1" x14ac:dyDescent="0.25"/>
    <row r="20447" s="42" customFormat="1" x14ac:dyDescent="0.25"/>
    <row r="20448" s="42" customFormat="1" x14ac:dyDescent="0.25"/>
    <row r="20449" s="42" customFormat="1" x14ac:dyDescent="0.25"/>
    <row r="20450" s="42" customFormat="1" x14ac:dyDescent="0.25"/>
    <row r="20451" s="42" customFormat="1" x14ac:dyDescent="0.25"/>
    <row r="20452" s="42" customFormat="1" x14ac:dyDescent="0.25"/>
    <row r="20453" s="42" customFormat="1" x14ac:dyDescent="0.25"/>
    <row r="20454" s="42" customFormat="1" x14ac:dyDescent="0.25"/>
    <row r="20455" s="42" customFormat="1" x14ac:dyDescent="0.25"/>
    <row r="20456" s="42" customFormat="1" x14ac:dyDescent="0.25"/>
    <row r="20457" s="42" customFormat="1" x14ac:dyDescent="0.25"/>
    <row r="20458" s="42" customFormat="1" x14ac:dyDescent="0.25"/>
    <row r="20459" s="42" customFormat="1" x14ac:dyDescent="0.25"/>
    <row r="20460" s="42" customFormat="1" x14ac:dyDescent="0.25"/>
    <row r="20461" s="42" customFormat="1" x14ac:dyDescent="0.25"/>
    <row r="20462" s="42" customFormat="1" x14ac:dyDescent="0.25"/>
    <row r="20463" s="42" customFormat="1" x14ac:dyDescent="0.25"/>
    <row r="20464" s="42" customFormat="1" x14ac:dyDescent="0.25"/>
    <row r="20465" s="42" customFormat="1" x14ac:dyDescent="0.25"/>
    <row r="20466" s="42" customFormat="1" x14ac:dyDescent="0.25"/>
    <row r="20467" s="42" customFormat="1" x14ac:dyDescent="0.25"/>
    <row r="20468" s="42" customFormat="1" x14ac:dyDescent="0.25"/>
    <row r="20469" s="42" customFormat="1" x14ac:dyDescent="0.25"/>
    <row r="20470" s="42" customFormat="1" x14ac:dyDescent="0.25"/>
    <row r="20471" s="42" customFormat="1" x14ac:dyDescent="0.25"/>
    <row r="20472" s="42" customFormat="1" x14ac:dyDescent="0.25"/>
    <row r="20473" s="42" customFormat="1" x14ac:dyDescent="0.25"/>
    <row r="20474" s="42" customFormat="1" x14ac:dyDescent="0.25"/>
    <row r="20475" s="42" customFormat="1" x14ac:dyDescent="0.25"/>
    <row r="20476" s="42" customFormat="1" x14ac:dyDescent="0.25"/>
    <row r="20477" s="42" customFormat="1" x14ac:dyDescent="0.25"/>
    <row r="20478" s="42" customFormat="1" x14ac:dyDescent="0.25"/>
    <row r="20479" s="42" customFormat="1" x14ac:dyDescent="0.25"/>
    <row r="20480" s="42" customFormat="1" x14ac:dyDescent="0.25"/>
    <row r="20481" s="42" customFormat="1" x14ac:dyDescent="0.25"/>
    <row r="20482" s="42" customFormat="1" x14ac:dyDescent="0.25"/>
    <row r="20483" s="42" customFormat="1" x14ac:dyDescent="0.25"/>
    <row r="20484" s="42" customFormat="1" x14ac:dyDescent="0.25"/>
    <row r="20485" s="42" customFormat="1" x14ac:dyDescent="0.25"/>
    <row r="20486" s="42" customFormat="1" x14ac:dyDescent="0.25"/>
    <row r="20487" s="42" customFormat="1" x14ac:dyDescent="0.25"/>
    <row r="20488" s="42" customFormat="1" x14ac:dyDescent="0.25"/>
    <row r="20489" s="42" customFormat="1" x14ac:dyDescent="0.25"/>
    <row r="20490" s="42" customFormat="1" x14ac:dyDescent="0.25"/>
    <row r="20491" s="42" customFormat="1" x14ac:dyDescent="0.25"/>
    <row r="20492" s="42" customFormat="1" x14ac:dyDescent="0.25"/>
    <row r="20493" s="42" customFormat="1" x14ac:dyDescent="0.25"/>
    <row r="20494" s="42" customFormat="1" x14ac:dyDescent="0.25"/>
    <row r="20495" s="42" customFormat="1" x14ac:dyDescent="0.25"/>
    <row r="20496" s="42" customFormat="1" x14ac:dyDescent="0.25"/>
    <row r="20497" s="42" customFormat="1" x14ac:dyDescent="0.25"/>
    <row r="20498" s="42" customFormat="1" x14ac:dyDescent="0.25"/>
    <row r="20499" s="42" customFormat="1" x14ac:dyDescent="0.25"/>
    <row r="20500" s="42" customFormat="1" x14ac:dyDescent="0.25"/>
    <row r="20501" s="42" customFormat="1" x14ac:dyDescent="0.25"/>
    <row r="20502" s="42" customFormat="1" x14ac:dyDescent="0.25"/>
    <row r="20503" s="42" customFormat="1" x14ac:dyDescent="0.25"/>
    <row r="20504" s="42" customFormat="1" x14ac:dyDescent="0.25"/>
    <row r="20505" s="42" customFormat="1" x14ac:dyDescent="0.25"/>
    <row r="20506" s="42" customFormat="1" x14ac:dyDescent="0.25"/>
    <row r="20507" s="42" customFormat="1" x14ac:dyDescent="0.25"/>
    <row r="20508" s="42" customFormat="1" x14ac:dyDescent="0.25"/>
    <row r="20509" s="42" customFormat="1" x14ac:dyDescent="0.25"/>
    <row r="20510" s="42" customFormat="1" x14ac:dyDescent="0.25"/>
    <row r="20511" s="42" customFormat="1" x14ac:dyDescent="0.25"/>
    <row r="20512" s="42" customFormat="1" x14ac:dyDescent="0.25"/>
    <row r="20513" s="42" customFormat="1" x14ac:dyDescent="0.25"/>
    <row r="20514" s="42" customFormat="1" x14ac:dyDescent="0.25"/>
    <row r="20515" s="42" customFormat="1" x14ac:dyDescent="0.25"/>
    <row r="20516" s="42" customFormat="1" x14ac:dyDescent="0.25"/>
    <row r="20517" s="42" customFormat="1" x14ac:dyDescent="0.25"/>
    <row r="20518" s="42" customFormat="1" x14ac:dyDescent="0.25"/>
    <row r="20519" s="42" customFormat="1" x14ac:dyDescent="0.25"/>
    <row r="20520" s="42" customFormat="1" x14ac:dyDescent="0.25"/>
    <row r="20521" s="42" customFormat="1" x14ac:dyDescent="0.25"/>
    <row r="20522" s="42" customFormat="1" x14ac:dyDescent="0.25"/>
    <row r="20523" s="42" customFormat="1" x14ac:dyDescent="0.25"/>
    <row r="20524" s="42" customFormat="1" x14ac:dyDescent="0.25"/>
    <row r="20525" s="42" customFormat="1" x14ac:dyDescent="0.25"/>
    <row r="20526" s="42" customFormat="1" x14ac:dyDescent="0.25"/>
    <row r="20527" s="42" customFormat="1" x14ac:dyDescent="0.25"/>
    <row r="20528" s="42" customFormat="1" x14ac:dyDescent="0.25"/>
    <row r="20529" s="42" customFormat="1" x14ac:dyDescent="0.25"/>
    <row r="20530" s="42" customFormat="1" x14ac:dyDescent="0.25"/>
    <row r="20531" s="42" customFormat="1" x14ac:dyDescent="0.25"/>
    <row r="20532" s="42" customFormat="1" x14ac:dyDescent="0.25"/>
    <row r="20533" s="42" customFormat="1" x14ac:dyDescent="0.25"/>
    <row r="20534" s="42" customFormat="1" x14ac:dyDescent="0.25"/>
    <row r="20535" s="42" customFormat="1" x14ac:dyDescent="0.25"/>
    <row r="20536" s="42" customFormat="1" x14ac:dyDescent="0.25"/>
    <row r="20537" s="42" customFormat="1" x14ac:dyDescent="0.25"/>
    <row r="20538" s="42" customFormat="1" x14ac:dyDescent="0.25"/>
    <row r="20539" s="42" customFormat="1" x14ac:dyDescent="0.25"/>
    <row r="20540" s="42" customFormat="1" x14ac:dyDescent="0.25"/>
    <row r="20541" s="42" customFormat="1" x14ac:dyDescent="0.25"/>
    <row r="20542" s="42" customFormat="1" x14ac:dyDescent="0.25"/>
    <row r="20543" s="42" customFormat="1" x14ac:dyDescent="0.25"/>
    <row r="20544" s="42" customFormat="1" x14ac:dyDescent="0.25"/>
    <row r="20545" s="42" customFormat="1" x14ac:dyDescent="0.25"/>
    <row r="20546" s="42" customFormat="1" x14ac:dyDescent="0.25"/>
    <row r="20547" s="42" customFormat="1" x14ac:dyDescent="0.25"/>
    <row r="20548" s="42" customFormat="1" x14ac:dyDescent="0.25"/>
    <row r="20549" s="42" customFormat="1" x14ac:dyDescent="0.25"/>
    <row r="20550" s="42" customFormat="1" x14ac:dyDescent="0.25"/>
    <row r="20551" s="42" customFormat="1" x14ac:dyDescent="0.25"/>
    <row r="20552" s="42" customFormat="1" x14ac:dyDescent="0.25"/>
    <row r="20553" s="42" customFormat="1" x14ac:dyDescent="0.25"/>
    <row r="20554" s="42" customFormat="1" x14ac:dyDescent="0.25"/>
    <row r="20555" s="42" customFormat="1" x14ac:dyDescent="0.25"/>
    <row r="20556" s="42" customFormat="1" x14ac:dyDescent="0.25"/>
    <row r="20557" s="42" customFormat="1" x14ac:dyDescent="0.25"/>
    <row r="20558" s="42" customFormat="1" x14ac:dyDescent="0.25"/>
    <row r="20559" s="42" customFormat="1" x14ac:dyDescent="0.25"/>
    <row r="20560" s="42" customFormat="1" x14ac:dyDescent="0.25"/>
    <row r="20561" s="42" customFormat="1" x14ac:dyDescent="0.25"/>
    <row r="20562" s="42" customFormat="1" x14ac:dyDescent="0.25"/>
    <row r="20563" s="42" customFormat="1" x14ac:dyDescent="0.25"/>
    <row r="20564" s="42" customFormat="1" x14ac:dyDescent="0.25"/>
    <row r="20565" s="42" customFormat="1" x14ac:dyDescent="0.25"/>
    <row r="20566" s="42" customFormat="1" x14ac:dyDescent="0.25"/>
    <row r="20567" s="42" customFormat="1" x14ac:dyDescent="0.25"/>
    <row r="20568" s="42" customFormat="1" x14ac:dyDescent="0.25"/>
    <row r="20569" s="42" customFormat="1" x14ac:dyDescent="0.25"/>
    <row r="20570" s="42" customFormat="1" x14ac:dyDescent="0.25"/>
    <row r="20571" s="42" customFormat="1" x14ac:dyDescent="0.25"/>
    <row r="20572" s="42" customFormat="1" x14ac:dyDescent="0.25"/>
    <row r="20573" s="42" customFormat="1" x14ac:dyDescent="0.25"/>
    <row r="20574" s="42" customFormat="1" x14ac:dyDescent="0.25"/>
    <row r="20575" s="42" customFormat="1" x14ac:dyDescent="0.25"/>
    <row r="20576" s="42" customFormat="1" x14ac:dyDescent="0.25"/>
    <row r="20577" s="42" customFormat="1" x14ac:dyDescent="0.25"/>
    <row r="20578" s="42" customFormat="1" x14ac:dyDescent="0.25"/>
    <row r="20579" s="42" customFormat="1" x14ac:dyDescent="0.25"/>
    <row r="20580" s="42" customFormat="1" x14ac:dyDescent="0.25"/>
    <row r="20581" s="42" customFormat="1" x14ac:dyDescent="0.25"/>
    <row r="20582" s="42" customFormat="1" x14ac:dyDescent="0.25"/>
    <row r="20583" s="42" customFormat="1" x14ac:dyDescent="0.25"/>
    <row r="20584" s="42" customFormat="1" x14ac:dyDescent="0.25"/>
    <row r="20585" s="42" customFormat="1" x14ac:dyDescent="0.25"/>
    <row r="20586" s="42" customFormat="1" x14ac:dyDescent="0.25"/>
    <row r="20587" s="42" customFormat="1" x14ac:dyDescent="0.25"/>
    <row r="20588" s="42" customFormat="1" x14ac:dyDescent="0.25"/>
    <row r="20589" s="42" customFormat="1" x14ac:dyDescent="0.25"/>
    <row r="20590" s="42" customFormat="1" x14ac:dyDescent="0.25"/>
    <row r="20591" s="42" customFormat="1" x14ac:dyDescent="0.25"/>
    <row r="20592" s="42" customFormat="1" x14ac:dyDescent="0.25"/>
    <row r="20593" s="42" customFormat="1" x14ac:dyDescent="0.25"/>
    <row r="20594" s="42" customFormat="1" x14ac:dyDescent="0.25"/>
    <row r="20595" s="42" customFormat="1" x14ac:dyDescent="0.25"/>
    <row r="20596" s="42" customFormat="1" x14ac:dyDescent="0.25"/>
    <row r="20597" s="42" customFormat="1" x14ac:dyDescent="0.25"/>
    <row r="20598" s="42" customFormat="1" x14ac:dyDescent="0.25"/>
    <row r="20599" s="42" customFormat="1" x14ac:dyDescent="0.25"/>
    <row r="20600" s="42" customFormat="1" x14ac:dyDescent="0.25"/>
    <row r="20601" s="42" customFormat="1" x14ac:dyDescent="0.25"/>
    <row r="20602" s="42" customFormat="1" x14ac:dyDescent="0.25"/>
    <row r="20603" s="42" customFormat="1" x14ac:dyDescent="0.25"/>
    <row r="20604" s="42" customFormat="1" x14ac:dyDescent="0.25"/>
    <row r="20605" s="42" customFormat="1" x14ac:dyDescent="0.25"/>
    <row r="20606" s="42" customFormat="1" x14ac:dyDescent="0.25"/>
    <row r="20607" s="42" customFormat="1" x14ac:dyDescent="0.25"/>
    <row r="20608" s="42" customFormat="1" x14ac:dyDescent="0.25"/>
    <row r="20609" s="42" customFormat="1" x14ac:dyDescent="0.25"/>
    <row r="20610" s="42" customFormat="1" x14ac:dyDescent="0.25"/>
    <row r="20611" s="42" customFormat="1" x14ac:dyDescent="0.25"/>
    <row r="20612" s="42" customFormat="1" x14ac:dyDescent="0.25"/>
    <row r="20613" s="42" customFormat="1" x14ac:dyDescent="0.25"/>
    <row r="20614" s="42" customFormat="1" x14ac:dyDescent="0.25"/>
    <row r="20615" s="42" customFormat="1" x14ac:dyDescent="0.25"/>
    <row r="20616" s="42" customFormat="1" x14ac:dyDescent="0.25"/>
    <row r="20617" s="42" customFormat="1" x14ac:dyDescent="0.25"/>
    <row r="20618" s="42" customFormat="1" x14ac:dyDescent="0.25"/>
    <row r="20619" s="42" customFormat="1" x14ac:dyDescent="0.25"/>
    <row r="20620" s="42" customFormat="1" x14ac:dyDescent="0.25"/>
    <row r="20621" s="42" customFormat="1" x14ac:dyDescent="0.25"/>
    <row r="20622" s="42" customFormat="1" x14ac:dyDescent="0.25"/>
    <row r="20623" s="42" customFormat="1" x14ac:dyDescent="0.25"/>
    <row r="20624" s="42" customFormat="1" x14ac:dyDescent="0.25"/>
    <row r="20625" s="42" customFormat="1" x14ac:dyDescent="0.25"/>
    <row r="20626" s="42" customFormat="1" x14ac:dyDescent="0.25"/>
    <row r="20627" s="42" customFormat="1" x14ac:dyDescent="0.25"/>
    <row r="20628" s="42" customFormat="1" x14ac:dyDescent="0.25"/>
    <row r="20629" s="42" customFormat="1" x14ac:dyDescent="0.25"/>
    <row r="20630" s="42" customFormat="1" x14ac:dyDescent="0.25"/>
    <row r="20631" s="42" customFormat="1" x14ac:dyDescent="0.25"/>
    <row r="20632" s="42" customFormat="1" x14ac:dyDescent="0.25"/>
    <row r="20633" s="42" customFormat="1" x14ac:dyDescent="0.25"/>
    <row r="20634" s="42" customFormat="1" x14ac:dyDescent="0.25"/>
    <row r="20635" s="42" customFormat="1" x14ac:dyDescent="0.25"/>
    <row r="20636" s="42" customFormat="1" x14ac:dyDescent="0.25"/>
    <row r="20637" s="42" customFormat="1" x14ac:dyDescent="0.25"/>
    <row r="20638" s="42" customFormat="1" x14ac:dyDescent="0.25"/>
    <row r="20639" s="42" customFormat="1" x14ac:dyDescent="0.25"/>
    <row r="20640" s="42" customFormat="1" x14ac:dyDescent="0.25"/>
    <row r="20641" s="42" customFormat="1" x14ac:dyDescent="0.25"/>
    <row r="20642" s="42" customFormat="1" x14ac:dyDescent="0.25"/>
    <row r="20643" s="42" customFormat="1" x14ac:dyDescent="0.25"/>
    <row r="20644" s="42" customFormat="1" x14ac:dyDescent="0.25"/>
    <row r="20645" s="42" customFormat="1" x14ac:dyDescent="0.25"/>
    <row r="20646" s="42" customFormat="1" x14ac:dyDescent="0.25"/>
    <row r="20647" s="42" customFormat="1" x14ac:dyDescent="0.25"/>
    <row r="20648" s="42" customFormat="1" x14ac:dyDescent="0.25"/>
    <row r="20649" s="42" customFormat="1" x14ac:dyDescent="0.25"/>
    <row r="20650" s="42" customFormat="1" x14ac:dyDescent="0.25"/>
    <row r="20651" s="42" customFormat="1" x14ac:dyDescent="0.25"/>
    <row r="20652" s="42" customFormat="1" x14ac:dyDescent="0.25"/>
    <row r="20653" s="42" customFormat="1" x14ac:dyDescent="0.25"/>
    <row r="20654" s="42" customFormat="1" x14ac:dyDescent="0.25"/>
    <row r="20655" s="42" customFormat="1" x14ac:dyDescent="0.25"/>
    <row r="20656" s="42" customFormat="1" x14ac:dyDescent="0.25"/>
    <row r="20657" s="42" customFormat="1" x14ac:dyDescent="0.25"/>
    <row r="20658" s="42" customFormat="1" x14ac:dyDescent="0.25"/>
    <row r="20659" s="42" customFormat="1" x14ac:dyDescent="0.25"/>
    <row r="20660" s="42" customFormat="1" x14ac:dyDescent="0.25"/>
    <row r="20661" s="42" customFormat="1" x14ac:dyDescent="0.25"/>
    <row r="20662" s="42" customFormat="1" x14ac:dyDescent="0.25"/>
    <row r="20663" s="42" customFormat="1" x14ac:dyDescent="0.25"/>
    <row r="20664" s="42" customFormat="1" x14ac:dyDescent="0.25"/>
    <row r="20665" s="42" customFormat="1" x14ac:dyDescent="0.25"/>
    <row r="20666" s="42" customFormat="1" x14ac:dyDescent="0.25"/>
    <row r="20667" s="42" customFormat="1" x14ac:dyDescent="0.25"/>
    <row r="20668" s="42" customFormat="1" x14ac:dyDescent="0.25"/>
    <row r="20669" s="42" customFormat="1" x14ac:dyDescent="0.25"/>
    <row r="20670" s="42" customFormat="1" x14ac:dyDescent="0.25"/>
    <row r="20671" s="42" customFormat="1" x14ac:dyDescent="0.25"/>
    <row r="20672" s="42" customFormat="1" x14ac:dyDescent="0.25"/>
    <row r="20673" s="42" customFormat="1" x14ac:dyDescent="0.25"/>
    <row r="20674" s="42" customFormat="1" x14ac:dyDescent="0.25"/>
    <row r="20675" s="42" customFormat="1" x14ac:dyDescent="0.25"/>
    <row r="20676" s="42" customFormat="1" x14ac:dyDescent="0.25"/>
    <row r="20677" s="42" customFormat="1" x14ac:dyDescent="0.25"/>
    <row r="20678" s="42" customFormat="1" x14ac:dyDescent="0.25"/>
    <row r="20679" s="42" customFormat="1" x14ac:dyDescent="0.25"/>
    <row r="20680" s="42" customFormat="1" x14ac:dyDescent="0.25"/>
    <row r="20681" s="42" customFormat="1" x14ac:dyDescent="0.25"/>
    <row r="20682" s="42" customFormat="1" x14ac:dyDescent="0.25"/>
    <row r="20683" s="42" customFormat="1" x14ac:dyDescent="0.25"/>
    <row r="20684" s="42" customFormat="1" x14ac:dyDescent="0.25"/>
    <row r="20685" s="42" customFormat="1" x14ac:dyDescent="0.25"/>
    <row r="20686" s="42" customFormat="1" x14ac:dyDescent="0.25"/>
    <row r="20687" s="42" customFormat="1" x14ac:dyDescent="0.25"/>
    <row r="20688" s="42" customFormat="1" x14ac:dyDescent="0.25"/>
    <row r="20689" s="42" customFormat="1" x14ac:dyDescent="0.25"/>
    <row r="20690" s="42" customFormat="1" x14ac:dyDescent="0.25"/>
    <row r="20691" s="42" customFormat="1" x14ac:dyDescent="0.25"/>
    <row r="20692" s="42" customFormat="1" x14ac:dyDescent="0.25"/>
    <row r="20693" s="42" customFormat="1" x14ac:dyDescent="0.25"/>
    <row r="20694" s="42" customFormat="1" x14ac:dyDescent="0.25"/>
    <row r="20695" s="42" customFormat="1" x14ac:dyDescent="0.25"/>
    <row r="20696" s="42" customFormat="1" x14ac:dyDescent="0.25"/>
    <row r="20697" s="42" customFormat="1" x14ac:dyDescent="0.25"/>
    <row r="20698" s="42" customFormat="1" x14ac:dyDescent="0.25"/>
    <row r="20699" s="42" customFormat="1" x14ac:dyDescent="0.25"/>
    <row r="20700" s="42" customFormat="1" x14ac:dyDescent="0.25"/>
    <row r="20701" s="42" customFormat="1" x14ac:dyDescent="0.25"/>
    <row r="20702" s="42" customFormat="1" x14ac:dyDescent="0.25"/>
    <row r="20703" s="42" customFormat="1" x14ac:dyDescent="0.25"/>
    <row r="20704" s="42" customFormat="1" x14ac:dyDescent="0.25"/>
    <row r="20705" s="42" customFormat="1" x14ac:dyDescent="0.25"/>
    <row r="20706" s="42" customFormat="1" x14ac:dyDescent="0.25"/>
    <row r="20707" s="42" customFormat="1" x14ac:dyDescent="0.25"/>
    <row r="20708" s="42" customFormat="1" x14ac:dyDescent="0.25"/>
    <row r="20709" s="42" customFormat="1" x14ac:dyDescent="0.25"/>
    <row r="20710" s="42" customFormat="1" x14ac:dyDescent="0.25"/>
    <row r="20711" s="42" customFormat="1" x14ac:dyDescent="0.25"/>
    <row r="20712" s="42" customFormat="1" x14ac:dyDescent="0.25"/>
    <row r="20713" s="42" customFormat="1" x14ac:dyDescent="0.25"/>
    <row r="20714" s="42" customFormat="1" x14ac:dyDescent="0.25"/>
    <row r="20715" s="42" customFormat="1" x14ac:dyDescent="0.25"/>
    <row r="20716" s="42" customFormat="1" x14ac:dyDescent="0.25"/>
    <row r="20717" s="42" customFormat="1" x14ac:dyDescent="0.25"/>
    <row r="20718" s="42" customFormat="1" x14ac:dyDescent="0.25"/>
    <row r="20719" s="42" customFormat="1" x14ac:dyDescent="0.25"/>
    <row r="20720" s="42" customFormat="1" x14ac:dyDescent="0.25"/>
    <row r="20721" s="42" customFormat="1" x14ac:dyDescent="0.25"/>
    <row r="20722" s="42" customFormat="1" x14ac:dyDescent="0.25"/>
    <row r="20723" s="42" customFormat="1" x14ac:dyDescent="0.25"/>
    <row r="20724" s="42" customFormat="1" x14ac:dyDescent="0.25"/>
    <row r="20725" s="42" customFormat="1" x14ac:dyDescent="0.25"/>
    <row r="20726" s="42" customFormat="1" x14ac:dyDescent="0.25"/>
    <row r="20727" s="42" customFormat="1" x14ac:dyDescent="0.25"/>
    <row r="20728" s="42" customFormat="1" x14ac:dyDescent="0.25"/>
    <row r="20729" s="42" customFormat="1" x14ac:dyDescent="0.25"/>
    <row r="20730" s="42" customFormat="1" x14ac:dyDescent="0.25"/>
    <row r="20731" s="42" customFormat="1" x14ac:dyDescent="0.25"/>
    <row r="20732" s="42" customFormat="1" x14ac:dyDescent="0.25"/>
    <row r="20733" s="42" customFormat="1" x14ac:dyDescent="0.25"/>
    <row r="20734" s="42" customFormat="1" x14ac:dyDescent="0.25"/>
    <row r="20735" s="42" customFormat="1" x14ac:dyDescent="0.25"/>
    <row r="20736" s="42" customFormat="1" x14ac:dyDescent="0.25"/>
    <row r="20737" s="42" customFormat="1" x14ac:dyDescent="0.25"/>
    <row r="20738" s="42" customFormat="1" x14ac:dyDescent="0.25"/>
    <row r="20739" s="42" customFormat="1" x14ac:dyDescent="0.25"/>
    <row r="20740" s="42" customFormat="1" x14ac:dyDescent="0.25"/>
    <row r="20741" s="42" customFormat="1" x14ac:dyDescent="0.25"/>
    <row r="20742" s="42" customFormat="1" x14ac:dyDescent="0.25"/>
    <row r="20743" s="42" customFormat="1" x14ac:dyDescent="0.25"/>
    <row r="20744" s="42" customFormat="1" x14ac:dyDescent="0.25"/>
    <row r="20745" s="42" customFormat="1" x14ac:dyDescent="0.25"/>
    <row r="20746" s="42" customFormat="1" x14ac:dyDescent="0.25"/>
    <row r="20747" s="42" customFormat="1" x14ac:dyDescent="0.25"/>
    <row r="20748" s="42" customFormat="1" x14ac:dyDescent="0.25"/>
    <row r="20749" s="42" customFormat="1" x14ac:dyDescent="0.25"/>
    <row r="20750" s="42" customFormat="1" x14ac:dyDescent="0.25"/>
    <row r="20751" s="42" customFormat="1" x14ac:dyDescent="0.25"/>
    <row r="20752" s="42" customFormat="1" x14ac:dyDescent="0.25"/>
    <row r="20753" s="42" customFormat="1" x14ac:dyDescent="0.25"/>
    <row r="20754" s="42" customFormat="1" x14ac:dyDescent="0.25"/>
    <row r="20755" s="42" customFormat="1" x14ac:dyDescent="0.25"/>
    <row r="20756" s="42" customFormat="1" x14ac:dyDescent="0.25"/>
    <row r="20757" s="42" customFormat="1" x14ac:dyDescent="0.25"/>
    <row r="20758" s="42" customFormat="1" x14ac:dyDescent="0.25"/>
    <row r="20759" s="42" customFormat="1" x14ac:dyDescent="0.25"/>
    <row r="20760" s="42" customFormat="1" x14ac:dyDescent="0.25"/>
    <row r="20761" s="42" customFormat="1" x14ac:dyDescent="0.25"/>
    <row r="20762" s="42" customFormat="1" x14ac:dyDescent="0.25"/>
    <row r="20763" s="42" customFormat="1" x14ac:dyDescent="0.25"/>
    <row r="20764" s="42" customFormat="1" x14ac:dyDescent="0.25"/>
    <row r="20765" s="42" customFormat="1" x14ac:dyDescent="0.25"/>
    <row r="20766" s="42" customFormat="1" x14ac:dyDescent="0.25"/>
    <row r="20767" s="42" customFormat="1" x14ac:dyDescent="0.25"/>
    <row r="20768" s="42" customFormat="1" x14ac:dyDescent="0.25"/>
    <row r="20769" s="42" customFormat="1" x14ac:dyDescent="0.25"/>
    <row r="20770" s="42" customFormat="1" x14ac:dyDescent="0.25"/>
    <row r="20771" s="42" customFormat="1" x14ac:dyDescent="0.25"/>
    <row r="20772" s="42" customFormat="1" x14ac:dyDescent="0.25"/>
    <row r="20773" s="42" customFormat="1" x14ac:dyDescent="0.25"/>
    <row r="20774" s="42" customFormat="1" x14ac:dyDescent="0.25"/>
    <row r="20775" s="42" customFormat="1" x14ac:dyDescent="0.25"/>
    <row r="20776" s="42" customFormat="1" x14ac:dyDescent="0.25"/>
    <row r="20777" s="42" customFormat="1" x14ac:dyDescent="0.25"/>
    <row r="20778" s="42" customFormat="1" x14ac:dyDescent="0.25"/>
    <row r="20779" s="42" customFormat="1" x14ac:dyDescent="0.25"/>
    <row r="20780" s="42" customFormat="1" x14ac:dyDescent="0.25"/>
    <row r="20781" s="42" customFormat="1" x14ac:dyDescent="0.25"/>
    <row r="20782" s="42" customFormat="1" x14ac:dyDescent="0.25"/>
    <row r="20783" s="42" customFormat="1" x14ac:dyDescent="0.25"/>
    <row r="20784" s="42" customFormat="1" x14ac:dyDescent="0.25"/>
    <row r="20785" s="42" customFormat="1" x14ac:dyDescent="0.25"/>
    <row r="20786" s="42" customFormat="1" x14ac:dyDescent="0.25"/>
    <row r="20787" s="42" customFormat="1" x14ac:dyDescent="0.25"/>
    <row r="20788" s="42" customFormat="1" x14ac:dyDescent="0.25"/>
    <row r="20789" s="42" customFormat="1" x14ac:dyDescent="0.25"/>
    <row r="20790" s="42" customFormat="1" x14ac:dyDescent="0.25"/>
    <row r="20791" s="42" customFormat="1" x14ac:dyDescent="0.25"/>
    <row r="20792" s="42" customFormat="1" x14ac:dyDescent="0.25"/>
    <row r="20793" s="42" customFormat="1" x14ac:dyDescent="0.25"/>
    <row r="20794" s="42" customFormat="1" x14ac:dyDescent="0.25"/>
    <row r="20795" s="42" customFormat="1" x14ac:dyDescent="0.25"/>
    <row r="20796" s="42" customFormat="1" x14ac:dyDescent="0.25"/>
    <row r="20797" s="42" customFormat="1" x14ac:dyDescent="0.25"/>
    <row r="20798" s="42" customFormat="1" x14ac:dyDescent="0.25"/>
    <row r="20799" s="42" customFormat="1" x14ac:dyDescent="0.25"/>
    <row r="20800" s="42" customFormat="1" x14ac:dyDescent="0.25"/>
    <row r="20801" s="42" customFormat="1" x14ac:dyDescent="0.25"/>
    <row r="20802" s="42" customFormat="1" x14ac:dyDescent="0.25"/>
    <row r="20803" s="42" customFormat="1" x14ac:dyDescent="0.25"/>
    <row r="20804" s="42" customFormat="1" x14ac:dyDescent="0.25"/>
    <row r="20805" s="42" customFormat="1" x14ac:dyDescent="0.25"/>
    <row r="20806" s="42" customFormat="1" x14ac:dyDescent="0.25"/>
    <row r="20807" s="42" customFormat="1" x14ac:dyDescent="0.25"/>
    <row r="20808" s="42" customFormat="1" x14ac:dyDescent="0.25"/>
    <row r="20809" s="42" customFormat="1" x14ac:dyDescent="0.25"/>
    <row r="20810" s="42" customFormat="1" x14ac:dyDescent="0.25"/>
    <row r="20811" s="42" customFormat="1" x14ac:dyDescent="0.25"/>
    <row r="20812" s="42" customFormat="1" x14ac:dyDescent="0.25"/>
    <row r="20813" s="42" customFormat="1" x14ac:dyDescent="0.25"/>
    <row r="20814" s="42" customFormat="1" x14ac:dyDescent="0.25"/>
    <row r="20815" s="42" customFormat="1" x14ac:dyDescent="0.25"/>
    <row r="20816" s="42" customFormat="1" x14ac:dyDescent="0.25"/>
    <row r="20817" s="42" customFormat="1" x14ac:dyDescent="0.25"/>
    <row r="20818" s="42" customFormat="1" x14ac:dyDescent="0.25"/>
    <row r="20819" s="42" customFormat="1" x14ac:dyDescent="0.25"/>
    <row r="20820" s="42" customFormat="1" x14ac:dyDescent="0.25"/>
    <row r="20821" s="42" customFormat="1" x14ac:dyDescent="0.25"/>
    <row r="20822" s="42" customFormat="1" x14ac:dyDescent="0.25"/>
    <row r="20823" s="42" customFormat="1" x14ac:dyDescent="0.25"/>
    <row r="20824" s="42" customFormat="1" x14ac:dyDescent="0.25"/>
    <row r="20825" s="42" customFormat="1" x14ac:dyDescent="0.25"/>
    <row r="20826" s="42" customFormat="1" x14ac:dyDescent="0.25"/>
    <row r="20827" s="42" customFormat="1" x14ac:dyDescent="0.25"/>
    <row r="20828" s="42" customFormat="1" x14ac:dyDescent="0.25"/>
    <row r="20829" s="42" customFormat="1" x14ac:dyDescent="0.25"/>
    <row r="20830" s="42" customFormat="1" x14ac:dyDescent="0.25"/>
    <row r="20831" s="42" customFormat="1" x14ac:dyDescent="0.25"/>
    <row r="20832" s="42" customFormat="1" x14ac:dyDescent="0.25"/>
    <row r="20833" s="42" customFormat="1" x14ac:dyDescent="0.25"/>
    <row r="20834" s="42" customFormat="1" x14ac:dyDescent="0.25"/>
    <row r="20835" s="42" customFormat="1" x14ac:dyDescent="0.25"/>
    <row r="20836" s="42" customFormat="1" x14ac:dyDescent="0.25"/>
    <row r="20837" s="42" customFormat="1" x14ac:dyDescent="0.25"/>
    <row r="20838" s="42" customFormat="1" x14ac:dyDescent="0.25"/>
    <row r="20839" s="42" customFormat="1" x14ac:dyDescent="0.25"/>
    <row r="20840" s="42" customFormat="1" x14ac:dyDescent="0.25"/>
    <row r="20841" s="42" customFormat="1" x14ac:dyDescent="0.25"/>
    <row r="20842" s="42" customFormat="1" x14ac:dyDescent="0.25"/>
    <row r="20843" s="42" customFormat="1" x14ac:dyDescent="0.25"/>
    <row r="20844" s="42" customFormat="1" x14ac:dyDescent="0.25"/>
    <row r="20845" s="42" customFormat="1" x14ac:dyDescent="0.25"/>
    <row r="20846" s="42" customFormat="1" x14ac:dyDescent="0.25"/>
    <row r="20847" s="42" customFormat="1" x14ac:dyDescent="0.25"/>
    <row r="20848" s="42" customFormat="1" x14ac:dyDescent="0.25"/>
    <row r="20849" s="42" customFormat="1" x14ac:dyDescent="0.25"/>
    <row r="20850" s="42" customFormat="1" x14ac:dyDescent="0.25"/>
    <row r="20851" s="42" customFormat="1" x14ac:dyDescent="0.25"/>
    <row r="20852" s="42" customFormat="1" x14ac:dyDescent="0.25"/>
    <row r="20853" s="42" customFormat="1" x14ac:dyDescent="0.25"/>
    <row r="20854" s="42" customFormat="1" x14ac:dyDescent="0.25"/>
    <row r="20855" s="42" customFormat="1" x14ac:dyDescent="0.25"/>
    <row r="20856" s="42" customFormat="1" x14ac:dyDescent="0.25"/>
    <row r="20857" s="42" customFormat="1" x14ac:dyDescent="0.25"/>
    <row r="20858" s="42" customFormat="1" x14ac:dyDescent="0.25"/>
    <row r="20859" s="42" customFormat="1" x14ac:dyDescent="0.25"/>
    <row r="20860" s="42" customFormat="1" x14ac:dyDescent="0.25"/>
    <row r="20861" s="42" customFormat="1" x14ac:dyDescent="0.25"/>
    <row r="20862" s="42" customFormat="1" x14ac:dyDescent="0.25"/>
    <row r="20863" s="42" customFormat="1" x14ac:dyDescent="0.25"/>
    <row r="20864" s="42" customFormat="1" x14ac:dyDescent="0.25"/>
    <row r="20865" s="42" customFormat="1" x14ac:dyDescent="0.25"/>
    <row r="20866" s="42" customFormat="1" x14ac:dyDescent="0.25"/>
    <row r="20867" s="42" customFormat="1" x14ac:dyDescent="0.25"/>
    <row r="20868" s="42" customFormat="1" x14ac:dyDescent="0.25"/>
    <row r="20869" s="42" customFormat="1" x14ac:dyDescent="0.25"/>
    <row r="20870" s="42" customFormat="1" x14ac:dyDescent="0.25"/>
    <row r="20871" s="42" customFormat="1" x14ac:dyDescent="0.25"/>
    <row r="20872" s="42" customFormat="1" x14ac:dyDescent="0.25"/>
    <row r="20873" s="42" customFormat="1" x14ac:dyDescent="0.25"/>
    <row r="20874" s="42" customFormat="1" x14ac:dyDescent="0.25"/>
    <row r="20875" s="42" customFormat="1" x14ac:dyDescent="0.25"/>
    <row r="20876" s="42" customFormat="1" x14ac:dyDescent="0.25"/>
    <row r="20877" s="42" customFormat="1" x14ac:dyDescent="0.25"/>
    <row r="20878" s="42" customFormat="1" x14ac:dyDescent="0.25"/>
    <row r="20879" s="42" customFormat="1" x14ac:dyDescent="0.25"/>
    <row r="20880" s="42" customFormat="1" x14ac:dyDescent="0.25"/>
    <row r="20881" s="42" customFormat="1" x14ac:dyDescent="0.25"/>
    <row r="20882" s="42" customFormat="1" x14ac:dyDescent="0.25"/>
    <row r="20883" s="42" customFormat="1" x14ac:dyDescent="0.25"/>
    <row r="20884" s="42" customFormat="1" x14ac:dyDescent="0.25"/>
    <row r="20885" s="42" customFormat="1" x14ac:dyDescent="0.25"/>
    <row r="20886" s="42" customFormat="1" x14ac:dyDescent="0.25"/>
    <row r="20887" s="42" customFormat="1" x14ac:dyDescent="0.25"/>
    <row r="20888" s="42" customFormat="1" x14ac:dyDescent="0.25"/>
    <row r="20889" s="42" customFormat="1" x14ac:dyDescent="0.25"/>
    <row r="20890" s="42" customFormat="1" x14ac:dyDescent="0.25"/>
    <row r="20891" s="42" customFormat="1" x14ac:dyDescent="0.25"/>
    <row r="20892" s="42" customFormat="1" x14ac:dyDescent="0.25"/>
    <row r="20893" s="42" customFormat="1" x14ac:dyDescent="0.25"/>
    <row r="20894" s="42" customFormat="1" x14ac:dyDescent="0.25"/>
    <row r="20895" s="42" customFormat="1" x14ac:dyDescent="0.25"/>
    <row r="20896" s="42" customFormat="1" x14ac:dyDescent="0.25"/>
    <row r="20897" s="42" customFormat="1" x14ac:dyDescent="0.25"/>
    <row r="20898" s="42" customFormat="1" x14ac:dyDescent="0.25"/>
    <row r="20899" s="42" customFormat="1" x14ac:dyDescent="0.25"/>
    <row r="20900" s="42" customFormat="1" x14ac:dyDescent="0.25"/>
    <row r="20901" s="42" customFormat="1" x14ac:dyDescent="0.25"/>
    <row r="20902" s="42" customFormat="1" x14ac:dyDescent="0.25"/>
    <row r="20903" s="42" customFormat="1" x14ac:dyDescent="0.25"/>
    <row r="20904" s="42" customFormat="1" x14ac:dyDescent="0.25"/>
    <row r="20905" s="42" customFormat="1" x14ac:dyDescent="0.25"/>
    <row r="20906" s="42" customFormat="1" x14ac:dyDescent="0.25"/>
    <row r="20907" s="42" customFormat="1" x14ac:dyDescent="0.25"/>
    <row r="20908" s="42" customFormat="1" x14ac:dyDescent="0.25"/>
    <row r="20909" s="42" customFormat="1" x14ac:dyDescent="0.25"/>
    <row r="20910" s="42" customFormat="1" x14ac:dyDescent="0.25"/>
    <row r="20911" s="42" customFormat="1" x14ac:dyDescent="0.25"/>
    <row r="20912" s="42" customFormat="1" x14ac:dyDescent="0.25"/>
    <row r="20913" s="42" customFormat="1" x14ac:dyDescent="0.25"/>
    <row r="20914" s="42" customFormat="1" x14ac:dyDescent="0.25"/>
    <row r="20915" s="42" customFormat="1" x14ac:dyDescent="0.25"/>
    <row r="20916" s="42" customFormat="1" x14ac:dyDescent="0.25"/>
    <row r="20917" s="42" customFormat="1" x14ac:dyDescent="0.25"/>
    <row r="20918" s="42" customFormat="1" x14ac:dyDescent="0.25"/>
    <row r="20919" s="42" customFormat="1" x14ac:dyDescent="0.25"/>
    <row r="20920" s="42" customFormat="1" x14ac:dyDescent="0.25"/>
    <row r="20921" s="42" customFormat="1" x14ac:dyDescent="0.25"/>
    <row r="20922" s="42" customFormat="1" x14ac:dyDescent="0.25"/>
    <row r="20923" s="42" customFormat="1" x14ac:dyDescent="0.25"/>
    <row r="20924" s="42" customFormat="1" x14ac:dyDescent="0.25"/>
    <row r="20925" s="42" customFormat="1" x14ac:dyDescent="0.25"/>
    <row r="20926" s="42" customFormat="1" x14ac:dyDescent="0.25"/>
    <row r="20927" s="42" customFormat="1" x14ac:dyDescent="0.25"/>
    <row r="20928" s="42" customFormat="1" x14ac:dyDescent="0.25"/>
    <row r="20929" s="42" customFormat="1" x14ac:dyDescent="0.25"/>
    <row r="20930" s="42" customFormat="1" x14ac:dyDescent="0.25"/>
    <row r="20931" s="42" customFormat="1" x14ac:dyDescent="0.25"/>
    <row r="20932" s="42" customFormat="1" x14ac:dyDescent="0.25"/>
    <row r="20933" s="42" customFormat="1" x14ac:dyDescent="0.25"/>
    <row r="20934" s="42" customFormat="1" x14ac:dyDescent="0.25"/>
    <row r="20935" s="42" customFormat="1" x14ac:dyDescent="0.25"/>
    <row r="20936" s="42" customFormat="1" x14ac:dyDescent="0.25"/>
    <row r="20937" s="42" customFormat="1" x14ac:dyDescent="0.25"/>
    <row r="20938" s="42" customFormat="1" x14ac:dyDescent="0.25"/>
    <row r="20939" s="42" customFormat="1" x14ac:dyDescent="0.25"/>
    <row r="20940" s="42" customFormat="1" x14ac:dyDescent="0.25"/>
    <row r="20941" s="42" customFormat="1" x14ac:dyDescent="0.25"/>
    <row r="20942" s="42" customFormat="1" x14ac:dyDescent="0.25"/>
    <row r="20943" s="42" customFormat="1" x14ac:dyDescent="0.25"/>
    <row r="20944" s="42" customFormat="1" x14ac:dyDescent="0.25"/>
    <row r="20945" s="42" customFormat="1" x14ac:dyDescent="0.25"/>
    <row r="20946" s="42" customFormat="1" x14ac:dyDescent="0.25"/>
    <row r="20947" s="42" customFormat="1" x14ac:dyDescent="0.25"/>
    <row r="20948" s="42" customFormat="1" x14ac:dyDescent="0.25"/>
    <row r="20949" s="42" customFormat="1" x14ac:dyDescent="0.25"/>
    <row r="20950" s="42" customFormat="1" x14ac:dyDescent="0.25"/>
    <row r="20951" s="42" customFormat="1" x14ac:dyDescent="0.25"/>
    <row r="20952" s="42" customFormat="1" x14ac:dyDescent="0.25"/>
    <row r="20953" s="42" customFormat="1" x14ac:dyDescent="0.25"/>
    <row r="20954" s="42" customFormat="1" x14ac:dyDescent="0.25"/>
    <row r="20955" s="42" customFormat="1" x14ac:dyDescent="0.25"/>
    <row r="20956" s="42" customFormat="1" x14ac:dyDescent="0.25"/>
    <row r="20957" s="42" customFormat="1" x14ac:dyDescent="0.25"/>
    <row r="20958" s="42" customFormat="1" x14ac:dyDescent="0.25"/>
    <row r="20959" s="42" customFormat="1" x14ac:dyDescent="0.25"/>
    <row r="20960" s="42" customFormat="1" x14ac:dyDescent="0.25"/>
    <row r="20961" s="42" customFormat="1" x14ac:dyDescent="0.25"/>
    <row r="20962" s="42" customFormat="1" x14ac:dyDescent="0.25"/>
    <row r="20963" s="42" customFormat="1" x14ac:dyDescent="0.25"/>
    <row r="20964" s="42" customFormat="1" x14ac:dyDescent="0.25"/>
    <row r="20965" s="42" customFormat="1" x14ac:dyDescent="0.25"/>
    <row r="20966" s="42" customFormat="1" x14ac:dyDescent="0.25"/>
    <row r="20967" s="42" customFormat="1" x14ac:dyDescent="0.25"/>
    <row r="20968" s="42" customFormat="1" x14ac:dyDescent="0.25"/>
    <row r="20969" s="42" customFormat="1" x14ac:dyDescent="0.25"/>
    <row r="20970" s="42" customFormat="1" x14ac:dyDescent="0.25"/>
    <row r="20971" s="42" customFormat="1" x14ac:dyDescent="0.25"/>
    <row r="20972" s="42" customFormat="1" x14ac:dyDescent="0.25"/>
    <row r="20973" s="42" customFormat="1" x14ac:dyDescent="0.25"/>
    <row r="20974" s="42" customFormat="1" x14ac:dyDescent="0.25"/>
    <row r="20975" s="42" customFormat="1" x14ac:dyDescent="0.25"/>
    <row r="20976" s="42" customFormat="1" x14ac:dyDescent="0.25"/>
    <row r="20977" s="42" customFormat="1" x14ac:dyDescent="0.25"/>
    <row r="20978" s="42" customFormat="1" x14ac:dyDescent="0.25"/>
    <row r="20979" s="42" customFormat="1" x14ac:dyDescent="0.25"/>
    <row r="20980" s="42" customFormat="1" x14ac:dyDescent="0.25"/>
    <row r="20981" s="42" customFormat="1" x14ac:dyDescent="0.25"/>
    <row r="20982" s="42" customFormat="1" x14ac:dyDescent="0.25"/>
    <row r="20983" s="42" customFormat="1" x14ac:dyDescent="0.25"/>
    <row r="20984" s="42" customFormat="1" x14ac:dyDescent="0.25"/>
    <row r="20985" s="42" customFormat="1" x14ac:dyDescent="0.25"/>
    <row r="20986" s="42" customFormat="1" x14ac:dyDescent="0.25"/>
    <row r="20987" s="42" customFormat="1" x14ac:dyDescent="0.25"/>
    <row r="20988" s="42" customFormat="1" x14ac:dyDescent="0.25"/>
    <row r="20989" s="42" customFormat="1" x14ac:dyDescent="0.25"/>
    <row r="20990" s="42" customFormat="1" x14ac:dyDescent="0.25"/>
    <row r="20991" s="42" customFormat="1" x14ac:dyDescent="0.25"/>
    <row r="20992" s="42" customFormat="1" x14ac:dyDescent="0.25"/>
    <row r="20993" s="42" customFormat="1" x14ac:dyDescent="0.25"/>
    <row r="20994" s="42" customFormat="1" x14ac:dyDescent="0.25"/>
    <row r="20995" s="42" customFormat="1" x14ac:dyDescent="0.25"/>
    <row r="20996" s="42" customFormat="1" x14ac:dyDescent="0.25"/>
    <row r="20997" s="42" customFormat="1" x14ac:dyDescent="0.25"/>
    <row r="20998" s="42" customFormat="1" x14ac:dyDescent="0.25"/>
    <row r="20999" s="42" customFormat="1" x14ac:dyDescent="0.25"/>
    <row r="21000" s="42" customFormat="1" x14ac:dyDescent="0.25"/>
    <row r="21001" s="42" customFormat="1" x14ac:dyDescent="0.25"/>
    <row r="21002" s="42" customFormat="1" x14ac:dyDescent="0.25"/>
    <row r="21003" s="42" customFormat="1" x14ac:dyDescent="0.25"/>
    <row r="21004" s="42" customFormat="1" x14ac:dyDescent="0.25"/>
    <row r="21005" s="42" customFormat="1" x14ac:dyDescent="0.25"/>
    <row r="21006" s="42" customFormat="1" x14ac:dyDescent="0.25"/>
    <row r="21007" s="42" customFormat="1" x14ac:dyDescent="0.25"/>
    <row r="21008" s="42" customFormat="1" x14ac:dyDescent="0.25"/>
    <row r="21009" s="42" customFormat="1" x14ac:dyDescent="0.25"/>
    <row r="21010" s="42" customFormat="1" x14ac:dyDescent="0.25"/>
    <row r="21011" s="42" customFormat="1" x14ac:dyDescent="0.25"/>
    <row r="21012" s="42" customFormat="1" x14ac:dyDescent="0.25"/>
    <row r="21013" s="42" customFormat="1" x14ac:dyDescent="0.25"/>
    <row r="21014" s="42" customFormat="1" x14ac:dyDescent="0.25"/>
    <row r="21015" s="42" customFormat="1" x14ac:dyDescent="0.25"/>
    <row r="21016" s="42" customFormat="1" x14ac:dyDescent="0.25"/>
    <row r="21017" s="42" customFormat="1" x14ac:dyDescent="0.25"/>
    <row r="21018" s="42" customFormat="1" x14ac:dyDescent="0.25"/>
    <row r="21019" s="42" customFormat="1" x14ac:dyDescent="0.25"/>
    <row r="21020" s="42" customFormat="1" x14ac:dyDescent="0.25"/>
    <row r="21021" s="42" customFormat="1" x14ac:dyDescent="0.25"/>
    <row r="21022" s="42" customFormat="1" x14ac:dyDescent="0.25"/>
    <row r="21023" s="42" customFormat="1" x14ac:dyDescent="0.25"/>
    <row r="21024" s="42" customFormat="1" x14ac:dyDescent="0.25"/>
    <row r="21025" s="42" customFormat="1" x14ac:dyDescent="0.25"/>
    <row r="21026" s="42" customFormat="1" x14ac:dyDescent="0.25"/>
    <row r="21027" s="42" customFormat="1" x14ac:dyDescent="0.25"/>
    <row r="21028" s="42" customFormat="1" x14ac:dyDescent="0.25"/>
    <row r="21029" s="42" customFormat="1" x14ac:dyDescent="0.25"/>
    <row r="21030" s="42" customFormat="1" x14ac:dyDescent="0.25"/>
    <row r="21031" s="42" customFormat="1" x14ac:dyDescent="0.25"/>
    <row r="21032" s="42" customFormat="1" x14ac:dyDescent="0.25"/>
    <row r="21033" s="42" customFormat="1" x14ac:dyDescent="0.25"/>
    <row r="21034" s="42" customFormat="1" x14ac:dyDescent="0.25"/>
    <row r="21035" s="42" customFormat="1" x14ac:dyDescent="0.25"/>
    <row r="21036" s="42" customFormat="1" x14ac:dyDescent="0.25"/>
    <row r="21037" s="42" customFormat="1" x14ac:dyDescent="0.25"/>
    <row r="21038" s="42" customFormat="1" x14ac:dyDescent="0.25"/>
    <row r="21039" s="42" customFormat="1" x14ac:dyDescent="0.25"/>
    <row r="21040" s="42" customFormat="1" x14ac:dyDescent="0.25"/>
    <row r="21041" s="42" customFormat="1" x14ac:dyDescent="0.25"/>
    <row r="21042" s="42" customFormat="1" x14ac:dyDescent="0.25"/>
    <row r="21043" s="42" customFormat="1" x14ac:dyDescent="0.25"/>
    <row r="21044" s="42" customFormat="1" x14ac:dyDescent="0.25"/>
    <row r="21045" s="42" customFormat="1" x14ac:dyDescent="0.25"/>
    <row r="21046" s="42" customFormat="1" x14ac:dyDescent="0.25"/>
    <row r="21047" s="42" customFormat="1" x14ac:dyDescent="0.25"/>
    <row r="21048" s="42" customFormat="1" x14ac:dyDescent="0.25"/>
    <row r="21049" s="42" customFormat="1" x14ac:dyDescent="0.25"/>
    <row r="21050" s="42" customFormat="1" x14ac:dyDescent="0.25"/>
    <row r="21051" s="42" customFormat="1" x14ac:dyDescent="0.25"/>
    <row r="21052" s="42" customFormat="1" x14ac:dyDescent="0.25"/>
    <row r="21053" s="42" customFormat="1" x14ac:dyDescent="0.25"/>
    <row r="21054" s="42" customFormat="1" x14ac:dyDescent="0.25"/>
    <row r="21055" s="42" customFormat="1" x14ac:dyDescent="0.25"/>
    <row r="21056" s="42" customFormat="1" x14ac:dyDescent="0.25"/>
    <row r="21057" s="42" customFormat="1" x14ac:dyDescent="0.25"/>
    <row r="21058" s="42" customFormat="1" x14ac:dyDescent="0.25"/>
    <row r="21059" s="42" customFormat="1" x14ac:dyDescent="0.25"/>
    <row r="21060" s="42" customFormat="1" x14ac:dyDescent="0.25"/>
    <row r="21061" s="42" customFormat="1" x14ac:dyDescent="0.25"/>
    <row r="21062" s="42" customFormat="1" x14ac:dyDescent="0.25"/>
    <row r="21063" s="42" customFormat="1" x14ac:dyDescent="0.25"/>
    <row r="21064" s="42" customFormat="1" x14ac:dyDescent="0.25"/>
    <row r="21065" s="42" customFormat="1" x14ac:dyDescent="0.25"/>
    <row r="21066" s="42" customFormat="1" x14ac:dyDescent="0.25"/>
    <row r="21067" s="42" customFormat="1" x14ac:dyDescent="0.25"/>
    <row r="21068" s="42" customFormat="1" x14ac:dyDescent="0.25"/>
    <row r="21069" s="42" customFormat="1" x14ac:dyDescent="0.25"/>
    <row r="21070" s="42" customFormat="1" x14ac:dyDescent="0.25"/>
    <row r="21071" s="42" customFormat="1" x14ac:dyDescent="0.25"/>
    <row r="21072" s="42" customFormat="1" x14ac:dyDescent="0.25"/>
    <row r="21073" s="42" customFormat="1" x14ac:dyDescent="0.25"/>
    <row r="21074" s="42" customFormat="1" x14ac:dyDescent="0.25"/>
    <row r="21075" s="42" customFormat="1" x14ac:dyDescent="0.25"/>
    <row r="21076" s="42" customFormat="1" x14ac:dyDescent="0.25"/>
    <row r="21077" s="42" customFormat="1" x14ac:dyDescent="0.25"/>
    <row r="21078" s="42" customFormat="1" x14ac:dyDescent="0.25"/>
    <row r="21079" s="42" customFormat="1" x14ac:dyDescent="0.25"/>
    <row r="21080" s="42" customFormat="1" x14ac:dyDescent="0.25"/>
    <row r="21081" s="42" customFormat="1" x14ac:dyDescent="0.25"/>
    <row r="21082" s="42" customFormat="1" x14ac:dyDescent="0.25"/>
    <row r="21083" s="42" customFormat="1" x14ac:dyDescent="0.25"/>
    <row r="21084" s="42" customFormat="1" x14ac:dyDescent="0.25"/>
    <row r="21085" s="42" customFormat="1" x14ac:dyDescent="0.25"/>
    <row r="21086" s="42" customFormat="1" x14ac:dyDescent="0.25"/>
    <row r="21087" s="42" customFormat="1" x14ac:dyDescent="0.25"/>
    <row r="21088" s="42" customFormat="1" x14ac:dyDescent="0.25"/>
    <row r="21089" s="42" customFormat="1" x14ac:dyDescent="0.25"/>
    <row r="21090" s="42" customFormat="1" x14ac:dyDescent="0.25"/>
    <row r="21091" s="42" customFormat="1" x14ac:dyDescent="0.25"/>
    <row r="21092" s="42" customFormat="1" x14ac:dyDescent="0.25"/>
    <row r="21093" s="42" customFormat="1" x14ac:dyDescent="0.25"/>
    <row r="21094" s="42" customFormat="1" x14ac:dyDescent="0.25"/>
    <row r="21095" s="42" customFormat="1" x14ac:dyDescent="0.25"/>
    <row r="21096" s="42" customFormat="1" x14ac:dyDescent="0.25"/>
    <row r="21097" s="42" customFormat="1" x14ac:dyDescent="0.25"/>
    <row r="21098" s="42" customFormat="1" x14ac:dyDescent="0.25"/>
    <row r="21099" s="42" customFormat="1" x14ac:dyDescent="0.25"/>
    <row r="21100" s="42" customFormat="1" x14ac:dyDescent="0.25"/>
    <row r="21101" s="42" customFormat="1" x14ac:dyDescent="0.25"/>
    <row r="21102" s="42" customFormat="1" x14ac:dyDescent="0.25"/>
    <row r="21103" s="42" customFormat="1" x14ac:dyDescent="0.25"/>
    <row r="21104" s="42" customFormat="1" x14ac:dyDescent="0.25"/>
    <row r="21105" s="42" customFormat="1" x14ac:dyDescent="0.25"/>
    <row r="21106" s="42" customFormat="1" x14ac:dyDescent="0.25"/>
    <row r="21107" s="42" customFormat="1" x14ac:dyDescent="0.25"/>
    <row r="21108" s="42" customFormat="1" x14ac:dyDescent="0.25"/>
    <row r="21109" s="42" customFormat="1" x14ac:dyDescent="0.25"/>
    <row r="21110" s="42" customFormat="1" x14ac:dyDescent="0.25"/>
    <row r="21111" s="42" customFormat="1" x14ac:dyDescent="0.25"/>
    <row r="21112" s="42" customFormat="1" x14ac:dyDescent="0.25"/>
    <row r="21113" s="42" customFormat="1" x14ac:dyDescent="0.25"/>
    <row r="21114" s="42" customFormat="1" x14ac:dyDescent="0.25"/>
    <row r="21115" s="42" customFormat="1" x14ac:dyDescent="0.25"/>
    <row r="21116" s="42" customFormat="1" x14ac:dyDescent="0.25"/>
    <row r="21117" s="42" customFormat="1" x14ac:dyDescent="0.25"/>
    <row r="21118" s="42" customFormat="1" x14ac:dyDescent="0.25"/>
    <row r="21119" s="42" customFormat="1" x14ac:dyDescent="0.25"/>
    <row r="21120" s="42" customFormat="1" x14ac:dyDescent="0.25"/>
    <row r="21121" s="42" customFormat="1" x14ac:dyDescent="0.25"/>
    <row r="21122" s="42" customFormat="1" x14ac:dyDescent="0.25"/>
    <row r="21123" s="42" customFormat="1" x14ac:dyDescent="0.25"/>
    <row r="21124" s="42" customFormat="1" x14ac:dyDescent="0.25"/>
    <row r="21125" s="42" customFormat="1" x14ac:dyDescent="0.25"/>
    <row r="21126" s="42" customFormat="1" x14ac:dyDescent="0.25"/>
    <row r="21127" s="42" customFormat="1" x14ac:dyDescent="0.25"/>
    <row r="21128" s="42" customFormat="1" x14ac:dyDescent="0.25"/>
    <row r="21129" s="42" customFormat="1" x14ac:dyDescent="0.25"/>
    <row r="21130" s="42" customFormat="1" x14ac:dyDescent="0.25"/>
    <row r="21131" s="42" customFormat="1" x14ac:dyDescent="0.25"/>
    <row r="21132" s="42" customFormat="1" x14ac:dyDescent="0.25"/>
    <row r="21133" s="42" customFormat="1" x14ac:dyDescent="0.25"/>
    <row r="21134" s="42" customFormat="1" x14ac:dyDescent="0.25"/>
    <row r="21135" s="42" customFormat="1" x14ac:dyDescent="0.25"/>
    <row r="21136" s="42" customFormat="1" x14ac:dyDescent="0.25"/>
    <row r="21137" s="42" customFormat="1" x14ac:dyDescent="0.25"/>
    <row r="21138" s="42" customFormat="1" x14ac:dyDescent="0.25"/>
    <row r="21139" s="42" customFormat="1" x14ac:dyDescent="0.25"/>
    <row r="21140" s="42" customFormat="1" x14ac:dyDescent="0.25"/>
    <row r="21141" s="42" customFormat="1" x14ac:dyDescent="0.25"/>
    <row r="21142" s="42" customFormat="1" x14ac:dyDescent="0.25"/>
    <row r="21143" s="42" customFormat="1" x14ac:dyDescent="0.25"/>
    <row r="21144" s="42" customFormat="1" x14ac:dyDescent="0.25"/>
    <row r="21145" s="42" customFormat="1" x14ac:dyDescent="0.25"/>
    <row r="21146" s="42" customFormat="1" x14ac:dyDescent="0.25"/>
    <row r="21147" s="42" customFormat="1" x14ac:dyDescent="0.25"/>
    <row r="21148" s="42" customFormat="1" x14ac:dyDescent="0.25"/>
    <row r="21149" s="42" customFormat="1" x14ac:dyDescent="0.25"/>
    <row r="21150" s="42" customFormat="1" x14ac:dyDescent="0.25"/>
    <row r="21151" s="42" customFormat="1" x14ac:dyDescent="0.25"/>
    <row r="21152" s="42" customFormat="1" x14ac:dyDescent="0.25"/>
    <row r="21153" s="42" customFormat="1" x14ac:dyDescent="0.25"/>
    <row r="21154" s="42" customFormat="1" x14ac:dyDescent="0.25"/>
    <row r="21155" s="42" customFormat="1" x14ac:dyDescent="0.25"/>
    <row r="21156" s="42" customFormat="1" x14ac:dyDescent="0.25"/>
    <row r="21157" s="42" customFormat="1" x14ac:dyDescent="0.25"/>
    <row r="21158" s="42" customFormat="1" x14ac:dyDescent="0.25"/>
    <row r="21159" s="42" customFormat="1" x14ac:dyDescent="0.25"/>
    <row r="21160" s="42" customFormat="1" x14ac:dyDescent="0.25"/>
    <row r="21161" s="42" customFormat="1" x14ac:dyDescent="0.25"/>
    <row r="21162" s="42" customFormat="1" x14ac:dyDescent="0.25"/>
    <row r="21163" s="42" customFormat="1" x14ac:dyDescent="0.25"/>
    <row r="21164" s="42" customFormat="1" x14ac:dyDescent="0.25"/>
    <row r="21165" s="42" customFormat="1" x14ac:dyDescent="0.25"/>
    <row r="21166" s="42" customFormat="1" x14ac:dyDescent="0.25"/>
    <row r="21167" s="42" customFormat="1" x14ac:dyDescent="0.25"/>
    <row r="21168" s="42" customFormat="1" x14ac:dyDescent="0.25"/>
    <row r="21169" s="42" customFormat="1" x14ac:dyDescent="0.25"/>
    <row r="21170" s="42" customFormat="1" x14ac:dyDescent="0.25"/>
    <row r="21171" s="42" customFormat="1" x14ac:dyDescent="0.25"/>
    <row r="21172" s="42" customFormat="1" x14ac:dyDescent="0.25"/>
    <row r="21173" s="42" customFormat="1" x14ac:dyDescent="0.25"/>
    <row r="21174" s="42" customFormat="1" x14ac:dyDescent="0.25"/>
    <row r="21175" s="42" customFormat="1" x14ac:dyDescent="0.25"/>
    <row r="21176" s="42" customFormat="1" x14ac:dyDescent="0.25"/>
    <row r="21177" s="42" customFormat="1" x14ac:dyDescent="0.25"/>
    <row r="21178" s="42" customFormat="1" x14ac:dyDescent="0.25"/>
    <row r="21179" s="42" customFormat="1" x14ac:dyDescent="0.25"/>
    <row r="21180" s="42" customFormat="1" x14ac:dyDescent="0.25"/>
    <row r="21181" s="42" customFormat="1" x14ac:dyDescent="0.25"/>
    <row r="21182" s="42" customFormat="1" x14ac:dyDescent="0.25"/>
    <row r="21183" s="42" customFormat="1" x14ac:dyDescent="0.25"/>
    <row r="21184" s="42" customFormat="1" x14ac:dyDescent="0.25"/>
    <row r="21185" s="42" customFormat="1" x14ac:dyDescent="0.25"/>
    <row r="21186" s="42" customFormat="1" x14ac:dyDescent="0.25"/>
    <row r="21187" s="42" customFormat="1" x14ac:dyDescent="0.25"/>
    <row r="21188" s="42" customFormat="1" x14ac:dyDescent="0.25"/>
    <row r="21189" s="42" customFormat="1" x14ac:dyDescent="0.25"/>
    <row r="21190" s="42" customFormat="1" x14ac:dyDescent="0.25"/>
    <row r="21191" s="42" customFormat="1" x14ac:dyDescent="0.25"/>
    <row r="21192" s="42" customFormat="1" x14ac:dyDescent="0.25"/>
    <row r="21193" s="42" customFormat="1" x14ac:dyDescent="0.25"/>
    <row r="21194" s="42" customFormat="1" x14ac:dyDescent="0.25"/>
    <row r="21195" s="42" customFormat="1" x14ac:dyDescent="0.25"/>
    <row r="21196" s="42" customFormat="1" x14ac:dyDescent="0.25"/>
    <row r="21197" s="42" customFormat="1" x14ac:dyDescent="0.25"/>
    <row r="21198" s="42" customFormat="1" x14ac:dyDescent="0.25"/>
    <row r="21199" s="42" customFormat="1" x14ac:dyDescent="0.25"/>
    <row r="21200" s="42" customFormat="1" x14ac:dyDescent="0.25"/>
    <row r="21201" s="42" customFormat="1" x14ac:dyDescent="0.25"/>
    <row r="21202" s="42" customFormat="1" x14ac:dyDescent="0.25"/>
    <row r="21203" s="42" customFormat="1" x14ac:dyDescent="0.25"/>
    <row r="21204" s="42" customFormat="1" x14ac:dyDescent="0.25"/>
    <row r="21205" s="42" customFormat="1" x14ac:dyDescent="0.25"/>
    <row r="21206" s="42" customFormat="1" x14ac:dyDescent="0.25"/>
    <row r="21207" s="42" customFormat="1" x14ac:dyDescent="0.25"/>
    <row r="21208" s="42" customFormat="1" x14ac:dyDescent="0.25"/>
    <row r="21209" s="42" customFormat="1" x14ac:dyDescent="0.25"/>
    <row r="21210" s="42" customFormat="1" x14ac:dyDescent="0.25"/>
    <row r="21211" s="42" customFormat="1" x14ac:dyDescent="0.25"/>
    <row r="21212" s="42" customFormat="1" x14ac:dyDescent="0.25"/>
    <row r="21213" s="42" customFormat="1" x14ac:dyDescent="0.25"/>
    <row r="21214" s="42" customFormat="1" x14ac:dyDescent="0.25"/>
    <row r="21215" s="42" customFormat="1" x14ac:dyDescent="0.25"/>
    <row r="21216" s="42" customFormat="1" x14ac:dyDescent="0.25"/>
    <row r="21217" s="42" customFormat="1" x14ac:dyDescent="0.25"/>
    <row r="21218" s="42" customFormat="1" x14ac:dyDescent="0.25"/>
    <row r="21219" s="42" customFormat="1" x14ac:dyDescent="0.25"/>
    <row r="21220" s="42" customFormat="1" x14ac:dyDescent="0.25"/>
    <row r="21221" s="42" customFormat="1" x14ac:dyDescent="0.25"/>
    <row r="21222" s="42" customFormat="1" x14ac:dyDescent="0.25"/>
    <row r="21223" s="42" customFormat="1" x14ac:dyDescent="0.25"/>
    <row r="21224" s="42" customFormat="1" x14ac:dyDescent="0.25"/>
    <row r="21225" s="42" customFormat="1" x14ac:dyDescent="0.25"/>
    <row r="21226" s="42" customFormat="1" x14ac:dyDescent="0.25"/>
    <row r="21227" s="42" customFormat="1" x14ac:dyDescent="0.25"/>
    <row r="21228" s="42" customFormat="1" x14ac:dyDescent="0.25"/>
    <row r="21229" s="42" customFormat="1" x14ac:dyDescent="0.25"/>
    <row r="21230" s="42" customFormat="1" x14ac:dyDescent="0.25"/>
    <row r="21231" s="42" customFormat="1" x14ac:dyDescent="0.25"/>
    <row r="21232" s="42" customFormat="1" x14ac:dyDescent="0.25"/>
    <row r="21233" s="42" customFormat="1" x14ac:dyDescent="0.25"/>
    <row r="21234" s="42" customFormat="1" x14ac:dyDescent="0.25"/>
    <row r="21235" s="42" customFormat="1" x14ac:dyDescent="0.25"/>
    <row r="21236" s="42" customFormat="1" x14ac:dyDescent="0.25"/>
    <row r="21237" s="42" customFormat="1" x14ac:dyDescent="0.25"/>
    <row r="21238" s="42" customFormat="1" x14ac:dyDescent="0.25"/>
    <row r="21239" s="42" customFormat="1" x14ac:dyDescent="0.25"/>
    <row r="21240" s="42" customFormat="1" x14ac:dyDescent="0.25"/>
    <row r="21241" s="42" customFormat="1" x14ac:dyDescent="0.25"/>
    <row r="21242" s="42" customFormat="1" x14ac:dyDescent="0.25"/>
    <row r="21243" s="42" customFormat="1" x14ac:dyDescent="0.25"/>
    <row r="21244" s="42" customFormat="1" x14ac:dyDescent="0.25"/>
    <row r="21245" s="42" customFormat="1" x14ac:dyDescent="0.25"/>
    <row r="21246" s="42" customFormat="1" x14ac:dyDescent="0.25"/>
    <row r="21247" s="42" customFormat="1" x14ac:dyDescent="0.25"/>
    <row r="21248" s="42" customFormat="1" x14ac:dyDescent="0.25"/>
    <row r="21249" s="42" customFormat="1" x14ac:dyDescent="0.25"/>
    <row r="21250" s="42" customFormat="1" x14ac:dyDescent="0.25"/>
    <row r="21251" s="42" customFormat="1" x14ac:dyDescent="0.25"/>
    <row r="21252" s="42" customFormat="1" x14ac:dyDescent="0.25"/>
    <row r="21253" s="42" customFormat="1" x14ac:dyDescent="0.25"/>
    <row r="21254" s="42" customFormat="1" x14ac:dyDescent="0.25"/>
    <row r="21255" s="42" customFormat="1" x14ac:dyDescent="0.25"/>
    <row r="21256" s="42" customFormat="1" x14ac:dyDescent="0.25"/>
    <row r="21257" s="42" customFormat="1" x14ac:dyDescent="0.25"/>
    <row r="21258" s="42" customFormat="1" x14ac:dyDescent="0.25"/>
    <row r="21259" s="42" customFormat="1" x14ac:dyDescent="0.25"/>
    <row r="21260" s="42" customFormat="1" x14ac:dyDescent="0.25"/>
    <row r="21261" s="42" customFormat="1" x14ac:dyDescent="0.25"/>
    <row r="21262" s="42" customFormat="1" x14ac:dyDescent="0.25"/>
    <row r="21263" s="42" customFormat="1" x14ac:dyDescent="0.25"/>
    <row r="21264" s="42" customFormat="1" x14ac:dyDescent="0.25"/>
    <row r="21265" s="42" customFormat="1" x14ac:dyDescent="0.25"/>
    <row r="21266" s="42" customFormat="1" x14ac:dyDescent="0.25"/>
    <row r="21267" s="42" customFormat="1" x14ac:dyDescent="0.25"/>
    <row r="21268" s="42" customFormat="1" x14ac:dyDescent="0.25"/>
    <row r="21269" s="42" customFormat="1" x14ac:dyDescent="0.25"/>
    <row r="21270" s="42" customFormat="1" x14ac:dyDescent="0.25"/>
    <row r="21271" s="42" customFormat="1" x14ac:dyDescent="0.25"/>
    <row r="21272" s="42" customFormat="1" x14ac:dyDescent="0.25"/>
    <row r="21273" s="42" customFormat="1" x14ac:dyDescent="0.25"/>
    <row r="21274" s="42" customFormat="1" x14ac:dyDescent="0.25"/>
    <row r="21275" s="42" customFormat="1" x14ac:dyDescent="0.25"/>
    <row r="21276" s="42" customFormat="1" x14ac:dyDescent="0.25"/>
    <row r="21277" s="42" customFormat="1" x14ac:dyDescent="0.25"/>
    <row r="21278" s="42" customFormat="1" x14ac:dyDescent="0.25"/>
    <row r="21279" s="42" customFormat="1" x14ac:dyDescent="0.25"/>
    <row r="21280" s="42" customFormat="1" x14ac:dyDescent="0.25"/>
    <row r="21281" s="42" customFormat="1" x14ac:dyDescent="0.25"/>
    <row r="21282" s="42" customFormat="1" x14ac:dyDescent="0.25"/>
    <row r="21283" s="42" customFormat="1" x14ac:dyDescent="0.25"/>
    <row r="21284" s="42" customFormat="1" x14ac:dyDescent="0.25"/>
    <row r="21285" s="42" customFormat="1" x14ac:dyDescent="0.25"/>
    <row r="21286" s="42" customFormat="1" x14ac:dyDescent="0.25"/>
    <row r="21287" s="42" customFormat="1" x14ac:dyDescent="0.25"/>
    <row r="21288" s="42" customFormat="1" x14ac:dyDescent="0.25"/>
    <row r="21289" s="42" customFormat="1" x14ac:dyDescent="0.25"/>
    <row r="21290" s="42" customFormat="1" x14ac:dyDescent="0.25"/>
    <row r="21291" s="42" customFormat="1" x14ac:dyDescent="0.25"/>
    <row r="21292" s="42" customFormat="1" x14ac:dyDescent="0.25"/>
    <row r="21293" s="42" customFormat="1" x14ac:dyDescent="0.25"/>
    <row r="21294" s="42" customFormat="1" x14ac:dyDescent="0.25"/>
    <row r="21295" s="42" customFormat="1" x14ac:dyDescent="0.25"/>
    <row r="21296" s="42" customFormat="1" x14ac:dyDescent="0.25"/>
    <row r="21297" s="42" customFormat="1" x14ac:dyDescent="0.25"/>
    <row r="21298" s="42" customFormat="1" x14ac:dyDescent="0.25"/>
    <row r="21299" s="42" customFormat="1" x14ac:dyDescent="0.25"/>
    <row r="21300" s="42" customFormat="1" x14ac:dyDescent="0.25"/>
    <row r="21301" s="42" customFormat="1" x14ac:dyDescent="0.25"/>
    <row r="21302" s="42" customFormat="1" x14ac:dyDescent="0.25"/>
    <row r="21303" s="42" customFormat="1" x14ac:dyDescent="0.25"/>
    <row r="21304" s="42" customFormat="1" x14ac:dyDescent="0.25"/>
    <row r="21305" s="42" customFormat="1" x14ac:dyDescent="0.25"/>
    <row r="21306" s="42" customFormat="1" x14ac:dyDescent="0.25"/>
    <row r="21307" s="42" customFormat="1" x14ac:dyDescent="0.25"/>
    <row r="21308" s="42" customFormat="1" x14ac:dyDescent="0.25"/>
    <row r="21309" s="42" customFormat="1" x14ac:dyDescent="0.25"/>
    <row r="21310" s="42" customFormat="1" x14ac:dyDescent="0.25"/>
    <row r="21311" s="42" customFormat="1" x14ac:dyDescent="0.25"/>
    <row r="21312" s="42" customFormat="1" x14ac:dyDescent="0.25"/>
    <row r="21313" s="42" customFormat="1" x14ac:dyDescent="0.25"/>
    <row r="21314" s="42" customFormat="1" x14ac:dyDescent="0.25"/>
    <row r="21315" s="42" customFormat="1" x14ac:dyDescent="0.25"/>
    <row r="21316" s="42" customFormat="1" x14ac:dyDescent="0.25"/>
    <row r="21317" s="42" customFormat="1" x14ac:dyDescent="0.25"/>
    <row r="21318" s="42" customFormat="1" x14ac:dyDescent="0.25"/>
    <row r="21319" s="42" customFormat="1" x14ac:dyDescent="0.25"/>
    <row r="21320" s="42" customFormat="1" x14ac:dyDescent="0.25"/>
    <row r="21321" s="42" customFormat="1" x14ac:dyDescent="0.25"/>
    <row r="21322" s="42" customFormat="1" x14ac:dyDescent="0.25"/>
    <row r="21323" s="42" customFormat="1" x14ac:dyDescent="0.25"/>
    <row r="21324" s="42" customFormat="1" x14ac:dyDescent="0.25"/>
    <row r="21325" s="42" customFormat="1" x14ac:dyDescent="0.25"/>
    <row r="21326" s="42" customFormat="1" x14ac:dyDescent="0.25"/>
    <row r="21327" s="42" customFormat="1" x14ac:dyDescent="0.25"/>
    <row r="21328" s="42" customFormat="1" x14ac:dyDescent="0.25"/>
    <row r="21329" s="42" customFormat="1" x14ac:dyDescent="0.25"/>
    <row r="21330" s="42" customFormat="1" x14ac:dyDescent="0.25"/>
    <row r="21331" s="42" customFormat="1" x14ac:dyDescent="0.25"/>
    <row r="21332" s="42" customFormat="1" x14ac:dyDescent="0.25"/>
    <row r="21333" s="42" customFormat="1" x14ac:dyDescent="0.25"/>
    <row r="21334" s="42" customFormat="1" x14ac:dyDescent="0.25"/>
    <row r="21335" s="42" customFormat="1" x14ac:dyDescent="0.25"/>
    <row r="21336" s="42" customFormat="1" x14ac:dyDescent="0.25"/>
    <row r="21337" s="42" customFormat="1" x14ac:dyDescent="0.25"/>
    <row r="21338" s="42" customFormat="1" x14ac:dyDescent="0.25"/>
    <row r="21339" s="42" customFormat="1" x14ac:dyDescent="0.25"/>
    <row r="21340" s="42" customFormat="1" x14ac:dyDescent="0.25"/>
    <row r="21341" s="42" customFormat="1" x14ac:dyDescent="0.25"/>
    <row r="21342" s="42" customFormat="1" x14ac:dyDescent="0.25"/>
    <row r="21343" s="42" customFormat="1" x14ac:dyDescent="0.25"/>
    <row r="21344" s="42" customFormat="1" x14ac:dyDescent="0.25"/>
    <row r="21345" s="42" customFormat="1" x14ac:dyDescent="0.25"/>
    <row r="21346" s="42" customFormat="1" x14ac:dyDescent="0.25"/>
    <row r="21347" s="42" customFormat="1" x14ac:dyDescent="0.25"/>
    <row r="21348" s="42" customFormat="1" x14ac:dyDescent="0.25"/>
    <row r="21349" s="42" customFormat="1" x14ac:dyDescent="0.25"/>
    <row r="21350" s="42" customFormat="1" x14ac:dyDescent="0.25"/>
    <row r="21351" s="42" customFormat="1" x14ac:dyDescent="0.25"/>
    <row r="21352" s="42" customFormat="1" x14ac:dyDescent="0.25"/>
    <row r="21353" s="42" customFormat="1" x14ac:dyDescent="0.25"/>
    <row r="21354" s="42" customFormat="1" x14ac:dyDescent="0.25"/>
    <row r="21355" s="42" customFormat="1" x14ac:dyDescent="0.25"/>
    <row r="21356" s="42" customFormat="1" x14ac:dyDescent="0.25"/>
    <row r="21357" s="42" customFormat="1" x14ac:dyDescent="0.25"/>
    <row r="21358" s="42" customFormat="1" x14ac:dyDescent="0.25"/>
    <row r="21359" s="42" customFormat="1" x14ac:dyDescent="0.25"/>
    <row r="21360" s="42" customFormat="1" x14ac:dyDescent="0.25"/>
    <row r="21361" s="42" customFormat="1" x14ac:dyDescent="0.25"/>
    <row r="21362" s="42" customFormat="1" x14ac:dyDescent="0.25"/>
    <row r="21363" s="42" customFormat="1" x14ac:dyDescent="0.25"/>
    <row r="21364" s="42" customFormat="1" x14ac:dyDescent="0.25"/>
    <row r="21365" s="42" customFormat="1" x14ac:dyDescent="0.25"/>
    <row r="21366" s="42" customFormat="1" x14ac:dyDescent="0.25"/>
    <row r="21367" s="42" customFormat="1" x14ac:dyDescent="0.25"/>
    <row r="21368" s="42" customFormat="1" x14ac:dyDescent="0.25"/>
    <row r="21369" s="42" customFormat="1" x14ac:dyDescent="0.25"/>
    <row r="21370" s="42" customFormat="1" x14ac:dyDescent="0.25"/>
    <row r="21371" s="42" customFormat="1" x14ac:dyDescent="0.25"/>
    <row r="21372" s="42" customFormat="1" x14ac:dyDescent="0.25"/>
    <row r="21373" s="42" customFormat="1" x14ac:dyDescent="0.25"/>
    <row r="21374" s="42" customFormat="1" x14ac:dyDescent="0.25"/>
    <row r="21375" s="42" customFormat="1" x14ac:dyDescent="0.25"/>
    <row r="21376" s="42" customFormat="1" x14ac:dyDescent="0.25"/>
    <row r="21377" s="42" customFormat="1" x14ac:dyDescent="0.25"/>
    <row r="21378" s="42" customFormat="1" x14ac:dyDescent="0.25"/>
    <row r="21379" s="42" customFormat="1" x14ac:dyDescent="0.25"/>
    <row r="21380" s="42" customFormat="1" x14ac:dyDescent="0.25"/>
    <row r="21381" s="42" customFormat="1" x14ac:dyDescent="0.25"/>
    <row r="21382" s="42" customFormat="1" x14ac:dyDescent="0.25"/>
    <row r="21383" s="42" customFormat="1" x14ac:dyDescent="0.25"/>
    <row r="21384" s="42" customFormat="1" x14ac:dyDescent="0.25"/>
    <row r="21385" s="42" customFormat="1" x14ac:dyDescent="0.25"/>
    <row r="21386" s="42" customFormat="1" x14ac:dyDescent="0.25"/>
    <row r="21387" s="42" customFormat="1" x14ac:dyDescent="0.25"/>
    <row r="21388" s="42" customFormat="1" x14ac:dyDescent="0.25"/>
    <row r="21389" s="42" customFormat="1" x14ac:dyDescent="0.25"/>
    <row r="21390" s="42" customFormat="1" x14ac:dyDescent="0.25"/>
    <row r="21391" s="42" customFormat="1" x14ac:dyDescent="0.25"/>
    <row r="21392" s="42" customFormat="1" x14ac:dyDescent="0.25"/>
    <row r="21393" s="42" customFormat="1" x14ac:dyDescent="0.25"/>
    <row r="21394" s="42" customFormat="1" x14ac:dyDescent="0.25"/>
    <row r="21395" s="42" customFormat="1" x14ac:dyDescent="0.25"/>
    <row r="21396" s="42" customFormat="1" x14ac:dyDescent="0.25"/>
    <row r="21397" s="42" customFormat="1" x14ac:dyDescent="0.25"/>
    <row r="21398" s="42" customFormat="1" x14ac:dyDescent="0.25"/>
    <row r="21399" s="42" customFormat="1" x14ac:dyDescent="0.25"/>
    <row r="21400" s="42" customFormat="1" x14ac:dyDescent="0.25"/>
    <row r="21401" s="42" customFormat="1" x14ac:dyDescent="0.25"/>
    <row r="21402" s="42" customFormat="1" x14ac:dyDescent="0.25"/>
    <row r="21403" s="42" customFormat="1" x14ac:dyDescent="0.25"/>
    <row r="21404" s="42" customFormat="1" x14ac:dyDescent="0.25"/>
    <row r="21405" s="42" customFormat="1" x14ac:dyDescent="0.25"/>
    <row r="21406" s="42" customFormat="1" x14ac:dyDescent="0.25"/>
    <row r="21407" s="42" customFormat="1" x14ac:dyDescent="0.25"/>
    <row r="21408" s="42" customFormat="1" x14ac:dyDescent="0.25"/>
    <row r="21409" s="42" customFormat="1" x14ac:dyDescent="0.25"/>
    <row r="21410" s="42" customFormat="1" x14ac:dyDescent="0.25"/>
    <row r="21411" s="42" customFormat="1" x14ac:dyDescent="0.25"/>
    <row r="21412" s="42" customFormat="1" x14ac:dyDescent="0.25"/>
    <row r="21413" s="42" customFormat="1" x14ac:dyDescent="0.25"/>
    <row r="21414" s="42" customFormat="1" x14ac:dyDescent="0.25"/>
    <row r="21415" s="42" customFormat="1" x14ac:dyDescent="0.25"/>
    <row r="21416" s="42" customFormat="1" x14ac:dyDescent="0.25"/>
    <row r="21417" s="42" customFormat="1" x14ac:dyDescent="0.25"/>
    <row r="21418" s="42" customFormat="1" x14ac:dyDescent="0.25"/>
    <row r="21419" s="42" customFormat="1" x14ac:dyDescent="0.25"/>
    <row r="21420" s="42" customFormat="1" x14ac:dyDescent="0.25"/>
    <row r="21421" s="42" customFormat="1" x14ac:dyDescent="0.25"/>
    <row r="21422" s="42" customFormat="1" x14ac:dyDescent="0.25"/>
    <row r="21423" s="42" customFormat="1" x14ac:dyDescent="0.25"/>
    <row r="21424" s="42" customFormat="1" x14ac:dyDescent="0.25"/>
    <row r="21425" s="42" customFormat="1" x14ac:dyDescent="0.25"/>
    <row r="21426" s="42" customFormat="1" x14ac:dyDescent="0.25"/>
    <row r="21427" s="42" customFormat="1" x14ac:dyDescent="0.25"/>
    <row r="21428" s="42" customFormat="1" x14ac:dyDescent="0.25"/>
    <row r="21429" s="42" customFormat="1" x14ac:dyDescent="0.25"/>
    <row r="21430" s="42" customFormat="1" x14ac:dyDescent="0.25"/>
    <row r="21431" s="42" customFormat="1" x14ac:dyDescent="0.25"/>
    <row r="21432" s="42" customFormat="1" x14ac:dyDescent="0.25"/>
    <row r="21433" s="42" customFormat="1" x14ac:dyDescent="0.25"/>
    <row r="21434" s="42" customFormat="1" x14ac:dyDescent="0.25"/>
    <row r="21435" s="42" customFormat="1" x14ac:dyDescent="0.25"/>
    <row r="21436" s="42" customFormat="1" x14ac:dyDescent="0.25"/>
    <row r="21437" s="42" customFormat="1" x14ac:dyDescent="0.25"/>
    <row r="21438" s="42" customFormat="1" x14ac:dyDescent="0.25"/>
    <row r="21439" s="42" customFormat="1" x14ac:dyDescent="0.25"/>
    <row r="21440" s="42" customFormat="1" x14ac:dyDescent="0.25"/>
    <row r="21441" s="42" customFormat="1" x14ac:dyDescent="0.25"/>
    <row r="21442" s="42" customFormat="1" x14ac:dyDescent="0.25"/>
    <row r="21443" s="42" customFormat="1" x14ac:dyDescent="0.25"/>
    <row r="21444" s="42" customFormat="1" x14ac:dyDescent="0.25"/>
    <row r="21445" s="42" customFormat="1" x14ac:dyDescent="0.25"/>
    <row r="21446" s="42" customFormat="1" x14ac:dyDescent="0.25"/>
    <row r="21447" s="42" customFormat="1" x14ac:dyDescent="0.25"/>
    <row r="21448" s="42" customFormat="1" x14ac:dyDescent="0.25"/>
    <row r="21449" s="42" customFormat="1" x14ac:dyDescent="0.25"/>
    <row r="21450" s="42" customFormat="1" x14ac:dyDescent="0.25"/>
    <row r="21451" s="42" customFormat="1" x14ac:dyDescent="0.25"/>
    <row r="21452" s="42" customFormat="1" x14ac:dyDescent="0.25"/>
    <row r="21453" s="42" customFormat="1" x14ac:dyDescent="0.25"/>
    <row r="21454" s="42" customFormat="1" x14ac:dyDescent="0.25"/>
    <row r="21455" s="42" customFormat="1" x14ac:dyDescent="0.25"/>
    <row r="21456" s="42" customFormat="1" x14ac:dyDescent="0.25"/>
    <row r="21457" s="42" customFormat="1" x14ac:dyDescent="0.25"/>
    <row r="21458" s="42" customFormat="1" x14ac:dyDescent="0.25"/>
    <row r="21459" s="42" customFormat="1" x14ac:dyDescent="0.25"/>
    <row r="21460" s="42" customFormat="1" x14ac:dyDescent="0.25"/>
    <row r="21461" s="42" customFormat="1" x14ac:dyDescent="0.25"/>
    <row r="21462" s="42" customFormat="1" x14ac:dyDescent="0.25"/>
    <row r="21463" s="42" customFormat="1" x14ac:dyDescent="0.25"/>
    <row r="21464" s="42" customFormat="1" x14ac:dyDescent="0.25"/>
    <row r="21465" s="42" customFormat="1" x14ac:dyDescent="0.25"/>
    <row r="21466" s="42" customFormat="1" x14ac:dyDescent="0.25"/>
    <row r="21467" s="42" customFormat="1" x14ac:dyDescent="0.25"/>
    <row r="21468" s="42" customFormat="1" x14ac:dyDescent="0.25"/>
    <row r="21469" s="42" customFormat="1" x14ac:dyDescent="0.25"/>
    <row r="21470" s="42" customFormat="1" x14ac:dyDescent="0.25"/>
    <row r="21471" s="42" customFormat="1" x14ac:dyDescent="0.25"/>
    <row r="21472" s="42" customFormat="1" x14ac:dyDescent="0.25"/>
    <row r="21473" s="42" customFormat="1" x14ac:dyDescent="0.25"/>
    <row r="21474" s="42" customFormat="1" x14ac:dyDescent="0.25"/>
    <row r="21475" s="42" customFormat="1" x14ac:dyDescent="0.25"/>
    <row r="21476" s="42" customFormat="1" x14ac:dyDescent="0.25"/>
    <row r="21477" s="42" customFormat="1" x14ac:dyDescent="0.25"/>
    <row r="21478" s="42" customFormat="1" x14ac:dyDescent="0.25"/>
    <row r="21479" s="42" customFormat="1" x14ac:dyDescent="0.25"/>
    <row r="21480" s="42" customFormat="1" x14ac:dyDescent="0.25"/>
    <row r="21481" s="42" customFormat="1" x14ac:dyDescent="0.25"/>
    <row r="21482" s="42" customFormat="1" x14ac:dyDescent="0.25"/>
    <row r="21483" s="42" customFormat="1" x14ac:dyDescent="0.25"/>
    <row r="21484" s="42" customFormat="1" x14ac:dyDescent="0.25"/>
    <row r="21485" s="42" customFormat="1" x14ac:dyDescent="0.25"/>
    <row r="21486" s="42" customFormat="1" x14ac:dyDescent="0.25"/>
    <row r="21487" s="42" customFormat="1" x14ac:dyDescent="0.25"/>
    <row r="21488" s="42" customFormat="1" x14ac:dyDescent="0.25"/>
    <row r="21489" s="42" customFormat="1" x14ac:dyDescent="0.25"/>
    <row r="21490" s="42" customFormat="1" x14ac:dyDescent="0.25"/>
    <row r="21491" s="42" customFormat="1" x14ac:dyDescent="0.25"/>
    <row r="21492" s="42" customFormat="1" x14ac:dyDescent="0.25"/>
    <row r="21493" s="42" customFormat="1" x14ac:dyDescent="0.25"/>
    <row r="21494" s="42" customFormat="1" x14ac:dyDescent="0.25"/>
    <row r="21495" s="42" customFormat="1" x14ac:dyDescent="0.25"/>
    <row r="21496" s="42" customFormat="1" x14ac:dyDescent="0.25"/>
    <row r="21497" s="42" customFormat="1" x14ac:dyDescent="0.25"/>
    <row r="21498" s="42" customFormat="1" x14ac:dyDescent="0.25"/>
    <row r="21499" s="42" customFormat="1" x14ac:dyDescent="0.25"/>
    <row r="21500" s="42" customFormat="1" x14ac:dyDescent="0.25"/>
    <row r="21501" s="42" customFormat="1" x14ac:dyDescent="0.25"/>
    <row r="21502" s="42" customFormat="1" x14ac:dyDescent="0.25"/>
    <row r="21503" s="42" customFormat="1" x14ac:dyDescent="0.25"/>
    <row r="21504" s="42" customFormat="1" x14ac:dyDescent="0.25"/>
    <row r="21505" s="42" customFormat="1" x14ac:dyDescent="0.25"/>
    <row r="21506" s="42" customFormat="1" x14ac:dyDescent="0.25"/>
    <row r="21507" s="42" customFormat="1" x14ac:dyDescent="0.25"/>
    <row r="21508" s="42" customFormat="1" x14ac:dyDescent="0.25"/>
    <row r="21509" s="42" customFormat="1" x14ac:dyDescent="0.25"/>
    <row r="21510" s="42" customFormat="1" x14ac:dyDescent="0.25"/>
    <row r="21511" s="42" customFormat="1" x14ac:dyDescent="0.25"/>
    <row r="21512" s="42" customFormat="1" x14ac:dyDescent="0.25"/>
    <row r="21513" s="42" customFormat="1" x14ac:dyDescent="0.25"/>
    <row r="21514" s="42" customFormat="1" x14ac:dyDescent="0.25"/>
    <row r="21515" s="42" customFormat="1" x14ac:dyDescent="0.25"/>
    <row r="21516" s="42" customFormat="1" x14ac:dyDescent="0.25"/>
    <row r="21517" s="42" customFormat="1" x14ac:dyDescent="0.25"/>
    <row r="21518" s="42" customFormat="1" x14ac:dyDescent="0.25"/>
    <row r="21519" s="42" customFormat="1" x14ac:dyDescent="0.25"/>
    <row r="21520" s="42" customFormat="1" x14ac:dyDescent="0.25"/>
    <row r="21521" s="42" customFormat="1" x14ac:dyDescent="0.25"/>
    <row r="21522" s="42" customFormat="1" x14ac:dyDescent="0.25"/>
    <row r="21523" s="42" customFormat="1" x14ac:dyDescent="0.25"/>
    <row r="21524" s="42" customFormat="1" x14ac:dyDescent="0.25"/>
    <row r="21525" s="42" customFormat="1" x14ac:dyDescent="0.25"/>
    <row r="21526" s="42" customFormat="1" x14ac:dyDescent="0.25"/>
    <row r="21527" s="42" customFormat="1" x14ac:dyDescent="0.25"/>
    <row r="21528" s="42" customFormat="1" x14ac:dyDescent="0.25"/>
    <row r="21529" s="42" customFormat="1" x14ac:dyDescent="0.25"/>
    <row r="21530" s="42" customFormat="1" x14ac:dyDescent="0.25"/>
    <row r="21531" s="42" customFormat="1" x14ac:dyDescent="0.25"/>
    <row r="21532" s="42" customFormat="1" x14ac:dyDescent="0.25"/>
    <row r="21533" s="42" customFormat="1" x14ac:dyDescent="0.25"/>
    <row r="21534" s="42" customFormat="1" x14ac:dyDescent="0.25"/>
    <row r="21535" s="42" customFormat="1" x14ac:dyDescent="0.25"/>
    <row r="21536" s="42" customFormat="1" x14ac:dyDescent="0.25"/>
    <row r="21537" s="42" customFormat="1" x14ac:dyDescent="0.25"/>
    <row r="21538" s="42" customFormat="1" x14ac:dyDescent="0.25"/>
    <row r="21539" s="42" customFormat="1" x14ac:dyDescent="0.25"/>
    <row r="21540" s="42" customFormat="1" x14ac:dyDescent="0.25"/>
    <row r="21541" s="42" customFormat="1" x14ac:dyDescent="0.25"/>
    <row r="21542" s="42" customFormat="1" x14ac:dyDescent="0.25"/>
    <row r="21543" s="42" customFormat="1" x14ac:dyDescent="0.25"/>
    <row r="21544" s="42" customFormat="1" x14ac:dyDescent="0.25"/>
    <row r="21545" s="42" customFormat="1" x14ac:dyDescent="0.25"/>
    <row r="21546" s="42" customFormat="1" x14ac:dyDescent="0.25"/>
    <row r="21547" s="42" customFormat="1" x14ac:dyDescent="0.25"/>
    <row r="21548" s="42" customFormat="1" x14ac:dyDescent="0.25"/>
    <row r="21549" s="42" customFormat="1" x14ac:dyDescent="0.25"/>
    <row r="21550" s="42" customFormat="1" x14ac:dyDescent="0.25"/>
    <row r="21551" s="42" customFormat="1" x14ac:dyDescent="0.25"/>
    <row r="21552" s="42" customFormat="1" x14ac:dyDescent="0.25"/>
    <row r="21553" s="42" customFormat="1" x14ac:dyDescent="0.25"/>
    <row r="21554" s="42" customFormat="1" x14ac:dyDescent="0.25"/>
    <row r="21555" s="42" customFormat="1" x14ac:dyDescent="0.25"/>
    <row r="21556" s="42" customFormat="1" x14ac:dyDescent="0.25"/>
    <row r="21557" s="42" customFormat="1" x14ac:dyDescent="0.25"/>
    <row r="21558" s="42" customFormat="1" x14ac:dyDescent="0.25"/>
    <row r="21559" s="42" customFormat="1" x14ac:dyDescent="0.25"/>
    <row r="21560" s="42" customFormat="1" x14ac:dyDescent="0.25"/>
    <row r="21561" s="42" customFormat="1" x14ac:dyDescent="0.25"/>
    <row r="21562" s="42" customFormat="1" x14ac:dyDescent="0.25"/>
    <row r="21563" s="42" customFormat="1" x14ac:dyDescent="0.25"/>
    <row r="21564" s="42" customFormat="1" x14ac:dyDescent="0.25"/>
    <row r="21565" s="42" customFormat="1" x14ac:dyDescent="0.25"/>
    <row r="21566" s="42" customFormat="1" x14ac:dyDescent="0.25"/>
    <row r="21567" s="42" customFormat="1" x14ac:dyDescent="0.25"/>
    <row r="21568" s="42" customFormat="1" x14ac:dyDescent="0.25"/>
    <row r="21569" s="42" customFormat="1" x14ac:dyDescent="0.25"/>
    <row r="21570" s="42" customFormat="1" x14ac:dyDescent="0.25"/>
    <row r="21571" s="42" customFormat="1" x14ac:dyDescent="0.25"/>
    <row r="21572" s="42" customFormat="1" x14ac:dyDescent="0.25"/>
    <row r="21573" s="42" customFormat="1" x14ac:dyDescent="0.25"/>
    <row r="21574" s="42" customFormat="1" x14ac:dyDescent="0.25"/>
    <row r="21575" s="42" customFormat="1" x14ac:dyDescent="0.25"/>
    <row r="21576" s="42" customFormat="1" x14ac:dyDescent="0.25"/>
    <row r="21577" s="42" customFormat="1" x14ac:dyDescent="0.25"/>
    <row r="21578" s="42" customFormat="1" x14ac:dyDescent="0.25"/>
    <row r="21579" s="42" customFormat="1" x14ac:dyDescent="0.25"/>
    <row r="21580" s="42" customFormat="1" x14ac:dyDescent="0.25"/>
    <row r="21581" s="42" customFormat="1" x14ac:dyDescent="0.25"/>
    <row r="21582" s="42" customFormat="1" x14ac:dyDescent="0.25"/>
    <row r="21583" s="42" customFormat="1" x14ac:dyDescent="0.25"/>
    <row r="21584" s="42" customFormat="1" x14ac:dyDescent="0.25"/>
    <row r="21585" s="42" customFormat="1" x14ac:dyDescent="0.25"/>
    <row r="21586" s="42" customFormat="1" x14ac:dyDescent="0.25"/>
    <row r="21587" s="42" customFormat="1" x14ac:dyDescent="0.25"/>
    <row r="21588" s="42" customFormat="1" x14ac:dyDescent="0.25"/>
    <row r="21589" s="42" customFormat="1" x14ac:dyDescent="0.25"/>
    <row r="21590" s="42" customFormat="1" x14ac:dyDescent="0.25"/>
    <row r="21591" s="42" customFormat="1" x14ac:dyDescent="0.25"/>
    <row r="21592" s="42" customFormat="1" x14ac:dyDescent="0.25"/>
    <row r="21593" s="42" customFormat="1" x14ac:dyDescent="0.25"/>
    <row r="21594" s="42" customFormat="1" x14ac:dyDescent="0.25"/>
    <row r="21595" s="42" customFormat="1" x14ac:dyDescent="0.25"/>
    <row r="21596" s="42" customFormat="1" x14ac:dyDescent="0.25"/>
    <row r="21597" s="42" customFormat="1" x14ac:dyDescent="0.25"/>
    <row r="21598" s="42" customFormat="1" x14ac:dyDescent="0.25"/>
    <row r="21599" s="42" customFormat="1" x14ac:dyDescent="0.25"/>
    <row r="21600" s="42" customFormat="1" x14ac:dyDescent="0.25"/>
    <row r="21601" s="42" customFormat="1" x14ac:dyDescent="0.25"/>
    <row r="21602" s="42" customFormat="1" x14ac:dyDescent="0.25"/>
    <row r="21603" s="42" customFormat="1" x14ac:dyDescent="0.25"/>
    <row r="21604" s="42" customFormat="1" x14ac:dyDescent="0.25"/>
    <row r="21605" s="42" customFormat="1" x14ac:dyDescent="0.25"/>
    <row r="21606" s="42" customFormat="1" x14ac:dyDescent="0.25"/>
    <row r="21607" s="42" customFormat="1" x14ac:dyDescent="0.25"/>
    <row r="21608" s="42" customFormat="1" x14ac:dyDescent="0.25"/>
    <row r="21609" s="42" customFormat="1" x14ac:dyDescent="0.25"/>
    <row r="21610" s="42" customFormat="1" x14ac:dyDescent="0.25"/>
    <row r="21611" s="42" customFormat="1" x14ac:dyDescent="0.25"/>
    <row r="21612" s="42" customFormat="1" x14ac:dyDescent="0.25"/>
    <row r="21613" s="42" customFormat="1" x14ac:dyDescent="0.25"/>
    <row r="21614" s="42" customFormat="1" x14ac:dyDescent="0.25"/>
    <row r="21615" s="42" customFormat="1" x14ac:dyDescent="0.25"/>
    <row r="21616" s="42" customFormat="1" x14ac:dyDescent="0.25"/>
    <row r="21617" s="42" customFormat="1" x14ac:dyDescent="0.25"/>
    <row r="21618" s="42" customFormat="1" x14ac:dyDescent="0.25"/>
    <row r="21619" s="42" customFormat="1" x14ac:dyDescent="0.25"/>
    <row r="21620" s="42" customFormat="1" x14ac:dyDescent="0.25"/>
    <row r="21621" s="42" customFormat="1" x14ac:dyDescent="0.25"/>
    <row r="21622" s="42" customFormat="1" x14ac:dyDescent="0.25"/>
    <row r="21623" s="42" customFormat="1" x14ac:dyDescent="0.25"/>
    <row r="21624" s="42" customFormat="1" x14ac:dyDescent="0.25"/>
    <row r="21625" s="42" customFormat="1" x14ac:dyDescent="0.25"/>
    <row r="21626" s="42" customFormat="1" x14ac:dyDescent="0.25"/>
    <row r="21627" s="42" customFormat="1" x14ac:dyDescent="0.25"/>
    <row r="21628" s="42" customFormat="1" x14ac:dyDescent="0.25"/>
    <row r="21629" s="42" customFormat="1" x14ac:dyDescent="0.25"/>
    <row r="21630" s="42" customFormat="1" x14ac:dyDescent="0.25"/>
    <row r="21631" s="42" customFormat="1" x14ac:dyDescent="0.25"/>
    <row r="21632" s="42" customFormat="1" x14ac:dyDescent="0.25"/>
    <row r="21633" s="42" customFormat="1" x14ac:dyDescent="0.25"/>
    <row r="21634" s="42" customFormat="1" x14ac:dyDescent="0.25"/>
    <row r="21635" s="42" customFormat="1" x14ac:dyDescent="0.25"/>
    <row r="21636" s="42" customFormat="1" x14ac:dyDescent="0.25"/>
    <row r="21637" s="42" customFormat="1" x14ac:dyDescent="0.25"/>
    <row r="21638" s="42" customFormat="1" x14ac:dyDescent="0.25"/>
    <row r="21639" s="42" customFormat="1" x14ac:dyDescent="0.25"/>
    <row r="21640" s="42" customFormat="1" x14ac:dyDescent="0.25"/>
    <row r="21641" s="42" customFormat="1" x14ac:dyDescent="0.25"/>
    <row r="21642" s="42" customFormat="1" x14ac:dyDescent="0.25"/>
    <row r="21643" s="42" customFormat="1" x14ac:dyDescent="0.25"/>
    <row r="21644" s="42" customFormat="1" x14ac:dyDescent="0.25"/>
    <row r="21645" s="42" customFormat="1" x14ac:dyDescent="0.25"/>
    <row r="21646" s="42" customFormat="1" x14ac:dyDescent="0.25"/>
    <row r="21647" s="42" customFormat="1" x14ac:dyDescent="0.25"/>
    <row r="21648" s="42" customFormat="1" x14ac:dyDescent="0.25"/>
    <row r="21649" s="42" customFormat="1" x14ac:dyDescent="0.25"/>
    <row r="21650" s="42" customFormat="1" x14ac:dyDescent="0.25"/>
    <row r="21651" s="42" customFormat="1" x14ac:dyDescent="0.25"/>
    <row r="21652" s="42" customFormat="1" x14ac:dyDescent="0.25"/>
    <row r="21653" s="42" customFormat="1" x14ac:dyDescent="0.25"/>
    <row r="21654" s="42" customFormat="1" x14ac:dyDescent="0.25"/>
    <row r="21655" s="42" customFormat="1" x14ac:dyDescent="0.25"/>
    <row r="21656" s="42" customFormat="1" x14ac:dyDescent="0.25"/>
    <row r="21657" s="42" customFormat="1" x14ac:dyDescent="0.25"/>
    <row r="21658" s="42" customFormat="1" x14ac:dyDescent="0.25"/>
    <row r="21659" s="42" customFormat="1" x14ac:dyDescent="0.25"/>
    <row r="21660" s="42" customFormat="1" x14ac:dyDescent="0.25"/>
    <row r="21661" s="42" customFormat="1" x14ac:dyDescent="0.25"/>
    <row r="21662" s="42" customFormat="1" x14ac:dyDescent="0.25"/>
    <row r="21663" s="42" customFormat="1" x14ac:dyDescent="0.25"/>
    <row r="21664" s="42" customFormat="1" x14ac:dyDescent="0.25"/>
    <row r="21665" s="42" customFormat="1" x14ac:dyDescent="0.25"/>
    <row r="21666" s="42" customFormat="1" x14ac:dyDescent="0.25"/>
    <row r="21667" s="42" customFormat="1" x14ac:dyDescent="0.25"/>
    <row r="21668" s="42" customFormat="1" x14ac:dyDescent="0.25"/>
    <row r="21669" s="42" customFormat="1" x14ac:dyDescent="0.25"/>
    <row r="21670" s="42" customFormat="1" x14ac:dyDescent="0.25"/>
    <row r="21671" s="42" customFormat="1" x14ac:dyDescent="0.25"/>
    <row r="21672" s="42" customFormat="1" x14ac:dyDescent="0.25"/>
    <row r="21673" s="42" customFormat="1" x14ac:dyDescent="0.25"/>
    <row r="21674" s="42" customFormat="1" x14ac:dyDescent="0.25"/>
    <row r="21675" s="42" customFormat="1" x14ac:dyDescent="0.25"/>
    <row r="21676" s="42" customFormat="1" x14ac:dyDescent="0.25"/>
    <row r="21677" s="42" customFormat="1" x14ac:dyDescent="0.25"/>
    <row r="21678" s="42" customFormat="1" x14ac:dyDescent="0.25"/>
    <row r="21679" s="42" customFormat="1" x14ac:dyDescent="0.25"/>
    <row r="21680" s="42" customFormat="1" x14ac:dyDescent="0.25"/>
    <row r="21681" s="42" customFormat="1" x14ac:dyDescent="0.25"/>
    <row r="21682" s="42" customFormat="1" x14ac:dyDescent="0.25"/>
    <row r="21683" s="42" customFormat="1" x14ac:dyDescent="0.25"/>
    <row r="21684" s="42" customFormat="1" x14ac:dyDescent="0.25"/>
    <row r="21685" s="42" customFormat="1" x14ac:dyDescent="0.25"/>
    <row r="21686" s="42" customFormat="1" x14ac:dyDescent="0.25"/>
    <row r="21687" s="42" customFormat="1" x14ac:dyDescent="0.25"/>
    <row r="21688" s="42" customFormat="1" x14ac:dyDescent="0.25"/>
    <row r="21689" s="42" customFormat="1" x14ac:dyDescent="0.25"/>
    <row r="21690" s="42" customFormat="1" x14ac:dyDescent="0.25"/>
    <row r="21691" s="42" customFormat="1" x14ac:dyDescent="0.25"/>
    <row r="21692" s="42" customFormat="1" x14ac:dyDescent="0.25"/>
    <row r="21693" s="42" customFormat="1" x14ac:dyDescent="0.25"/>
    <row r="21694" s="42" customFormat="1" x14ac:dyDescent="0.25"/>
    <row r="21695" s="42" customFormat="1" x14ac:dyDescent="0.25"/>
    <row r="21696" s="42" customFormat="1" x14ac:dyDescent="0.25"/>
    <row r="21697" s="42" customFormat="1" x14ac:dyDescent="0.25"/>
    <row r="21698" s="42" customFormat="1" x14ac:dyDescent="0.25"/>
    <row r="21699" s="42" customFormat="1" x14ac:dyDescent="0.25"/>
    <row r="21700" s="42" customFormat="1" x14ac:dyDescent="0.25"/>
    <row r="21701" s="42" customFormat="1" x14ac:dyDescent="0.25"/>
    <row r="21702" s="42" customFormat="1" x14ac:dyDescent="0.25"/>
    <row r="21703" s="42" customFormat="1" x14ac:dyDescent="0.25"/>
    <row r="21704" s="42" customFormat="1" x14ac:dyDescent="0.25"/>
    <row r="21705" s="42" customFormat="1" x14ac:dyDescent="0.25"/>
    <row r="21706" s="42" customFormat="1" x14ac:dyDescent="0.25"/>
    <row r="21707" s="42" customFormat="1" x14ac:dyDescent="0.25"/>
    <row r="21708" s="42" customFormat="1" x14ac:dyDescent="0.25"/>
    <row r="21709" s="42" customFormat="1" x14ac:dyDescent="0.25"/>
    <row r="21710" s="42" customFormat="1" x14ac:dyDescent="0.25"/>
    <row r="21711" s="42" customFormat="1" x14ac:dyDescent="0.25"/>
    <row r="21712" s="42" customFormat="1" x14ac:dyDescent="0.25"/>
    <row r="21713" s="42" customFormat="1" x14ac:dyDescent="0.25"/>
    <row r="21714" s="42" customFormat="1" x14ac:dyDescent="0.25"/>
    <row r="21715" s="42" customFormat="1" x14ac:dyDescent="0.25"/>
    <row r="21716" s="42" customFormat="1" x14ac:dyDescent="0.25"/>
    <row r="21717" s="42" customFormat="1" x14ac:dyDescent="0.25"/>
    <row r="21718" s="42" customFormat="1" x14ac:dyDescent="0.25"/>
    <row r="21719" s="42" customFormat="1" x14ac:dyDescent="0.25"/>
    <row r="21720" s="42" customFormat="1" x14ac:dyDescent="0.25"/>
    <row r="21721" s="42" customFormat="1" x14ac:dyDescent="0.25"/>
    <row r="21722" s="42" customFormat="1" x14ac:dyDescent="0.25"/>
    <row r="21723" s="42" customFormat="1" x14ac:dyDescent="0.25"/>
    <row r="21724" s="42" customFormat="1" x14ac:dyDescent="0.25"/>
    <row r="21725" s="42" customFormat="1" x14ac:dyDescent="0.25"/>
    <row r="21726" s="42" customFormat="1" x14ac:dyDescent="0.25"/>
    <row r="21727" s="42" customFormat="1" x14ac:dyDescent="0.25"/>
    <row r="21728" s="42" customFormat="1" x14ac:dyDescent="0.25"/>
    <row r="21729" s="42" customFormat="1" x14ac:dyDescent="0.25"/>
    <row r="21730" s="42" customFormat="1" x14ac:dyDescent="0.25"/>
    <row r="21731" s="42" customFormat="1" x14ac:dyDescent="0.25"/>
    <row r="21732" s="42" customFormat="1" x14ac:dyDescent="0.25"/>
    <row r="21733" s="42" customFormat="1" x14ac:dyDescent="0.25"/>
    <row r="21734" s="42" customFormat="1" x14ac:dyDescent="0.25"/>
    <row r="21735" s="42" customFormat="1" x14ac:dyDescent="0.25"/>
    <row r="21736" s="42" customFormat="1" x14ac:dyDescent="0.25"/>
    <row r="21737" s="42" customFormat="1" x14ac:dyDescent="0.25"/>
    <row r="21738" s="42" customFormat="1" x14ac:dyDescent="0.25"/>
    <row r="21739" s="42" customFormat="1" x14ac:dyDescent="0.25"/>
    <row r="21740" s="42" customFormat="1" x14ac:dyDescent="0.25"/>
    <row r="21741" s="42" customFormat="1" x14ac:dyDescent="0.25"/>
    <row r="21742" s="42" customFormat="1" x14ac:dyDescent="0.25"/>
    <row r="21743" s="42" customFormat="1" x14ac:dyDescent="0.25"/>
    <row r="21744" s="42" customFormat="1" x14ac:dyDescent="0.25"/>
    <row r="21745" s="42" customFormat="1" x14ac:dyDescent="0.25"/>
    <row r="21746" s="42" customFormat="1" x14ac:dyDescent="0.25"/>
    <row r="21747" s="42" customFormat="1" x14ac:dyDescent="0.25"/>
    <row r="21748" s="42" customFormat="1" x14ac:dyDescent="0.25"/>
    <row r="21749" s="42" customFormat="1" x14ac:dyDescent="0.25"/>
    <row r="21750" s="42" customFormat="1" x14ac:dyDescent="0.25"/>
    <row r="21751" s="42" customFormat="1" x14ac:dyDescent="0.25"/>
    <row r="21752" s="42" customFormat="1" x14ac:dyDescent="0.25"/>
    <row r="21753" s="42" customFormat="1" x14ac:dyDescent="0.25"/>
    <row r="21754" s="42" customFormat="1" x14ac:dyDescent="0.25"/>
    <row r="21755" s="42" customFormat="1" x14ac:dyDescent="0.25"/>
    <row r="21756" s="42" customFormat="1" x14ac:dyDescent="0.25"/>
    <row r="21757" s="42" customFormat="1" x14ac:dyDescent="0.25"/>
    <row r="21758" s="42" customFormat="1" x14ac:dyDescent="0.25"/>
    <row r="21759" s="42" customFormat="1" x14ac:dyDescent="0.25"/>
    <row r="21760" s="42" customFormat="1" x14ac:dyDescent="0.25"/>
    <row r="21761" s="42" customFormat="1" x14ac:dyDescent="0.25"/>
    <row r="21762" s="42" customFormat="1" x14ac:dyDescent="0.25"/>
    <row r="21763" s="42" customFormat="1" x14ac:dyDescent="0.25"/>
    <row r="21764" s="42" customFormat="1" x14ac:dyDescent="0.25"/>
    <row r="21765" s="42" customFormat="1" x14ac:dyDescent="0.25"/>
    <row r="21766" s="42" customFormat="1" x14ac:dyDescent="0.25"/>
    <row r="21767" s="42" customFormat="1" x14ac:dyDescent="0.25"/>
    <row r="21768" s="42" customFormat="1" x14ac:dyDescent="0.25"/>
    <row r="21769" s="42" customFormat="1" x14ac:dyDescent="0.25"/>
    <row r="21770" s="42" customFormat="1" x14ac:dyDescent="0.25"/>
    <row r="21771" s="42" customFormat="1" x14ac:dyDescent="0.25"/>
    <row r="21772" s="42" customFormat="1" x14ac:dyDescent="0.25"/>
    <row r="21773" s="42" customFormat="1" x14ac:dyDescent="0.25"/>
    <row r="21774" s="42" customFormat="1" x14ac:dyDescent="0.25"/>
    <row r="21775" s="42" customFormat="1" x14ac:dyDescent="0.25"/>
    <row r="21776" s="42" customFormat="1" x14ac:dyDescent="0.25"/>
    <row r="21777" s="42" customFormat="1" x14ac:dyDescent="0.25"/>
    <row r="21778" s="42" customFormat="1" x14ac:dyDescent="0.25"/>
    <row r="21779" s="42" customFormat="1" x14ac:dyDescent="0.25"/>
    <row r="21780" s="42" customFormat="1" x14ac:dyDescent="0.25"/>
    <row r="21781" s="42" customFormat="1" x14ac:dyDescent="0.25"/>
    <row r="21782" s="42" customFormat="1" x14ac:dyDescent="0.25"/>
    <row r="21783" s="42" customFormat="1" x14ac:dyDescent="0.25"/>
    <row r="21784" s="42" customFormat="1" x14ac:dyDescent="0.25"/>
    <row r="21785" s="42" customFormat="1" x14ac:dyDescent="0.25"/>
    <row r="21786" s="42" customFormat="1" x14ac:dyDescent="0.25"/>
    <row r="21787" s="42" customFormat="1" x14ac:dyDescent="0.25"/>
    <row r="21788" s="42" customFormat="1" x14ac:dyDescent="0.25"/>
    <row r="21789" s="42" customFormat="1" x14ac:dyDescent="0.25"/>
    <row r="21790" s="42" customFormat="1" x14ac:dyDescent="0.25"/>
    <row r="21791" s="42" customFormat="1" x14ac:dyDescent="0.25"/>
    <row r="21792" s="42" customFormat="1" x14ac:dyDescent="0.25"/>
    <row r="21793" s="42" customFormat="1" x14ac:dyDescent="0.25"/>
    <row r="21794" s="42" customFormat="1" x14ac:dyDescent="0.25"/>
    <row r="21795" s="42" customFormat="1" x14ac:dyDescent="0.25"/>
    <row r="21796" s="42" customFormat="1" x14ac:dyDescent="0.25"/>
    <row r="21797" s="42" customFormat="1" x14ac:dyDescent="0.25"/>
    <row r="21798" s="42" customFormat="1" x14ac:dyDescent="0.25"/>
    <row r="21799" s="42" customFormat="1" x14ac:dyDescent="0.25"/>
    <row r="21800" s="42" customFormat="1" x14ac:dyDescent="0.25"/>
    <row r="21801" s="42" customFormat="1" x14ac:dyDescent="0.25"/>
    <row r="21802" s="42" customFormat="1" x14ac:dyDescent="0.25"/>
    <row r="21803" s="42" customFormat="1" x14ac:dyDescent="0.25"/>
    <row r="21804" s="42" customFormat="1" x14ac:dyDescent="0.25"/>
    <row r="21805" s="42" customFormat="1" x14ac:dyDescent="0.25"/>
    <row r="21806" s="42" customFormat="1" x14ac:dyDescent="0.25"/>
    <row r="21807" s="42" customFormat="1" x14ac:dyDescent="0.25"/>
    <row r="21808" s="42" customFormat="1" x14ac:dyDescent="0.25"/>
    <row r="21809" s="42" customFormat="1" x14ac:dyDescent="0.25"/>
    <row r="21810" s="42" customFormat="1" x14ac:dyDescent="0.25"/>
    <row r="21811" s="42" customFormat="1" x14ac:dyDescent="0.25"/>
    <row r="21812" s="42" customFormat="1" x14ac:dyDescent="0.25"/>
    <row r="21813" s="42" customFormat="1" x14ac:dyDescent="0.25"/>
    <row r="21814" s="42" customFormat="1" x14ac:dyDescent="0.25"/>
    <row r="21815" s="42" customFormat="1" x14ac:dyDescent="0.25"/>
    <row r="21816" s="42" customFormat="1" x14ac:dyDescent="0.25"/>
    <row r="21817" s="42" customFormat="1" x14ac:dyDescent="0.25"/>
    <row r="21818" s="42" customFormat="1" x14ac:dyDescent="0.25"/>
    <row r="21819" s="42" customFormat="1" x14ac:dyDescent="0.25"/>
    <row r="21820" s="42" customFormat="1" x14ac:dyDescent="0.25"/>
    <row r="21821" s="42" customFormat="1" x14ac:dyDescent="0.25"/>
    <row r="21822" s="42" customFormat="1" x14ac:dyDescent="0.25"/>
    <row r="21823" s="42" customFormat="1" x14ac:dyDescent="0.25"/>
    <row r="21824" s="42" customFormat="1" x14ac:dyDescent="0.25"/>
    <row r="21825" s="42" customFormat="1" x14ac:dyDescent="0.25"/>
    <row r="21826" s="42" customFormat="1" x14ac:dyDescent="0.25"/>
    <row r="21827" s="42" customFormat="1" x14ac:dyDescent="0.25"/>
    <row r="21828" s="42" customFormat="1" x14ac:dyDescent="0.25"/>
    <row r="21829" s="42" customFormat="1" x14ac:dyDescent="0.25"/>
    <row r="21830" s="42" customFormat="1" x14ac:dyDescent="0.25"/>
    <row r="21831" s="42" customFormat="1" x14ac:dyDescent="0.25"/>
    <row r="21832" s="42" customFormat="1" x14ac:dyDescent="0.25"/>
    <row r="21833" s="42" customFormat="1" x14ac:dyDescent="0.25"/>
    <row r="21834" s="42" customFormat="1" x14ac:dyDescent="0.25"/>
    <row r="21835" s="42" customFormat="1" x14ac:dyDescent="0.25"/>
    <row r="21836" s="42" customFormat="1" x14ac:dyDescent="0.25"/>
    <row r="21837" s="42" customFormat="1" x14ac:dyDescent="0.25"/>
    <row r="21838" s="42" customFormat="1" x14ac:dyDescent="0.25"/>
    <row r="21839" s="42" customFormat="1" x14ac:dyDescent="0.25"/>
    <row r="21840" s="42" customFormat="1" x14ac:dyDescent="0.25"/>
    <row r="21841" s="42" customFormat="1" x14ac:dyDescent="0.25"/>
    <row r="21842" s="42" customFormat="1" x14ac:dyDescent="0.25"/>
    <row r="21843" s="42" customFormat="1" x14ac:dyDescent="0.25"/>
    <row r="21844" s="42" customFormat="1" x14ac:dyDescent="0.25"/>
    <row r="21845" s="42" customFormat="1" x14ac:dyDescent="0.25"/>
    <row r="21846" s="42" customFormat="1" x14ac:dyDescent="0.25"/>
    <row r="21847" s="42" customFormat="1" x14ac:dyDescent="0.25"/>
    <row r="21848" s="42" customFormat="1" x14ac:dyDescent="0.25"/>
    <row r="21849" s="42" customFormat="1" x14ac:dyDescent="0.25"/>
    <row r="21850" s="42" customFormat="1" x14ac:dyDescent="0.25"/>
    <row r="21851" s="42" customFormat="1" x14ac:dyDescent="0.25"/>
    <row r="21852" s="42" customFormat="1" x14ac:dyDescent="0.25"/>
    <row r="21853" s="42" customFormat="1" x14ac:dyDescent="0.25"/>
    <row r="21854" s="42" customFormat="1" x14ac:dyDescent="0.25"/>
    <row r="21855" s="42" customFormat="1" x14ac:dyDescent="0.25"/>
    <row r="21856" s="42" customFormat="1" x14ac:dyDescent="0.25"/>
    <row r="21857" s="42" customFormat="1" x14ac:dyDescent="0.25"/>
    <row r="21858" s="42" customFormat="1" x14ac:dyDescent="0.25"/>
    <row r="21859" s="42" customFormat="1" x14ac:dyDescent="0.25"/>
    <row r="21860" s="42" customFormat="1" x14ac:dyDescent="0.25"/>
    <row r="21861" s="42" customFormat="1" x14ac:dyDescent="0.25"/>
    <row r="21862" s="42" customFormat="1" x14ac:dyDescent="0.25"/>
    <row r="21863" s="42" customFormat="1" x14ac:dyDescent="0.25"/>
    <row r="21864" s="42" customFormat="1" x14ac:dyDescent="0.25"/>
    <row r="21865" s="42" customFormat="1" x14ac:dyDescent="0.25"/>
    <row r="21866" s="42" customFormat="1" x14ac:dyDescent="0.25"/>
    <row r="21867" s="42" customFormat="1" x14ac:dyDescent="0.25"/>
    <row r="21868" s="42" customFormat="1" x14ac:dyDescent="0.25"/>
    <row r="21869" s="42" customFormat="1" x14ac:dyDescent="0.25"/>
    <row r="21870" s="42" customFormat="1" x14ac:dyDescent="0.25"/>
    <row r="21871" s="42" customFormat="1" x14ac:dyDescent="0.25"/>
    <row r="21872" s="42" customFormat="1" x14ac:dyDescent="0.25"/>
    <row r="21873" s="42" customFormat="1" x14ac:dyDescent="0.25"/>
    <row r="21874" s="42" customFormat="1" x14ac:dyDescent="0.25"/>
    <row r="21875" s="42" customFormat="1" x14ac:dyDescent="0.25"/>
    <row r="21876" s="42" customFormat="1" x14ac:dyDescent="0.25"/>
    <row r="21877" s="42" customFormat="1" x14ac:dyDescent="0.25"/>
    <row r="21878" s="42" customFormat="1" x14ac:dyDescent="0.25"/>
    <row r="21879" s="42" customFormat="1" x14ac:dyDescent="0.25"/>
    <row r="21880" s="42" customFormat="1" x14ac:dyDescent="0.25"/>
    <row r="21881" s="42" customFormat="1" x14ac:dyDescent="0.25"/>
    <row r="21882" s="42" customFormat="1" x14ac:dyDescent="0.25"/>
    <row r="21883" s="42" customFormat="1" x14ac:dyDescent="0.25"/>
    <row r="21884" s="42" customFormat="1" x14ac:dyDescent="0.25"/>
    <row r="21885" s="42" customFormat="1" x14ac:dyDescent="0.25"/>
    <row r="21886" s="42" customFormat="1" x14ac:dyDescent="0.25"/>
    <row r="21887" s="42" customFormat="1" x14ac:dyDescent="0.25"/>
    <row r="21888" s="42" customFormat="1" x14ac:dyDescent="0.25"/>
    <row r="21889" s="42" customFormat="1" x14ac:dyDescent="0.25"/>
    <row r="21890" s="42" customFormat="1" x14ac:dyDescent="0.25"/>
    <row r="21891" s="42" customFormat="1" x14ac:dyDescent="0.25"/>
    <row r="21892" s="42" customFormat="1" x14ac:dyDescent="0.25"/>
    <row r="21893" s="42" customFormat="1" x14ac:dyDescent="0.25"/>
    <row r="21894" s="42" customFormat="1" x14ac:dyDescent="0.25"/>
    <row r="21895" s="42" customFormat="1" x14ac:dyDescent="0.25"/>
    <row r="21896" s="42" customFormat="1" x14ac:dyDescent="0.25"/>
    <row r="21897" s="42" customFormat="1" x14ac:dyDescent="0.25"/>
    <row r="21898" s="42" customFormat="1" x14ac:dyDescent="0.25"/>
    <row r="21899" s="42" customFormat="1" x14ac:dyDescent="0.25"/>
    <row r="21900" s="42" customFormat="1" x14ac:dyDescent="0.25"/>
    <row r="21901" s="42" customFormat="1" x14ac:dyDescent="0.25"/>
    <row r="21902" s="42" customFormat="1" x14ac:dyDescent="0.25"/>
    <row r="21903" s="42" customFormat="1" x14ac:dyDescent="0.25"/>
    <row r="21904" s="42" customFormat="1" x14ac:dyDescent="0.25"/>
    <row r="21905" s="42" customFormat="1" x14ac:dyDescent="0.25"/>
    <row r="21906" s="42" customFormat="1" x14ac:dyDescent="0.25"/>
    <row r="21907" s="42" customFormat="1" x14ac:dyDescent="0.25"/>
    <row r="21908" s="42" customFormat="1" x14ac:dyDescent="0.25"/>
    <row r="21909" s="42" customFormat="1" x14ac:dyDescent="0.25"/>
    <row r="21910" s="42" customFormat="1" x14ac:dyDescent="0.25"/>
    <row r="21911" s="42" customFormat="1" x14ac:dyDescent="0.25"/>
    <row r="21912" s="42" customFormat="1" x14ac:dyDescent="0.25"/>
    <row r="21913" s="42" customFormat="1" x14ac:dyDescent="0.25"/>
    <row r="21914" s="42" customFormat="1" x14ac:dyDescent="0.25"/>
    <row r="21915" s="42" customFormat="1" x14ac:dyDescent="0.25"/>
    <row r="21916" s="42" customFormat="1" x14ac:dyDescent="0.25"/>
    <row r="21917" s="42" customFormat="1" x14ac:dyDescent="0.25"/>
    <row r="21918" s="42" customFormat="1" x14ac:dyDescent="0.25"/>
    <row r="21919" s="42" customFormat="1" x14ac:dyDescent="0.25"/>
    <row r="21920" s="42" customFormat="1" x14ac:dyDescent="0.25"/>
    <row r="21921" s="42" customFormat="1" x14ac:dyDescent="0.25"/>
    <row r="21922" s="42" customFormat="1" x14ac:dyDescent="0.25"/>
    <row r="21923" s="42" customFormat="1" x14ac:dyDescent="0.25"/>
    <row r="21924" s="42" customFormat="1" x14ac:dyDescent="0.25"/>
    <row r="21925" s="42" customFormat="1" x14ac:dyDescent="0.25"/>
    <row r="21926" s="42" customFormat="1" x14ac:dyDescent="0.25"/>
    <row r="21927" s="42" customFormat="1" x14ac:dyDescent="0.25"/>
    <row r="21928" s="42" customFormat="1" x14ac:dyDescent="0.25"/>
    <row r="21929" s="42" customFormat="1" x14ac:dyDescent="0.25"/>
    <row r="21930" s="42" customFormat="1" x14ac:dyDescent="0.25"/>
    <row r="21931" s="42" customFormat="1" x14ac:dyDescent="0.25"/>
    <row r="21932" s="42" customFormat="1" x14ac:dyDescent="0.25"/>
    <row r="21933" s="42" customFormat="1" x14ac:dyDescent="0.25"/>
    <row r="21934" s="42" customFormat="1" x14ac:dyDescent="0.25"/>
    <row r="21935" s="42" customFormat="1" x14ac:dyDescent="0.25"/>
    <row r="21936" s="42" customFormat="1" x14ac:dyDescent="0.25"/>
    <row r="21937" s="42" customFormat="1" x14ac:dyDescent="0.25"/>
    <row r="21938" s="42" customFormat="1" x14ac:dyDescent="0.25"/>
    <row r="21939" s="42" customFormat="1" x14ac:dyDescent="0.25"/>
    <row r="21940" s="42" customFormat="1" x14ac:dyDescent="0.25"/>
    <row r="21941" s="42" customFormat="1" x14ac:dyDescent="0.25"/>
    <row r="21942" s="42" customFormat="1" x14ac:dyDescent="0.25"/>
    <row r="21943" s="42" customFormat="1" x14ac:dyDescent="0.25"/>
    <row r="21944" s="42" customFormat="1" x14ac:dyDescent="0.25"/>
    <row r="21945" s="42" customFormat="1" x14ac:dyDescent="0.25"/>
    <row r="21946" s="42" customFormat="1" x14ac:dyDescent="0.25"/>
    <row r="21947" s="42" customFormat="1" x14ac:dyDescent="0.25"/>
    <row r="21948" s="42" customFormat="1" x14ac:dyDescent="0.25"/>
    <row r="21949" s="42" customFormat="1" x14ac:dyDescent="0.25"/>
    <row r="21950" s="42" customFormat="1" x14ac:dyDescent="0.25"/>
    <row r="21951" s="42" customFormat="1" x14ac:dyDescent="0.25"/>
    <row r="21952" s="42" customFormat="1" x14ac:dyDescent="0.25"/>
    <row r="21953" s="42" customFormat="1" x14ac:dyDescent="0.25"/>
    <row r="21954" s="42" customFormat="1" x14ac:dyDescent="0.25"/>
    <row r="21955" s="42" customFormat="1" x14ac:dyDescent="0.25"/>
    <row r="21956" s="42" customFormat="1" x14ac:dyDescent="0.25"/>
    <row r="21957" s="42" customFormat="1" x14ac:dyDescent="0.25"/>
    <row r="21958" s="42" customFormat="1" x14ac:dyDescent="0.25"/>
    <row r="21959" s="42" customFormat="1" x14ac:dyDescent="0.25"/>
    <row r="21960" s="42" customFormat="1" x14ac:dyDescent="0.25"/>
    <row r="21961" s="42" customFormat="1" x14ac:dyDescent="0.25"/>
    <row r="21962" s="42" customFormat="1" x14ac:dyDescent="0.25"/>
    <row r="21963" s="42" customFormat="1" x14ac:dyDescent="0.25"/>
    <row r="21964" s="42" customFormat="1" x14ac:dyDescent="0.25"/>
    <row r="21965" s="42" customFormat="1" x14ac:dyDescent="0.25"/>
    <row r="21966" s="42" customFormat="1" x14ac:dyDescent="0.25"/>
    <row r="21967" s="42" customFormat="1" x14ac:dyDescent="0.25"/>
    <row r="21968" s="42" customFormat="1" x14ac:dyDescent="0.25"/>
    <row r="21969" s="42" customFormat="1" x14ac:dyDescent="0.25"/>
    <row r="21970" s="42" customFormat="1" x14ac:dyDescent="0.25"/>
    <row r="21971" s="42" customFormat="1" x14ac:dyDescent="0.25"/>
    <row r="21972" s="42" customFormat="1" x14ac:dyDescent="0.25"/>
    <row r="21973" s="42" customFormat="1" x14ac:dyDescent="0.25"/>
    <row r="21974" s="42" customFormat="1" x14ac:dyDescent="0.25"/>
    <row r="21975" s="42" customFormat="1" x14ac:dyDescent="0.25"/>
    <row r="21976" s="42" customFormat="1" x14ac:dyDescent="0.25"/>
    <row r="21977" s="42" customFormat="1" x14ac:dyDescent="0.25"/>
    <row r="21978" s="42" customFormat="1" x14ac:dyDescent="0.25"/>
    <row r="21979" s="42" customFormat="1" x14ac:dyDescent="0.25"/>
    <row r="21980" s="42" customFormat="1" x14ac:dyDescent="0.25"/>
    <row r="21981" s="42" customFormat="1" x14ac:dyDescent="0.25"/>
    <row r="21982" s="42" customFormat="1" x14ac:dyDescent="0.25"/>
    <row r="21983" s="42" customFormat="1" x14ac:dyDescent="0.25"/>
    <row r="21984" s="42" customFormat="1" x14ac:dyDescent="0.25"/>
    <row r="21985" s="42" customFormat="1" x14ac:dyDescent="0.25"/>
    <row r="21986" s="42" customFormat="1" x14ac:dyDescent="0.25"/>
    <row r="21987" s="42" customFormat="1" x14ac:dyDescent="0.25"/>
    <row r="21988" s="42" customFormat="1" x14ac:dyDescent="0.25"/>
    <row r="21989" s="42" customFormat="1" x14ac:dyDescent="0.25"/>
    <row r="21990" s="42" customFormat="1" x14ac:dyDescent="0.25"/>
    <row r="21991" s="42" customFormat="1" x14ac:dyDescent="0.25"/>
    <row r="21992" s="42" customFormat="1" x14ac:dyDescent="0.25"/>
    <row r="21993" s="42" customFormat="1" x14ac:dyDescent="0.25"/>
    <row r="21994" s="42" customFormat="1" x14ac:dyDescent="0.25"/>
    <row r="21995" s="42" customFormat="1" x14ac:dyDescent="0.25"/>
    <row r="21996" s="42" customFormat="1" x14ac:dyDescent="0.25"/>
    <row r="21997" s="42" customFormat="1" x14ac:dyDescent="0.25"/>
    <row r="21998" s="42" customFormat="1" x14ac:dyDescent="0.25"/>
    <row r="21999" s="42" customFormat="1" x14ac:dyDescent="0.25"/>
    <row r="22000" s="42" customFormat="1" x14ac:dyDescent="0.25"/>
    <row r="22001" s="42" customFormat="1" x14ac:dyDescent="0.25"/>
    <row r="22002" s="42" customFormat="1" x14ac:dyDescent="0.25"/>
    <row r="22003" s="42" customFormat="1" x14ac:dyDescent="0.25"/>
    <row r="22004" s="42" customFormat="1" x14ac:dyDescent="0.25"/>
    <row r="22005" s="42" customFormat="1" x14ac:dyDescent="0.25"/>
    <row r="22006" s="42" customFormat="1" x14ac:dyDescent="0.25"/>
    <row r="22007" s="42" customFormat="1" x14ac:dyDescent="0.25"/>
    <row r="22008" s="42" customFormat="1" x14ac:dyDescent="0.25"/>
    <row r="22009" s="42" customFormat="1" x14ac:dyDescent="0.25"/>
    <row r="22010" s="42" customFormat="1" x14ac:dyDescent="0.25"/>
    <row r="22011" s="42" customFormat="1" x14ac:dyDescent="0.25"/>
    <row r="22012" s="42" customFormat="1" x14ac:dyDescent="0.25"/>
    <row r="22013" s="42" customFormat="1" x14ac:dyDescent="0.25"/>
    <row r="22014" s="42" customFormat="1" x14ac:dyDescent="0.25"/>
    <row r="22015" s="42" customFormat="1" x14ac:dyDescent="0.25"/>
    <row r="22016" s="42" customFormat="1" x14ac:dyDescent="0.25"/>
    <row r="22017" s="42" customFormat="1" x14ac:dyDescent="0.25"/>
    <row r="22018" s="42" customFormat="1" x14ac:dyDescent="0.25"/>
    <row r="22019" s="42" customFormat="1" x14ac:dyDescent="0.25"/>
    <row r="22020" s="42" customFormat="1" x14ac:dyDescent="0.25"/>
    <row r="22021" s="42" customFormat="1" x14ac:dyDescent="0.25"/>
    <row r="22022" s="42" customFormat="1" x14ac:dyDescent="0.25"/>
    <row r="22023" s="42" customFormat="1" x14ac:dyDescent="0.25"/>
    <row r="22024" s="42" customFormat="1" x14ac:dyDescent="0.25"/>
    <row r="22025" s="42" customFormat="1" x14ac:dyDescent="0.25"/>
    <row r="22026" s="42" customFormat="1" x14ac:dyDescent="0.25"/>
    <row r="22027" s="42" customFormat="1" x14ac:dyDescent="0.25"/>
    <row r="22028" s="42" customFormat="1" x14ac:dyDescent="0.25"/>
    <row r="22029" s="42" customFormat="1" x14ac:dyDescent="0.25"/>
    <row r="22030" s="42" customFormat="1" x14ac:dyDescent="0.25"/>
    <row r="22031" s="42" customFormat="1" x14ac:dyDescent="0.25"/>
    <row r="22032" s="42" customFormat="1" x14ac:dyDescent="0.25"/>
    <row r="22033" s="42" customFormat="1" x14ac:dyDescent="0.25"/>
    <row r="22034" s="42" customFormat="1" x14ac:dyDescent="0.25"/>
    <row r="22035" s="42" customFormat="1" x14ac:dyDescent="0.25"/>
    <row r="22036" s="42" customFormat="1" x14ac:dyDescent="0.25"/>
    <row r="22037" s="42" customFormat="1" x14ac:dyDescent="0.25"/>
    <row r="22038" s="42" customFormat="1" x14ac:dyDescent="0.25"/>
    <row r="22039" s="42" customFormat="1" x14ac:dyDescent="0.25"/>
    <row r="22040" s="42" customFormat="1" x14ac:dyDescent="0.25"/>
    <row r="22041" s="42" customFormat="1" x14ac:dyDescent="0.25"/>
    <row r="22042" s="42" customFormat="1" x14ac:dyDescent="0.25"/>
    <row r="22043" s="42" customFormat="1" x14ac:dyDescent="0.25"/>
    <row r="22044" s="42" customFormat="1" x14ac:dyDescent="0.25"/>
    <row r="22045" s="42" customFormat="1" x14ac:dyDescent="0.25"/>
    <row r="22046" s="42" customFormat="1" x14ac:dyDescent="0.25"/>
    <row r="22047" s="42" customFormat="1" x14ac:dyDescent="0.25"/>
    <row r="22048" s="42" customFormat="1" x14ac:dyDescent="0.25"/>
    <row r="22049" s="42" customFormat="1" x14ac:dyDescent="0.25"/>
    <row r="22050" s="42" customFormat="1" x14ac:dyDescent="0.25"/>
    <row r="22051" s="42" customFormat="1" x14ac:dyDescent="0.25"/>
    <row r="22052" s="42" customFormat="1" x14ac:dyDescent="0.25"/>
    <row r="22053" s="42" customFormat="1" x14ac:dyDescent="0.25"/>
    <row r="22054" s="42" customFormat="1" x14ac:dyDescent="0.25"/>
    <row r="22055" s="42" customFormat="1" x14ac:dyDescent="0.25"/>
    <row r="22056" s="42" customFormat="1" x14ac:dyDescent="0.25"/>
    <row r="22057" s="42" customFormat="1" x14ac:dyDescent="0.25"/>
    <row r="22058" s="42" customFormat="1" x14ac:dyDescent="0.25"/>
    <row r="22059" s="42" customFormat="1" x14ac:dyDescent="0.25"/>
    <row r="22060" s="42" customFormat="1" x14ac:dyDescent="0.25"/>
    <row r="22061" s="42" customFormat="1" x14ac:dyDescent="0.25"/>
    <row r="22062" s="42" customFormat="1" x14ac:dyDescent="0.25"/>
    <row r="22063" s="42" customFormat="1" x14ac:dyDescent="0.25"/>
    <row r="22064" s="42" customFormat="1" x14ac:dyDescent="0.25"/>
    <row r="22065" s="42" customFormat="1" x14ac:dyDescent="0.25"/>
    <row r="22066" s="42" customFormat="1" x14ac:dyDescent="0.25"/>
    <row r="22067" s="42" customFormat="1" x14ac:dyDescent="0.25"/>
    <row r="22068" s="42" customFormat="1" x14ac:dyDescent="0.25"/>
    <row r="22069" s="42" customFormat="1" x14ac:dyDescent="0.25"/>
    <row r="22070" s="42" customFormat="1" x14ac:dyDescent="0.25"/>
    <row r="22071" s="42" customFormat="1" x14ac:dyDescent="0.25"/>
    <row r="22072" s="42" customFormat="1" x14ac:dyDescent="0.25"/>
    <row r="22073" s="42" customFormat="1" x14ac:dyDescent="0.25"/>
    <row r="22074" s="42" customFormat="1" x14ac:dyDescent="0.25"/>
    <row r="22075" s="42" customFormat="1" x14ac:dyDescent="0.25"/>
    <row r="22076" s="42" customFormat="1" x14ac:dyDescent="0.25"/>
    <row r="22077" s="42" customFormat="1" x14ac:dyDescent="0.25"/>
    <row r="22078" s="42" customFormat="1" x14ac:dyDescent="0.25"/>
    <row r="22079" s="42" customFormat="1" x14ac:dyDescent="0.25"/>
    <row r="22080" s="42" customFormat="1" x14ac:dyDescent="0.25"/>
    <row r="22081" s="42" customFormat="1" x14ac:dyDescent="0.25"/>
    <row r="22082" s="42" customFormat="1" x14ac:dyDescent="0.25"/>
    <row r="22083" s="42" customFormat="1" x14ac:dyDescent="0.25"/>
    <row r="22084" s="42" customFormat="1" x14ac:dyDescent="0.25"/>
    <row r="22085" s="42" customFormat="1" x14ac:dyDescent="0.25"/>
    <row r="22086" s="42" customFormat="1" x14ac:dyDescent="0.25"/>
    <row r="22087" s="42" customFormat="1" x14ac:dyDescent="0.25"/>
    <row r="22088" s="42" customFormat="1" x14ac:dyDescent="0.25"/>
    <row r="22089" s="42" customFormat="1" x14ac:dyDescent="0.25"/>
    <row r="22090" s="42" customFormat="1" x14ac:dyDescent="0.25"/>
    <row r="22091" s="42" customFormat="1" x14ac:dyDescent="0.25"/>
    <row r="22092" s="42" customFormat="1" x14ac:dyDescent="0.25"/>
    <row r="22093" s="42" customFormat="1" x14ac:dyDescent="0.25"/>
    <row r="22094" s="42" customFormat="1" x14ac:dyDescent="0.25"/>
    <row r="22095" s="42" customFormat="1" x14ac:dyDescent="0.25"/>
    <row r="22096" s="42" customFormat="1" x14ac:dyDescent="0.25"/>
    <row r="22097" s="42" customFormat="1" x14ac:dyDescent="0.25"/>
    <row r="22098" s="42" customFormat="1" x14ac:dyDescent="0.25"/>
    <row r="22099" s="42" customFormat="1" x14ac:dyDescent="0.25"/>
    <row r="22100" s="42" customFormat="1" x14ac:dyDescent="0.25"/>
    <row r="22101" s="42" customFormat="1" x14ac:dyDescent="0.25"/>
    <row r="22102" s="42" customFormat="1" x14ac:dyDescent="0.25"/>
    <row r="22103" s="42" customFormat="1" x14ac:dyDescent="0.25"/>
    <row r="22104" s="42" customFormat="1" x14ac:dyDescent="0.25"/>
    <row r="22105" s="42" customFormat="1" x14ac:dyDescent="0.25"/>
    <row r="22106" s="42" customFormat="1" x14ac:dyDescent="0.25"/>
    <row r="22107" s="42" customFormat="1" x14ac:dyDescent="0.25"/>
    <row r="22108" s="42" customFormat="1" x14ac:dyDescent="0.25"/>
    <row r="22109" s="42" customFormat="1" x14ac:dyDescent="0.25"/>
    <row r="22110" s="42" customFormat="1" x14ac:dyDescent="0.25"/>
    <row r="22111" s="42" customFormat="1" x14ac:dyDescent="0.25"/>
    <row r="22112" s="42" customFormat="1" x14ac:dyDescent="0.25"/>
    <row r="22113" s="42" customFormat="1" x14ac:dyDescent="0.25"/>
    <row r="22114" s="42" customFormat="1" x14ac:dyDescent="0.25"/>
    <row r="22115" s="42" customFormat="1" x14ac:dyDescent="0.25"/>
    <row r="22116" s="42" customFormat="1" x14ac:dyDescent="0.25"/>
    <row r="22117" s="42" customFormat="1" x14ac:dyDescent="0.25"/>
    <row r="22118" s="42" customFormat="1" x14ac:dyDescent="0.25"/>
    <row r="22119" s="42" customFormat="1" x14ac:dyDescent="0.25"/>
    <row r="22120" s="42" customFormat="1" x14ac:dyDescent="0.25"/>
    <row r="22121" s="42" customFormat="1" x14ac:dyDescent="0.25"/>
    <row r="22122" s="42" customFormat="1" x14ac:dyDescent="0.25"/>
    <row r="22123" s="42" customFormat="1" x14ac:dyDescent="0.25"/>
    <row r="22124" s="42" customFormat="1" x14ac:dyDescent="0.25"/>
    <row r="22125" s="42" customFormat="1" x14ac:dyDescent="0.25"/>
    <row r="22126" s="42" customFormat="1" x14ac:dyDescent="0.25"/>
    <row r="22127" s="42" customFormat="1" x14ac:dyDescent="0.25"/>
    <row r="22128" s="42" customFormat="1" x14ac:dyDescent="0.25"/>
    <row r="22129" s="42" customFormat="1" x14ac:dyDescent="0.25"/>
    <row r="22130" s="42" customFormat="1" x14ac:dyDescent="0.25"/>
    <row r="22131" s="42" customFormat="1" x14ac:dyDescent="0.25"/>
    <row r="22132" s="42" customFormat="1" x14ac:dyDescent="0.25"/>
    <row r="22133" s="42" customFormat="1" x14ac:dyDescent="0.25"/>
    <row r="22134" s="42" customFormat="1" x14ac:dyDescent="0.25"/>
    <row r="22135" s="42" customFormat="1" x14ac:dyDescent="0.25"/>
    <row r="22136" s="42" customFormat="1" x14ac:dyDescent="0.25"/>
    <row r="22137" s="42" customFormat="1" x14ac:dyDescent="0.25"/>
    <row r="22138" s="42" customFormat="1" x14ac:dyDescent="0.25"/>
    <row r="22139" s="42" customFormat="1" x14ac:dyDescent="0.25"/>
    <row r="22140" s="42" customFormat="1" x14ac:dyDescent="0.25"/>
    <row r="22141" s="42" customFormat="1" x14ac:dyDescent="0.25"/>
    <row r="22142" s="42" customFormat="1" x14ac:dyDescent="0.25"/>
    <row r="22143" s="42" customFormat="1" x14ac:dyDescent="0.25"/>
    <row r="22144" s="42" customFormat="1" x14ac:dyDescent="0.25"/>
    <row r="22145" s="42" customFormat="1" x14ac:dyDescent="0.25"/>
    <row r="22146" s="42" customFormat="1" x14ac:dyDescent="0.25"/>
    <row r="22147" s="42" customFormat="1" x14ac:dyDescent="0.25"/>
    <row r="22148" s="42" customFormat="1" x14ac:dyDescent="0.25"/>
    <row r="22149" s="42" customFormat="1" x14ac:dyDescent="0.25"/>
    <row r="22150" s="42" customFormat="1" x14ac:dyDescent="0.25"/>
    <row r="22151" s="42" customFormat="1" x14ac:dyDescent="0.25"/>
    <row r="22152" s="42" customFormat="1" x14ac:dyDescent="0.25"/>
    <row r="22153" s="42" customFormat="1" x14ac:dyDescent="0.25"/>
    <row r="22154" s="42" customFormat="1" x14ac:dyDescent="0.25"/>
    <row r="22155" s="42" customFormat="1" x14ac:dyDescent="0.25"/>
    <row r="22156" s="42" customFormat="1" x14ac:dyDescent="0.25"/>
    <row r="22157" s="42" customFormat="1" x14ac:dyDescent="0.25"/>
    <row r="22158" s="42" customFormat="1" x14ac:dyDescent="0.25"/>
    <row r="22159" s="42" customFormat="1" x14ac:dyDescent="0.25"/>
    <row r="22160" s="42" customFormat="1" x14ac:dyDescent="0.25"/>
    <row r="22161" s="42" customFormat="1" x14ac:dyDescent="0.25"/>
    <row r="22162" s="42" customFormat="1" x14ac:dyDescent="0.25"/>
    <row r="22163" s="42" customFormat="1" x14ac:dyDescent="0.25"/>
    <row r="22164" s="42" customFormat="1" x14ac:dyDescent="0.25"/>
    <row r="22165" s="42" customFormat="1" x14ac:dyDescent="0.25"/>
    <row r="22166" s="42" customFormat="1" x14ac:dyDescent="0.25"/>
    <row r="22167" s="42" customFormat="1" x14ac:dyDescent="0.25"/>
    <row r="22168" s="42" customFormat="1" x14ac:dyDescent="0.25"/>
    <row r="22169" s="42" customFormat="1" x14ac:dyDescent="0.25"/>
    <row r="22170" s="42" customFormat="1" x14ac:dyDescent="0.25"/>
    <row r="22171" s="42" customFormat="1" x14ac:dyDescent="0.25"/>
    <row r="22172" s="42" customFormat="1" x14ac:dyDescent="0.25"/>
    <row r="22173" s="42" customFormat="1" x14ac:dyDescent="0.25"/>
    <row r="22174" s="42" customFormat="1" x14ac:dyDescent="0.25"/>
    <row r="22175" s="42" customFormat="1" x14ac:dyDescent="0.25"/>
    <row r="22176" s="42" customFormat="1" x14ac:dyDescent="0.25"/>
    <row r="22177" s="42" customFormat="1" x14ac:dyDescent="0.25"/>
    <row r="22178" s="42" customFormat="1" x14ac:dyDescent="0.25"/>
    <row r="22179" s="42" customFormat="1" x14ac:dyDescent="0.25"/>
    <row r="22180" s="42" customFormat="1" x14ac:dyDescent="0.25"/>
    <row r="22181" s="42" customFormat="1" x14ac:dyDescent="0.25"/>
    <row r="22182" s="42" customFormat="1" x14ac:dyDescent="0.25"/>
    <row r="22183" s="42" customFormat="1" x14ac:dyDescent="0.25"/>
    <row r="22184" s="42" customFormat="1" x14ac:dyDescent="0.25"/>
    <row r="22185" s="42" customFormat="1" x14ac:dyDescent="0.25"/>
    <row r="22186" s="42" customFormat="1" x14ac:dyDescent="0.25"/>
    <row r="22187" s="42" customFormat="1" x14ac:dyDescent="0.25"/>
    <row r="22188" s="42" customFormat="1" x14ac:dyDescent="0.25"/>
    <row r="22189" s="42" customFormat="1" x14ac:dyDescent="0.25"/>
    <row r="22190" s="42" customFormat="1" x14ac:dyDescent="0.25"/>
    <row r="22191" s="42" customFormat="1" x14ac:dyDescent="0.25"/>
    <row r="22192" s="42" customFormat="1" x14ac:dyDescent="0.25"/>
    <row r="22193" s="42" customFormat="1" x14ac:dyDescent="0.25"/>
    <row r="22194" s="42" customFormat="1" x14ac:dyDescent="0.25"/>
    <row r="22195" s="42" customFormat="1" x14ac:dyDescent="0.25"/>
    <row r="22196" s="42" customFormat="1" x14ac:dyDescent="0.25"/>
    <row r="22197" s="42" customFormat="1" x14ac:dyDescent="0.25"/>
    <row r="22198" s="42" customFormat="1" x14ac:dyDescent="0.25"/>
    <row r="22199" s="42" customFormat="1" x14ac:dyDescent="0.25"/>
    <row r="22200" s="42" customFormat="1" x14ac:dyDescent="0.25"/>
    <row r="22201" s="42" customFormat="1" x14ac:dyDescent="0.25"/>
    <row r="22202" s="42" customFormat="1" x14ac:dyDescent="0.25"/>
    <row r="22203" s="42" customFormat="1" x14ac:dyDescent="0.25"/>
    <row r="22204" s="42" customFormat="1" x14ac:dyDescent="0.25"/>
    <row r="22205" s="42" customFormat="1" x14ac:dyDescent="0.25"/>
    <row r="22206" s="42" customFormat="1" x14ac:dyDescent="0.25"/>
    <row r="22207" s="42" customFormat="1" x14ac:dyDescent="0.25"/>
    <row r="22208" s="42" customFormat="1" x14ac:dyDescent="0.25"/>
    <row r="22209" s="42" customFormat="1" x14ac:dyDescent="0.25"/>
    <row r="22210" s="42" customFormat="1" x14ac:dyDescent="0.25"/>
    <row r="22211" s="42" customFormat="1" x14ac:dyDescent="0.25"/>
    <row r="22212" s="42" customFormat="1" x14ac:dyDescent="0.25"/>
    <row r="22213" s="42" customFormat="1" x14ac:dyDescent="0.25"/>
    <row r="22214" s="42" customFormat="1" x14ac:dyDescent="0.25"/>
    <row r="22215" s="42" customFormat="1" x14ac:dyDescent="0.25"/>
    <row r="22216" s="42" customFormat="1" x14ac:dyDescent="0.25"/>
    <row r="22217" s="42" customFormat="1" x14ac:dyDescent="0.25"/>
    <row r="22218" s="42" customFormat="1" x14ac:dyDescent="0.25"/>
    <row r="22219" s="42" customFormat="1" x14ac:dyDescent="0.25"/>
    <row r="22220" s="42" customFormat="1" x14ac:dyDescent="0.25"/>
    <row r="22221" s="42" customFormat="1" x14ac:dyDescent="0.25"/>
    <row r="22222" s="42" customFormat="1" x14ac:dyDescent="0.25"/>
    <row r="22223" s="42" customFormat="1" x14ac:dyDescent="0.25"/>
    <row r="22224" s="42" customFormat="1" x14ac:dyDescent="0.25"/>
    <row r="22225" s="42" customFormat="1" x14ac:dyDescent="0.25"/>
    <row r="22226" s="42" customFormat="1" x14ac:dyDescent="0.25"/>
    <row r="22227" s="42" customFormat="1" x14ac:dyDescent="0.25"/>
    <row r="22228" s="42" customFormat="1" x14ac:dyDescent="0.25"/>
    <row r="22229" s="42" customFormat="1" x14ac:dyDescent="0.25"/>
    <row r="22230" s="42" customFormat="1" x14ac:dyDescent="0.25"/>
    <row r="22231" s="42" customFormat="1" x14ac:dyDescent="0.25"/>
    <row r="22232" s="42" customFormat="1" x14ac:dyDescent="0.25"/>
    <row r="22233" s="42" customFormat="1" x14ac:dyDescent="0.25"/>
    <row r="22234" s="42" customFormat="1" x14ac:dyDescent="0.25"/>
    <row r="22235" s="42" customFormat="1" x14ac:dyDescent="0.25"/>
    <row r="22236" s="42" customFormat="1" x14ac:dyDescent="0.25"/>
    <row r="22237" s="42" customFormat="1" x14ac:dyDescent="0.25"/>
    <row r="22238" s="42" customFormat="1" x14ac:dyDescent="0.25"/>
    <row r="22239" s="42" customFormat="1" x14ac:dyDescent="0.25"/>
    <row r="22240" s="42" customFormat="1" x14ac:dyDescent="0.25"/>
    <row r="22241" s="42" customFormat="1" x14ac:dyDescent="0.25"/>
    <row r="22242" s="42" customFormat="1" x14ac:dyDescent="0.25"/>
    <row r="22243" s="42" customFormat="1" x14ac:dyDescent="0.25"/>
    <row r="22244" s="42" customFormat="1" x14ac:dyDescent="0.25"/>
    <row r="22245" s="42" customFormat="1" x14ac:dyDescent="0.25"/>
    <row r="22246" s="42" customFormat="1" x14ac:dyDescent="0.25"/>
    <row r="22247" s="42" customFormat="1" x14ac:dyDescent="0.25"/>
    <row r="22248" s="42" customFormat="1" x14ac:dyDescent="0.25"/>
    <row r="22249" s="42" customFormat="1" x14ac:dyDescent="0.25"/>
    <row r="22250" s="42" customFormat="1" x14ac:dyDescent="0.25"/>
    <row r="22251" s="42" customFormat="1" x14ac:dyDescent="0.25"/>
    <row r="22252" s="42" customFormat="1" x14ac:dyDescent="0.25"/>
    <row r="22253" s="42" customFormat="1" x14ac:dyDescent="0.25"/>
    <row r="22254" s="42" customFormat="1" x14ac:dyDescent="0.25"/>
    <row r="22255" s="42" customFormat="1" x14ac:dyDescent="0.25"/>
    <row r="22256" s="42" customFormat="1" x14ac:dyDescent="0.25"/>
    <row r="22257" s="42" customFormat="1" x14ac:dyDescent="0.25"/>
    <row r="22258" s="42" customFormat="1" x14ac:dyDescent="0.25"/>
    <row r="22259" s="42" customFormat="1" x14ac:dyDescent="0.25"/>
    <row r="22260" s="42" customFormat="1" x14ac:dyDescent="0.25"/>
    <row r="22261" s="42" customFormat="1" x14ac:dyDescent="0.25"/>
    <row r="22262" s="42" customFormat="1" x14ac:dyDescent="0.25"/>
    <row r="22263" s="42" customFormat="1" x14ac:dyDescent="0.25"/>
    <row r="22264" s="42" customFormat="1" x14ac:dyDescent="0.25"/>
    <row r="22265" s="42" customFormat="1" x14ac:dyDescent="0.25"/>
    <row r="22266" s="42" customFormat="1" x14ac:dyDescent="0.25"/>
    <row r="22267" s="42" customFormat="1" x14ac:dyDescent="0.25"/>
    <row r="22268" s="42" customFormat="1" x14ac:dyDescent="0.25"/>
    <row r="22269" s="42" customFormat="1" x14ac:dyDescent="0.25"/>
    <row r="22270" s="42" customFormat="1" x14ac:dyDescent="0.25"/>
    <row r="22271" s="42" customFormat="1" x14ac:dyDescent="0.25"/>
    <row r="22272" s="42" customFormat="1" x14ac:dyDescent="0.25"/>
    <row r="22273" s="42" customFormat="1" x14ac:dyDescent="0.25"/>
    <row r="22274" s="42" customFormat="1" x14ac:dyDescent="0.25"/>
    <row r="22275" s="42" customFormat="1" x14ac:dyDescent="0.25"/>
    <row r="22276" s="42" customFormat="1" x14ac:dyDescent="0.25"/>
    <row r="22277" s="42" customFormat="1" x14ac:dyDescent="0.25"/>
    <row r="22278" s="42" customFormat="1" x14ac:dyDescent="0.25"/>
    <row r="22279" s="42" customFormat="1" x14ac:dyDescent="0.25"/>
    <row r="22280" s="42" customFormat="1" x14ac:dyDescent="0.25"/>
    <row r="22281" s="42" customFormat="1" x14ac:dyDescent="0.25"/>
    <row r="22282" s="42" customFormat="1" x14ac:dyDescent="0.25"/>
    <row r="22283" s="42" customFormat="1" x14ac:dyDescent="0.25"/>
    <row r="22284" s="42" customFormat="1" x14ac:dyDescent="0.25"/>
    <row r="22285" s="42" customFormat="1" x14ac:dyDescent="0.25"/>
    <row r="22286" s="42" customFormat="1" x14ac:dyDescent="0.25"/>
    <row r="22287" s="42" customFormat="1" x14ac:dyDescent="0.25"/>
    <row r="22288" s="42" customFormat="1" x14ac:dyDescent="0.25"/>
    <row r="22289" s="42" customFormat="1" x14ac:dyDescent="0.25"/>
    <row r="22290" s="42" customFormat="1" x14ac:dyDescent="0.25"/>
    <row r="22291" s="42" customFormat="1" x14ac:dyDescent="0.25"/>
    <row r="22292" s="42" customFormat="1" x14ac:dyDescent="0.25"/>
    <row r="22293" s="42" customFormat="1" x14ac:dyDescent="0.25"/>
    <row r="22294" s="42" customFormat="1" x14ac:dyDescent="0.25"/>
    <row r="22295" s="42" customFormat="1" x14ac:dyDescent="0.25"/>
    <row r="22296" s="42" customFormat="1" x14ac:dyDescent="0.25"/>
    <row r="22297" s="42" customFormat="1" x14ac:dyDescent="0.25"/>
    <row r="22298" s="42" customFormat="1" x14ac:dyDescent="0.25"/>
    <row r="22299" s="42" customFormat="1" x14ac:dyDescent="0.25"/>
    <row r="22300" s="42" customFormat="1" x14ac:dyDescent="0.25"/>
    <row r="22301" s="42" customFormat="1" x14ac:dyDescent="0.25"/>
    <row r="22302" s="42" customFormat="1" x14ac:dyDescent="0.25"/>
    <row r="22303" s="42" customFormat="1" x14ac:dyDescent="0.25"/>
    <row r="22304" s="42" customFormat="1" x14ac:dyDescent="0.25"/>
    <row r="22305" s="42" customFormat="1" x14ac:dyDescent="0.25"/>
    <row r="22306" s="42" customFormat="1" x14ac:dyDescent="0.25"/>
    <row r="22307" s="42" customFormat="1" x14ac:dyDescent="0.25"/>
    <row r="22308" s="42" customFormat="1" x14ac:dyDescent="0.25"/>
    <row r="22309" s="42" customFormat="1" x14ac:dyDescent="0.25"/>
    <row r="22310" s="42" customFormat="1" x14ac:dyDescent="0.25"/>
    <row r="22311" s="42" customFormat="1" x14ac:dyDescent="0.25"/>
    <row r="22312" s="42" customFormat="1" x14ac:dyDescent="0.25"/>
    <row r="22313" s="42" customFormat="1" x14ac:dyDescent="0.25"/>
    <row r="22314" s="42" customFormat="1" x14ac:dyDescent="0.25"/>
    <row r="22315" s="42" customFormat="1" x14ac:dyDescent="0.25"/>
    <row r="22316" s="42" customFormat="1" x14ac:dyDescent="0.25"/>
    <row r="22317" s="42" customFormat="1" x14ac:dyDescent="0.25"/>
    <row r="22318" s="42" customFormat="1" x14ac:dyDescent="0.25"/>
    <row r="22319" s="42" customFormat="1" x14ac:dyDescent="0.25"/>
    <row r="22320" s="42" customFormat="1" x14ac:dyDescent="0.25"/>
    <row r="22321" s="42" customFormat="1" x14ac:dyDescent="0.25"/>
    <row r="22322" s="42" customFormat="1" x14ac:dyDescent="0.25"/>
    <row r="22323" s="42" customFormat="1" x14ac:dyDescent="0.25"/>
    <row r="22324" s="42" customFormat="1" x14ac:dyDescent="0.25"/>
    <row r="22325" s="42" customFormat="1" x14ac:dyDescent="0.25"/>
    <row r="22326" s="42" customFormat="1" x14ac:dyDescent="0.25"/>
    <row r="22327" s="42" customFormat="1" x14ac:dyDescent="0.25"/>
    <row r="22328" s="42" customFormat="1" x14ac:dyDescent="0.25"/>
    <row r="22329" s="42" customFormat="1" x14ac:dyDescent="0.25"/>
    <row r="22330" s="42" customFormat="1" x14ac:dyDescent="0.25"/>
    <row r="22331" s="42" customFormat="1" x14ac:dyDescent="0.25"/>
    <row r="22332" s="42" customFormat="1" x14ac:dyDescent="0.25"/>
    <row r="22333" s="42" customFormat="1" x14ac:dyDescent="0.25"/>
    <row r="22334" s="42" customFormat="1" x14ac:dyDescent="0.25"/>
    <row r="22335" s="42" customFormat="1" x14ac:dyDescent="0.25"/>
    <row r="22336" s="42" customFormat="1" x14ac:dyDescent="0.25"/>
    <row r="22337" s="42" customFormat="1" x14ac:dyDescent="0.25"/>
    <row r="22338" s="42" customFormat="1" x14ac:dyDescent="0.25"/>
    <row r="22339" s="42" customFormat="1" x14ac:dyDescent="0.25"/>
    <row r="22340" s="42" customFormat="1" x14ac:dyDescent="0.25"/>
    <row r="22341" s="42" customFormat="1" x14ac:dyDescent="0.25"/>
    <row r="22342" s="42" customFormat="1" x14ac:dyDescent="0.25"/>
    <row r="22343" s="42" customFormat="1" x14ac:dyDescent="0.25"/>
    <row r="22344" s="42" customFormat="1" x14ac:dyDescent="0.25"/>
    <row r="22345" s="42" customFormat="1" x14ac:dyDescent="0.25"/>
    <row r="22346" s="42" customFormat="1" x14ac:dyDescent="0.25"/>
    <row r="22347" s="42" customFormat="1" x14ac:dyDescent="0.25"/>
    <row r="22348" s="42" customFormat="1" x14ac:dyDescent="0.25"/>
    <row r="22349" s="42" customFormat="1" x14ac:dyDescent="0.25"/>
    <row r="22350" s="42" customFormat="1" x14ac:dyDescent="0.25"/>
    <row r="22351" s="42" customFormat="1" x14ac:dyDescent="0.25"/>
    <row r="22352" s="42" customFormat="1" x14ac:dyDescent="0.25"/>
    <row r="22353" s="42" customFormat="1" x14ac:dyDescent="0.25"/>
    <row r="22354" s="42" customFormat="1" x14ac:dyDescent="0.25"/>
    <row r="22355" s="42" customFormat="1" x14ac:dyDescent="0.25"/>
    <row r="22356" s="42" customFormat="1" x14ac:dyDescent="0.25"/>
    <row r="22357" s="42" customFormat="1" x14ac:dyDescent="0.25"/>
    <row r="22358" s="42" customFormat="1" x14ac:dyDescent="0.25"/>
    <row r="22359" s="42" customFormat="1" x14ac:dyDescent="0.25"/>
    <row r="22360" s="42" customFormat="1" x14ac:dyDescent="0.25"/>
    <row r="22361" s="42" customFormat="1" x14ac:dyDescent="0.25"/>
    <row r="22362" s="42" customFormat="1" x14ac:dyDescent="0.25"/>
    <row r="22363" s="42" customFormat="1" x14ac:dyDescent="0.25"/>
    <row r="22364" s="42" customFormat="1" x14ac:dyDescent="0.25"/>
    <row r="22365" s="42" customFormat="1" x14ac:dyDescent="0.25"/>
    <row r="22366" s="42" customFormat="1" x14ac:dyDescent="0.25"/>
    <row r="22367" s="42" customFormat="1" x14ac:dyDescent="0.25"/>
    <row r="22368" s="42" customFormat="1" x14ac:dyDescent="0.25"/>
    <row r="22369" s="42" customFormat="1" x14ac:dyDescent="0.25"/>
    <row r="22370" s="42" customFormat="1" x14ac:dyDescent="0.25"/>
    <row r="22371" s="42" customFormat="1" x14ac:dyDescent="0.25"/>
    <row r="22372" s="42" customFormat="1" x14ac:dyDescent="0.25"/>
    <row r="22373" s="42" customFormat="1" x14ac:dyDescent="0.25"/>
    <row r="22374" s="42" customFormat="1" x14ac:dyDescent="0.25"/>
    <row r="22375" s="42" customFormat="1" x14ac:dyDescent="0.25"/>
    <row r="22376" s="42" customFormat="1" x14ac:dyDescent="0.25"/>
    <row r="22377" s="42" customFormat="1" x14ac:dyDescent="0.25"/>
    <row r="22378" s="42" customFormat="1" x14ac:dyDescent="0.25"/>
    <row r="22379" s="42" customFormat="1" x14ac:dyDescent="0.25"/>
    <row r="22380" s="42" customFormat="1" x14ac:dyDescent="0.25"/>
    <row r="22381" s="42" customFormat="1" x14ac:dyDescent="0.25"/>
    <row r="22382" s="42" customFormat="1" x14ac:dyDescent="0.25"/>
    <row r="22383" s="42" customFormat="1" x14ac:dyDescent="0.25"/>
    <row r="22384" s="42" customFormat="1" x14ac:dyDescent="0.25"/>
    <row r="22385" s="42" customFormat="1" x14ac:dyDescent="0.25"/>
    <row r="22386" s="42" customFormat="1" x14ac:dyDescent="0.25"/>
    <row r="22387" s="42" customFormat="1" x14ac:dyDescent="0.25"/>
    <row r="22388" s="42" customFormat="1" x14ac:dyDescent="0.25"/>
    <row r="22389" s="42" customFormat="1" x14ac:dyDescent="0.25"/>
    <row r="22390" s="42" customFormat="1" x14ac:dyDescent="0.25"/>
    <row r="22391" s="42" customFormat="1" x14ac:dyDescent="0.25"/>
    <row r="22392" s="42" customFormat="1" x14ac:dyDescent="0.25"/>
    <row r="22393" s="42" customFormat="1" x14ac:dyDescent="0.25"/>
    <row r="22394" s="42" customFormat="1" x14ac:dyDescent="0.25"/>
    <row r="22395" s="42" customFormat="1" x14ac:dyDescent="0.25"/>
    <row r="22396" s="42" customFormat="1" x14ac:dyDescent="0.25"/>
    <row r="22397" s="42" customFormat="1" x14ac:dyDescent="0.25"/>
    <row r="22398" s="42" customFormat="1" x14ac:dyDescent="0.25"/>
    <row r="22399" s="42" customFormat="1" x14ac:dyDescent="0.25"/>
    <row r="22400" s="42" customFormat="1" x14ac:dyDescent="0.25"/>
    <row r="22401" s="42" customFormat="1" x14ac:dyDescent="0.25"/>
    <row r="22402" s="42" customFormat="1" x14ac:dyDescent="0.25"/>
    <row r="22403" s="42" customFormat="1" x14ac:dyDescent="0.25"/>
    <row r="22404" s="42" customFormat="1" x14ac:dyDescent="0.25"/>
    <row r="22405" s="42" customFormat="1" x14ac:dyDescent="0.25"/>
    <row r="22406" s="42" customFormat="1" x14ac:dyDescent="0.25"/>
    <row r="22407" s="42" customFormat="1" x14ac:dyDescent="0.25"/>
    <row r="22408" s="42" customFormat="1" x14ac:dyDescent="0.25"/>
    <row r="22409" s="42" customFormat="1" x14ac:dyDescent="0.25"/>
    <row r="22410" s="42" customFormat="1" x14ac:dyDescent="0.25"/>
    <row r="22411" s="42" customFormat="1" x14ac:dyDescent="0.25"/>
    <row r="22412" s="42" customFormat="1" x14ac:dyDescent="0.25"/>
    <row r="22413" s="42" customFormat="1" x14ac:dyDescent="0.25"/>
    <row r="22414" s="42" customFormat="1" x14ac:dyDescent="0.25"/>
    <row r="22415" s="42" customFormat="1" x14ac:dyDescent="0.25"/>
    <row r="22416" s="42" customFormat="1" x14ac:dyDescent="0.25"/>
    <row r="22417" s="42" customFormat="1" x14ac:dyDescent="0.25"/>
    <row r="22418" s="42" customFormat="1" x14ac:dyDescent="0.25"/>
    <row r="22419" s="42" customFormat="1" x14ac:dyDescent="0.25"/>
    <row r="22420" s="42" customFormat="1" x14ac:dyDescent="0.25"/>
    <row r="22421" s="42" customFormat="1" x14ac:dyDescent="0.25"/>
    <row r="22422" s="42" customFormat="1" x14ac:dyDescent="0.25"/>
    <row r="22423" s="42" customFormat="1" x14ac:dyDescent="0.25"/>
    <row r="22424" s="42" customFormat="1" x14ac:dyDescent="0.25"/>
    <row r="22425" s="42" customFormat="1" x14ac:dyDescent="0.25"/>
    <row r="22426" s="42" customFormat="1" x14ac:dyDescent="0.25"/>
    <row r="22427" s="42" customFormat="1" x14ac:dyDescent="0.25"/>
    <row r="22428" s="42" customFormat="1" x14ac:dyDescent="0.25"/>
    <row r="22429" s="42" customFormat="1" x14ac:dyDescent="0.25"/>
    <row r="22430" s="42" customFormat="1" x14ac:dyDescent="0.25"/>
    <row r="22431" s="42" customFormat="1" x14ac:dyDescent="0.25"/>
    <row r="22432" s="42" customFormat="1" x14ac:dyDescent="0.25"/>
    <row r="22433" s="42" customFormat="1" x14ac:dyDescent="0.25"/>
    <row r="22434" s="42" customFormat="1" x14ac:dyDescent="0.25"/>
    <row r="22435" s="42" customFormat="1" x14ac:dyDescent="0.25"/>
    <row r="22436" s="42" customFormat="1" x14ac:dyDescent="0.25"/>
    <row r="22437" s="42" customFormat="1" x14ac:dyDescent="0.25"/>
    <row r="22438" s="42" customFormat="1" x14ac:dyDescent="0.25"/>
    <row r="22439" s="42" customFormat="1" x14ac:dyDescent="0.25"/>
    <row r="22440" s="42" customFormat="1" x14ac:dyDescent="0.25"/>
    <row r="22441" s="42" customFormat="1" x14ac:dyDescent="0.25"/>
    <row r="22442" s="42" customFormat="1" x14ac:dyDescent="0.25"/>
    <row r="22443" s="42" customFormat="1" x14ac:dyDescent="0.25"/>
    <row r="22444" s="42" customFormat="1" x14ac:dyDescent="0.25"/>
    <row r="22445" s="42" customFormat="1" x14ac:dyDescent="0.25"/>
    <row r="22446" s="42" customFormat="1" x14ac:dyDescent="0.25"/>
    <row r="22447" s="42" customFormat="1" x14ac:dyDescent="0.25"/>
    <row r="22448" s="42" customFormat="1" x14ac:dyDescent="0.25"/>
    <row r="22449" s="42" customFormat="1" x14ac:dyDescent="0.25"/>
    <row r="22450" s="42" customFormat="1" x14ac:dyDescent="0.25"/>
    <row r="22451" s="42" customFormat="1" x14ac:dyDescent="0.25"/>
    <row r="22452" s="42" customFormat="1" x14ac:dyDescent="0.25"/>
    <row r="22453" s="42" customFormat="1" x14ac:dyDescent="0.25"/>
    <row r="22454" s="42" customFormat="1" x14ac:dyDescent="0.25"/>
    <row r="22455" s="42" customFormat="1" x14ac:dyDescent="0.25"/>
    <row r="22456" s="42" customFormat="1" x14ac:dyDescent="0.25"/>
    <row r="22457" s="42" customFormat="1" x14ac:dyDescent="0.25"/>
    <row r="22458" s="42" customFormat="1" x14ac:dyDescent="0.25"/>
    <row r="22459" s="42" customFormat="1" x14ac:dyDescent="0.25"/>
    <row r="22460" s="42" customFormat="1" x14ac:dyDescent="0.25"/>
    <row r="22461" s="42" customFormat="1" x14ac:dyDescent="0.25"/>
    <row r="22462" s="42" customFormat="1" x14ac:dyDescent="0.25"/>
    <row r="22463" s="42" customFormat="1" x14ac:dyDescent="0.25"/>
    <row r="22464" s="42" customFormat="1" x14ac:dyDescent="0.25"/>
    <row r="22465" s="42" customFormat="1" x14ac:dyDescent="0.25"/>
    <row r="22466" s="42" customFormat="1" x14ac:dyDescent="0.25"/>
    <row r="22467" s="42" customFormat="1" x14ac:dyDescent="0.25"/>
    <row r="22468" s="42" customFormat="1" x14ac:dyDescent="0.25"/>
    <row r="22469" s="42" customFormat="1" x14ac:dyDescent="0.25"/>
    <row r="22470" s="42" customFormat="1" x14ac:dyDescent="0.25"/>
    <row r="22471" s="42" customFormat="1" x14ac:dyDescent="0.25"/>
    <row r="22472" s="42" customFormat="1" x14ac:dyDescent="0.25"/>
    <row r="22473" s="42" customFormat="1" x14ac:dyDescent="0.25"/>
    <row r="22474" s="42" customFormat="1" x14ac:dyDescent="0.25"/>
    <row r="22475" s="42" customFormat="1" x14ac:dyDescent="0.25"/>
    <row r="22476" s="42" customFormat="1" x14ac:dyDescent="0.25"/>
    <row r="22477" s="42" customFormat="1" x14ac:dyDescent="0.25"/>
    <row r="22478" s="42" customFormat="1" x14ac:dyDescent="0.25"/>
    <row r="22479" s="42" customFormat="1" x14ac:dyDescent="0.25"/>
    <row r="22480" s="42" customFormat="1" x14ac:dyDescent="0.25"/>
    <row r="22481" s="42" customFormat="1" x14ac:dyDescent="0.25"/>
    <row r="22482" s="42" customFormat="1" x14ac:dyDescent="0.25"/>
    <row r="22483" s="42" customFormat="1" x14ac:dyDescent="0.25"/>
    <row r="22484" s="42" customFormat="1" x14ac:dyDescent="0.25"/>
    <row r="22485" s="42" customFormat="1" x14ac:dyDescent="0.25"/>
    <row r="22486" s="42" customFormat="1" x14ac:dyDescent="0.25"/>
    <row r="22487" s="42" customFormat="1" x14ac:dyDescent="0.25"/>
    <row r="22488" s="42" customFormat="1" x14ac:dyDescent="0.25"/>
    <row r="22489" s="42" customFormat="1" x14ac:dyDescent="0.25"/>
    <row r="22490" s="42" customFormat="1" x14ac:dyDescent="0.25"/>
    <row r="22491" s="42" customFormat="1" x14ac:dyDescent="0.25"/>
    <row r="22492" s="42" customFormat="1" x14ac:dyDescent="0.25"/>
    <row r="22493" s="42" customFormat="1" x14ac:dyDescent="0.25"/>
    <row r="22494" s="42" customFormat="1" x14ac:dyDescent="0.25"/>
    <row r="22495" s="42" customFormat="1" x14ac:dyDescent="0.25"/>
    <row r="22496" s="42" customFormat="1" x14ac:dyDescent="0.25"/>
    <row r="22497" s="42" customFormat="1" x14ac:dyDescent="0.25"/>
    <row r="22498" s="42" customFormat="1" x14ac:dyDescent="0.25"/>
    <row r="22499" s="42" customFormat="1" x14ac:dyDescent="0.25"/>
    <row r="22500" s="42" customFormat="1" x14ac:dyDescent="0.25"/>
    <row r="22501" s="42" customFormat="1" x14ac:dyDescent="0.25"/>
    <row r="22502" s="42" customFormat="1" x14ac:dyDescent="0.25"/>
    <row r="22503" s="42" customFormat="1" x14ac:dyDescent="0.25"/>
    <row r="22504" s="42" customFormat="1" x14ac:dyDescent="0.25"/>
    <row r="22505" s="42" customFormat="1" x14ac:dyDescent="0.25"/>
    <row r="22506" s="42" customFormat="1" x14ac:dyDescent="0.25"/>
    <row r="22507" s="42" customFormat="1" x14ac:dyDescent="0.25"/>
    <row r="22508" s="42" customFormat="1" x14ac:dyDescent="0.25"/>
    <row r="22509" s="42" customFormat="1" x14ac:dyDescent="0.25"/>
    <row r="22510" s="42" customFormat="1" x14ac:dyDescent="0.25"/>
    <row r="22511" s="42" customFormat="1" x14ac:dyDescent="0.25"/>
    <row r="22512" s="42" customFormat="1" x14ac:dyDescent="0.25"/>
    <row r="22513" s="42" customFormat="1" x14ac:dyDescent="0.25"/>
    <row r="22514" s="42" customFormat="1" x14ac:dyDescent="0.25"/>
    <row r="22515" s="42" customFormat="1" x14ac:dyDescent="0.25"/>
    <row r="22516" s="42" customFormat="1" x14ac:dyDescent="0.25"/>
    <row r="22517" s="42" customFormat="1" x14ac:dyDescent="0.25"/>
    <row r="22518" s="42" customFormat="1" x14ac:dyDescent="0.25"/>
    <row r="22519" s="42" customFormat="1" x14ac:dyDescent="0.25"/>
    <row r="22520" s="42" customFormat="1" x14ac:dyDescent="0.25"/>
    <row r="22521" s="42" customFormat="1" x14ac:dyDescent="0.25"/>
    <row r="22522" s="42" customFormat="1" x14ac:dyDescent="0.25"/>
    <row r="22523" s="42" customFormat="1" x14ac:dyDescent="0.25"/>
    <row r="22524" s="42" customFormat="1" x14ac:dyDescent="0.25"/>
    <row r="22525" s="42" customFormat="1" x14ac:dyDescent="0.25"/>
    <row r="22526" s="42" customFormat="1" x14ac:dyDescent="0.25"/>
    <row r="22527" s="42" customFormat="1" x14ac:dyDescent="0.25"/>
    <row r="22528" s="42" customFormat="1" x14ac:dyDescent="0.25"/>
    <row r="22529" s="42" customFormat="1" x14ac:dyDescent="0.25"/>
    <row r="22530" s="42" customFormat="1" x14ac:dyDescent="0.25"/>
    <row r="22531" s="42" customFormat="1" x14ac:dyDescent="0.25"/>
    <row r="22532" s="42" customFormat="1" x14ac:dyDescent="0.25"/>
    <row r="22533" s="42" customFormat="1" x14ac:dyDescent="0.25"/>
    <row r="22534" s="42" customFormat="1" x14ac:dyDescent="0.25"/>
    <row r="22535" s="42" customFormat="1" x14ac:dyDescent="0.25"/>
    <row r="22536" s="42" customFormat="1" x14ac:dyDescent="0.25"/>
    <row r="22537" s="42" customFormat="1" x14ac:dyDescent="0.25"/>
    <row r="22538" s="42" customFormat="1" x14ac:dyDescent="0.25"/>
    <row r="22539" s="42" customFormat="1" x14ac:dyDescent="0.25"/>
    <row r="22540" s="42" customFormat="1" x14ac:dyDescent="0.25"/>
    <row r="22541" s="42" customFormat="1" x14ac:dyDescent="0.25"/>
    <row r="22542" s="42" customFormat="1" x14ac:dyDescent="0.25"/>
    <row r="22543" s="42" customFormat="1" x14ac:dyDescent="0.25"/>
    <row r="22544" s="42" customFormat="1" x14ac:dyDescent="0.25"/>
    <row r="22545" s="42" customFormat="1" x14ac:dyDescent="0.25"/>
    <row r="22546" s="42" customFormat="1" x14ac:dyDescent="0.25"/>
    <row r="22547" s="42" customFormat="1" x14ac:dyDescent="0.25"/>
    <row r="22548" s="42" customFormat="1" x14ac:dyDescent="0.25"/>
    <row r="22549" s="42" customFormat="1" x14ac:dyDescent="0.25"/>
    <row r="22550" s="42" customFormat="1" x14ac:dyDescent="0.25"/>
    <row r="22551" s="42" customFormat="1" x14ac:dyDescent="0.25"/>
    <row r="22552" s="42" customFormat="1" x14ac:dyDescent="0.25"/>
    <row r="22553" s="42" customFormat="1" x14ac:dyDescent="0.25"/>
    <row r="22554" s="42" customFormat="1" x14ac:dyDescent="0.25"/>
    <row r="22555" s="42" customFormat="1" x14ac:dyDescent="0.25"/>
    <row r="22556" s="42" customFormat="1" x14ac:dyDescent="0.25"/>
    <row r="22557" s="42" customFormat="1" x14ac:dyDescent="0.25"/>
    <row r="22558" s="42" customFormat="1" x14ac:dyDescent="0.25"/>
    <row r="22559" s="42" customFormat="1" x14ac:dyDescent="0.25"/>
    <row r="22560" s="42" customFormat="1" x14ac:dyDescent="0.25"/>
    <row r="22561" s="42" customFormat="1" x14ac:dyDescent="0.25"/>
    <row r="22562" s="42" customFormat="1" x14ac:dyDescent="0.25"/>
    <row r="22563" s="42" customFormat="1" x14ac:dyDescent="0.25"/>
    <row r="22564" s="42" customFormat="1" x14ac:dyDescent="0.25"/>
    <row r="22565" s="42" customFormat="1" x14ac:dyDescent="0.25"/>
    <row r="22566" s="42" customFormat="1" x14ac:dyDescent="0.25"/>
    <row r="22567" s="42" customFormat="1" x14ac:dyDescent="0.25"/>
    <row r="22568" s="42" customFormat="1" x14ac:dyDescent="0.25"/>
    <row r="22569" s="42" customFormat="1" x14ac:dyDescent="0.25"/>
    <row r="22570" s="42" customFormat="1" x14ac:dyDescent="0.25"/>
    <row r="22571" s="42" customFormat="1" x14ac:dyDescent="0.25"/>
    <row r="22572" s="42" customFormat="1" x14ac:dyDescent="0.25"/>
    <row r="22573" s="42" customFormat="1" x14ac:dyDescent="0.25"/>
    <row r="22574" s="42" customFormat="1" x14ac:dyDescent="0.25"/>
    <row r="22575" s="42" customFormat="1" x14ac:dyDescent="0.25"/>
    <row r="22576" s="42" customFormat="1" x14ac:dyDescent="0.25"/>
    <row r="22577" s="42" customFormat="1" x14ac:dyDescent="0.25"/>
    <row r="22578" s="42" customFormat="1" x14ac:dyDescent="0.25"/>
    <row r="22579" s="42" customFormat="1" x14ac:dyDescent="0.25"/>
    <row r="22580" s="42" customFormat="1" x14ac:dyDescent="0.25"/>
    <row r="22581" s="42" customFormat="1" x14ac:dyDescent="0.25"/>
    <row r="22582" s="42" customFormat="1" x14ac:dyDescent="0.25"/>
    <row r="22583" s="42" customFormat="1" x14ac:dyDescent="0.25"/>
    <row r="22584" s="42" customFormat="1" x14ac:dyDescent="0.25"/>
    <row r="22585" s="42" customFormat="1" x14ac:dyDescent="0.25"/>
    <row r="22586" s="42" customFormat="1" x14ac:dyDescent="0.25"/>
    <row r="22587" s="42" customFormat="1" x14ac:dyDescent="0.25"/>
    <row r="22588" s="42" customFormat="1" x14ac:dyDescent="0.25"/>
    <row r="22589" s="42" customFormat="1" x14ac:dyDescent="0.25"/>
    <row r="22590" s="42" customFormat="1" x14ac:dyDescent="0.25"/>
    <row r="22591" s="42" customFormat="1" x14ac:dyDescent="0.25"/>
    <row r="22592" s="42" customFormat="1" x14ac:dyDescent="0.25"/>
    <row r="22593" s="42" customFormat="1" x14ac:dyDescent="0.25"/>
    <row r="22594" s="42" customFormat="1" x14ac:dyDescent="0.25"/>
    <row r="22595" s="42" customFormat="1" x14ac:dyDescent="0.25"/>
    <row r="22596" s="42" customFormat="1" x14ac:dyDescent="0.25"/>
    <row r="22597" s="42" customFormat="1" x14ac:dyDescent="0.25"/>
    <row r="22598" s="42" customFormat="1" x14ac:dyDescent="0.25"/>
    <row r="22599" s="42" customFormat="1" x14ac:dyDescent="0.25"/>
    <row r="22600" s="42" customFormat="1" x14ac:dyDescent="0.25"/>
    <row r="22601" s="42" customFormat="1" x14ac:dyDescent="0.25"/>
    <row r="22602" s="42" customFormat="1" x14ac:dyDescent="0.25"/>
    <row r="22603" s="42" customFormat="1" x14ac:dyDescent="0.25"/>
    <row r="22604" s="42" customFormat="1" x14ac:dyDescent="0.25"/>
    <row r="22605" s="42" customFormat="1" x14ac:dyDescent="0.25"/>
    <row r="22606" s="42" customFormat="1" x14ac:dyDescent="0.25"/>
    <row r="22607" s="42" customFormat="1" x14ac:dyDescent="0.25"/>
    <row r="22608" s="42" customFormat="1" x14ac:dyDescent="0.25"/>
    <row r="22609" s="42" customFormat="1" x14ac:dyDescent="0.25"/>
    <row r="22610" s="42" customFormat="1" x14ac:dyDescent="0.25"/>
    <row r="22611" s="42" customFormat="1" x14ac:dyDescent="0.25"/>
    <row r="22612" s="42" customFormat="1" x14ac:dyDescent="0.25"/>
    <row r="22613" s="42" customFormat="1" x14ac:dyDescent="0.25"/>
    <row r="22614" s="42" customFormat="1" x14ac:dyDescent="0.25"/>
    <row r="22615" s="42" customFormat="1" x14ac:dyDescent="0.25"/>
    <row r="22616" s="42" customFormat="1" x14ac:dyDescent="0.25"/>
    <row r="22617" s="42" customFormat="1" x14ac:dyDescent="0.25"/>
    <row r="22618" s="42" customFormat="1" x14ac:dyDescent="0.25"/>
    <row r="22619" s="42" customFormat="1" x14ac:dyDescent="0.25"/>
    <row r="22620" s="42" customFormat="1" x14ac:dyDescent="0.25"/>
    <row r="22621" s="42" customFormat="1" x14ac:dyDescent="0.25"/>
    <row r="22622" s="42" customFormat="1" x14ac:dyDescent="0.25"/>
    <row r="22623" s="42" customFormat="1" x14ac:dyDescent="0.25"/>
    <row r="22624" s="42" customFormat="1" x14ac:dyDescent="0.25"/>
    <row r="22625" s="42" customFormat="1" x14ac:dyDescent="0.25"/>
    <row r="22626" s="42" customFormat="1" x14ac:dyDescent="0.25"/>
    <row r="22627" s="42" customFormat="1" x14ac:dyDescent="0.25"/>
    <row r="22628" s="42" customFormat="1" x14ac:dyDescent="0.25"/>
    <row r="22629" s="42" customFormat="1" x14ac:dyDescent="0.25"/>
    <row r="22630" s="42" customFormat="1" x14ac:dyDescent="0.25"/>
    <row r="22631" s="42" customFormat="1" x14ac:dyDescent="0.25"/>
    <row r="22632" s="42" customFormat="1" x14ac:dyDescent="0.25"/>
    <row r="22633" s="42" customFormat="1" x14ac:dyDescent="0.25"/>
    <row r="22634" s="42" customFormat="1" x14ac:dyDescent="0.25"/>
    <row r="22635" s="42" customFormat="1" x14ac:dyDescent="0.25"/>
    <row r="22636" s="42" customFormat="1" x14ac:dyDescent="0.25"/>
    <row r="22637" s="42" customFormat="1" x14ac:dyDescent="0.25"/>
    <row r="22638" s="42" customFormat="1" x14ac:dyDescent="0.25"/>
    <row r="22639" s="42" customFormat="1" x14ac:dyDescent="0.25"/>
    <row r="22640" s="42" customFormat="1" x14ac:dyDescent="0.25"/>
    <row r="22641" s="42" customFormat="1" x14ac:dyDescent="0.25"/>
    <row r="22642" s="42" customFormat="1" x14ac:dyDescent="0.25"/>
    <row r="22643" s="42" customFormat="1" x14ac:dyDescent="0.25"/>
    <row r="22644" s="42" customFormat="1" x14ac:dyDescent="0.25"/>
    <row r="22645" s="42" customFormat="1" x14ac:dyDescent="0.25"/>
    <row r="22646" s="42" customFormat="1" x14ac:dyDescent="0.25"/>
    <row r="22647" s="42" customFormat="1" x14ac:dyDescent="0.25"/>
    <row r="22648" s="42" customFormat="1" x14ac:dyDescent="0.25"/>
    <row r="22649" s="42" customFormat="1" x14ac:dyDescent="0.25"/>
    <row r="22650" s="42" customFormat="1" x14ac:dyDescent="0.25"/>
    <row r="22651" s="42" customFormat="1" x14ac:dyDescent="0.25"/>
    <row r="22652" s="42" customFormat="1" x14ac:dyDescent="0.25"/>
    <row r="22653" s="42" customFormat="1" x14ac:dyDescent="0.25"/>
    <row r="22654" s="42" customFormat="1" x14ac:dyDescent="0.25"/>
    <row r="22655" s="42" customFormat="1" x14ac:dyDescent="0.25"/>
    <row r="22656" s="42" customFormat="1" x14ac:dyDescent="0.25"/>
    <row r="22657" s="42" customFormat="1" x14ac:dyDescent="0.25"/>
    <row r="22658" s="42" customFormat="1" x14ac:dyDescent="0.25"/>
    <row r="22659" s="42" customFormat="1" x14ac:dyDescent="0.25"/>
    <row r="22660" s="42" customFormat="1" x14ac:dyDescent="0.25"/>
    <row r="22661" s="42" customFormat="1" x14ac:dyDescent="0.25"/>
    <row r="22662" s="42" customFormat="1" x14ac:dyDescent="0.25"/>
    <row r="22663" s="42" customFormat="1" x14ac:dyDescent="0.25"/>
    <row r="22664" s="42" customFormat="1" x14ac:dyDescent="0.25"/>
    <row r="22665" s="42" customFormat="1" x14ac:dyDescent="0.25"/>
    <row r="22666" s="42" customFormat="1" x14ac:dyDescent="0.25"/>
    <row r="22667" s="42" customFormat="1" x14ac:dyDescent="0.25"/>
    <row r="22668" s="42" customFormat="1" x14ac:dyDescent="0.25"/>
    <row r="22669" s="42" customFormat="1" x14ac:dyDescent="0.25"/>
    <row r="22670" s="42" customFormat="1" x14ac:dyDescent="0.25"/>
    <row r="22671" s="42" customFormat="1" x14ac:dyDescent="0.25"/>
    <row r="22672" s="42" customFormat="1" x14ac:dyDescent="0.25"/>
    <row r="22673" s="42" customFormat="1" x14ac:dyDescent="0.25"/>
    <row r="22674" s="42" customFormat="1" x14ac:dyDescent="0.25"/>
    <row r="22675" s="42" customFormat="1" x14ac:dyDescent="0.25"/>
    <row r="22676" s="42" customFormat="1" x14ac:dyDescent="0.25"/>
    <row r="22677" s="42" customFormat="1" x14ac:dyDescent="0.25"/>
    <row r="22678" s="42" customFormat="1" x14ac:dyDescent="0.25"/>
    <row r="22679" s="42" customFormat="1" x14ac:dyDescent="0.25"/>
    <row r="22680" s="42" customFormat="1" x14ac:dyDescent="0.25"/>
    <row r="22681" s="42" customFormat="1" x14ac:dyDescent="0.25"/>
    <row r="22682" s="42" customFormat="1" x14ac:dyDescent="0.25"/>
    <row r="22683" s="42" customFormat="1" x14ac:dyDescent="0.25"/>
    <row r="22684" s="42" customFormat="1" x14ac:dyDescent="0.25"/>
    <row r="22685" s="42" customFormat="1" x14ac:dyDescent="0.25"/>
    <row r="22686" s="42" customFormat="1" x14ac:dyDescent="0.25"/>
    <row r="22687" s="42" customFormat="1" x14ac:dyDescent="0.25"/>
    <row r="22688" s="42" customFormat="1" x14ac:dyDescent="0.25"/>
    <row r="22689" s="42" customFormat="1" x14ac:dyDescent="0.25"/>
    <row r="22690" s="42" customFormat="1" x14ac:dyDescent="0.25"/>
    <row r="22691" s="42" customFormat="1" x14ac:dyDescent="0.25"/>
    <row r="22692" s="42" customFormat="1" x14ac:dyDescent="0.25"/>
    <row r="22693" s="42" customFormat="1" x14ac:dyDescent="0.25"/>
    <row r="22694" s="42" customFormat="1" x14ac:dyDescent="0.25"/>
    <row r="22695" s="42" customFormat="1" x14ac:dyDescent="0.25"/>
    <row r="22696" s="42" customFormat="1" x14ac:dyDescent="0.25"/>
    <row r="22697" s="42" customFormat="1" x14ac:dyDescent="0.25"/>
    <row r="22698" s="42" customFormat="1" x14ac:dyDescent="0.25"/>
    <row r="22699" s="42" customFormat="1" x14ac:dyDescent="0.25"/>
    <row r="22700" s="42" customFormat="1" x14ac:dyDescent="0.25"/>
    <row r="22701" s="42" customFormat="1" x14ac:dyDescent="0.25"/>
    <row r="22702" s="42" customFormat="1" x14ac:dyDescent="0.25"/>
    <row r="22703" s="42" customFormat="1" x14ac:dyDescent="0.25"/>
    <row r="22704" s="42" customFormat="1" x14ac:dyDescent="0.25"/>
    <row r="22705" s="42" customFormat="1" x14ac:dyDescent="0.25"/>
    <row r="22706" s="42" customFormat="1" x14ac:dyDescent="0.25"/>
    <row r="22707" s="42" customFormat="1" x14ac:dyDescent="0.25"/>
    <row r="22708" s="42" customFormat="1" x14ac:dyDescent="0.25"/>
    <row r="22709" s="42" customFormat="1" x14ac:dyDescent="0.25"/>
    <row r="22710" s="42" customFormat="1" x14ac:dyDescent="0.25"/>
    <row r="22711" s="42" customFormat="1" x14ac:dyDescent="0.25"/>
    <row r="22712" s="42" customFormat="1" x14ac:dyDescent="0.25"/>
    <row r="22713" s="42" customFormat="1" x14ac:dyDescent="0.25"/>
    <row r="22714" s="42" customFormat="1" x14ac:dyDescent="0.25"/>
    <row r="22715" s="42" customFormat="1" x14ac:dyDescent="0.25"/>
    <row r="22716" s="42" customFormat="1" x14ac:dyDescent="0.25"/>
    <row r="22717" s="42" customFormat="1" x14ac:dyDescent="0.25"/>
    <row r="22718" s="42" customFormat="1" x14ac:dyDescent="0.25"/>
    <row r="22719" s="42" customFormat="1" x14ac:dyDescent="0.25"/>
    <row r="22720" s="42" customFormat="1" x14ac:dyDescent="0.25"/>
    <row r="22721" s="42" customFormat="1" x14ac:dyDescent="0.25"/>
    <row r="22722" s="42" customFormat="1" x14ac:dyDescent="0.25"/>
    <row r="22723" s="42" customFormat="1" x14ac:dyDescent="0.25"/>
    <row r="22724" s="42" customFormat="1" x14ac:dyDescent="0.25"/>
    <row r="22725" s="42" customFormat="1" x14ac:dyDescent="0.25"/>
    <row r="22726" s="42" customFormat="1" x14ac:dyDescent="0.25"/>
    <row r="22727" s="42" customFormat="1" x14ac:dyDescent="0.25"/>
    <row r="22728" s="42" customFormat="1" x14ac:dyDescent="0.25"/>
    <row r="22729" s="42" customFormat="1" x14ac:dyDescent="0.25"/>
    <row r="22730" s="42" customFormat="1" x14ac:dyDescent="0.25"/>
    <row r="22731" s="42" customFormat="1" x14ac:dyDescent="0.25"/>
    <row r="22732" s="42" customFormat="1" x14ac:dyDescent="0.25"/>
    <row r="22733" s="42" customFormat="1" x14ac:dyDescent="0.25"/>
    <row r="22734" s="42" customFormat="1" x14ac:dyDescent="0.25"/>
    <row r="22735" s="42" customFormat="1" x14ac:dyDescent="0.25"/>
    <row r="22736" s="42" customFormat="1" x14ac:dyDescent="0.25"/>
    <row r="22737" s="42" customFormat="1" x14ac:dyDescent="0.25"/>
    <row r="22738" s="42" customFormat="1" x14ac:dyDescent="0.25"/>
    <row r="22739" s="42" customFormat="1" x14ac:dyDescent="0.25"/>
    <row r="22740" s="42" customFormat="1" x14ac:dyDescent="0.25"/>
    <row r="22741" s="42" customFormat="1" x14ac:dyDescent="0.25"/>
    <row r="22742" s="42" customFormat="1" x14ac:dyDescent="0.25"/>
    <row r="22743" s="42" customFormat="1" x14ac:dyDescent="0.25"/>
    <row r="22744" s="42" customFormat="1" x14ac:dyDescent="0.25"/>
    <row r="22745" s="42" customFormat="1" x14ac:dyDescent="0.25"/>
    <row r="22746" s="42" customFormat="1" x14ac:dyDescent="0.25"/>
    <row r="22747" s="42" customFormat="1" x14ac:dyDescent="0.25"/>
    <row r="22748" s="42" customFormat="1" x14ac:dyDescent="0.25"/>
    <row r="22749" s="42" customFormat="1" x14ac:dyDescent="0.25"/>
    <row r="22750" s="42" customFormat="1" x14ac:dyDescent="0.25"/>
    <row r="22751" s="42" customFormat="1" x14ac:dyDescent="0.25"/>
    <row r="22752" s="42" customFormat="1" x14ac:dyDescent="0.25"/>
    <row r="22753" s="42" customFormat="1" x14ac:dyDescent="0.25"/>
    <row r="22754" s="42" customFormat="1" x14ac:dyDescent="0.25"/>
    <row r="22755" s="42" customFormat="1" x14ac:dyDescent="0.25"/>
    <row r="22756" s="42" customFormat="1" x14ac:dyDescent="0.25"/>
    <row r="22757" s="42" customFormat="1" x14ac:dyDescent="0.25"/>
    <row r="22758" s="42" customFormat="1" x14ac:dyDescent="0.25"/>
    <row r="22759" s="42" customFormat="1" x14ac:dyDescent="0.25"/>
    <row r="22760" s="42" customFormat="1" x14ac:dyDescent="0.25"/>
    <row r="22761" s="42" customFormat="1" x14ac:dyDescent="0.25"/>
    <row r="22762" s="42" customFormat="1" x14ac:dyDescent="0.25"/>
    <row r="22763" s="42" customFormat="1" x14ac:dyDescent="0.25"/>
    <row r="22764" s="42" customFormat="1" x14ac:dyDescent="0.25"/>
    <row r="22765" s="42" customFormat="1" x14ac:dyDescent="0.25"/>
    <row r="22766" s="42" customFormat="1" x14ac:dyDescent="0.25"/>
    <row r="22767" s="42" customFormat="1" x14ac:dyDescent="0.25"/>
    <row r="22768" s="42" customFormat="1" x14ac:dyDescent="0.25"/>
    <row r="22769" s="42" customFormat="1" x14ac:dyDescent="0.25"/>
    <row r="22770" s="42" customFormat="1" x14ac:dyDescent="0.25"/>
    <row r="22771" s="42" customFormat="1" x14ac:dyDescent="0.25"/>
    <row r="22772" s="42" customFormat="1" x14ac:dyDescent="0.25"/>
    <row r="22773" s="42" customFormat="1" x14ac:dyDescent="0.25"/>
    <row r="22774" s="42" customFormat="1" x14ac:dyDescent="0.25"/>
    <row r="22775" s="42" customFormat="1" x14ac:dyDescent="0.25"/>
    <row r="22776" s="42" customFormat="1" x14ac:dyDescent="0.25"/>
    <row r="22777" s="42" customFormat="1" x14ac:dyDescent="0.25"/>
    <row r="22778" s="42" customFormat="1" x14ac:dyDescent="0.25"/>
    <row r="22779" s="42" customFormat="1" x14ac:dyDescent="0.25"/>
    <row r="22780" s="42" customFormat="1" x14ac:dyDescent="0.25"/>
    <row r="22781" s="42" customFormat="1" x14ac:dyDescent="0.25"/>
    <row r="22782" s="42" customFormat="1" x14ac:dyDescent="0.25"/>
    <row r="22783" s="42" customFormat="1" x14ac:dyDescent="0.25"/>
    <row r="22784" s="42" customFormat="1" x14ac:dyDescent="0.25"/>
    <row r="22785" s="42" customFormat="1" x14ac:dyDescent="0.25"/>
    <row r="22786" s="42" customFormat="1" x14ac:dyDescent="0.25"/>
    <row r="22787" s="42" customFormat="1" x14ac:dyDescent="0.25"/>
    <row r="22788" s="42" customFormat="1" x14ac:dyDescent="0.25"/>
    <row r="22789" s="42" customFormat="1" x14ac:dyDescent="0.25"/>
    <row r="22790" s="42" customFormat="1" x14ac:dyDescent="0.25"/>
    <row r="22791" s="42" customFormat="1" x14ac:dyDescent="0.25"/>
    <row r="22792" s="42" customFormat="1" x14ac:dyDescent="0.25"/>
    <row r="22793" s="42" customFormat="1" x14ac:dyDescent="0.25"/>
    <row r="22794" s="42" customFormat="1" x14ac:dyDescent="0.25"/>
    <row r="22795" s="42" customFormat="1" x14ac:dyDescent="0.25"/>
    <row r="22796" s="42" customFormat="1" x14ac:dyDescent="0.25"/>
    <row r="22797" s="42" customFormat="1" x14ac:dyDescent="0.25"/>
    <row r="22798" s="42" customFormat="1" x14ac:dyDescent="0.25"/>
    <row r="22799" s="42" customFormat="1" x14ac:dyDescent="0.25"/>
    <row r="22800" s="42" customFormat="1" x14ac:dyDescent="0.25"/>
    <row r="22801" s="42" customFormat="1" x14ac:dyDescent="0.25"/>
    <row r="22802" s="42" customFormat="1" x14ac:dyDescent="0.25"/>
    <row r="22803" s="42" customFormat="1" x14ac:dyDescent="0.25"/>
    <row r="22804" s="42" customFormat="1" x14ac:dyDescent="0.25"/>
    <row r="22805" s="42" customFormat="1" x14ac:dyDescent="0.25"/>
    <row r="22806" s="42" customFormat="1" x14ac:dyDescent="0.25"/>
    <row r="22807" s="42" customFormat="1" x14ac:dyDescent="0.25"/>
    <row r="22808" s="42" customFormat="1" x14ac:dyDescent="0.25"/>
    <row r="22809" s="42" customFormat="1" x14ac:dyDescent="0.25"/>
    <row r="22810" s="42" customFormat="1" x14ac:dyDescent="0.25"/>
    <row r="22811" s="42" customFormat="1" x14ac:dyDescent="0.25"/>
    <row r="22812" s="42" customFormat="1" x14ac:dyDescent="0.25"/>
    <row r="22813" s="42" customFormat="1" x14ac:dyDescent="0.25"/>
    <row r="22814" s="42" customFormat="1" x14ac:dyDescent="0.25"/>
    <row r="22815" s="42" customFormat="1" x14ac:dyDescent="0.25"/>
    <row r="22816" s="42" customFormat="1" x14ac:dyDescent="0.25"/>
    <row r="22817" s="42" customFormat="1" x14ac:dyDescent="0.25"/>
    <row r="22818" s="42" customFormat="1" x14ac:dyDescent="0.25"/>
    <row r="22819" s="42" customFormat="1" x14ac:dyDescent="0.25"/>
    <row r="22820" s="42" customFormat="1" x14ac:dyDescent="0.25"/>
    <row r="22821" s="42" customFormat="1" x14ac:dyDescent="0.25"/>
    <row r="22822" s="42" customFormat="1" x14ac:dyDescent="0.25"/>
    <row r="22823" s="42" customFormat="1" x14ac:dyDescent="0.25"/>
    <row r="22824" s="42" customFormat="1" x14ac:dyDescent="0.25"/>
    <row r="22825" s="42" customFormat="1" x14ac:dyDescent="0.25"/>
    <row r="22826" s="42" customFormat="1" x14ac:dyDescent="0.25"/>
    <row r="22827" s="42" customFormat="1" x14ac:dyDescent="0.25"/>
    <row r="22828" s="42" customFormat="1" x14ac:dyDescent="0.25"/>
    <row r="22829" s="42" customFormat="1" x14ac:dyDescent="0.25"/>
    <row r="22830" s="42" customFormat="1" x14ac:dyDescent="0.25"/>
    <row r="22831" s="42" customFormat="1" x14ac:dyDescent="0.25"/>
    <row r="22832" s="42" customFormat="1" x14ac:dyDescent="0.25"/>
    <row r="22833" s="42" customFormat="1" x14ac:dyDescent="0.25"/>
    <row r="22834" s="42" customFormat="1" x14ac:dyDescent="0.25"/>
    <row r="22835" s="42" customFormat="1" x14ac:dyDescent="0.25"/>
    <row r="22836" s="42" customFormat="1" x14ac:dyDescent="0.25"/>
    <row r="22837" s="42" customFormat="1" x14ac:dyDescent="0.25"/>
    <row r="22838" s="42" customFormat="1" x14ac:dyDescent="0.25"/>
    <row r="22839" s="42" customFormat="1" x14ac:dyDescent="0.25"/>
    <row r="22840" s="42" customFormat="1" x14ac:dyDescent="0.25"/>
    <row r="22841" s="42" customFormat="1" x14ac:dyDescent="0.25"/>
    <row r="22842" s="42" customFormat="1" x14ac:dyDescent="0.25"/>
    <row r="22843" s="42" customFormat="1" x14ac:dyDescent="0.25"/>
    <row r="22844" s="42" customFormat="1" x14ac:dyDescent="0.25"/>
    <row r="22845" s="42" customFormat="1" x14ac:dyDescent="0.25"/>
    <row r="22846" s="42" customFormat="1" x14ac:dyDescent="0.25"/>
    <row r="22847" s="42" customFormat="1" x14ac:dyDescent="0.25"/>
    <row r="22848" s="42" customFormat="1" x14ac:dyDescent="0.25"/>
    <row r="22849" s="42" customFormat="1" x14ac:dyDescent="0.25"/>
    <row r="22850" s="42" customFormat="1" x14ac:dyDescent="0.25"/>
    <row r="22851" s="42" customFormat="1" x14ac:dyDescent="0.25"/>
    <row r="22852" s="42" customFormat="1" x14ac:dyDescent="0.25"/>
    <row r="22853" s="42" customFormat="1" x14ac:dyDescent="0.25"/>
    <row r="22854" s="42" customFormat="1" x14ac:dyDescent="0.25"/>
    <row r="22855" s="42" customFormat="1" x14ac:dyDescent="0.25"/>
    <row r="22856" s="42" customFormat="1" x14ac:dyDescent="0.25"/>
    <row r="22857" s="42" customFormat="1" x14ac:dyDescent="0.25"/>
    <row r="22858" s="42" customFormat="1" x14ac:dyDescent="0.25"/>
    <row r="22859" s="42" customFormat="1" x14ac:dyDescent="0.25"/>
    <row r="22860" s="42" customFormat="1" x14ac:dyDescent="0.25"/>
    <row r="22861" s="42" customFormat="1" x14ac:dyDescent="0.25"/>
    <row r="22862" s="42" customFormat="1" x14ac:dyDescent="0.25"/>
    <row r="22863" s="42" customFormat="1" x14ac:dyDescent="0.25"/>
    <row r="22864" s="42" customFormat="1" x14ac:dyDescent="0.25"/>
    <row r="22865" s="42" customFormat="1" x14ac:dyDescent="0.25"/>
    <row r="22866" s="42" customFormat="1" x14ac:dyDescent="0.25"/>
    <row r="22867" s="42" customFormat="1" x14ac:dyDescent="0.25"/>
    <row r="22868" s="42" customFormat="1" x14ac:dyDescent="0.25"/>
    <row r="22869" s="42" customFormat="1" x14ac:dyDescent="0.25"/>
    <row r="22870" s="42" customFormat="1" x14ac:dyDescent="0.25"/>
    <row r="22871" s="42" customFormat="1" x14ac:dyDescent="0.25"/>
    <row r="22872" s="42" customFormat="1" x14ac:dyDescent="0.25"/>
    <row r="22873" s="42" customFormat="1" x14ac:dyDescent="0.25"/>
    <row r="22874" s="42" customFormat="1" x14ac:dyDescent="0.25"/>
    <row r="22875" s="42" customFormat="1" x14ac:dyDescent="0.25"/>
    <row r="22876" s="42" customFormat="1" x14ac:dyDescent="0.25"/>
    <row r="22877" s="42" customFormat="1" x14ac:dyDescent="0.25"/>
    <row r="22878" s="42" customFormat="1" x14ac:dyDescent="0.25"/>
    <row r="22879" s="42" customFormat="1" x14ac:dyDescent="0.25"/>
    <row r="22880" s="42" customFormat="1" x14ac:dyDescent="0.25"/>
    <row r="22881" s="42" customFormat="1" x14ac:dyDescent="0.25"/>
    <row r="22882" s="42" customFormat="1" x14ac:dyDescent="0.25"/>
    <row r="22883" s="42" customFormat="1" x14ac:dyDescent="0.25"/>
    <row r="22884" s="42" customFormat="1" x14ac:dyDescent="0.25"/>
    <row r="22885" s="42" customFormat="1" x14ac:dyDescent="0.25"/>
    <row r="22886" s="42" customFormat="1" x14ac:dyDescent="0.25"/>
    <row r="22887" s="42" customFormat="1" x14ac:dyDescent="0.25"/>
    <row r="22888" s="42" customFormat="1" x14ac:dyDescent="0.25"/>
    <row r="22889" s="42" customFormat="1" x14ac:dyDescent="0.25"/>
    <row r="22890" s="42" customFormat="1" x14ac:dyDescent="0.25"/>
    <row r="22891" s="42" customFormat="1" x14ac:dyDescent="0.25"/>
    <row r="22892" s="42" customFormat="1" x14ac:dyDescent="0.25"/>
    <row r="22893" s="42" customFormat="1" x14ac:dyDescent="0.25"/>
    <row r="22894" s="42" customFormat="1" x14ac:dyDescent="0.25"/>
    <row r="22895" s="42" customFormat="1" x14ac:dyDescent="0.25"/>
    <row r="22896" s="42" customFormat="1" x14ac:dyDescent="0.25"/>
    <row r="22897" s="42" customFormat="1" x14ac:dyDescent="0.25"/>
    <row r="22898" s="42" customFormat="1" x14ac:dyDescent="0.25"/>
    <row r="22899" s="42" customFormat="1" x14ac:dyDescent="0.25"/>
    <row r="22900" s="42" customFormat="1" x14ac:dyDescent="0.25"/>
    <row r="22901" s="42" customFormat="1" x14ac:dyDescent="0.25"/>
    <row r="22902" s="42" customFormat="1" x14ac:dyDescent="0.25"/>
    <row r="22903" s="42" customFormat="1" x14ac:dyDescent="0.25"/>
    <row r="22904" s="42" customFormat="1" x14ac:dyDescent="0.25"/>
    <row r="22905" s="42" customFormat="1" x14ac:dyDescent="0.25"/>
    <row r="22906" s="42" customFormat="1" x14ac:dyDescent="0.25"/>
    <row r="22907" s="42" customFormat="1" x14ac:dyDescent="0.25"/>
    <row r="22908" s="42" customFormat="1" x14ac:dyDescent="0.25"/>
    <row r="22909" s="42" customFormat="1" x14ac:dyDescent="0.25"/>
    <row r="22910" s="42" customFormat="1" x14ac:dyDescent="0.25"/>
    <row r="22911" s="42" customFormat="1" x14ac:dyDescent="0.25"/>
    <row r="22912" s="42" customFormat="1" x14ac:dyDescent="0.25"/>
    <row r="22913" s="42" customFormat="1" x14ac:dyDescent="0.25"/>
    <row r="22914" s="42" customFormat="1" x14ac:dyDescent="0.25"/>
    <row r="22915" s="42" customFormat="1" x14ac:dyDescent="0.25"/>
    <row r="22916" s="42" customFormat="1" x14ac:dyDescent="0.25"/>
    <row r="22917" s="42" customFormat="1" x14ac:dyDescent="0.25"/>
    <row r="22918" s="42" customFormat="1" x14ac:dyDescent="0.25"/>
    <row r="22919" s="42" customFormat="1" x14ac:dyDescent="0.25"/>
    <row r="22920" s="42" customFormat="1" x14ac:dyDescent="0.25"/>
    <row r="22921" s="42" customFormat="1" x14ac:dyDescent="0.25"/>
    <row r="22922" s="42" customFormat="1" x14ac:dyDescent="0.25"/>
    <row r="22923" s="42" customFormat="1" x14ac:dyDescent="0.25"/>
    <row r="22924" s="42" customFormat="1" x14ac:dyDescent="0.25"/>
    <row r="22925" s="42" customFormat="1" x14ac:dyDescent="0.25"/>
    <row r="22926" s="42" customFormat="1" x14ac:dyDescent="0.25"/>
    <row r="22927" s="42" customFormat="1" x14ac:dyDescent="0.25"/>
    <row r="22928" s="42" customFormat="1" x14ac:dyDescent="0.25"/>
    <row r="22929" s="42" customFormat="1" x14ac:dyDescent="0.25"/>
    <row r="22930" s="42" customFormat="1" x14ac:dyDescent="0.25"/>
    <row r="22931" s="42" customFormat="1" x14ac:dyDescent="0.25"/>
    <row r="22932" s="42" customFormat="1" x14ac:dyDescent="0.25"/>
    <row r="22933" s="42" customFormat="1" x14ac:dyDescent="0.25"/>
    <row r="22934" s="42" customFormat="1" x14ac:dyDescent="0.25"/>
    <row r="22935" s="42" customFormat="1" x14ac:dyDescent="0.25"/>
    <row r="22936" s="42" customFormat="1" x14ac:dyDescent="0.25"/>
    <row r="22937" s="42" customFormat="1" x14ac:dyDescent="0.25"/>
    <row r="22938" s="42" customFormat="1" x14ac:dyDescent="0.25"/>
    <row r="22939" s="42" customFormat="1" x14ac:dyDescent="0.25"/>
    <row r="22940" s="42" customFormat="1" x14ac:dyDescent="0.25"/>
    <row r="22941" s="42" customFormat="1" x14ac:dyDescent="0.25"/>
    <row r="22942" s="42" customFormat="1" x14ac:dyDescent="0.25"/>
    <row r="22943" s="42" customFormat="1" x14ac:dyDescent="0.25"/>
    <row r="22944" s="42" customFormat="1" x14ac:dyDescent="0.25"/>
    <row r="22945" s="42" customFormat="1" x14ac:dyDescent="0.25"/>
    <row r="22946" s="42" customFormat="1" x14ac:dyDescent="0.25"/>
    <row r="22947" s="42" customFormat="1" x14ac:dyDescent="0.25"/>
    <row r="22948" s="42" customFormat="1" x14ac:dyDescent="0.25"/>
    <row r="22949" s="42" customFormat="1" x14ac:dyDescent="0.25"/>
    <row r="22950" s="42" customFormat="1" x14ac:dyDescent="0.25"/>
    <row r="22951" s="42" customFormat="1" x14ac:dyDescent="0.25"/>
    <row r="22952" s="42" customFormat="1" x14ac:dyDescent="0.25"/>
    <row r="22953" s="42" customFormat="1" x14ac:dyDescent="0.25"/>
    <row r="22954" s="42" customFormat="1" x14ac:dyDescent="0.25"/>
    <row r="22955" s="42" customFormat="1" x14ac:dyDescent="0.25"/>
    <row r="22956" s="42" customFormat="1" x14ac:dyDescent="0.25"/>
    <row r="22957" s="42" customFormat="1" x14ac:dyDescent="0.25"/>
    <row r="22958" s="42" customFormat="1" x14ac:dyDescent="0.25"/>
    <row r="22959" s="42" customFormat="1" x14ac:dyDescent="0.25"/>
    <row r="22960" s="42" customFormat="1" x14ac:dyDescent="0.25"/>
    <row r="22961" s="42" customFormat="1" x14ac:dyDescent="0.25"/>
    <row r="22962" s="42" customFormat="1" x14ac:dyDescent="0.25"/>
    <row r="22963" s="42" customFormat="1" x14ac:dyDescent="0.25"/>
    <row r="22964" s="42" customFormat="1" x14ac:dyDescent="0.25"/>
    <row r="22965" s="42" customFormat="1" x14ac:dyDescent="0.25"/>
    <row r="22966" s="42" customFormat="1" x14ac:dyDescent="0.25"/>
    <row r="22967" s="42" customFormat="1" x14ac:dyDescent="0.25"/>
    <row r="22968" s="42" customFormat="1" x14ac:dyDescent="0.25"/>
    <row r="22969" s="42" customFormat="1" x14ac:dyDescent="0.25"/>
    <row r="22970" s="42" customFormat="1" x14ac:dyDescent="0.25"/>
    <row r="22971" s="42" customFormat="1" x14ac:dyDescent="0.25"/>
    <row r="22972" s="42" customFormat="1" x14ac:dyDescent="0.25"/>
    <row r="22973" s="42" customFormat="1" x14ac:dyDescent="0.25"/>
    <row r="22974" s="42" customFormat="1" x14ac:dyDescent="0.25"/>
    <row r="22975" s="42" customFormat="1" x14ac:dyDescent="0.25"/>
    <row r="22976" s="42" customFormat="1" x14ac:dyDescent="0.25"/>
    <row r="22977" s="42" customFormat="1" x14ac:dyDescent="0.25"/>
    <row r="22978" s="42" customFormat="1" x14ac:dyDescent="0.25"/>
    <row r="22979" s="42" customFormat="1" x14ac:dyDescent="0.25"/>
    <row r="22980" s="42" customFormat="1" x14ac:dyDescent="0.25"/>
    <row r="22981" s="42" customFormat="1" x14ac:dyDescent="0.25"/>
    <row r="22982" s="42" customFormat="1" x14ac:dyDescent="0.25"/>
    <row r="22983" s="42" customFormat="1" x14ac:dyDescent="0.25"/>
    <row r="22984" s="42" customFormat="1" x14ac:dyDescent="0.25"/>
    <row r="22985" s="42" customFormat="1" x14ac:dyDescent="0.25"/>
    <row r="22986" s="42" customFormat="1" x14ac:dyDescent="0.25"/>
    <row r="22987" s="42" customFormat="1" x14ac:dyDescent="0.25"/>
    <row r="22988" s="42" customFormat="1" x14ac:dyDescent="0.25"/>
    <row r="22989" s="42" customFormat="1" x14ac:dyDescent="0.25"/>
    <row r="22990" s="42" customFormat="1" x14ac:dyDescent="0.25"/>
    <row r="22991" s="42" customFormat="1" x14ac:dyDescent="0.25"/>
    <row r="22992" s="42" customFormat="1" x14ac:dyDescent="0.25"/>
    <row r="22993" s="42" customFormat="1" x14ac:dyDescent="0.25"/>
    <row r="22994" s="42" customFormat="1" x14ac:dyDescent="0.25"/>
    <row r="22995" s="42" customFormat="1" x14ac:dyDescent="0.25"/>
    <row r="22996" s="42" customFormat="1" x14ac:dyDescent="0.25"/>
    <row r="22997" s="42" customFormat="1" x14ac:dyDescent="0.25"/>
    <row r="22998" s="42" customFormat="1" x14ac:dyDescent="0.25"/>
    <row r="22999" s="42" customFormat="1" x14ac:dyDescent="0.25"/>
    <row r="23000" s="42" customFormat="1" x14ac:dyDescent="0.25"/>
    <row r="23001" s="42" customFormat="1" x14ac:dyDescent="0.25"/>
    <row r="23002" s="42" customFormat="1" x14ac:dyDescent="0.25"/>
    <row r="23003" s="42" customFormat="1" x14ac:dyDescent="0.25"/>
    <row r="23004" s="42" customFormat="1" x14ac:dyDescent="0.25"/>
    <row r="23005" s="42" customFormat="1" x14ac:dyDescent="0.25"/>
    <row r="23006" s="42" customFormat="1" x14ac:dyDescent="0.25"/>
    <row r="23007" s="42" customFormat="1" x14ac:dyDescent="0.25"/>
    <row r="23008" s="42" customFormat="1" x14ac:dyDescent="0.25"/>
    <row r="23009" s="42" customFormat="1" x14ac:dyDescent="0.25"/>
    <row r="23010" s="42" customFormat="1" x14ac:dyDescent="0.25"/>
    <row r="23011" s="42" customFormat="1" x14ac:dyDescent="0.25"/>
    <row r="23012" s="42" customFormat="1" x14ac:dyDescent="0.25"/>
    <row r="23013" s="42" customFormat="1" x14ac:dyDescent="0.25"/>
    <row r="23014" s="42" customFormat="1" x14ac:dyDescent="0.25"/>
    <row r="23015" s="42" customFormat="1" x14ac:dyDescent="0.25"/>
    <row r="23016" s="42" customFormat="1" x14ac:dyDescent="0.25"/>
    <row r="23017" s="42" customFormat="1" x14ac:dyDescent="0.25"/>
    <row r="23018" s="42" customFormat="1" x14ac:dyDescent="0.25"/>
    <row r="23019" s="42" customFormat="1" x14ac:dyDescent="0.25"/>
    <row r="23020" s="42" customFormat="1" x14ac:dyDescent="0.25"/>
    <row r="23021" s="42" customFormat="1" x14ac:dyDescent="0.25"/>
    <row r="23022" s="42" customFormat="1" x14ac:dyDescent="0.25"/>
    <row r="23023" s="42" customFormat="1" x14ac:dyDescent="0.25"/>
    <row r="23024" s="42" customFormat="1" x14ac:dyDescent="0.25"/>
    <row r="23025" s="42" customFormat="1" x14ac:dyDescent="0.25"/>
    <row r="23026" s="42" customFormat="1" x14ac:dyDescent="0.25"/>
    <row r="23027" s="42" customFormat="1" x14ac:dyDescent="0.25"/>
    <row r="23028" s="42" customFormat="1" x14ac:dyDescent="0.25"/>
    <row r="23029" s="42" customFormat="1" x14ac:dyDescent="0.25"/>
    <row r="23030" s="42" customFormat="1" x14ac:dyDescent="0.25"/>
    <row r="23031" s="42" customFormat="1" x14ac:dyDescent="0.25"/>
    <row r="23032" s="42" customFormat="1" x14ac:dyDescent="0.25"/>
    <row r="23033" s="42" customFormat="1" x14ac:dyDescent="0.25"/>
    <row r="23034" s="42" customFormat="1" x14ac:dyDescent="0.25"/>
    <row r="23035" s="42" customFormat="1" x14ac:dyDescent="0.25"/>
    <row r="23036" s="42" customFormat="1" x14ac:dyDescent="0.25"/>
    <row r="23037" s="42" customFormat="1" x14ac:dyDescent="0.25"/>
    <row r="23038" s="42" customFormat="1" x14ac:dyDescent="0.25"/>
    <row r="23039" s="42" customFormat="1" x14ac:dyDescent="0.25"/>
    <row r="23040" s="42" customFormat="1" x14ac:dyDescent="0.25"/>
    <row r="23041" s="42" customFormat="1" x14ac:dyDescent="0.25"/>
    <row r="23042" s="42" customFormat="1" x14ac:dyDescent="0.25"/>
    <row r="23043" s="42" customFormat="1" x14ac:dyDescent="0.25"/>
    <row r="23044" s="42" customFormat="1" x14ac:dyDescent="0.25"/>
    <row r="23045" s="42" customFormat="1" x14ac:dyDescent="0.25"/>
    <row r="23046" s="42" customFormat="1" x14ac:dyDescent="0.25"/>
    <row r="23047" s="42" customFormat="1" x14ac:dyDescent="0.25"/>
    <row r="23048" s="42" customFormat="1" x14ac:dyDescent="0.25"/>
    <row r="23049" s="42" customFormat="1" x14ac:dyDescent="0.25"/>
    <row r="23050" s="42" customFormat="1" x14ac:dyDescent="0.25"/>
    <row r="23051" s="42" customFormat="1" x14ac:dyDescent="0.25"/>
    <row r="23052" s="42" customFormat="1" x14ac:dyDescent="0.25"/>
    <row r="23053" s="42" customFormat="1" x14ac:dyDescent="0.25"/>
    <row r="23054" s="42" customFormat="1" x14ac:dyDescent="0.25"/>
    <row r="23055" s="42" customFormat="1" x14ac:dyDescent="0.25"/>
    <row r="23056" s="42" customFormat="1" x14ac:dyDescent="0.25"/>
    <row r="23057" s="42" customFormat="1" x14ac:dyDescent="0.25"/>
    <row r="23058" s="42" customFormat="1" x14ac:dyDescent="0.25"/>
    <row r="23059" s="42" customFormat="1" x14ac:dyDescent="0.25"/>
    <row r="23060" s="42" customFormat="1" x14ac:dyDescent="0.25"/>
    <row r="23061" s="42" customFormat="1" x14ac:dyDescent="0.25"/>
    <row r="23062" s="42" customFormat="1" x14ac:dyDescent="0.25"/>
    <row r="23063" s="42" customFormat="1" x14ac:dyDescent="0.25"/>
    <row r="23064" s="42" customFormat="1" x14ac:dyDescent="0.25"/>
    <row r="23065" s="42" customFormat="1" x14ac:dyDescent="0.25"/>
    <row r="23066" s="42" customFormat="1" x14ac:dyDescent="0.25"/>
    <row r="23067" s="42" customFormat="1" x14ac:dyDescent="0.25"/>
    <row r="23068" s="42" customFormat="1" x14ac:dyDescent="0.25"/>
    <row r="23069" s="42" customFormat="1" x14ac:dyDescent="0.25"/>
    <row r="23070" s="42" customFormat="1" x14ac:dyDescent="0.25"/>
    <row r="23071" s="42" customFormat="1" x14ac:dyDescent="0.25"/>
    <row r="23072" s="42" customFormat="1" x14ac:dyDescent="0.25"/>
    <row r="23073" s="42" customFormat="1" x14ac:dyDescent="0.25"/>
    <row r="23074" s="42" customFormat="1" x14ac:dyDescent="0.25"/>
    <row r="23075" s="42" customFormat="1" x14ac:dyDescent="0.25"/>
    <row r="23076" s="42" customFormat="1" x14ac:dyDescent="0.25"/>
    <row r="23077" s="42" customFormat="1" x14ac:dyDescent="0.25"/>
    <row r="23078" s="42" customFormat="1" x14ac:dyDescent="0.25"/>
    <row r="23079" s="42" customFormat="1" x14ac:dyDescent="0.25"/>
    <row r="23080" s="42" customFormat="1" x14ac:dyDescent="0.25"/>
    <row r="23081" s="42" customFormat="1" x14ac:dyDescent="0.25"/>
    <row r="23082" s="42" customFormat="1" x14ac:dyDescent="0.25"/>
    <row r="23083" s="42" customFormat="1" x14ac:dyDescent="0.25"/>
    <row r="23084" s="42" customFormat="1" x14ac:dyDescent="0.25"/>
    <row r="23085" s="42" customFormat="1" x14ac:dyDescent="0.25"/>
    <row r="23086" s="42" customFormat="1" x14ac:dyDescent="0.25"/>
    <row r="23087" s="42" customFormat="1" x14ac:dyDescent="0.25"/>
    <row r="23088" s="42" customFormat="1" x14ac:dyDescent="0.25"/>
    <row r="23089" s="42" customFormat="1" x14ac:dyDescent="0.25"/>
    <row r="23090" s="42" customFormat="1" x14ac:dyDescent="0.25"/>
    <row r="23091" s="42" customFormat="1" x14ac:dyDescent="0.25"/>
    <row r="23092" s="42" customFormat="1" x14ac:dyDescent="0.25"/>
    <row r="23093" s="42" customFormat="1" x14ac:dyDescent="0.25"/>
    <row r="23094" s="42" customFormat="1" x14ac:dyDescent="0.25"/>
    <row r="23095" s="42" customFormat="1" x14ac:dyDescent="0.25"/>
    <row r="23096" s="42" customFormat="1" x14ac:dyDescent="0.25"/>
    <row r="23097" s="42" customFormat="1" x14ac:dyDescent="0.25"/>
    <row r="23098" s="42" customFormat="1" x14ac:dyDescent="0.25"/>
    <row r="23099" s="42" customFormat="1" x14ac:dyDescent="0.25"/>
    <row r="23100" s="42" customFormat="1" x14ac:dyDescent="0.25"/>
    <row r="23101" s="42" customFormat="1" x14ac:dyDescent="0.25"/>
    <row r="23102" s="42" customFormat="1" x14ac:dyDescent="0.25"/>
    <row r="23103" s="42" customFormat="1" x14ac:dyDescent="0.25"/>
    <row r="23104" s="42" customFormat="1" x14ac:dyDescent="0.25"/>
    <row r="23105" s="42" customFormat="1" x14ac:dyDescent="0.25"/>
    <row r="23106" s="42" customFormat="1" x14ac:dyDescent="0.25"/>
    <row r="23107" s="42" customFormat="1" x14ac:dyDescent="0.25"/>
    <row r="23108" s="42" customFormat="1" x14ac:dyDescent="0.25"/>
    <row r="23109" s="42" customFormat="1" x14ac:dyDescent="0.25"/>
    <row r="23110" s="42" customFormat="1" x14ac:dyDescent="0.25"/>
    <row r="23111" s="42" customFormat="1" x14ac:dyDescent="0.25"/>
    <row r="23112" s="42" customFormat="1" x14ac:dyDescent="0.25"/>
    <row r="23113" s="42" customFormat="1" x14ac:dyDescent="0.25"/>
    <row r="23114" s="42" customFormat="1" x14ac:dyDescent="0.25"/>
    <row r="23115" s="42" customFormat="1" x14ac:dyDescent="0.25"/>
    <row r="23116" s="42" customFormat="1" x14ac:dyDescent="0.25"/>
    <row r="23117" s="42" customFormat="1" x14ac:dyDescent="0.25"/>
    <row r="23118" s="42" customFormat="1" x14ac:dyDescent="0.25"/>
    <row r="23119" s="42" customFormat="1" x14ac:dyDescent="0.25"/>
    <row r="23120" s="42" customFormat="1" x14ac:dyDescent="0.25"/>
    <row r="23121" s="42" customFormat="1" x14ac:dyDescent="0.25"/>
    <row r="23122" s="42" customFormat="1" x14ac:dyDescent="0.25"/>
    <row r="23123" s="42" customFormat="1" x14ac:dyDescent="0.25"/>
    <row r="23124" s="42" customFormat="1" x14ac:dyDescent="0.25"/>
    <row r="23125" s="42" customFormat="1" x14ac:dyDescent="0.25"/>
    <row r="23126" s="42" customFormat="1" x14ac:dyDescent="0.25"/>
    <row r="23127" s="42" customFormat="1" x14ac:dyDescent="0.25"/>
    <row r="23128" s="42" customFormat="1" x14ac:dyDescent="0.25"/>
    <row r="23129" s="42" customFormat="1" x14ac:dyDescent="0.25"/>
    <row r="23130" s="42" customFormat="1" x14ac:dyDescent="0.25"/>
    <row r="23131" s="42" customFormat="1" x14ac:dyDescent="0.25"/>
    <row r="23132" s="42" customFormat="1" x14ac:dyDescent="0.25"/>
    <row r="23133" s="42" customFormat="1" x14ac:dyDescent="0.25"/>
    <row r="23134" s="42" customFormat="1" x14ac:dyDescent="0.25"/>
    <row r="23135" s="42" customFormat="1" x14ac:dyDescent="0.25"/>
    <row r="23136" s="42" customFormat="1" x14ac:dyDescent="0.25"/>
    <row r="23137" s="42" customFormat="1" x14ac:dyDescent="0.25"/>
    <row r="23138" s="42" customFormat="1" x14ac:dyDescent="0.25"/>
    <row r="23139" s="42" customFormat="1" x14ac:dyDescent="0.25"/>
    <row r="23140" s="42" customFormat="1" x14ac:dyDescent="0.25"/>
    <row r="23141" s="42" customFormat="1" x14ac:dyDescent="0.25"/>
    <row r="23142" s="42" customFormat="1" x14ac:dyDescent="0.25"/>
    <row r="23143" s="42" customFormat="1" x14ac:dyDescent="0.25"/>
    <row r="23144" s="42" customFormat="1" x14ac:dyDescent="0.25"/>
    <row r="23145" s="42" customFormat="1" x14ac:dyDescent="0.25"/>
    <row r="23146" s="42" customFormat="1" x14ac:dyDescent="0.25"/>
    <row r="23147" s="42" customFormat="1" x14ac:dyDescent="0.25"/>
    <row r="23148" s="42" customFormat="1" x14ac:dyDescent="0.25"/>
    <row r="23149" s="42" customFormat="1" x14ac:dyDescent="0.25"/>
    <row r="23150" s="42" customFormat="1" x14ac:dyDescent="0.25"/>
    <row r="23151" s="42" customFormat="1" x14ac:dyDescent="0.25"/>
    <row r="23152" s="42" customFormat="1" x14ac:dyDescent="0.25"/>
    <row r="23153" s="42" customFormat="1" x14ac:dyDescent="0.25"/>
    <row r="23154" s="42" customFormat="1" x14ac:dyDescent="0.25"/>
    <row r="23155" s="42" customFormat="1" x14ac:dyDescent="0.25"/>
    <row r="23156" s="42" customFormat="1" x14ac:dyDescent="0.25"/>
    <row r="23157" s="42" customFormat="1" x14ac:dyDescent="0.25"/>
    <row r="23158" s="42" customFormat="1" x14ac:dyDescent="0.25"/>
    <row r="23159" s="42" customFormat="1" x14ac:dyDescent="0.25"/>
    <row r="23160" s="42" customFormat="1" x14ac:dyDescent="0.25"/>
    <row r="23161" s="42" customFormat="1" x14ac:dyDescent="0.25"/>
    <row r="23162" s="42" customFormat="1" x14ac:dyDescent="0.25"/>
    <row r="23163" s="42" customFormat="1" x14ac:dyDescent="0.25"/>
    <row r="23164" s="42" customFormat="1" x14ac:dyDescent="0.25"/>
    <row r="23165" s="42" customFormat="1" x14ac:dyDescent="0.25"/>
    <row r="23166" s="42" customFormat="1" x14ac:dyDescent="0.25"/>
    <row r="23167" s="42" customFormat="1" x14ac:dyDescent="0.25"/>
    <row r="23168" s="42" customFormat="1" x14ac:dyDescent="0.25"/>
    <row r="23169" s="42" customFormat="1" x14ac:dyDescent="0.25"/>
    <row r="23170" s="42" customFormat="1" x14ac:dyDescent="0.25"/>
    <row r="23171" s="42" customFormat="1" x14ac:dyDescent="0.25"/>
    <row r="23172" s="42" customFormat="1" x14ac:dyDescent="0.25"/>
    <row r="23173" s="42" customFormat="1" x14ac:dyDescent="0.25"/>
    <row r="23174" s="42" customFormat="1" x14ac:dyDescent="0.25"/>
    <row r="23175" s="42" customFormat="1" x14ac:dyDescent="0.25"/>
    <row r="23176" s="42" customFormat="1" x14ac:dyDescent="0.25"/>
    <row r="23177" s="42" customFormat="1" x14ac:dyDescent="0.25"/>
    <row r="23178" s="42" customFormat="1" x14ac:dyDescent="0.25"/>
    <row r="23179" s="42" customFormat="1" x14ac:dyDescent="0.25"/>
    <row r="23180" s="42" customFormat="1" x14ac:dyDescent="0.25"/>
    <row r="23181" s="42" customFormat="1" x14ac:dyDescent="0.25"/>
    <row r="23182" s="42" customFormat="1" x14ac:dyDescent="0.25"/>
    <row r="23183" s="42" customFormat="1" x14ac:dyDescent="0.25"/>
    <row r="23184" s="42" customFormat="1" x14ac:dyDescent="0.25"/>
    <row r="23185" s="42" customFormat="1" x14ac:dyDescent="0.25"/>
    <row r="23186" s="42" customFormat="1" x14ac:dyDescent="0.25"/>
    <row r="23187" s="42" customFormat="1" x14ac:dyDescent="0.25"/>
    <row r="23188" s="42" customFormat="1" x14ac:dyDescent="0.25"/>
    <row r="23189" s="42" customFormat="1" x14ac:dyDescent="0.25"/>
    <row r="23190" s="42" customFormat="1" x14ac:dyDescent="0.25"/>
    <row r="23191" s="42" customFormat="1" x14ac:dyDescent="0.25"/>
    <row r="23192" s="42" customFormat="1" x14ac:dyDescent="0.25"/>
    <row r="23193" s="42" customFormat="1" x14ac:dyDescent="0.25"/>
    <row r="23194" s="42" customFormat="1" x14ac:dyDescent="0.25"/>
    <row r="23195" s="42" customFormat="1" x14ac:dyDescent="0.25"/>
    <row r="23196" s="42" customFormat="1" x14ac:dyDescent="0.25"/>
    <row r="23197" s="42" customFormat="1" x14ac:dyDescent="0.25"/>
    <row r="23198" s="42" customFormat="1" x14ac:dyDescent="0.25"/>
    <row r="23199" s="42" customFormat="1" x14ac:dyDescent="0.25"/>
    <row r="23200" s="42" customFormat="1" x14ac:dyDescent="0.25"/>
    <row r="23201" s="42" customFormat="1" x14ac:dyDescent="0.25"/>
    <row r="23202" s="42" customFormat="1" x14ac:dyDescent="0.25"/>
    <row r="23203" s="42" customFormat="1" x14ac:dyDescent="0.25"/>
    <row r="23204" s="42" customFormat="1" x14ac:dyDescent="0.25"/>
    <row r="23205" s="42" customFormat="1" x14ac:dyDescent="0.25"/>
    <row r="23206" s="42" customFormat="1" x14ac:dyDescent="0.25"/>
    <row r="23207" s="42" customFormat="1" x14ac:dyDescent="0.25"/>
    <row r="23208" s="42" customFormat="1" x14ac:dyDescent="0.25"/>
    <row r="23209" s="42" customFormat="1" x14ac:dyDescent="0.25"/>
    <row r="23210" s="42" customFormat="1" x14ac:dyDescent="0.25"/>
    <row r="23211" s="42" customFormat="1" x14ac:dyDescent="0.25"/>
    <row r="23212" s="42" customFormat="1" x14ac:dyDescent="0.25"/>
    <row r="23213" s="42" customFormat="1" x14ac:dyDescent="0.25"/>
    <row r="23214" s="42" customFormat="1" x14ac:dyDescent="0.25"/>
    <row r="23215" s="42" customFormat="1" x14ac:dyDescent="0.25"/>
    <row r="23216" s="42" customFormat="1" x14ac:dyDescent="0.25"/>
    <row r="23217" s="42" customFormat="1" x14ac:dyDescent="0.25"/>
    <row r="23218" s="42" customFormat="1" x14ac:dyDescent="0.25"/>
    <row r="23219" s="42" customFormat="1" x14ac:dyDescent="0.25"/>
    <row r="23220" s="42" customFormat="1" x14ac:dyDescent="0.25"/>
    <row r="23221" s="42" customFormat="1" x14ac:dyDescent="0.25"/>
    <row r="23222" s="42" customFormat="1" x14ac:dyDescent="0.25"/>
    <row r="23223" s="42" customFormat="1" x14ac:dyDescent="0.25"/>
    <row r="23224" s="42" customFormat="1" x14ac:dyDescent="0.25"/>
    <row r="23225" s="42" customFormat="1" x14ac:dyDescent="0.25"/>
    <row r="23226" s="42" customFormat="1" x14ac:dyDescent="0.25"/>
    <row r="23227" s="42" customFormat="1" x14ac:dyDescent="0.25"/>
    <row r="23228" s="42" customFormat="1" x14ac:dyDescent="0.25"/>
    <row r="23229" s="42" customFormat="1" x14ac:dyDescent="0.25"/>
    <row r="23230" s="42" customFormat="1" x14ac:dyDescent="0.25"/>
    <row r="23231" s="42" customFormat="1" x14ac:dyDescent="0.25"/>
    <row r="23232" s="42" customFormat="1" x14ac:dyDescent="0.25"/>
    <row r="23233" s="42" customFormat="1" x14ac:dyDescent="0.25"/>
    <row r="23234" s="42" customFormat="1" x14ac:dyDescent="0.25"/>
    <row r="23235" s="42" customFormat="1" x14ac:dyDescent="0.25"/>
    <row r="23236" s="42" customFormat="1" x14ac:dyDescent="0.25"/>
    <row r="23237" s="42" customFormat="1" x14ac:dyDescent="0.25"/>
    <row r="23238" s="42" customFormat="1" x14ac:dyDescent="0.25"/>
    <row r="23239" s="42" customFormat="1" x14ac:dyDescent="0.25"/>
    <row r="23240" s="42" customFormat="1" x14ac:dyDescent="0.25"/>
    <row r="23241" s="42" customFormat="1" x14ac:dyDescent="0.25"/>
    <row r="23242" s="42" customFormat="1" x14ac:dyDescent="0.25"/>
    <row r="23243" s="42" customFormat="1" x14ac:dyDescent="0.25"/>
    <row r="23244" s="42" customFormat="1" x14ac:dyDescent="0.25"/>
    <row r="23245" s="42" customFormat="1" x14ac:dyDescent="0.25"/>
    <row r="23246" s="42" customFormat="1" x14ac:dyDescent="0.25"/>
    <row r="23247" s="42" customFormat="1" x14ac:dyDescent="0.25"/>
    <row r="23248" s="42" customFormat="1" x14ac:dyDescent="0.25"/>
    <row r="23249" s="42" customFormat="1" x14ac:dyDescent="0.25"/>
    <row r="23250" s="42" customFormat="1" x14ac:dyDescent="0.25"/>
    <row r="23251" s="42" customFormat="1" x14ac:dyDescent="0.25"/>
    <row r="23252" s="42" customFormat="1" x14ac:dyDescent="0.25"/>
    <row r="23253" s="42" customFormat="1" x14ac:dyDescent="0.25"/>
    <row r="23254" s="42" customFormat="1" x14ac:dyDescent="0.25"/>
    <row r="23255" s="42" customFormat="1" x14ac:dyDescent="0.25"/>
    <row r="23256" s="42" customFormat="1" x14ac:dyDescent="0.25"/>
    <row r="23257" s="42" customFormat="1" x14ac:dyDescent="0.25"/>
    <row r="23258" s="42" customFormat="1" x14ac:dyDescent="0.25"/>
    <row r="23259" s="42" customFormat="1" x14ac:dyDescent="0.25"/>
    <row r="23260" s="42" customFormat="1" x14ac:dyDescent="0.25"/>
    <row r="23261" s="42" customFormat="1" x14ac:dyDescent="0.25"/>
    <row r="23262" s="42" customFormat="1" x14ac:dyDescent="0.25"/>
    <row r="23263" s="42" customFormat="1" x14ac:dyDescent="0.25"/>
    <row r="23264" s="42" customFormat="1" x14ac:dyDescent="0.25"/>
    <row r="23265" s="42" customFormat="1" x14ac:dyDescent="0.25"/>
    <row r="23266" s="42" customFormat="1" x14ac:dyDescent="0.25"/>
    <row r="23267" s="42" customFormat="1" x14ac:dyDescent="0.25"/>
    <row r="23268" s="42" customFormat="1" x14ac:dyDescent="0.25"/>
    <row r="23269" s="42" customFormat="1" x14ac:dyDescent="0.25"/>
    <row r="23270" s="42" customFormat="1" x14ac:dyDescent="0.25"/>
    <row r="23271" s="42" customFormat="1" x14ac:dyDescent="0.25"/>
    <row r="23272" s="42" customFormat="1" x14ac:dyDescent="0.25"/>
    <row r="23273" s="42" customFormat="1" x14ac:dyDescent="0.25"/>
    <row r="23274" s="42" customFormat="1" x14ac:dyDescent="0.25"/>
    <row r="23275" s="42" customFormat="1" x14ac:dyDescent="0.25"/>
    <row r="23276" s="42" customFormat="1" x14ac:dyDescent="0.25"/>
    <row r="23277" s="42" customFormat="1" x14ac:dyDescent="0.25"/>
    <row r="23278" s="42" customFormat="1" x14ac:dyDescent="0.25"/>
    <row r="23279" s="42" customFormat="1" x14ac:dyDescent="0.25"/>
    <row r="23280" s="42" customFormat="1" x14ac:dyDescent="0.25"/>
    <row r="23281" s="42" customFormat="1" x14ac:dyDescent="0.25"/>
    <row r="23282" s="42" customFormat="1" x14ac:dyDescent="0.25"/>
    <row r="23283" s="42" customFormat="1" x14ac:dyDescent="0.25"/>
    <row r="23284" s="42" customFormat="1" x14ac:dyDescent="0.25"/>
    <row r="23285" s="42" customFormat="1" x14ac:dyDescent="0.25"/>
    <row r="23286" s="42" customFormat="1" x14ac:dyDescent="0.25"/>
    <row r="23287" s="42" customFormat="1" x14ac:dyDescent="0.25"/>
    <row r="23288" s="42" customFormat="1" x14ac:dyDescent="0.25"/>
    <row r="23289" s="42" customFormat="1" x14ac:dyDescent="0.25"/>
    <row r="23290" s="42" customFormat="1" x14ac:dyDescent="0.25"/>
    <row r="23291" s="42" customFormat="1" x14ac:dyDescent="0.25"/>
    <row r="23292" s="42" customFormat="1" x14ac:dyDescent="0.25"/>
    <row r="23293" s="42" customFormat="1" x14ac:dyDescent="0.25"/>
    <row r="23294" s="42" customFormat="1" x14ac:dyDescent="0.25"/>
    <row r="23295" s="42" customFormat="1" x14ac:dyDescent="0.25"/>
    <row r="23296" s="42" customFormat="1" x14ac:dyDescent="0.25"/>
    <row r="23297" s="42" customFormat="1" x14ac:dyDescent="0.25"/>
    <row r="23298" s="42" customFormat="1" x14ac:dyDescent="0.25"/>
    <row r="23299" s="42" customFormat="1" x14ac:dyDescent="0.25"/>
    <row r="23300" s="42" customFormat="1" x14ac:dyDescent="0.25"/>
    <row r="23301" s="42" customFormat="1" x14ac:dyDescent="0.25"/>
    <row r="23302" s="42" customFormat="1" x14ac:dyDescent="0.25"/>
    <row r="23303" s="42" customFormat="1" x14ac:dyDescent="0.25"/>
    <row r="23304" s="42" customFormat="1" x14ac:dyDescent="0.25"/>
    <row r="23305" s="42" customFormat="1" x14ac:dyDescent="0.25"/>
    <row r="23306" s="42" customFormat="1" x14ac:dyDescent="0.25"/>
    <row r="23307" s="42" customFormat="1" x14ac:dyDescent="0.25"/>
    <row r="23308" s="42" customFormat="1" x14ac:dyDescent="0.25"/>
    <row r="23309" s="42" customFormat="1" x14ac:dyDescent="0.25"/>
    <row r="23310" s="42" customFormat="1" x14ac:dyDescent="0.25"/>
    <row r="23311" s="42" customFormat="1" x14ac:dyDescent="0.25"/>
    <row r="23312" s="42" customFormat="1" x14ac:dyDescent="0.25"/>
    <row r="23313" s="42" customFormat="1" x14ac:dyDescent="0.25"/>
    <row r="23314" s="42" customFormat="1" x14ac:dyDescent="0.25"/>
    <row r="23315" s="42" customFormat="1" x14ac:dyDescent="0.25"/>
    <row r="23316" s="42" customFormat="1" x14ac:dyDescent="0.25"/>
    <row r="23317" s="42" customFormat="1" x14ac:dyDescent="0.25"/>
    <row r="23318" s="42" customFormat="1" x14ac:dyDescent="0.25"/>
    <row r="23319" s="42" customFormat="1" x14ac:dyDescent="0.25"/>
    <row r="23320" s="42" customFormat="1" x14ac:dyDescent="0.25"/>
    <row r="23321" s="42" customFormat="1" x14ac:dyDescent="0.25"/>
    <row r="23322" s="42" customFormat="1" x14ac:dyDescent="0.25"/>
    <row r="23323" s="42" customFormat="1" x14ac:dyDescent="0.25"/>
    <row r="23324" s="42" customFormat="1" x14ac:dyDescent="0.25"/>
    <row r="23325" s="42" customFormat="1" x14ac:dyDescent="0.25"/>
    <row r="23326" s="42" customFormat="1" x14ac:dyDescent="0.25"/>
    <row r="23327" s="42" customFormat="1" x14ac:dyDescent="0.25"/>
    <row r="23328" s="42" customFormat="1" x14ac:dyDescent="0.25"/>
    <row r="23329" s="42" customFormat="1" x14ac:dyDescent="0.25"/>
    <row r="23330" s="42" customFormat="1" x14ac:dyDescent="0.25"/>
    <row r="23331" s="42" customFormat="1" x14ac:dyDescent="0.25"/>
    <row r="23332" s="42" customFormat="1" x14ac:dyDescent="0.25"/>
    <row r="23333" s="42" customFormat="1" x14ac:dyDescent="0.25"/>
    <row r="23334" s="42" customFormat="1" x14ac:dyDescent="0.25"/>
    <row r="23335" s="42" customFormat="1" x14ac:dyDescent="0.25"/>
    <row r="23336" s="42" customFormat="1" x14ac:dyDescent="0.25"/>
    <row r="23337" s="42" customFormat="1" x14ac:dyDescent="0.25"/>
    <row r="23338" s="42" customFormat="1" x14ac:dyDescent="0.25"/>
    <row r="23339" s="42" customFormat="1" x14ac:dyDescent="0.25"/>
    <row r="23340" s="42" customFormat="1" x14ac:dyDescent="0.25"/>
    <row r="23341" s="42" customFormat="1" x14ac:dyDescent="0.25"/>
    <row r="23342" s="42" customFormat="1" x14ac:dyDescent="0.25"/>
    <row r="23343" s="42" customFormat="1" x14ac:dyDescent="0.25"/>
    <row r="23344" s="42" customFormat="1" x14ac:dyDescent="0.25"/>
    <row r="23345" s="42" customFormat="1" x14ac:dyDescent="0.25"/>
    <row r="23346" s="42" customFormat="1" x14ac:dyDescent="0.25"/>
    <row r="23347" s="42" customFormat="1" x14ac:dyDescent="0.25"/>
    <row r="23348" s="42" customFormat="1" x14ac:dyDescent="0.25"/>
    <row r="23349" s="42" customFormat="1" x14ac:dyDescent="0.25"/>
    <row r="23350" s="42" customFormat="1" x14ac:dyDescent="0.25"/>
    <row r="23351" s="42" customFormat="1" x14ac:dyDescent="0.25"/>
    <row r="23352" s="42" customFormat="1" x14ac:dyDescent="0.25"/>
    <row r="23353" s="42" customFormat="1" x14ac:dyDescent="0.25"/>
    <row r="23354" s="42" customFormat="1" x14ac:dyDescent="0.25"/>
    <row r="23355" s="42" customFormat="1" x14ac:dyDescent="0.25"/>
    <row r="23356" s="42" customFormat="1" x14ac:dyDescent="0.25"/>
    <row r="23357" s="42" customFormat="1" x14ac:dyDescent="0.25"/>
    <row r="23358" s="42" customFormat="1" x14ac:dyDescent="0.25"/>
    <row r="23359" s="42" customFormat="1" x14ac:dyDescent="0.25"/>
    <row r="23360" s="42" customFormat="1" x14ac:dyDescent="0.25"/>
    <row r="23361" s="42" customFormat="1" x14ac:dyDescent="0.25"/>
    <row r="23362" s="42" customFormat="1" x14ac:dyDescent="0.25"/>
    <row r="23363" s="42" customFormat="1" x14ac:dyDescent="0.25"/>
    <row r="23364" s="42" customFormat="1" x14ac:dyDescent="0.25"/>
    <row r="23365" s="42" customFormat="1" x14ac:dyDescent="0.25"/>
    <row r="23366" s="42" customFormat="1" x14ac:dyDescent="0.25"/>
    <row r="23367" s="42" customFormat="1" x14ac:dyDescent="0.25"/>
    <row r="23368" s="42" customFormat="1" x14ac:dyDescent="0.25"/>
    <row r="23369" s="42" customFormat="1" x14ac:dyDescent="0.25"/>
    <row r="23370" s="42" customFormat="1" x14ac:dyDescent="0.25"/>
    <row r="23371" s="42" customFormat="1" x14ac:dyDescent="0.25"/>
    <row r="23372" s="42" customFormat="1" x14ac:dyDescent="0.25"/>
    <row r="23373" s="42" customFormat="1" x14ac:dyDescent="0.25"/>
    <row r="23374" s="42" customFormat="1" x14ac:dyDescent="0.25"/>
    <row r="23375" s="42" customFormat="1" x14ac:dyDescent="0.25"/>
    <row r="23376" s="42" customFormat="1" x14ac:dyDescent="0.25"/>
    <row r="23377" s="42" customFormat="1" x14ac:dyDescent="0.25"/>
    <row r="23378" s="42" customFormat="1" x14ac:dyDescent="0.25"/>
    <row r="23379" s="42" customFormat="1" x14ac:dyDescent="0.25"/>
    <row r="23380" s="42" customFormat="1" x14ac:dyDescent="0.25"/>
    <row r="23381" s="42" customFormat="1" x14ac:dyDescent="0.25"/>
    <row r="23382" s="42" customFormat="1" x14ac:dyDescent="0.25"/>
    <row r="23383" s="42" customFormat="1" x14ac:dyDescent="0.25"/>
    <row r="23384" s="42" customFormat="1" x14ac:dyDescent="0.25"/>
    <row r="23385" s="42" customFormat="1" x14ac:dyDescent="0.25"/>
    <row r="23386" s="42" customFormat="1" x14ac:dyDescent="0.25"/>
    <row r="23387" s="42" customFormat="1" x14ac:dyDescent="0.25"/>
    <row r="23388" s="42" customFormat="1" x14ac:dyDescent="0.25"/>
    <row r="23389" s="42" customFormat="1" x14ac:dyDescent="0.25"/>
    <row r="23390" s="42" customFormat="1" x14ac:dyDescent="0.25"/>
    <row r="23391" s="42" customFormat="1" x14ac:dyDescent="0.25"/>
    <row r="23392" s="42" customFormat="1" x14ac:dyDescent="0.25"/>
    <row r="23393" s="42" customFormat="1" x14ac:dyDescent="0.25"/>
    <row r="23394" s="42" customFormat="1" x14ac:dyDescent="0.25"/>
    <row r="23395" s="42" customFormat="1" x14ac:dyDescent="0.25"/>
    <row r="23396" s="42" customFormat="1" x14ac:dyDescent="0.25"/>
    <row r="23397" s="42" customFormat="1" x14ac:dyDescent="0.25"/>
    <row r="23398" s="42" customFormat="1" x14ac:dyDescent="0.25"/>
    <row r="23399" s="42" customFormat="1" x14ac:dyDescent="0.25"/>
    <row r="23400" s="42" customFormat="1" x14ac:dyDescent="0.25"/>
    <row r="23401" s="42" customFormat="1" x14ac:dyDescent="0.25"/>
    <row r="23402" s="42" customFormat="1" x14ac:dyDescent="0.25"/>
    <row r="23403" s="42" customFormat="1" x14ac:dyDescent="0.25"/>
    <row r="23404" s="42" customFormat="1" x14ac:dyDescent="0.25"/>
    <row r="23405" s="42" customFormat="1" x14ac:dyDescent="0.25"/>
    <row r="23406" s="42" customFormat="1" x14ac:dyDescent="0.25"/>
    <row r="23407" s="42" customFormat="1" x14ac:dyDescent="0.25"/>
    <row r="23408" s="42" customFormat="1" x14ac:dyDescent="0.25"/>
    <row r="23409" s="42" customFormat="1" x14ac:dyDescent="0.25"/>
    <row r="23410" s="42" customFormat="1" x14ac:dyDescent="0.25"/>
    <row r="23411" s="42" customFormat="1" x14ac:dyDescent="0.25"/>
    <row r="23412" s="42" customFormat="1" x14ac:dyDescent="0.25"/>
    <row r="23413" s="42" customFormat="1" x14ac:dyDescent="0.25"/>
    <row r="23414" s="42" customFormat="1" x14ac:dyDescent="0.25"/>
    <row r="23415" s="42" customFormat="1" x14ac:dyDescent="0.25"/>
    <row r="23416" s="42" customFormat="1" x14ac:dyDescent="0.25"/>
    <row r="23417" s="42" customFormat="1" x14ac:dyDescent="0.25"/>
    <row r="23418" s="42" customFormat="1" x14ac:dyDescent="0.25"/>
    <row r="23419" s="42" customFormat="1" x14ac:dyDescent="0.25"/>
    <row r="23420" s="42" customFormat="1" x14ac:dyDescent="0.25"/>
    <row r="23421" s="42" customFormat="1" x14ac:dyDescent="0.25"/>
    <row r="23422" s="42" customFormat="1" x14ac:dyDescent="0.25"/>
    <row r="23423" s="42" customFormat="1" x14ac:dyDescent="0.25"/>
    <row r="23424" s="42" customFormat="1" x14ac:dyDescent="0.25"/>
    <row r="23425" s="42" customFormat="1" x14ac:dyDescent="0.25"/>
    <row r="23426" s="42" customFormat="1" x14ac:dyDescent="0.25"/>
    <row r="23427" s="42" customFormat="1" x14ac:dyDescent="0.25"/>
    <row r="23428" s="42" customFormat="1" x14ac:dyDescent="0.25"/>
    <row r="23429" s="42" customFormat="1" x14ac:dyDescent="0.25"/>
    <row r="23430" s="42" customFormat="1" x14ac:dyDescent="0.25"/>
    <row r="23431" s="42" customFormat="1" x14ac:dyDescent="0.25"/>
    <row r="23432" s="42" customFormat="1" x14ac:dyDescent="0.25"/>
    <row r="23433" s="42" customFormat="1" x14ac:dyDescent="0.25"/>
    <row r="23434" s="42" customFormat="1" x14ac:dyDescent="0.25"/>
    <row r="23435" s="42" customFormat="1" x14ac:dyDescent="0.25"/>
    <row r="23436" s="42" customFormat="1" x14ac:dyDescent="0.25"/>
    <row r="23437" s="42" customFormat="1" x14ac:dyDescent="0.25"/>
    <row r="23438" s="42" customFormat="1" x14ac:dyDescent="0.25"/>
    <row r="23439" s="42" customFormat="1" x14ac:dyDescent="0.25"/>
    <row r="23440" s="42" customFormat="1" x14ac:dyDescent="0.25"/>
    <row r="23441" s="42" customFormat="1" x14ac:dyDescent="0.25"/>
    <row r="23442" s="42" customFormat="1" x14ac:dyDescent="0.25"/>
    <row r="23443" s="42" customFormat="1" x14ac:dyDescent="0.25"/>
    <row r="23444" s="42" customFormat="1" x14ac:dyDescent="0.25"/>
    <row r="23445" s="42" customFormat="1" x14ac:dyDescent="0.25"/>
    <row r="23446" s="42" customFormat="1" x14ac:dyDescent="0.25"/>
    <row r="23447" s="42" customFormat="1" x14ac:dyDescent="0.25"/>
    <row r="23448" s="42" customFormat="1" x14ac:dyDescent="0.25"/>
    <row r="23449" s="42" customFormat="1" x14ac:dyDescent="0.25"/>
    <row r="23450" s="42" customFormat="1" x14ac:dyDescent="0.25"/>
    <row r="23451" s="42" customFormat="1" x14ac:dyDescent="0.25"/>
    <row r="23452" s="42" customFormat="1" x14ac:dyDescent="0.25"/>
    <row r="23453" s="42" customFormat="1" x14ac:dyDescent="0.25"/>
    <row r="23454" s="42" customFormat="1" x14ac:dyDescent="0.25"/>
    <row r="23455" s="42" customFormat="1" x14ac:dyDescent="0.25"/>
    <row r="23456" s="42" customFormat="1" x14ac:dyDescent="0.25"/>
    <row r="23457" s="42" customFormat="1" x14ac:dyDescent="0.25"/>
    <row r="23458" s="42" customFormat="1" x14ac:dyDescent="0.25"/>
    <row r="23459" s="42" customFormat="1" x14ac:dyDescent="0.25"/>
    <row r="23460" s="42" customFormat="1" x14ac:dyDescent="0.25"/>
    <row r="23461" s="42" customFormat="1" x14ac:dyDescent="0.25"/>
    <row r="23462" s="42" customFormat="1" x14ac:dyDescent="0.25"/>
    <row r="23463" s="42" customFormat="1" x14ac:dyDescent="0.25"/>
    <row r="23464" s="42" customFormat="1" x14ac:dyDescent="0.25"/>
    <row r="23465" s="42" customFormat="1" x14ac:dyDescent="0.25"/>
    <row r="23466" s="42" customFormat="1" x14ac:dyDescent="0.25"/>
    <row r="23467" s="42" customFormat="1" x14ac:dyDescent="0.25"/>
    <row r="23468" s="42" customFormat="1" x14ac:dyDescent="0.25"/>
    <row r="23469" s="42" customFormat="1" x14ac:dyDescent="0.25"/>
    <row r="23470" s="42" customFormat="1" x14ac:dyDescent="0.25"/>
    <row r="23471" s="42" customFormat="1" x14ac:dyDescent="0.25"/>
    <row r="23472" s="42" customFormat="1" x14ac:dyDescent="0.25"/>
    <row r="23473" s="42" customFormat="1" x14ac:dyDescent="0.25"/>
    <row r="23474" s="42" customFormat="1" x14ac:dyDescent="0.25"/>
    <row r="23475" s="42" customFormat="1" x14ac:dyDescent="0.25"/>
    <row r="23476" s="42" customFormat="1" x14ac:dyDescent="0.25"/>
    <row r="23477" s="42" customFormat="1" x14ac:dyDescent="0.25"/>
    <row r="23478" s="42" customFormat="1" x14ac:dyDescent="0.25"/>
    <row r="23479" s="42" customFormat="1" x14ac:dyDescent="0.25"/>
    <row r="23480" s="42" customFormat="1" x14ac:dyDescent="0.25"/>
    <row r="23481" s="42" customFormat="1" x14ac:dyDescent="0.25"/>
    <row r="23482" s="42" customFormat="1" x14ac:dyDescent="0.25"/>
    <row r="23483" s="42" customFormat="1" x14ac:dyDescent="0.25"/>
    <row r="23484" s="42" customFormat="1" x14ac:dyDescent="0.25"/>
    <row r="23485" s="42" customFormat="1" x14ac:dyDescent="0.25"/>
    <row r="23486" s="42" customFormat="1" x14ac:dyDescent="0.25"/>
    <row r="23487" s="42" customFormat="1" x14ac:dyDescent="0.25"/>
    <row r="23488" s="42" customFormat="1" x14ac:dyDescent="0.25"/>
    <row r="23489" s="42" customFormat="1" x14ac:dyDescent="0.25"/>
    <row r="23490" s="42" customFormat="1" x14ac:dyDescent="0.25"/>
    <row r="23491" s="42" customFormat="1" x14ac:dyDescent="0.25"/>
    <row r="23492" s="42" customFormat="1" x14ac:dyDescent="0.25"/>
    <row r="23493" s="42" customFormat="1" x14ac:dyDescent="0.25"/>
    <row r="23494" s="42" customFormat="1" x14ac:dyDescent="0.25"/>
    <row r="23495" s="42" customFormat="1" x14ac:dyDescent="0.25"/>
    <row r="23496" s="42" customFormat="1" x14ac:dyDescent="0.25"/>
    <row r="23497" s="42" customFormat="1" x14ac:dyDescent="0.25"/>
    <row r="23498" s="42" customFormat="1" x14ac:dyDescent="0.25"/>
    <row r="23499" s="42" customFormat="1" x14ac:dyDescent="0.25"/>
    <row r="23500" s="42" customFormat="1" x14ac:dyDescent="0.25"/>
    <row r="23501" s="42" customFormat="1" x14ac:dyDescent="0.25"/>
    <row r="23502" s="42" customFormat="1" x14ac:dyDescent="0.25"/>
    <row r="23503" s="42" customFormat="1" x14ac:dyDescent="0.25"/>
    <row r="23504" s="42" customFormat="1" x14ac:dyDescent="0.25"/>
    <row r="23505" s="42" customFormat="1" x14ac:dyDescent="0.25"/>
    <row r="23506" s="42" customFormat="1" x14ac:dyDescent="0.25"/>
    <row r="23507" s="42" customFormat="1" x14ac:dyDescent="0.25"/>
    <row r="23508" s="42" customFormat="1" x14ac:dyDescent="0.25"/>
    <row r="23509" s="42" customFormat="1" x14ac:dyDescent="0.25"/>
    <row r="23510" s="42" customFormat="1" x14ac:dyDescent="0.25"/>
    <row r="23511" s="42" customFormat="1" x14ac:dyDescent="0.25"/>
    <row r="23512" s="42" customFormat="1" x14ac:dyDescent="0.25"/>
    <row r="23513" s="42" customFormat="1" x14ac:dyDescent="0.25"/>
    <row r="23514" s="42" customFormat="1" x14ac:dyDescent="0.25"/>
    <row r="23515" s="42" customFormat="1" x14ac:dyDescent="0.25"/>
    <row r="23516" s="42" customFormat="1" x14ac:dyDescent="0.25"/>
    <row r="23517" s="42" customFormat="1" x14ac:dyDescent="0.25"/>
    <row r="23518" s="42" customFormat="1" x14ac:dyDescent="0.25"/>
    <row r="23519" s="42" customFormat="1" x14ac:dyDescent="0.25"/>
    <row r="23520" s="42" customFormat="1" x14ac:dyDescent="0.25"/>
    <row r="23521" s="42" customFormat="1" x14ac:dyDescent="0.25"/>
    <row r="23522" s="42" customFormat="1" x14ac:dyDescent="0.25"/>
    <row r="23523" s="42" customFormat="1" x14ac:dyDescent="0.25"/>
    <row r="23524" s="42" customFormat="1" x14ac:dyDescent="0.25"/>
    <row r="23525" s="42" customFormat="1" x14ac:dyDescent="0.25"/>
    <row r="23526" s="42" customFormat="1" x14ac:dyDescent="0.25"/>
    <row r="23527" s="42" customFormat="1" x14ac:dyDescent="0.25"/>
    <row r="23528" s="42" customFormat="1" x14ac:dyDescent="0.25"/>
    <row r="23529" s="42" customFormat="1" x14ac:dyDescent="0.25"/>
    <row r="23530" s="42" customFormat="1" x14ac:dyDescent="0.25"/>
    <row r="23531" s="42" customFormat="1" x14ac:dyDescent="0.25"/>
    <row r="23532" s="42" customFormat="1" x14ac:dyDescent="0.25"/>
    <row r="23533" s="42" customFormat="1" x14ac:dyDescent="0.25"/>
    <row r="23534" s="42" customFormat="1" x14ac:dyDescent="0.25"/>
    <row r="23535" s="42" customFormat="1" x14ac:dyDescent="0.25"/>
    <row r="23536" s="42" customFormat="1" x14ac:dyDescent="0.25"/>
    <row r="23537" s="42" customFormat="1" x14ac:dyDescent="0.25"/>
    <row r="23538" s="42" customFormat="1" x14ac:dyDescent="0.25"/>
    <row r="23539" s="42" customFormat="1" x14ac:dyDescent="0.25"/>
    <row r="23540" s="42" customFormat="1" x14ac:dyDescent="0.25"/>
    <row r="23541" s="42" customFormat="1" x14ac:dyDescent="0.25"/>
    <row r="23542" s="42" customFormat="1" x14ac:dyDescent="0.25"/>
    <row r="23543" s="42" customFormat="1" x14ac:dyDescent="0.25"/>
    <row r="23544" s="42" customFormat="1" x14ac:dyDescent="0.25"/>
    <row r="23545" s="42" customFormat="1" x14ac:dyDescent="0.25"/>
    <row r="23546" s="42" customFormat="1" x14ac:dyDescent="0.25"/>
    <row r="23547" s="42" customFormat="1" x14ac:dyDescent="0.25"/>
    <row r="23548" s="42" customFormat="1" x14ac:dyDescent="0.25"/>
    <row r="23549" s="42" customFormat="1" x14ac:dyDescent="0.25"/>
    <row r="23550" s="42" customFormat="1" x14ac:dyDescent="0.25"/>
    <row r="23551" s="42" customFormat="1" x14ac:dyDescent="0.25"/>
    <row r="23552" s="42" customFormat="1" x14ac:dyDescent="0.25"/>
    <row r="23553" s="42" customFormat="1" x14ac:dyDescent="0.25"/>
    <row r="23554" s="42" customFormat="1" x14ac:dyDescent="0.25"/>
    <row r="23555" s="42" customFormat="1" x14ac:dyDescent="0.25"/>
    <row r="23556" s="42" customFormat="1" x14ac:dyDescent="0.25"/>
    <row r="23557" s="42" customFormat="1" x14ac:dyDescent="0.25"/>
    <row r="23558" s="42" customFormat="1" x14ac:dyDescent="0.25"/>
    <row r="23559" s="42" customFormat="1" x14ac:dyDescent="0.25"/>
    <row r="23560" s="42" customFormat="1" x14ac:dyDescent="0.25"/>
    <row r="23561" s="42" customFormat="1" x14ac:dyDescent="0.25"/>
    <row r="23562" s="42" customFormat="1" x14ac:dyDescent="0.25"/>
    <row r="23563" s="42" customFormat="1" x14ac:dyDescent="0.25"/>
    <row r="23564" s="42" customFormat="1" x14ac:dyDescent="0.25"/>
    <row r="23565" s="42" customFormat="1" x14ac:dyDescent="0.25"/>
    <row r="23566" s="42" customFormat="1" x14ac:dyDescent="0.25"/>
    <row r="23567" s="42" customFormat="1" x14ac:dyDescent="0.25"/>
    <row r="23568" s="42" customFormat="1" x14ac:dyDescent="0.25"/>
    <row r="23569" s="42" customFormat="1" x14ac:dyDescent="0.25"/>
    <row r="23570" s="42" customFormat="1" x14ac:dyDescent="0.25"/>
    <row r="23571" s="42" customFormat="1" x14ac:dyDescent="0.25"/>
    <row r="23572" s="42" customFormat="1" x14ac:dyDescent="0.25"/>
    <row r="23573" s="42" customFormat="1" x14ac:dyDescent="0.25"/>
    <row r="23574" s="42" customFormat="1" x14ac:dyDescent="0.25"/>
    <row r="23575" s="42" customFormat="1" x14ac:dyDescent="0.25"/>
    <row r="23576" s="42" customFormat="1" x14ac:dyDescent="0.25"/>
    <row r="23577" s="42" customFormat="1" x14ac:dyDescent="0.25"/>
    <row r="23578" s="42" customFormat="1" x14ac:dyDescent="0.25"/>
    <row r="23579" s="42" customFormat="1" x14ac:dyDescent="0.25"/>
    <row r="23580" s="42" customFormat="1" x14ac:dyDescent="0.25"/>
    <row r="23581" s="42" customFormat="1" x14ac:dyDescent="0.25"/>
    <row r="23582" s="42" customFormat="1" x14ac:dyDescent="0.25"/>
    <row r="23583" s="42" customFormat="1" x14ac:dyDescent="0.25"/>
    <row r="23584" s="42" customFormat="1" x14ac:dyDescent="0.25"/>
    <row r="23585" s="42" customFormat="1" x14ac:dyDescent="0.25"/>
    <row r="23586" s="42" customFormat="1" x14ac:dyDescent="0.25"/>
    <row r="23587" s="42" customFormat="1" x14ac:dyDescent="0.25"/>
    <row r="23588" s="42" customFormat="1" x14ac:dyDescent="0.25"/>
    <row r="23589" s="42" customFormat="1" x14ac:dyDescent="0.25"/>
    <row r="23590" s="42" customFormat="1" x14ac:dyDescent="0.25"/>
    <row r="23591" s="42" customFormat="1" x14ac:dyDescent="0.25"/>
    <row r="23592" s="42" customFormat="1" x14ac:dyDescent="0.25"/>
    <row r="23593" s="42" customFormat="1" x14ac:dyDescent="0.25"/>
    <row r="23594" s="42" customFormat="1" x14ac:dyDescent="0.25"/>
    <row r="23595" s="42" customFormat="1" x14ac:dyDescent="0.25"/>
    <row r="23596" s="42" customFormat="1" x14ac:dyDescent="0.25"/>
    <row r="23597" s="42" customFormat="1" x14ac:dyDescent="0.25"/>
    <row r="23598" s="42" customFormat="1" x14ac:dyDescent="0.25"/>
    <row r="23599" s="42" customFormat="1" x14ac:dyDescent="0.25"/>
    <row r="23600" s="42" customFormat="1" x14ac:dyDescent="0.25"/>
    <row r="23601" s="42" customFormat="1" x14ac:dyDescent="0.25"/>
    <row r="23602" s="42" customFormat="1" x14ac:dyDescent="0.25"/>
    <row r="23603" s="42" customFormat="1" x14ac:dyDescent="0.25"/>
    <row r="23604" s="42" customFormat="1" x14ac:dyDescent="0.25"/>
    <row r="23605" s="42" customFormat="1" x14ac:dyDescent="0.25"/>
    <row r="23606" s="42" customFormat="1" x14ac:dyDescent="0.25"/>
    <row r="23607" s="42" customFormat="1" x14ac:dyDescent="0.25"/>
    <row r="23608" s="42" customFormat="1" x14ac:dyDescent="0.25"/>
    <row r="23609" s="42" customFormat="1" x14ac:dyDescent="0.25"/>
    <row r="23610" s="42" customFormat="1" x14ac:dyDescent="0.25"/>
    <row r="23611" s="42" customFormat="1" x14ac:dyDescent="0.25"/>
    <row r="23612" s="42" customFormat="1" x14ac:dyDescent="0.25"/>
    <row r="23613" s="42" customFormat="1" x14ac:dyDescent="0.25"/>
    <row r="23614" s="42" customFormat="1" x14ac:dyDescent="0.25"/>
    <row r="23615" s="42" customFormat="1" x14ac:dyDescent="0.25"/>
    <row r="23616" s="42" customFormat="1" x14ac:dyDescent="0.25"/>
    <row r="23617" s="42" customFormat="1" x14ac:dyDescent="0.25"/>
    <row r="23618" s="42" customFormat="1" x14ac:dyDescent="0.25"/>
    <row r="23619" s="42" customFormat="1" x14ac:dyDescent="0.25"/>
    <row r="23620" s="42" customFormat="1" x14ac:dyDescent="0.25"/>
    <row r="23621" s="42" customFormat="1" x14ac:dyDescent="0.25"/>
    <row r="23622" s="42" customFormat="1" x14ac:dyDescent="0.25"/>
    <row r="23623" s="42" customFormat="1" x14ac:dyDescent="0.25"/>
    <row r="23624" s="42" customFormat="1" x14ac:dyDescent="0.25"/>
    <row r="23625" s="42" customFormat="1" x14ac:dyDescent="0.25"/>
    <row r="23626" s="42" customFormat="1" x14ac:dyDescent="0.25"/>
    <row r="23627" s="42" customFormat="1" x14ac:dyDescent="0.25"/>
    <row r="23628" s="42" customFormat="1" x14ac:dyDescent="0.25"/>
    <row r="23629" s="42" customFormat="1" x14ac:dyDescent="0.25"/>
    <row r="23630" s="42" customFormat="1" x14ac:dyDescent="0.25"/>
    <row r="23631" s="42" customFormat="1" x14ac:dyDescent="0.25"/>
    <row r="23632" s="42" customFormat="1" x14ac:dyDescent="0.25"/>
    <row r="23633" s="42" customFormat="1" x14ac:dyDescent="0.25"/>
    <row r="23634" s="42" customFormat="1" x14ac:dyDescent="0.25"/>
    <row r="23635" s="42" customFormat="1" x14ac:dyDescent="0.25"/>
    <row r="23636" s="42" customFormat="1" x14ac:dyDescent="0.25"/>
    <row r="23637" s="42" customFormat="1" x14ac:dyDescent="0.25"/>
    <row r="23638" s="42" customFormat="1" x14ac:dyDescent="0.25"/>
    <row r="23639" s="42" customFormat="1" x14ac:dyDescent="0.25"/>
    <row r="23640" s="42" customFormat="1" x14ac:dyDescent="0.25"/>
    <row r="23641" s="42" customFormat="1" x14ac:dyDescent="0.25"/>
    <row r="23642" s="42" customFormat="1" x14ac:dyDescent="0.25"/>
    <row r="23643" s="42" customFormat="1" x14ac:dyDescent="0.25"/>
    <row r="23644" s="42" customFormat="1" x14ac:dyDescent="0.25"/>
    <row r="23645" s="42" customFormat="1" x14ac:dyDescent="0.25"/>
    <row r="23646" s="42" customFormat="1" x14ac:dyDescent="0.25"/>
    <row r="23647" s="42" customFormat="1" x14ac:dyDescent="0.25"/>
    <row r="23648" s="42" customFormat="1" x14ac:dyDescent="0.25"/>
    <row r="23649" s="42" customFormat="1" x14ac:dyDescent="0.25"/>
    <row r="23650" s="42" customFormat="1" x14ac:dyDescent="0.25"/>
    <row r="23651" s="42" customFormat="1" x14ac:dyDescent="0.25"/>
    <row r="23652" s="42" customFormat="1" x14ac:dyDescent="0.25"/>
    <row r="23653" s="42" customFormat="1" x14ac:dyDescent="0.25"/>
    <row r="23654" s="42" customFormat="1" x14ac:dyDescent="0.25"/>
    <row r="23655" s="42" customFormat="1" x14ac:dyDescent="0.25"/>
    <row r="23656" s="42" customFormat="1" x14ac:dyDescent="0.25"/>
    <row r="23657" s="42" customFormat="1" x14ac:dyDescent="0.25"/>
    <row r="23658" s="42" customFormat="1" x14ac:dyDescent="0.25"/>
    <row r="23659" s="42" customFormat="1" x14ac:dyDescent="0.25"/>
    <row r="23660" s="42" customFormat="1" x14ac:dyDescent="0.25"/>
    <row r="23661" s="42" customFormat="1" x14ac:dyDescent="0.25"/>
    <row r="23662" s="42" customFormat="1" x14ac:dyDescent="0.25"/>
    <row r="23663" s="42" customFormat="1" x14ac:dyDescent="0.25"/>
    <row r="23664" s="42" customFormat="1" x14ac:dyDescent="0.25"/>
    <row r="23665" s="42" customFormat="1" x14ac:dyDescent="0.25"/>
    <row r="23666" s="42" customFormat="1" x14ac:dyDescent="0.25"/>
    <row r="23667" s="42" customFormat="1" x14ac:dyDescent="0.25"/>
    <row r="23668" s="42" customFormat="1" x14ac:dyDescent="0.25"/>
    <row r="23669" s="42" customFormat="1" x14ac:dyDescent="0.25"/>
    <row r="23670" s="42" customFormat="1" x14ac:dyDescent="0.25"/>
    <row r="23671" s="42" customFormat="1" x14ac:dyDescent="0.25"/>
    <row r="23672" s="42" customFormat="1" x14ac:dyDescent="0.25"/>
    <row r="23673" s="42" customFormat="1" x14ac:dyDescent="0.25"/>
    <row r="23674" s="42" customFormat="1" x14ac:dyDescent="0.25"/>
    <row r="23675" s="42" customFormat="1" x14ac:dyDescent="0.25"/>
    <row r="23676" s="42" customFormat="1" x14ac:dyDescent="0.25"/>
    <row r="23677" s="42" customFormat="1" x14ac:dyDescent="0.25"/>
    <row r="23678" s="42" customFormat="1" x14ac:dyDescent="0.25"/>
    <row r="23679" s="42" customFormat="1" x14ac:dyDescent="0.25"/>
    <row r="23680" s="42" customFormat="1" x14ac:dyDescent="0.25"/>
    <row r="23681" s="42" customFormat="1" x14ac:dyDescent="0.25"/>
    <row r="23682" s="42" customFormat="1" x14ac:dyDescent="0.25"/>
    <row r="23683" s="42" customFormat="1" x14ac:dyDescent="0.25"/>
    <row r="23684" s="42" customFormat="1" x14ac:dyDescent="0.25"/>
    <row r="23685" s="42" customFormat="1" x14ac:dyDescent="0.25"/>
    <row r="23686" s="42" customFormat="1" x14ac:dyDescent="0.25"/>
    <row r="23687" s="42" customFormat="1" x14ac:dyDescent="0.25"/>
    <row r="23688" s="42" customFormat="1" x14ac:dyDescent="0.25"/>
    <row r="23689" s="42" customFormat="1" x14ac:dyDescent="0.25"/>
    <row r="23690" s="42" customFormat="1" x14ac:dyDescent="0.25"/>
    <row r="23691" s="42" customFormat="1" x14ac:dyDescent="0.25"/>
    <row r="23692" s="42" customFormat="1" x14ac:dyDescent="0.25"/>
    <row r="23693" s="42" customFormat="1" x14ac:dyDescent="0.25"/>
    <row r="23694" s="42" customFormat="1" x14ac:dyDescent="0.25"/>
    <row r="23695" s="42" customFormat="1" x14ac:dyDescent="0.25"/>
    <row r="23696" s="42" customFormat="1" x14ac:dyDescent="0.25"/>
    <row r="23697" s="42" customFormat="1" x14ac:dyDescent="0.25"/>
    <row r="23698" s="42" customFormat="1" x14ac:dyDescent="0.25"/>
    <row r="23699" s="42" customFormat="1" x14ac:dyDescent="0.25"/>
    <row r="23700" s="42" customFormat="1" x14ac:dyDescent="0.25"/>
    <row r="23701" s="42" customFormat="1" x14ac:dyDescent="0.25"/>
    <row r="23702" s="42" customFormat="1" x14ac:dyDescent="0.25"/>
    <row r="23703" s="42" customFormat="1" x14ac:dyDescent="0.25"/>
    <row r="23704" s="42" customFormat="1" x14ac:dyDescent="0.25"/>
    <row r="23705" s="42" customFormat="1" x14ac:dyDescent="0.25"/>
    <row r="23706" s="42" customFormat="1" x14ac:dyDescent="0.25"/>
    <row r="23707" s="42" customFormat="1" x14ac:dyDescent="0.25"/>
    <row r="23708" s="42" customFormat="1" x14ac:dyDescent="0.25"/>
    <row r="23709" s="42" customFormat="1" x14ac:dyDescent="0.25"/>
    <row r="23710" s="42" customFormat="1" x14ac:dyDescent="0.25"/>
    <row r="23711" s="42" customFormat="1" x14ac:dyDescent="0.25"/>
    <row r="23712" s="42" customFormat="1" x14ac:dyDescent="0.25"/>
    <row r="23713" s="42" customFormat="1" x14ac:dyDescent="0.25"/>
    <row r="23714" s="42" customFormat="1" x14ac:dyDescent="0.25"/>
    <row r="23715" s="42" customFormat="1" x14ac:dyDescent="0.25"/>
    <row r="23716" s="42" customFormat="1" x14ac:dyDescent="0.25"/>
    <row r="23717" s="42" customFormat="1" x14ac:dyDescent="0.25"/>
    <row r="23718" s="42" customFormat="1" x14ac:dyDescent="0.25"/>
    <row r="23719" s="42" customFormat="1" x14ac:dyDescent="0.25"/>
    <row r="23720" s="42" customFormat="1" x14ac:dyDescent="0.25"/>
    <row r="23721" s="42" customFormat="1" x14ac:dyDescent="0.25"/>
    <row r="23722" s="42" customFormat="1" x14ac:dyDescent="0.25"/>
    <row r="23723" s="42" customFormat="1" x14ac:dyDescent="0.25"/>
    <row r="23724" s="42" customFormat="1" x14ac:dyDescent="0.25"/>
    <row r="23725" s="42" customFormat="1" x14ac:dyDescent="0.25"/>
    <row r="23726" s="42" customFormat="1" x14ac:dyDescent="0.25"/>
    <row r="23727" s="42" customFormat="1" x14ac:dyDescent="0.25"/>
    <row r="23728" s="42" customFormat="1" x14ac:dyDescent="0.25"/>
    <row r="23729" s="42" customFormat="1" x14ac:dyDescent="0.25"/>
    <row r="23730" s="42" customFormat="1" x14ac:dyDescent="0.25"/>
    <row r="23731" s="42" customFormat="1" x14ac:dyDescent="0.25"/>
    <row r="23732" s="42" customFormat="1" x14ac:dyDescent="0.25"/>
    <row r="23733" s="42" customFormat="1" x14ac:dyDescent="0.25"/>
    <row r="23734" s="42" customFormat="1" x14ac:dyDescent="0.25"/>
    <row r="23735" s="42" customFormat="1" x14ac:dyDescent="0.25"/>
    <row r="23736" s="42" customFormat="1" x14ac:dyDescent="0.25"/>
    <row r="23737" s="42" customFormat="1" x14ac:dyDescent="0.25"/>
    <row r="23738" s="42" customFormat="1" x14ac:dyDescent="0.25"/>
    <row r="23739" s="42" customFormat="1" x14ac:dyDescent="0.25"/>
    <row r="23740" s="42" customFormat="1" x14ac:dyDescent="0.25"/>
    <row r="23741" s="42" customFormat="1" x14ac:dyDescent="0.25"/>
    <row r="23742" s="42" customFormat="1" x14ac:dyDescent="0.25"/>
    <row r="23743" s="42" customFormat="1" x14ac:dyDescent="0.25"/>
    <row r="23744" s="42" customFormat="1" x14ac:dyDescent="0.25"/>
    <row r="23745" s="42" customFormat="1" x14ac:dyDescent="0.25"/>
    <row r="23746" s="42" customFormat="1" x14ac:dyDescent="0.25"/>
    <row r="23747" s="42" customFormat="1" x14ac:dyDescent="0.25"/>
    <row r="23748" s="42" customFormat="1" x14ac:dyDescent="0.25"/>
    <row r="23749" s="42" customFormat="1" x14ac:dyDescent="0.25"/>
    <row r="23750" s="42" customFormat="1" x14ac:dyDescent="0.25"/>
    <row r="23751" s="42" customFormat="1" x14ac:dyDescent="0.25"/>
    <row r="23752" s="42" customFormat="1" x14ac:dyDescent="0.25"/>
    <row r="23753" s="42" customFormat="1" x14ac:dyDescent="0.25"/>
    <row r="23754" s="42" customFormat="1" x14ac:dyDescent="0.25"/>
    <row r="23755" s="42" customFormat="1" x14ac:dyDescent="0.25"/>
    <row r="23756" s="42" customFormat="1" x14ac:dyDescent="0.25"/>
    <row r="23757" s="42" customFormat="1" x14ac:dyDescent="0.25"/>
    <row r="23758" s="42" customFormat="1" x14ac:dyDescent="0.25"/>
    <row r="23759" s="42" customFormat="1" x14ac:dyDescent="0.25"/>
    <row r="23760" s="42" customFormat="1" x14ac:dyDescent="0.25"/>
    <row r="23761" s="42" customFormat="1" x14ac:dyDescent="0.25"/>
    <row r="23762" s="42" customFormat="1" x14ac:dyDescent="0.25"/>
    <row r="23763" s="42" customFormat="1" x14ac:dyDescent="0.25"/>
    <row r="23764" s="42" customFormat="1" x14ac:dyDescent="0.25"/>
    <row r="23765" s="42" customFormat="1" x14ac:dyDescent="0.25"/>
    <row r="23766" s="42" customFormat="1" x14ac:dyDescent="0.25"/>
    <row r="23767" s="42" customFormat="1" x14ac:dyDescent="0.25"/>
    <row r="23768" s="42" customFormat="1" x14ac:dyDescent="0.25"/>
    <row r="23769" s="42" customFormat="1" x14ac:dyDescent="0.25"/>
    <row r="23770" s="42" customFormat="1" x14ac:dyDescent="0.25"/>
    <row r="23771" s="42" customFormat="1" x14ac:dyDescent="0.25"/>
    <row r="23772" s="42" customFormat="1" x14ac:dyDescent="0.25"/>
    <row r="23773" s="42" customFormat="1" x14ac:dyDescent="0.25"/>
    <row r="23774" s="42" customFormat="1" x14ac:dyDescent="0.25"/>
    <row r="23775" s="42" customFormat="1" x14ac:dyDescent="0.25"/>
    <row r="23776" s="42" customFormat="1" x14ac:dyDescent="0.25"/>
    <row r="23777" s="42" customFormat="1" x14ac:dyDescent="0.25"/>
    <row r="23778" s="42" customFormat="1" x14ac:dyDescent="0.25"/>
    <row r="23779" s="42" customFormat="1" x14ac:dyDescent="0.25"/>
    <row r="23780" s="42" customFormat="1" x14ac:dyDescent="0.25"/>
    <row r="23781" s="42" customFormat="1" x14ac:dyDescent="0.25"/>
    <row r="23782" s="42" customFormat="1" x14ac:dyDescent="0.25"/>
    <row r="23783" s="42" customFormat="1" x14ac:dyDescent="0.25"/>
    <row r="23784" s="42" customFormat="1" x14ac:dyDescent="0.25"/>
    <row r="23785" s="42" customFormat="1" x14ac:dyDescent="0.25"/>
    <row r="23786" s="42" customFormat="1" x14ac:dyDescent="0.25"/>
    <row r="23787" s="42" customFormat="1" x14ac:dyDescent="0.25"/>
    <row r="23788" s="42" customFormat="1" x14ac:dyDescent="0.25"/>
    <row r="23789" s="42" customFormat="1" x14ac:dyDescent="0.25"/>
    <row r="23790" s="42" customFormat="1" x14ac:dyDescent="0.25"/>
    <row r="23791" s="42" customFormat="1" x14ac:dyDescent="0.25"/>
    <row r="23792" s="42" customFormat="1" x14ac:dyDescent="0.25"/>
    <row r="23793" s="42" customFormat="1" x14ac:dyDescent="0.25"/>
    <row r="23794" s="42" customFormat="1" x14ac:dyDescent="0.25"/>
    <row r="23795" s="42" customFormat="1" x14ac:dyDescent="0.25"/>
    <row r="23796" s="42" customFormat="1" x14ac:dyDescent="0.25"/>
    <row r="23797" s="42" customFormat="1" x14ac:dyDescent="0.25"/>
    <row r="23798" s="42" customFormat="1" x14ac:dyDescent="0.25"/>
    <row r="23799" s="42" customFormat="1" x14ac:dyDescent="0.25"/>
    <row r="23800" s="42" customFormat="1" x14ac:dyDescent="0.25"/>
    <row r="23801" s="42" customFormat="1" x14ac:dyDescent="0.25"/>
    <row r="23802" s="42" customFormat="1" x14ac:dyDescent="0.25"/>
    <row r="23803" s="42" customFormat="1" x14ac:dyDescent="0.25"/>
    <row r="23804" s="42" customFormat="1" x14ac:dyDescent="0.25"/>
    <row r="23805" s="42" customFormat="1" x14ac:dyDescent="0.25"/>
    <row r="23806" s="42" customFormat="1" x14ac:dyDescent="0.25"/>
    <row r="23807" s="42" customFormat="1" x14ac:dyDescent="0.25"/>
    <row r="23808" s="42" customFormat="1" x14ac:dyDescent="0.25"/>
    <row r="23809" s="42" customFormat="1" x14ac:dyDescent="0.25"/>
    <row r="23810" s="42" customFormat="1" x14ac:dyDescent="0.25"/>
    <row r="23811" s="42" customFormat="1" x14ac:dyDescent="0.25"/>
    <row r="23812" s="42" customFormat="1" x14ac:dyDescent="0.25"/>
    <row r="23813" s="42" customFormat="1" x14ac:dyDescent="0.25"/>
    <row r="23814" s="42" customFormat="1" x14ac:dyDescent="0.25"/>
    <row r="23815" s="42" customFormat="1" x14ac:dyDescent="0.25"/>
    <row r="23816" s="42" customFormat="1" x14ac:dyDescent="0.25"/>
    <row r="23817" s="42" customFormat="1" x14ac:dyDescent="0.25"/>
    <row r="23818" s="42" customFormat="1" x14ac:dyDescent="0.25"/>
    <row r="23819" s="42" customFormat="1" x14ac:dyDescent="0.25"/>
    <row r="23820" s="42" customFormat="1" x14ac:dyDescent="0.25"/>
    <row r="23821" s="42" customFormat="1" x14ac:dyDescent="0.25"/>
    <row r="23822" s="42" customFormat="1" x14ac:dyDescent="0.25"/>
    <row r="23823" s="42" customFormat="1" x14ac:dyDescent="0.25"/>
    <row r="23824" s="42" customFormat="1" x14ac:dyDescent="0.25"/>
    <row r="23825" s="42" customFormat="1" x14ac:dyDescent="0.25"/>
    <row r="23826" s="42" customFormat="1" x14ac:dyDescent="0.25"/>
    <row r="23827" s="42" customFormat="1" x14ac:dyDescent="0.25"/>
    <row r="23828" s="42" customFormat="1" x14ac:dyDescent="0.25"/>
    <row r="23829" s="42" customFormat="1" x14ac:dyDescent="0.25"/>
    <row r="23830" s="42" customFormat="1" x14ac:dyDescent="0.25"/>
    <row r="23831" s="42" customFormat="1" x14ac:dyDescent="0.25"/>
    <row r="23832" s="42" customFormat="1" x14ac:dyDescent="0.25"/>
    <row r="23833" s="42" customFormat="1" x14ac:dyDescent="0.25"/>
    <row r="23834" s="42" customFormat="1" x14ac:dyDescent="0.25"/>
    <row r="23835" s="42" customFormat="1" x14ac:dyDescent="0.25"/>
    <row r="23836" s="42" customFormat="1" x14ac:dyDescent="0.25"/>
    <row r="23837" s="42" customFormat="1" x14ac:dyDescent="0.25"/>
    <row r="23838" s="42" customFormat="1" x14ac:dyDescent="0.25"/>
    <row r="23839" s="42" customFormat="1" x14ac:dyDescent="0.25"/>
    <row r="23840" s="42" customFormat="1" x14ac:dyDescent="0.25"/>
    <row r="23841" s="42" customFormat="1" x14ac:dyDescent="0.25"/>
    <row r="23842" s="42" customFormat="1" x14ac:dyDescent="0.25"/>
    <row r="23843" s="42" customFormat="1" x14ac:dyDescent="0.25"/>
    <row r="23844" s="42" customFormat="1" x14ac:dyDescent="0.25"/>
    <row r="23845" s="42" customFormat="1" x14ac:dyDescent="0.25"/>
    <row r="23846" s="42" customFormat="1" x14ac:dyDescent="0.25"/>
    <row r="23847" s="42" customFormat="1" x14ac:dyDescent="0.25"/>
    <row r="23848" s="42" customFormat="1" x14ac:dyDescent="0.25"/>
    <row r="23849" s="42" customFormat="1" x14ac:dyDescent="0.25"/>
    <row r="23850" s="42" customFormat="1" x14ac:dyDescent="0.25"/>
    <row r="23851" s="42" customFormat="1" x14ac:dyDescent="0.25"/>
    <row r="23852" s="42" customFormat="1" x14ac:dyDescent="0.25"/>
    <row r="23853" s="42" customFormat="1" x14ac:dyDescent="0.25"/>
    <row r="23854" s="42" customFormat="1" x14ac:dyDescent="0.25"/>
    <row r="23855" s="42" customFormat="1" x14ac:dyDescent="0.25"/>
    <row r="23856" s="42" customFormat="1" x14ac:dyDescent="0.25"/>
    <row r="23857" s="42" customFormat="1" x14ac:dyDescent="0.25"/>
    <row r="23858" s="42" customFormat="1" x14ac:dyDescent="0.25"/>
    <row r="23859" s="42" customFormat="1" x14ac:dyDescent="0.25"/>
    <row r="23860" s="42" customFormat="1" x14ac:dyDescent="0.25"/>
    <row r="23861" s="42" customFormat="1" x14ac:dyDescent="0.25"/>
    <row r="23862" s="42" customFormat="1" x14ac:dyDescent="0.25"/>
    <row r="23863" s="42" customFormat="1" x14ac:dyDescent="0.25"/>
    <row r="23864" s="42" customFormat="1" x14ac:dyDescent="0.25"/>
    <row r="23865" s="42" customFormat="1" x14ac:dyDescent="0.25"/>
    <row r="23866" s="42" customFormat="1" x14ac:dyDescent="0.25"/>
    <row r="23867" s="42" customFormat="1" x14ac:dyDescent="0.25"/>
    <row r="23868" s="42" customFormat="1" x14ac:dyDescent="0.25"/>
    <row r="23869" s="42" customFormat="1" x14ac:dyDescent="0.25"/>
    <row r="23870" s="42" customFormat="1" x14ac:dyDescent="0.25"/>
    <row r="23871" s="42" customFormat="1" x14ac:dyDescent="0.25"/>
    <row r="23872" s="42" customFormat="1" x14ac:dyDescent="0.25"/>
    <row r="23873" s="42" customFormat="1" x14ac:dyDescent="0.25"/>
    <row r="23874" s="42" customFormat="1" x14ac:dyDescent="0.25"/>
    <row r="23875" s="42" customFormat="1" x14ac:dyDescent="0.25"/>
    <row r="23876" s="42" customFormat="1" x14ac:dyDescent="0.25"/>
    <row r="23877" s="42" customFormat="1" x14ac:dyDescent="0.25"/>
    <row r="23878" s="42" customFormat="1" x14ac:dyDescent="0.25"/>
    <row r="23879" s="42" customFormat="1" x14ac:dyDescent="0.25"/>
    <row r="23880" s="42" customFormat="1" x14ac:dyDescent="0.25"/>
    <row r="23881" s="42" customFormat="1" x14ac:dyDescent="0.25"/>
    <row r="23882" s="42" customFormat="1" x14ac:dyDescent="0.25"/>
    <row r="23883" s="42" customFormat="1" x14ac:dyDescent="0.25"/>
    <row r="23884" s="42" customFormat="1" x14ac:dyDescent="0.25"/>
    <row r="23885" s="42" customFormat="1" x14ac:dyDescent="0.25"/>
    <row r="23886" s="42" customFormat="1" x14ac:dyDescent="0.25"/>
    <row r="23887" s="42" customFormat="1" x14ac:dyDescent="0.25"/>
    <row r="23888" s="42" customFormat="1" x14ac:dyDescent="0.25"/>
    <row r="23889" s="42" customFormat="1" x14ac:dyDescent="0.25"/>
    <row r="23890" s="42" customFormat="1" x14ac:dyDescent="0.25"/>
    <row r="23891" s="42" customFormat="1" x14ac:dyDescent="0.25"/>
    <row r="23892" s="42" customFormat="1" x14ac:dyDescent="0.25"/>
    <row r="23893" s="42" customFormat="1" x14ac:dyDescent="0.25"/>
    <row r="23894" s="42" customFormat="1" x14ac:dyDescent="0.25"/>
    <row r="23895" s="42" customFormat="1" x14ac:dyDescent="0.25"/>
    <row r="23896" s="42" customFormat="1" x14ac:dyDescent="0.25"/>
    <row r="23897" s="42" customFormat="1" x14ac:dyDescent="0.25"/>
    <row r="23898" s="42" customFormat="1" x14ac:dyDescent="0.25"/>
    <row r="23899" s="42" customFormat="1" x14ac:dyDescent="0.25"/>
    <row r="23900" s="42" customFormat="1" x14ac:dyDescent="0.25"/>
    <row r="23901" s="42" customFormat="1" x14ac:dyDescent="0.25"/>
    <row r="23902" s="42" customFormat="1" x14ac:dyDescent="0.25"/>
    <row r="23903" s="42" customFormat="1" x14ac:dyDescent="0.25"/>
    <row r="23904" s="42" customFormat="1" x14ac:dyDescent="0.25"/>
    <row r="23905" s="42" customFormat="1" x14ac:dyDescent="0.25"/>
    <row r="23906" s="42" customFormat="1" x14ac:dyDescent="0.25"/>
    <row r="23907" s="42" customFormat="1" x14ac:dyDescent="0.25"/>
    <row r="23908" s="42" customFormat="1" x14ac:dyDescent="0.25"/>
    <row r="23909" s="42" customFormat="1" x14ac:dyDescent="0.25"/>
    <row r="23910" s="42" customFormat="1" x14ac:dyDescent="0.25"/>
    <row r="23911" s="42" customFormat="1" x14ac:dyDescent="0.25"/>
    <row r="23912" s="42" customFormat="1" x14ac:dyDescent="0.25"/>
    <row r="23913" s="42" customFormat="1" x14ac:dyDescent="0.25"/>
    <row r="23914" s="42" customFormat="1" x14ac:dyDescent="0.25"/>
    <row r="23915" s="42" customFormat="1" x14ac:dyDescent="0.25"/>
    <row r="23916" s="42" customFormat="1" x14ac:dyDescent="0.25"/>
    <row r="23917" s="42" customFormat="1" x14ac:dyDescent="0.25"/>
    <row r="23918" s="42" customFormat="1" x14ac:dyDescent="0.25"/>
    <row r="23919" s="42" customFormat="1" x14ac:dyDescent="0.25"/>
    <row r="23920" s="42" customFormat="1" x14ac:dyDescent="0.25"/>
    <row r="23921" s="42" customFormat="1" x14ac:dyDescent="0.25"/>
    <row r="23922" s="42" customFormat="1" x14ac:dyDescent="0.25"/>
    <row r="23923" s="42" customFormat="1" x14ac:dyDescent="0.25"/>
    <row r="23924" s="42" customFormat="1" x14ac:dyDescent="0.25"/>
    <row r="23925" s="42" customFormat="1" x14ac:dyDescent="0.25"/>
    <row r="23926" s="42" customFormat="1" x14ac:dyDescent="0.25"/>
    <row r="23927" s="42" customFormat="1" x14ac:dyDescent="0.25"/>
    <row r="23928" s="42" customFormat="1" x14ac:dyDescent="0.25"/>
    <row r="23929" s="42" customFormat="1" x14ac:dyDescent="0.25"/>
    <row r="23930" s="42" customFormat="1" x14ac:dyDescent="0.25"/>
    <row r="23931" s="42" customFormat="1" x14ac:dyDescent="0.25"/>
    <row r="23932" s="42" customFormat="1" x14ac:dyDescent="0.25"/>
    <row r="23933" s="42" customFormat="1" x14ac:dyDescent="0.25"/>
    <row r="23934" s="42" customFormat="1" x14ac:dyDescent="0.25"/>
    <row r="23935" s="42" customFormat="1" x14ac:dyDescent="0.25"/>
    <row r="23936" s="42" customFormat="1" x14ac:dyDescent="0.25"/>
    <row r="23937" s="42" customFormat="1" x14ac:dyDescent="0.25"/>
    <row r="23938" s="42" customFormat="1" x14ac:dyDescent="0.25"/>
    <row r="23939" s="42" customFormat="1" x14ac:dyDescent="0.25"/>
    <row r="23940" s="42" customFormat="1" x14ac:dyDescent="0.25"/>
    <row r="23941" s="42" customFormat="1" x14ac:dyDescent="0.25"/>
    <row r="23942" s="42" customFormat="1" x14ac:dyDescent="0.25"/>
    <row r="23943" s="42" customFormat="1" x14ac:dyDescent="0.25"/>
    <row r="23944" s="42" customFormat="1" x14ac:dyDescent="0.25"/>
    <row r="23945" s="42" customFormat="1" x14ac:dyDescent="0.25"/>
    <row r="23946" s="42" customFormat="1" x14ac:dyDescent="0.25"/>
    <row r="23947" s="42" customFormat="1" x14ac:dyDescent="0.25"/>
    <row r="23948" s="42" customFormat="1" x14ac:dyDescent="0.25"/>
    <row r="23949" s="42" customFormat="1" x14ac:dyDescent="0.25"/>
    <row r="23950" s="42" customFormat="1" x14ac:dyDescent="0.25"/>
    <row r="23951" s="42" customFormat="1" x14ac:dyDescent="0.25"/>
    <row r="23952" s="42" customFormat="1" x14ac:dyDescent="0.25"/>
    <row r="23953" s="42" customFormat="1" x14ac:dyDescent="0.25"/>
    <row r="23954" s="42" customFormat="1" x14ac:dyDescent="0.25"/>
    <row r="23955" s="42" customFormat="1" x14ac:dyDescent="0.25"/>
    <row r="23956" s="42" customFormat="1" x14ac:dyDescent="0.25"/>
    <row r="23957" s="42" customFormat="1" x14ac:dyDescent="0.25"/>
    <row r="23958" s="42" customFormat="1" x14ac:dyDescent="0.25"/>
    <row r="23959" s="42" customFormat="1" x14ac:dyDescent="0.25"/>
    <row r="23960" s="42" customFormat="1" x14ac:dyDescent="0.25"/>
    <row r="23961" s="42" customFormat="1" x14ac:dyDescent="0.25"/>
    <row r="23962" s="42" customFormat="1" x14ac:dyDescent="0.25"/>
    <row r="23963" s="42" customFormat="1" x14ac:dyDescent="0.25"/>
    <row r="23964" s="42" customFormat="1" x14ac:dyDescent="0.25"/>
    <row r="23965" s="42" customFormat="1" x14ac:dyDescent="0.25"/>
    <row r="23966" s="42" customFormat="1" x14ac:dyDescent="0.25"/>
    <row r="23967" s="42" customFormat="1" x14ac:dyDescent="0.25"/>
    <row r="23968" s="42" customFormat="1" x14ac:dyDescent="0.25"/>
    <row r="23969" s="42" customFormat="1" x14ac:dyDescent="0.25"/>
    <row r="23970" s="42" customFormat="1" x14ac:dyDescent="0.25"/>
    <row r="23971" s="42" customFormat="1" x14ac:dyDescent="0.25"/>
    <row r="23972" s="42" customFormat="1" x14ac:dyDescent="0.25"/>
    <row r="23973" s="42" customFormat="1" x14ac:dyDescent="0.25"/>
    <row r="23974" s="42" customFormat="1" x14ac:dyDescent="0.25"/>
    <row r="23975" s="42" customFormat="1" x14ac:dyDescent="0.25"/>
    <row r="23976" s="42" customFormat="1" x14ac:dyDescent="0.25"/>
    <row r="23977" s="42" customFormat="1" x14ac:dyDescent="0.25"/>
    <row r="23978" s="42" customFormat="1" x14ac:dyDescent="0.25"/>
    <row r="23979" s="42" customFormat="1" x14ac:dyDescent="0.25"/>
    <row r="23980" s="42" customFormat="1" x14ac:dyDescent="0.25"/>
    <row r="23981" s="42" customFormat="1" x14ac:dyDescent="0.25"/>
    <row r="23982" s="42" customFormat="1" x14ac:dyDescent="0.25"/>
    <row r="23983" s="42" customFormat="1" x14ac:dyDescent="0.25"/>
    <row r="23984" s="42" customFormat="1" x14ac:dyDescent="0.25"/>
    <row r="23985" s="42" customFormat="1" x14ac:dyDescent="0.25"/>
    <row r="23986" s="42" customFormat="1" x14ac:dyDescent="0.25"/>
    <row r="23987" s="42" customFormat="1" x14ac:dyDescent="0.25"/>
    <row r="23988" s="42" customFormat="1" x14ac:dyDescent="0.25"/>
    <row r="23989" s="42" customFormat="1" x14ac:dyDescent="0.25"/>
    <row r="23990" s="42" customFormat="1" x14ac:dyDescent="0.25"/>
    <row r="23991" s="42" customFormat="1" x14ac:dyDescent="0.25"/>
    <row r="23992" s="42" customFormat="1" x14ac:dyDescent="0.25"/>
    <row r="23993" s="42" customFormat="1" x14ac:dyDescent="0.25"/>
    <row r="23994" s="42" customFormat="1" x14ac:dyDescent="0.25"/>
    <row r="23995" s="42" customFormat="1" x14ac:dyDescent="0.25"/>
    <row r="23996" s="42" customFormat="1" x14ac:dyDescent="0.25"/>
    <row r="23997" s="42" customFormat="1" x14ac:dyDescent="0.25"/>
    <row r="23998" s="42" customFormat="1" x14ac:dyDescent="0.25"/>
    <row r="23999" s="42" customFormat="1" x14ac:dyDescent="0.25"/>
    <row r="24000" s="42" customFormat="1" x14ac:dyDescent="0.25"/>
    <row r="24001" s="42" customFormat="1" x14ac:dyDescent="0.25"/>
    <row r="24002" s="42" customFormat="1" x14ac:dyDescent="0.25"/>
    <row r="24003" s="42" customFormat="1" x14ac:dyDescent="0.25"/>
    <row r="24004" s="42" customFormat="1" x14ac:dyDescent="0.25"/>
    <row r="24005" s="42" customFormat="1" x14ac:dyDescent="0.25"/>
    <row r="24006" s="42" customFormat="1" x14ac:dyDescent="0.25"/>
    <row r="24007" s="42" customFormat="1" x14ac:dyDescent="0.25"/>
    <row r="24008" s="42" customFormat="1" x14ac:dyDescent="0.25"/>
    <row r="24009" s="42" customFormat="1" x14ac:dyDescent="0.25"/>
    <row r="24010" s="42" customFormat="1" x14ac:dyDescent="0.25"/>
    <row r="24011" s="42" customFormat="1" x14ac:dyDescent="0.25"/>
    <row r="24012" s="42" customFormat="1" x14ac:dyDescent="0.25"/>
    <row r="24013" s="42" customFormat="1" x14ac:dyDescent="0.25"/>
    <row r="24014" s="42" customFormat="1" x14ac:dyDescent="0.25"/>
    <row r="24015" s="42" customFormat="1" x14ac:dyDescent="0.25"/>
    <row r="24016" s="42" customFormat="1" x14ac:dyDescent="0.25"/>
    <row r="24017" s="42" customFormat="1" x14ac:dyDescent="0.25"/>
    <row r="24018" s="42" customFormat="1" x14ac:dyDescent="0.25"/>
    <row r="24019" s="42" customFormat="1" x14ac:dyDescent="0.25"/>
    <row r="24020" s="42" customFormat="1" x14ac:dyDescent="0.25"/>
    <row r="24021" s="42" customFormat="1" x14ac:dyDescent="0.25"/>
    <row r="24022" s="42" customFormat="1" x14ac:dyDescent="0.25"/>
    <row r="24023" s="42" customFormat="1" x14ac:dyDescent="0.25"/>
    <row r="24024" s="42" customFormat="1" x14ac:dyDescent="0.25"/>
    <row r="24025" s="42" customFormat="1" x14ac:dyDescent="0.25"/>
    <row r="24026" s="42" customFormat="1" x14ac:dyDescent="0.25"/>
    <row r="24027" s="42" customFormat="1" x14ac:dyDescent="0.25"/>
    <row r="24028" s="42" customFormat="1" x14ac:dyDescent="0.25"/>
    <row r="24029" s="42" customFormat="1" x14ac:dyDescent="0.25"/>
    <row r="24030" s="42" customFormat="1" x14ac:dyDescent="0.25"/>
    <row r="24031" s="42" customFormat="1" x14ac:dyDescent="0.25"/>
    <row r="24032" s="42" customFormat="1" x14ac:dyDescent="0.25"/>
    <row r="24033" s="42" customFormat="1" x14ac:dyDescent="0.25"/>
    <row r="24034" s="42" customFormat="1" x14ac:dyDescent="0.25"/>
    <row r="24035" s="42" customFormat="1" x14ac:dyDescent="0.25"/>
    <row r="24036" s="42" customFormat="1" x14ac:dyDescent="0.25"/>
    <row r="24037" s="42" customFormat="1" x14ac:dyDescent="0.25"/>
    <row r="24038" s="42" customFormat="1" x14ac:dyDescent="0.25"/>
    <row r="24039" s="42" customFormat="1" x14ac:dyDescent="0.25"/>
    <row r="24040" s="42" customFormat="1" x14ac:dyDescent="0.25"/>
    <row r="24041" s="42" customFormat="1" x14ac:dyDescent="0.25"/>
    <row r="24042" s="42" customFormat="1" x14ac:dyDescent="0.25"/>
    <row r="24043" s="42" customFormat="1" x14ac:dyDescent="0.25"/>
    <row r="24044" s="42" customFormat="1" x14ac:dyDescent="0.25"/>
    <row r="24045" s="42" customFormat="1" x14ac:dyDescent="0.25"/>
    <row r="24046" s="42" customFormat="1" x14ac:dyDescent="0.25"/>
    <row r="24047" s="42" customFormat="1" x14ac:dyDescent="0.25"/>
    <row r="24048" s="42" customFormat="1" x14ac:dyDescent="0.25"/>
    <row r="24049" s="42" customFormat="1" x14ac:dyDescent="0.25"/>
    <row r="24050" s="42" customFormat="1" x14ac:dyDescent="0.25"/>
    <row r="24051" s="42" customFormat="1" x14ac:dyDescent="0.25"/>
    <row r="24052" s="42" customFormat="1" x14ac:dyDescent="0.25"/>
    <row r="24053" s="42" customFormat="1" x14ac:dyDescent="0.25"/>
    <row r="24054" s="42" customFormat="1" x14ac:dyDescent="0.25"/>
    <row r="24055" s="42" customFormat="1" x14ac:dyDescent="0.25"/>
    <row r="24056" s="42" customFormat="1" x14ac:dyDescent="0.25"/>
    <row r="24057" s="42" customFormat="1" x14ac:dyDescent="0.25"/>
    <row r="24058" s="42" customFormat="1" x14ac:dyDescent="0.25"/>
    <row r="24059" s="42" customFormat="1" x14ac:dyDescent="0.25"/>
    <row r="24060" s="42" customFormat="1" x14ac:dyDescent="0.25"/>
    <row r="24061" s="42" customFormat="1" x14ac:dyDescent="0.25"/>
    <row r="24062" s="42" customFormat="1" x14ac:dyDescent="0.25"/>
    <row r="24063" s="42" customFormat="1" x14ac:dyDescent="0.25"/>
    <row r="24064" s="42" customFormat="1" x14ac:dyDescent="0.25"/>
    <row r="24065" s="42" customFormat="1" x14ac:dyDescent="0.25"/>
    <row r="24066" s="42" customFormat="1" x14ac:dyDescent="0.25"/>
    <row r="24067" s="42" customFormat="1" x14ac:dyDescent="0.25"/>
    <row r="24068" s="42" customFormat="1" x14ac:dyDescent="0.25"/>
    <row r="24069" s="42" customFormat="1" x14ac:dyDescent="0.25"/>
    <row r="24070" s="42" customFormat="1" x14ac:dyDescent="0.25"/>
    <row r="24071" s="42" customFormat="1" x14ac:dyDescent="0.25"/>
    <row r="24072" s="42" customFormat="1" x14ac:dyDescent="0.25"/>
    <row r="24073" s="42" customFormat="1" x14ac:dyDescent="0.25"/>
    <row r="24074" s="42" customFormat="1" x14ac:dyDescent="0.25"/>
    <row r="24075" s="42" customFormat="1" x14ac:dyDescent="0.25"/>
    <row r="24076" s="42" customFormat="1" x14ac:dyDescent="0.25"/>
    <row r="24077" s="42" customFormat="1" x14ac:dyDescent="0.25"/>
    <row r="24078" s="42" customFormat="1" x14ac:dyDescent="0.25"/>
    <row r="24079" s="42" customFormat="1" x14ac:dyDescent="0.25"/>
    <row r="24080" s="42" customFormat="1" x14ac:dyDescent="0.25"/>
    <row r="24081" s="42" customFormat="1" x14ac:dyDescent="0.25"/>
    <row r="24082" s="42" customFormat="1" x14ac:dyDescent="0.25"/>
    <row r="24083" s="42" customFormat="1" x14ac:dyDescent="0.25"/>
    <row r="24084" s="42" customFormat="1" x14ac:dyDescent="0.25"/>
    <row r="24085" s="42" customFormat="1" x14ac:dyDescent="0.25"/>
    <row r="24086" s="42" customFormat="1" x14ac:dyDescent="0.25"/>
    <row r="24087" s="42" customFormat="1" x14ac:dyDescent="0.25"/>
    <row r="24088" s="42" customFormat="1" x14ac:dyDescent="0.25"/>
    <row r="24089" s="42" customFormat="1" x14ac:dyDescent="0.25"/>
    <row r="24090" s="42" customFormat="1" x14ac:dyDescent="0.25"/>
    <row r="24091" s="42" customFormat="1" x14ac:dyDescent="0.25"/>
    <row r="24092" s="42" customFormat="1" x14ac:dyDescent="0.25"/>
    <row r="24093" s="42" customFormat="1" x14ac:dyDescent="0.25"/>
    <row r="24094" s="42" customFormat="1" x14ac:dyDescent="0.25"/>
    <row r="24095" s="42" customFormat="1" x14ac:dyDescent="0.25"/>
    <row r="24096" s="42" customFormat="1" x14ac:dyDescent="0.25"/>
    <row r="24097" s="42" customFormat="1" x14ac:dyDescent="0.25"/>
    <row r="24098" s="42" customFormat="1" x14ac:dyDescent="0.25"/>
    <row r="24099" s="42" customFormat="1" x14ac:dyDescent="0.25"/>
    <row r="24100" s="42" customFormat="1" x14ac:dyDescent="0.25"/>
    <row r="24101" s="42" customFormat="1" x14ac:dyDescent="0.25"/>
    <row r="24102" s="42" customFormat="1" x14ac:dyDescent="0.25"/>
    <row r="24103" s="42" customFormat="1" x14ac:dyDescent="0.25"/>
    <row r="24104" s="42" customFormat="1" x14ac:dyDescent="0.25"/>
    <row r="24105" s="42" customFormat="1" x14ac:dyDescent="0.25"/>
    <row r="24106" s="42" customFormat="1" x14ac:dyDescent="0.25"/>
    <row r="24107" s="42" customFormat="1" x14ac:dyDescent="0.25"/>
    <row r="24108" s="42" customFormat="1" x14ac:dyDescent="0.25"/>
    <row r="24109" s="42" customFormat="1" x14ac:dyDescent="0.25"/>
    <row r="24110" s="42" customFormat="1" x14ac:dyDescent="0.25"/>
    <row r="24111" s="42" customFormat="1" x14ac:dyDescent="0.25"/>
    <row r="24112" s="42" customFormat="1" x14ac:dyDescent="0.25"/>
    <row r="24113" s="42" customFormat="1" x14ac:dyDescent="0.25"/>
    <row r="24114" s="42" customFormat="1" x14ac:dyDescent="0.25"/>
    <row r="24115" s="42" customFormat="1" x14ac:dyDescent="0.25"/>
    <row r="24116" s="42" customFormat="1" x14ac:dyDescent="0.25"/>
    <row r="24117" s="42" customFormat="1" x14ac:dyDescent="0.25"/>
    <row r="24118" s="42" customFormat="1" x14ac:dyDescent="0.25"/>
    <row r="24119" s="42" customFormat="1" x14ac:dyDescent="0.25"/>
    <row r="24120" s="42" customFormat="1" x14ac:dyDescent="0.25"/>
    <row r="24121" s="42" customFormat="1" x14ac:dyDescent="0.25"/>
    <row r="24122" s="42" customFormat="1" x14ac:dyDescent="0.25"/>
    <row r="24123" s="42" customFormat="1" x14ac:dyDescent="0.25"/>
    <row r="24124" s="42" customFormat="1" x14ac:dyDescent="0.25"/>
    <row r="24125" s="42" customFormat="1" x14ac:dyDescent="0.25"/>
    <row r="24126" s="42" customFormat="1" x14ac:dyDescent="0.25"/>
    <row r="24127" s="42" customFormat="1" x14ac:dyDescent="0.25"/>
    <row r="24128" s="42" customFormat="1" x14ac:dyDescent="0.25"/>
    <row r="24129" s="42" customFormat="1" x14ac:dyDescent="0.25"/>
    <row r="24130" s="42" customFormat="1" x14ac:dyDescent="0.25"/>
    <row r="24131" s="42" customFormat="1" x14ac:dyDescent="0.25"/>
    <row r="24132" s="42" customFormat="1" x14ac:dyDescent="0.25"/>
    <row r="24133" s="42" customFormat="1" x14ac:dyDescent="0.25"/>
    <row r="24134" s="42" customFormat="1" x14ac:dyDescent="0.25"/>
    <row r="24135" s="42" customFormat="1" x14ac:dyDescent="0.25"/>
    <row r="24136" s="42" customFormat="1" x14ac:dyDescent="0.25"/>
    <row r="24137" s="42" customFormat="1" x14ac:dyDescent="0.25"/>
    <row r="24138" s="42" customFormat="1" x14ac:dyDescent="0.25"/>
    <row r="24139" s="42" customFormat="1" x14ac:dyDescent="0.25"/>
    <row r="24140" s="42" customFormat="1" x14ac:dyDescent="0.25"/>
    <row r="24141" s="42" customFormat="1" x14ac:dyDescent="0.25"/>
    <row r="24142" s="42" customFormat="1" x14ac:dyDescent="0.25"/>
    <row r="24143" s="42" customFormat="1" x14ac:dyDescent="0.25"/>
    <row r="24144" s="42" customFormat="1" x14ac:dyDescent="0.25"/>
    <row r="24145" s="42" customFormat="1" x14ac:dyDescent="0.25"/>
    <row r="24146" s="42" customFormat="1" x14ac:dyDescent="0.25"/>
    <row r="24147" s="42" customFormat="1" x14ac:dyDescent="0.25"/>
    <row r="24148" s="42" customFormat="1" x14ac:dyDescent="0.25"/>
    <row r="24149" s="42" customFormat="1" x14ac:dyDescent="0.25"/>
    <row r="24150" s="42" customFormat="1" x14ac:dyDescent="0.25"/>
    <row r="24151" s="42" customFormat="1" x14ac:dyDescent="0.25"/>
    <row r="24152" s="42" customFormat="1" x14ac:dyDescent="0.25"/>
    <row r="24153" s="42" customFormat="1" x14ac:dyDescent="0.25"/>
    <row r="24154" s="42" customFormat="1" x14ac:dyDescent="0.25"/>
    <row r="24155" s="42" customFormat="1" x14ac:dyDescent="0.25"/>
    <row r="24156" s="42" customFormat="1" x14ac:dyDescent="0.25"/>
    <row r="24157" s="42" customFormat="1" x14ac:dyDescent="0.25"/>
    <row r="24158" s="42" customFormat="1" x14ac:dyDescent="0.25"/>
    <row r="24159" s="42" customFormat="1" x14ac:dyDescent="0.25"/>
    <row r="24160" s="42" customFormat="1" x14ac:dyDescent="0.25"/>
    <row r="24161" s="42" customFormat="1" x14ac:dyDescent="0.25"/>
    <row r="24162" s="42" customFormat="1" x14ac:dyDescent="0.25"/>
    <row r="24163" s="42" customFormat="1" x14ac:dyDescent="0.25"/>
    <row r="24164" s="42" customFormat="1" x14ac:dyDescent="0.25"/>
    <row r="24165" s="42" customFormat="1" x14ac:dyDescent="0.25"/>
    <row r="24166" s="42" customFormat="1" x14ac:dyDescent="0.25"/>
    <row r="24167" s="42" customFormat="1" x14ac:dyDescent="0.25"/>
    <row r="24168" s="42" customFormat="1" x14ac:dyDescent="0.25"/>
    <row r="24169" s="42" customFormat="1" x14ac:dyDescent="0.25"/>
    <row r="24170" s="42" customFormat="1" x14ac:dyDescent="0.25"/>
    <row r="24171" s="42" customFormat="1" x14ac:dyDescent="0.25"/>
    <row r="24172" s="42" customFormat="1" x14ac:dyDescent="0.25"/>
    <row r="24173" s="42" customFormat="1" x14ac:dyDescent="0.25"/>
    <row r="24174" s="42" customFormat="1" x14ac:dyDescent="0.25"/>
    <row r="24175" s="42" customFormat="1" x14ac:dyDescent="0.25"/>
    <row r="24176" s="42" customFormat="1" x14ac:dyDescent="0.25"/>
    <row r="24177" s="42" customFormat="1" x14ac:dyDescent="0.25"/>
    <row r="24178" s="42" customFormat="1" x14ac:dyDescent="0.25"/>
    <row r="24179" s="42" customFormat="1" x14ac:dyDescent="0.25"/>
    <row r="24180" s="42" customFormat="1" x14ac:dyDescent="0.25"/>
    <row r="24181" s="42" customFormat="1" x14ac:dyDescent="0.25"/>
    <row r="24182" s="42" customFormat="1" x14ac:dyDescent="0.25"/>
    <row r="24183" s="42" customFormat="1" x14ac:dyDescent="0.25"/>
    <row r="24184" s="42" customFormat="1" x14ac:dyDescent="0.25"/>
    <row r="24185" s="42" customFormat="1" x14ac:dyDescent="0.25"/>
    <row r="24186" s="42" customFormat="1" x14ac:dyDescent="0.25"/>
    <row r="24187" s="42" customFormat="1" x14ac:dyDescent="0.25"/>
    <row r="24188" s="42" customFormat="1" x14ac:dyDescent="0.25"/>
    <row r="24189" s="42" customFormat="1" x14ac:dyDescent="0.25"/>
    <row r="24190" s="42" customFormat="1" x14ac:dyDescent="0.25"/>
    <row r="24191" s="42" customFormat="1" x14ac:dyDescent="0.25"/>
    <row r="24192" s="42" customFormat="1" x14ac:dyDescent="0.25"/>
    <row r="24193" s="42" customFormat="1" x14ac:dyDescent="0.25"/>
    <row r="24194" s="42" customFormat="1" x14ac:dyDescent="0.25"/>
    <row r="24195" s="42" customFormat="1" x14ac:dyDescent="0.25"/>
    <row r="24196" s="42" customFormat="1" x14ac:dyDescent="0.25"/>
    <row r="24197" s="42" customFormat="1" x14ac:dyDescent="0.25"/>
    <row r="24198" s="42" customFormat="1" x14ac:dyDescent="0.25"/>
    <row r="24199" s="42" customFormat="1" x14ac:dyDescent="0.25"/>
    <row r="24200" s="42" customFormat="1" x14ac:dyDescent="0.25"/>
    <row r="24201" s="42" customFormat="1" x14ac:dyDescent="0.25"/>
    <row r="24202" s="42" customFormat="1" x14ac:dyDescent="0.25"/>
    <row r="24203" s="42" customFormat="1" x14ac:dyDescent="0.25"/>
    <row r="24204" s="42" customFormat="1" x14ac:dyDescent="0.25"/>
    <row r="24205" s="42" customFormat="1" x14ac:dyDescent="0.25"/>
    <row r="24206" s="42" customFormat="1" x14ac:dyDescent="0.25"/>
    <row r="24207" s="42" customFormat="1" x14ac:dyDescent="0.25"/>
    <row r="24208" s="42" customFormat="1" x14ac:dyDescent="0.25"/>
    <row r="24209" s="42" customFormat="1" x14ac:dyDescent="0.25"/>
    <row r="24210" s="42" customFormat="1" x14ac:dyDescent="0.25"/>
    <row r="24211" s="42" customFormat="1" x14ac:dyDescent="0.25"/>
    <row r="24212" s="42" customFormat="1" x14ac:dyDescent="0.25"/>
    <row r="24213" s="42" customFormat="1" x14ac:dyDescent="0.25"/>
    <row r="24214" s="42" customFormat="1" x14ac:dyDescent="0.25"/>
    <row r="24215" s="42" customFormat="1" x14ac:dyDescent="0.25"/>
    <row r="24216" s="42" customFormat="1" x14ac:dyDescent="0.25"/>
    <row r="24217" s="42" customFormat="1" x14ac:dyDescent="0.25"/>
    <row r="24218" s="42" customFormat="1" x14ac:dyDescent="0.25"/>
    <row r="24219" s="42" customFormat="1" x14ac:dyDescent="0.25"/>
    <row r="24220" s="42" customFormat="1" x14ac:dyDescent="0.25"/>
    <row r="24221" s="42" customFormat="1" x14ac:dyDescent="0.25"/>
    <row r="24222" s="42" customFormat="1" x14ac:dyDescent="0.25"/>
    <row r="24223" s="42" customFormat="1" x14ac:dyDescent="0.25"/>
    <row r="24224" s="42" customFormat="1" x14ac:dyDescent="0.25"/>
    <row r="24225" s="42" customFormat="1" x14ac:dyDescent="0.25"/>
    <row r="24226" s="42" customFormat="1" x14ac:dyDescent="0.25"/>
    <row r="24227" s="42" customFormat="1" x14ac:dyDescent="0.25"/>
    <row r="24228" s="42" customFormat="1" x14ac:dyDescent="0.25"/>
    <row r="24229" s="42" customFormat="1" x14ac:dyDescent="0.25"/>
    <row r="24230" s="42" customFormat="1" x14ac:dyDescent="0.25"/>
    <row r="24231" s="42" customFormat="1" x14ac:dyDescent="0.25"/>
    <row r="24232" s="42" customFormat="1" x14ac:dyDescent="0.25"/>
    <row r="24233" s="42" customFormat="1" x14ac:dyDescent="0.25"/>
    <row r="24234" s="42" customFormat="1" x14ac:dyDescent="0.25"/>
    <row r="24235" s="42" customFormat="1" x14ac:dyDescent="0.25"/>
    <row r="24236" s="42" customFormat="1" x14ac:dyDescent="0.25"/>
    <row r="24237" s="42" customFormat="1" x14ac:dyDescent="0.25"/>
    <row r="24238" s="42" customFormat="1" x14ac:dyDescent="0.25"/>
    <row r="24239" s="42" customFormat="1" x14ac:dyDescent="0.25"/>
    <row r="24240" s="42" customFormat="1" x14ac:dyDescent="0.25"/>
    <row r="24241" s="42" customFormat="1" x14ac:dyDescent="0.25"/>
    <row r="24242" s="42" customFormat="1" x14ac:dyDescent="0.25"/>
    <row r="24243" s="42" customFormat="1" x14ac:dyDescent="0.25"/>
    <row r="24244" s="42" customFormat="1" x14ac:dyDescent="0.25"/>
    <row r="24245" s="42" customFormat="1" x14ac:dyDescent="0.25"/>
    <row r="24246" s="42" customFormat="1" x14ac:dyDescent="0.25"/>
    <row r="24247" s="42" customFormat="1" x14ac:dyDescent="0.25"/>
    <row r="24248" s="42" customFormat="1" x14ac:dyDescent="0.25"/>
    <row r="24249" s="42" customFormat="1" x14ac:dyDescent="0.25"/>
    <row r="24250" s="42" customFormat="1" x14ac:dyDescent="0.25"/>
    <row r="24251" s="42" customFormat="1" x14ac:dyDescent="0.25"/>
    <row r="24252" s="42" customFormat="1" x14ac:dyDescent="0.25"/>
    <row r="24253" s="42" customFormat="1" x14ac:dyDescent="0.25"/>
    <row r="24254" s="42" customFormat="1" x14ac:dyDescent="0.25"/>
    <row r="24255" s="42" customFormat="1" x14ac:dyDescent="0.25"/>
    <row r="24256" s="42" customFormat="1" x14ac:dyDescent="0.25"/>
    <row r="24257" s="42" customFormat="1" x14ac:dyDescent="0.25"/>
    <row r="24258" s="42" customFormat="1" x14ac:dyDescent="0.25"/>
    <row r="24259" s="42" customFormat="1" x14ac:dyDescent="0.25"/>
    <row r="24260" s="42" customFormat="1" x14ac:dyDescent="0.25"/>
    <row r="24261" s="42" customFormat="1" x14ac:dyDescent="0.25"/>
    <row r="24262" s="42" customFormat="1" x14ac:dyDescent="0.25"/>
    <row r="24263" s="42" customFormat="1" x14ac:dyDescent="0.25"/>
    <row r="24264" s="42" customFormat="1" x14ac:dyDescent="0.25"/>
    <row r="24265" s="42" customFormat="1" x14ac:dyDescent="0.25"/>
    <row r="24266" s="42" customFormat="1" x14ac:dyDescent="0.25"/>
    <row r="24267" s="42" customFormat="1" x14ac:dyDescent="0.25"/>
    <row r="24268" s="42" customFormat="1" x14ac:dyDescent="0.25"/>
    <row r="24269" s="42" customFormat="1" x14ac:dyDescent="0.25"/>
    <row r="24270" s="42" customFormat="1" x14ac:dyDescent="0.25"/>
    <row r="24271" s="42" customFormat="1" x14ac:dyDescent="0.25"/>
    <row r="24272" s="42" customFormat="1" x14ac:dyDescent="0.25"/>
    <row r="24273" s="42" customFormat="1" x14ac:dyDescent="0.25"/>
    <row r="24274" s="42" customFormat="1" x14ac:dyDescent="0.25"/>
    <row r="24275" s="42" customFormat="1" x14ac:dyDescent="0.25"/>
    <row r="24276" s="42" customFormat="1" x14ac:dyDescent="0.25"/>
    <row r="24277" s="42" customFormat="1" x14ac:dyDescent="0.25"/>
    <row r="24278" s="42" customFormat="1" x14ac:dyDescent="0.25"/>
    <row r="24279" s="42" customFormat="1" x14ac:dyDescent="0.25"/>
    <row r="24280" s="42" customFormat="1" x14ac:dyDescent="0.25"/>
    <row r="24281" s="42" customFormat="1" x14ac:dyDescent="0.25"/>
    <row r="24282" s="42" customFormat="1" x14ac:dyDescent="0.25"/>
    <row r="24283" s="42" customFormat="1" x14ac:dyDescent="0.25"/>
    <row r="24284" s="42" customFormat="1" x14ac:dyDescent="0.25"/>
    <row r="24285" s="42" customFormat="1" x14ac:dyDescent="0.25"/>
    <row r="24286" s="42" customFormat="1" x14ac:dyDescent="0.25"/>
    <row r="24287" s="42" customFormat="1" x14ac:dyDescent="0.25"/>
    <row r="24288" s="42" customFormat="1" x14ac:dyDescent="0.25"/>
    <row r="24289" s="42" customFormat="1" x14ac:dyDescent="0.25"/>
    <row r="24290" s="42" customFormat="1" x14ac:dyDescent="0.25"/>
    <row r="24291" s="42" customFormat="1" x14ac:dyDescent="0.25"/>
    <row r="24292" s="42" customFormat="1" x14ac:dyDescent="0.25"/>
    <row r="24293" s="42" customFormat="1" x14ac:dyDescent="0.25"/>
    <row r="24294" s="42" customFormat="1" x14ac:dyDescent="0.25"/>
    <row r="24295" s="42" customFormat="1" x14ac:dyDescent="0.25"/>
    <row r="24296" s="42" customFormat="1" x14ac:dyDescent="0.25"/>
    <row r="24297" s="42" customFormat="1" x14ac:dyDescent="0.25"/>
    <row r="24298" s="42" customFormat="1" x14ac:dyDescent="0.25"/>
    <row r="24299" s="42" customFormat="1" x14ac:dyDescent="0.25"/>
    <row r="24300" s="42" customFormat="1" x14ac:dyDescent="0.25"/>
    <row r="24301" s="42" customFormat="1" x14ac:dyDescent="0.25"/>
    <row r="24302" s="42" customFormat="1" x14ac:dyDescent="0.25"/>
    <row r="24303" s="42" customFormat="1" x14ac:dyDescent="0.25"/>
    <row r="24304" s="42" customFormat="1" x14ac:dyDescent="0.25"/>
    <row r="24305" s="42" customFormat="1" x14ac:dyDescent="0.25"/>
    <row r="24306" s="42" customFormat="1" x14ac:dyDescent="0.25"/>
    <row r="24307" s="42" customFormat="1" x14ac:dyDescent="0.25"/>
    <row r="24308" s="42" customFormat="1" x14ac:dyDescent="0.25"/>
    <row r="24309" s="42" customFormat="1" x14ac:dyDescent="0.25"/>
    <row r="24310" s="42" customFormat="1" x14ac:dyDescent="0.25"/>
    <row r="24311" s="42" customFormat="1" x14ac:dyDescent="0.25"/>
    <row r="24312" s="42" customFormat="1" x14ac:dyDescent="0.25"/>
    <row r="24313" s="42" customFormat="1" x14ac:dyDescent="0.25"/>
    <row r="24314" s="42" customFormat="1" x14ac:dyDescent="0.25"/>
    <row r="24315" s="42" customFormat="1" x14ac:dyDescent="0.25"/>
    <row r="24316" s="42" customFormat="1" x14ac:dyDescent="0.25"/>
    <row r="24317" s="42" customFormat="1" x14ac:dyDescent="0.25"/>
    <row r="24318" s="42" customFormat="1" x14ac:dyDescent="0.25"/>
    <row r="24319" s="42" customFormat="1" x14ac:dyDescent="0.25"/>
    <row r="24320" s="42" customFormat="1" x14ac:dyDescent="0.25"/>
    <row r="24321" s="42" customFormat="1" x14ac:dyDescent="0.25"/>
    <row r="24322" s="42" customFormat="1" x14ac:dyDescent="0.25"/>
    <row r="24323" s="42" customFormat="1" x14ac:dyDescent="0.25"/>
    <row r="24324" s="42" customFormat="1" x14ac:dyDescent="0.25"/>
    <row r="24325" s="42" customFormat="1" x14ac:dyDescent="0.25"/>
    <row r="24326" s="42" customFormat="1" x14ac:dyDescent="0.25"/>
    <row r="24327" s="42" customFormat="1" x14ac:dyDescent="0.25"/>
    <row r="24328" s="42" customFormat="1" x14ac:dyDescent="0.25"/>
    <row r="24329" s="42" customFormat="1" x14ac:dyDescent="0.25"/>
    <row r="24330" s="42" customFormat="1" x14ac:dyDescent="0.25"/>
    <row r="24331" s="42" customFormat="1" x14ac:dyDescent="0.25"/>
    <row r="24332" s="42" customFormat="1" x14ac:dyDescent="0.25"/>
    <row r="24333" s="42" customFormat="1" x14ac:dyDescent="0.25"/>
    <row r="24334" s="42" customFormat="1" x14ac:dyDescent="0.25"/>
    <row r="24335" s="42" customFormat="1" x14ac:dyDescent="0.25"/>
    <row r="24336" s="42" customFormat="1" x14ac:dyDescent="0.25"/>
    <row r="24337" s="42" customFormat="1" x14ac:dyDescent="0.25"/>
    <row r="24338" s="42" customFormat="1" x14ac:dyDescent="0.25"/>
    <row r="24339" s="42" customFormat="1" x14ac:dyDescent="0.25"/>
    <row r="24340" s="42" customFormat="1" x14ac:dyDescent="0.25"/>
    <row r="24341" s="42" customFormat="1" x14ac:dyDescent="0.25"/>
    <row r="24342" s="42" customFormat="1" x14ac:dyDescent="0.25"/>
    <row r="24343" s="42" customFormat="1" x14ac:dyDescent="0.25"/>
    <row r="24344" s="42" customFormat="1" x14ac:dyDescent="0.25"/>
    <row r="24345" s="42" customFormat="1" x14ac:dyDescent="0.25"/>
    <row r="24346" s="42" customFormat="1" x14ac:dyDescent="0.25"/>
    <row r="24347" s="42" customFormat="1" x14ac:dyDescent="0.25"/>
    <row r="24348" s="42" customFormat="1" x14ac:dyDescent="0.25"/>
    <row r="24349" s="42" customFormat="1" x14ac:dyDescent="0.25"/>
    <row r="24350" s="42" customFormat="1" x14ac:dyDescent="0.25"/>
    <row r="24351" s="42" customFormat="1" x14ac:dyDescent="0.25"/>
    <row r="24352" s="42" customFormat="1" x14ac:dyDescent="0.25"/>
    <row r="24353" s="42" customFormat="1" x14ac:dyDescent="0.25"/>
    <row r="24354" s="42" customFormat="1" x14ac:dyDescent="0.25"/>
    <row r="24355" s="42" customFormat="1" x14ac:dyDescent="0.25"/>
    <row r="24356" s="42" customFormat="1" x14ac:dyDescent="0.25"/>
    <row r="24357" s="42" customFormat="1" x14ac:dyDescent="0.25"/>
    <row r="24358" s="42" customFormat="1" x14ac:dyDescent="0.25"/>
    <row r="24359" s="42" customFormat="1" x14ac:dyDescent="0.25"/>
    <row r="24360" s="42" customFormat="1" x14ac:dyDescent="0.25"/>
    <row r="24361" s="42" customFormat="1" x14ac:dyDescent="0.25"/>
    <row r="24362" s="42" customFormat="1" x14ac:dyDescent="0.25"/>
    <row r="24363" s="42" customFormat="1" x14ac:dyDescent="0.25"/>
    <row r="24364" s="42" customFormat="1" x14ac:dyDescent="0.25"/>
    <row r="24365" s="42" customFormat="1" x14ac:dyDescent="0.25"/>
    <row r="24366" s="42" customFormat="1" x14ac:dyDescent="0.25"/>
    <row r="24367" s="42" customFormat="1" x14ac:dyDescent="0.25"/>
    <row r="24368" s="42" customFormat="1" x14ac:dyDescent="0.25"/>
    <row r="24369" s="42" customFormat="1" x14ac:dyDescent="0.25"/>
    <row r="24370" s="42" customFormat="1" x14ac:dyDescent="0.25"/>
    <row r="24371" s="42" customFormat="1" x14ac:dyDescent="0.25"/>
    <row r="24372" s="42" customFormat="1" x14ac:dyDescent="0.25"/>
    <row r="24373" s="42" customFormat="1" x14ac:dyDescent="0.25"/>
    <row r="24374" s="42" customFormat="1" x14ac:dyDescent="0.25"/>
    <row r="24375" s="42" customFormat="1" x14ac:dyDescent="0.25"/>
    <row r="24376" s="42" customFormat="1" x14ac:dyDescent="0.25"/>
    <row r="24377" s="42" customFormat="1" x14ac:dyDescent="0.25"/>
    <row r="24378" s="42" customFormat="1" x14ac:dyDescent="0.25"/>
    <row r="24379" s="42" customFormat="1" x14ac:dyDescent="0.25"/>
    <row r="24380" s="42" customFormat="1" x14ac:dyDescent="0.25"/>
    <row r="24381" s="42" customFormat="1" x14ac:dyDescent="0.25"/>
    <row r="24382" s="42" customFormat="1" x14ac:dyDescent="0.25"/>
    <row r="24383" s="42" customFormat="1" x14ac:dyDescent="0.25"/>
    <row r="24384" s="42" customFormat="1" x14ac:dyDescent="0.25"/>
    <row r="24385" s="42" customFormat="1" x14ac:dyDescent="0.25"/>
    <row r="24386" s="42" customFormat="1" x14ac:dyDescent="0.25"/>
    <row r="24387" s="42" customFormat="1" x14ac:dyDescent="0.25"/>
    <row r="24388" s="42" customFormat="1" x14ac:dyDescent="0.25"/>
    <row r="24389" s="42" customFormat="1" x14ac:dyDescent="0.25"/>
    <row r="24390" s="42" customFormat="1" x14ac:dyDescent="0.25"/>
    <row r="24391" s="42" customFormat="1" x14ac:dyDescent="0.25"/>
    <row r="24392" s="42" customFormat="1" x14ac:dyDescent="0.25"/>
    <row r="24393" s="42" customFormat="1" x14ac:dyDescent="0.25"/>
    <row r="24394" s="42" customFormat="1" x14ac:dyDescent="0.25"/>
    <row r="24395" s="42" customFormat="1" x14ac:dyDescent="0.25"/>
    <row r="24396" s="42" customFormat="1" x14ac:dyDescent="0.25"/>
    <row r="24397" s="42" customFormat="1" x14ac:dyDescent="0.25"/>
    <row r="24398" s="42" customFormat="1" x14ac:dyDescent="0.25"/>
    <row r="24399" s="42" customFormat="1" x14ac:dyDescent="0.25"/>
    <row r="24400" s="42" customFormat="1" x14ac:dyDescent="0.25"/>
    <row r="24401" s="42" customFormat="1" x14ac:dyDescent="0.25"/>
    <row r="24402" s="42" customFormat="1" x14ac:dyDescent="0.25"/>
    <row r="24403" s="42" customFormat="1" x14ac:dyDescent="0.25"/>
    <row r="24404" s="42" customFormat="1" x14ac:dyDescent="0.25"/>
    <row r="24405" s="42" customFormat="1" x14ac:dyDescent="0.25"/>
    <row r="24406" s="42" customFormat="1" x14ac:dyDescent="0.25"/>
    <row r="24407" s="42" customFormat="1" x14ac:dyDescent="0.25"/>
    <row r="24408" s="42" customFormat="1" x14ac:dyDescent="0.25"/>
    <row r="24409" s="42" customFormat="1" x14ac:dyDescent="0.25"/>
    <row r="24410" s="42" customFormat="1" x14ac:dyDescent="0.25"/>
    <row r="24411" s="42" customFormat="1" x14ac:dyDescent="0.25"/>
    <row r="24412" s="42" customFormat="1" x14ac:dyDescent="0.25"/>
    <row r="24413" s="42" customFormat="1" x14ac:dyDescent="0.25"/>
    <row r="24414" s="42" customFormat="1" x14ac:dyDescent="0.25"/>
    <row r="24415" s="42" customFormat="1" x14ac:dyDescent="0.25"/>
    <row r="24416" s="42" customFormat="1" x14ac:dyDescent="0.25"/>
    <row r="24417" s="42" customFormat="1" x14ac:dyDescent="0.25"/>
    <row r="24418" s="42" customFormat="1" x14ac:dyDescent="0.25"/>
    <row r="24419" s="42" customFormat="1" x14ac:dyDescent="0.25"/>
    <row r="24420" s="42" customFormat="1" x14ac:dyDescent="0.25"/>
    <row r="24421" s="42" customFormat="1" x14ac:dyDescent="0.25"/>
    <row r="24422" s="42" customFormat="1" x14ac:dyDescent="0.25"/>
    <row r="24423" s="42" customFormat="1" x14ac:dyDescent="0.25"/>
    <row r="24424" s="42" customFormat="1" x14ac:dyDescent="0.25"/>
    <row r="24425" s="42" customFormat="1" x14ac:dyDescent="0.25"/>
    <row r="24426" s="42" customFormat="1" x14ac:dyDescent="0.25"/>
    <row r="24427" s="42" customFormat="1" x14ac:dyDescent="0.25"/>
    <row r="24428" s="42" customFormat="1" x14ac:dyDescent="0.25"/>
    <row r="24429" s="42" customFormat="1" x14ac:dyDescent="0.25"/>
    <row r="24430" s="42" customFormat="1" x14ac:dyDescent="0.25"/>
    <row r="24431" s="42" customFormat="1" x14ac:dyDescent="0.25"/>
    <row r="24432" s="42" customFormat="1" x14ac:dyDescent="0.25"/>
    <row r="24433" s="42" customFormat="1" x14ac:dyDescent="0.25"/>
    <row r="24434" s="42" customFormat="1" x14ac:dyDescent="0.25"/>
    <row r="24435" s="42" customFormat="1" x14ac:dyDescent="0.25"/>
    <row r="24436" s="42" customFormat="1" x14ac:dyDescent="0.25"/>
    <row r="24437" s="42" customFormat="1" x14ac:dyDescent="0.25"/>
    <row r="24438" s="42" customFormat="1" x14ac:dyDescent="0.25"/>
    <row r="24439" s="42" customFormat="1" x14ac:dyDescent="0.25"/>
    <row r="24440" s="42" customFormat="1" x14ac:dyDescent="0.25"/>
    <row r="24441" s="42" customFormat="1" x14ac:dyDescent="0.25"/>
    <row r="24442" s="42" customFormat="1" x14ac:dyDescent="0.25"/>
    <row r="24443" s="42" customFormat="1" x14ac:dyDescent="0.25"/>
    <row r="24444" s="42" customFormat="1" x14ac:dyDescent="0.25"/>
    <row r="24445" s="42" customFormat="1" x14ac:dyDescent="0.25"/>
    <row r="24446" s="42" customFormat="1" x14ac:dyDescent="0.25"/>
    <row r="24447" s="42" customFormat="1" x14ac:dyDescent="0.25"/>
    <row r="24448" s="42" customFormat="1" x14ac:dyDescent="0.25"/>
    <row r="24449" s="42" customFormat="1" x14ac:dyDescent="0.25"/>
    <row r="24450" s="42" customFormat="1" x14ac:dyDescent="0.25"/>
    <row r="24451" s="42" customFormat="1" x14ac:dyDescent="0.25"/>
    <row r="24452" s="42" customFormat="1" x14ac:dyDescent="0.25"/>
    <row r="24453" s="42" customFormat="1" x14ac:dyDescent="0.25"/>
    <row r="24454" s="42" customFormat="1" x14ac:dyDescent="0.25"/>
    <row r="24455" s="42" customFormat="1" x14ac:dyDescent="0.25"/>
    <row r="24456" s="42" customFormat="1" x14ac:dyDescent="0.25"/>
    <row r="24457" s="42" customFormat="1" x14ac:dyDescent="0.25"/>
    <row r="24458" s="42" customFormat="1" x14ac:dyDescent="0.25"/>
    <row r="24459" s="42" customFormat="1" x14ac:dyDescent="0.25"/>
    <row r="24460" s="42" customFormat="1" x14ac:dyDescent="0.25"/>
    <row r="24461" s="42" customFormat="1" x14ac:dyDescent="0.25"/>
    <row r="24462" s="42" customFormat="1" x14ac:dyDescent="0.25"/>
    <row r="24463" s="42" customFormat="1" x14ac:dyDescent="0.25"/>
    <row r="24464" s="42" customFormat="1" x14ac:dyDescent="0.25"/>
    <row r="24465" s="42" customFormat="1" x14ac:dyDescent="0.25"/>
    <row r="24466" s="42" customFormat="1" x14ac:dyDescent="0.25"/>
    <row r="24467" s="42" customFormat="1" x14ac:dyDescent="0.25"/>
    <row r="24468" s="42" customFormat="1" x14ac:dyDescent="0.25"/>
    <row r="24469" s="42" customFormat="1" x14ac:dyDescent="0.25"/>
    <row r="24470" s="42" customFormat="1" x14ac:dyDescent="0.25"/>
    <row r="24471" s="42" customFormat="1" x14ac:dyDescent="0.25"/>
    <row r="24472" s="42" customFormat="1" x14ac:dyDescent="0.25"/>
    <row r="24473" s="42" customFormat="1" x14ac:dyDescent="0.25"/>
    <row r="24474" s="42" customFormat="1" x14ac:dyDescent="0.25"/>
    <row r="24475" s="42" customFormat="1" x14ac:dyDescent="0.25"/>
    <row r="24476" s="42" customFormat="1" x14ac:dyDescent="0.25"/>
    <row r="24477" s="42" customFormat="1" x14ac:dyDescent="0.25"/>
    <row r="24478" s="42" customFormat="1" x14ac:dyDescent="0.25"/>
    <row r="24479" s="42" customFormat="1" x14ac:dyDescent="0.25"/>
    <row r="24480" s="42" customFormat="1" x14ac:dyDescent="0.25"/>
    <row r="24481" s="42" customFormat="1" x14ac:dyDescent="0.25"/>
    <row r="24482" s="42" customFormat="1" x14ac:dyDescent="0.25"/>
    <row r="24483" s="42" customFormat="1" x14ac:dyDescent="0.25"/>
    <row r="24484" s="42" customFormat="1" x14ac:dyDescent="0.25"/>
    <row r="24485" s="42" customFormat="1" x14ac:dyDescent="0.25"/>
    <row r="24486" s="42" customFormat="1" x14ac:dyDescent="0.25"/>
    <row r="24487" s="42" customFormat="1" x14ac:dyDescent="0.25"/>
    <row r="24488" s="42" customFormat="1" x14ac:dyDescent="0.25"/>
    <row r="24489" s="42" customFormat="1" x14ac:dyDescent="0.25"/>
    <row r="24490" s="42" customFormat="1" x14ac:dyDescent="0.25"/>
    <row r="24491" s="42" customFormat="1" x14ac:dyDescent="0.25"/>
    <row r="24492" s="42" customFormat="1" x14ac:dyDescent="0.25"/>
    <row r="24493" s="42" customFormat="1" x14ac:dyDescent="0.25"/>
    <row r="24494" s="42" customFormat="1" x14ac:dyDescent="0.25"/>
    <row r="24495" s="42" customFormat="1" x14ac:dyDescent="0.25"/>
    <row r="24496" s="42" customFormat="1" x14ac:dyDescent="0.25"/>
    <row r="24497" s="42" customFormat="1" x14ac:dyDescent="0.25"/>
    <row r="24498" s="42" customFormat="1" x14ac:dyDescent="0.25"/>
    <row r="24499" s="42" customFormat="1" x14ac:dyDescent="0.25"/>
    <row r="24500" s="42" customFormat="1" x14ac:dyDescent="0.25"/>
    <row r="24501" s="42" customFormat="1" x14ac:dyDescent="0.25"/>
    <row r="24502" s="42" customFormat="1" x14ac:dyDescent="0.25"/>
    <row r="24503" s="42" customFormat="1" x14ac:dyDescent="0.25"/>
    <row r="24504" s="42" customFormat="1" x14ac:dyDescent="0.25"/>
    <row r="24505" s="42" customFormat="1" x14ac:dyDescent="0.25"/>
    <row r="24506" s="42" customFormat="1" x14ac:dyDescent="0.25"/>
    <row r="24507" s="42" customFormat="1" x14ac:dyDescent="0.25"/>
    <row r="24508" s="42" customFormat="1" x14ac:dyDescent="0.25"/>
    <row r="24509" s="42" customFormat="1" x14ac:dyDescent="0.25"/>
    <row r="24510" s="42" customFormat="1" x14ac:dyDescent="0.25"/>
    <row r="24511" s="42" customFormat="1" x14ac:dyDescent="0.25"/>
    <row r="24512" s="42" customFormat="1" x14ac:dyDescent="0.25"/>
    <row r="24513" s="42" customFormat="1" x14ac:dyDescent="0.25"/>
    <row r="24514" s="42" customFormat="1" x14ac:dyDescent="0.25"/>
    <row r="24515" s="42" customFormat="1" x14ac:dyDescent="0.25"/>
    <row r="24516" s="42" customFormat="1" x14ac:dyDescent="0.25"/>
    <row r="24517" s="42" customFormat="1" x14ac:dyDescent="0.25"/>
    <row r="24518" s="42" customFormat="1" x14ac:dyDescent="0.25"/>
    <row r="24519" s="42" customFormat="1" x14ac:dyDescent="0.25"/>
    <row r="24520" s="42" customFormat="1" x14ac:dyDescent="0.25"/>
    <row r="24521" s="42" customFormat="1" x14ac:dyDescent="0.25"/>
    <row r="24522" s="42" customFormat="1" x14ac:dyDescent="0.25"/>
    <row r="24523" s="42" customFormat="1" x14ac:dyDescent="0.25"/>
    <row r="24524" s="42" customFormat="1" x14ac:dyDescent="0.25"/>
    <row r="24525" s="42" customFormat="1" x14ac:dyDescent="0.25"/>
    <row r="24526" s="42" customFormat="1" x14ac:dyDescent="0.25"/>
    <row r="24527" s="42" customFormat="1" x14ac:dyDescent="0.25"/>
    <row r="24528" s="42" customFormat="1" x14ac:dyDescent="0.25"/>
    <row r="24529" s="42" customFormat="1" x14ac:dyDescent="0.25"/>
    <row r="24530" s="42" customFormat="1" x14ac:dyDescent="0.25"/>
    <row r="24531" s="42" customFormat="1" x14ac:dyDescent="0.25"/>
    <row r="24532" s="42" customFormat="1" x14ac:dyDescent="0.25"/>
    <row r="24533" s="42" customFormat="1" x14ac:dyDescent="0.25"/>
    <row r="24534" s="42" customFormat="1" x14ac:dyDescent="0.25"/>
    <row r="24535" s="42" customFormat="1" x14ac:dyDescent="0.25"/>
    <row r="24536" s="42" customFormat="1" x14ac:dyDescent="0.25"/>
    <row r="24537" s="42" customFormat="1" x14ac:dyDescent="0.25"/>
    <row r="24538" s="42" customFormat="1" x14ac:dyDescent="0.25"/>
    <row r="24539" s="42" customFormat="1" x14ac:dyDescent="0.25"/>
    <row r="24540" s="42" customFormat="1" x14ac:dyDescent="0.25"/>
    <row r="24541" s="42" customFormat="1" x14ac:dyDescent="0.25"/>
    <row r="24542" s="42" customFormat="1" x14ac:dyDescent="0.25"/>
    <row r="24543" s="42" customFormat="1" x14ac:dyDescent="0.25"/>
    <row r="24544" s="42" customFormat="1" x14ac:dyDescent="0.25"/>
    <row r="24545" s="42" customFormat="1" x14ac:dyDescent="0.25"/>
    <row r="24546" s="42" customFormat="1" x14ac:dyDescent="0.25"/>
    <row r="24547" s="42" customFormat="1" x14ac:dyDescent="0.25"/>
    <row r="24548" s="42" customFormat="1" x14ac:dyDescent="0.25"/>
    <row r="24549" s="42" customFormat="1" x14ac:dyDescent="0.25"/>
    <row r="24550" s="42" customFormat="1" x14ac:dyDescent="0.25"/>
    <row r="24551" s="42" customFormat="1" x14ac:dyDescent="0.25"/>
    <row r="24552" s="42" customFormat="1" x14ac:dyDescent="0.25"/>
    <row r="24553" s="42" customFormat="1" x14ac:dyDescent="0.25"/>
    <row r="24554" s="42" customFormat="1" x14ac:dyDescent="0.25"/>
    <row r="24555" s="42" customFormat="1" x14ac:dyDescent="0.25"/>
    <row r="24556" s="42" customFormat="1" x14ac:dyDescent="0.25"/>
    <row r="24557" s="42" customFormat="1" x14ac:dyDescent="0.25"/>
    <row r="24558" s="42" customFormat="1" x14ac:dyDescent="0.25"/>
    <row r="24559" s="42" customFormat="1" x14ac:dyDescent="0.25"/>
    <row r="24560" s="42" customFormat="1" x14ac:dyDescent="0.25"/>
    <row r="24561" s="42" customFormat="1" x14ac:dyDescent="0.25"/>
    <row r="24562" s="42" customFormat="1" x14ac:dyDescent="0.25"/>
    <row r="24563" s="42" customFormat="1" x14ac:dyDescent="0.25"/>
    <row r="24564" s="42" customFormat="1" x14ac:dyDescent="0.25"/>
    <row r="24565" s="42" customFormat="1" x14ac:dyDescent="0.25"/>
    <row r="24566" s="42" customFormat="1" x14ac:dyDescent="0.25"/>
    <row r="24567" s="42" customFormat="1" x14ac:dyDescent="0.25"/>
    <row r="24568" s="42" customFormat="1" x14ac:dyDescent="0.25"/>
    <row r="24569" s="42" customFormat="1" x14ac:dyDescent="0.25"/>
    <row r="24570" s="42" customFormat="1" x14ac:dyDescent="0.25"/>
    <row r="24571" s="42" customFormat="1" x14ac:dyDescent="0.25"/>
    <row r="24572" s="42" customFormat="1" x14ac:dyDescent="0.25"/>
    <row r="24573" s="42" customFormat="1" x14ac:dyDescent="0.25"/>
    <row r="24574" s="42" customFormat="1" x14ac:dyDescent="0.25"/>
    <row r="24575" s="42" customFormat="1" x14ac:dyDescent="0.25"/>
    <row r="24576" s="42" customFormat="1" x14ac:dyDescent="0.25"/>
    <row r="24577" s="42" customFormat="1" x14ac:dyDescent="0.25"/>
    <row r="24578" s="42" customFormat="1" x14ac:dyDescent="0.25"/>
    <row r="24579" s="42" customFormat="1" x14ac:dyDescent="0.25"/>
    <row r="24580" s="42" customFormat="1" x14ac:dyDescent="0.25"/>
    <row r="24581" s="42" customFormat="1" x14ac:dyDescent="0.25"/>
    <row r="24582" s="42" customFormat="1" x14ac:dyDescent="0.25"/>
    <row r="24583" s="42" customFormat="1" x14ac:dyDescent="0.25"/>
    <row r="24584" s="42" customFormat="1" x14ac:dyDescent="0.25"/>
    <row r="24585" s="42" customFormat="1" x14ac:dyDescent="0.25"/>
    <row r="24586" s="42" customFormat="1" x14ac:dyDescent="0.25"/>
    <row r="24587" s="42" customFormat="1" x14ac:dyDescent="0.25"/>
    <row r="24588" s="42" customFormat="1" x14ac:dyDescent="0.25"/>
    <row r="24589" s="42" customFormat="1" x14ac:dyDescent="0.25"/>
    <row r="24590" s="42" customFormat="1" x14ac:dyDescent="0.25"/>
    <row r="24591" s="42" customFormat="1" x14ac:dyDescent="0.25"/>
    <row r="24592" s="42" customFormat="1" x14ac:dyDescent="0.25"/>
    <row r="24593" s="42" customFormat="1" x14ac:dyDescent="0.25"/>
    <row r="24594" s="42" customFormat="1" x14ac:dyDescent="0.25"/>
    <row r="24595" s="42" customFormat="1" x14ac:dyDescent="0.25"/>
    <row r="24596" s="42" customFormat="1" x14ac:dyDescent="0.25"/>
    <row r="24597" s="42" customFormat="1" x14ac:dyDescent="0.25"/>
    <row r="24598" s="42" customFormat="1" x14ac:dyDescent="0.25"/>
    <row r="24599" s="42" customFormat="1" x14ac:dyDescent="0.25"/>
    <row r="24600" s="42" customFormat="1" x14ac:dyDescent="0.25"/>
    <row r="24601" s="42" customFormat="1" x14ac:dyDescent="0.25"/>
    <row r="24602" s="42" customFormat="1" x14ac:dyDescent="0.25"/>
    <row r="24603" s="42" customFormat="1" x14ac:dyDescent="0.25"/>
    <row r="24604" s="42" customFormat="1" x14ac:dyDescent="0.25"/>
    <row r="24605" s="42" customFormat="1" x14ac:dyDescent="0.25"/>
    <row r="24606" s="42" customFormat="1" x14ac:dyDescent="0.25"/>
    <row r="24607" s="42" customFormat="1" x14ac:dyDescent="0.25"/>
    <row r="24608" s="42" customFormat="1" x14ac:dyDescent="0.25"/>
    <row r="24609" s="42" customFormat="1" x14ac:dyDescent="0.25"/>
    <row r="24610" s="42" customFormat="1" x14ac:dyDescent="0.25"/>
    <row r="24611" s="42" customFormat="1" x14ac:dyDescent="0.25"/>
    <row r="24612" s="42" customFormat="1" x14ac:dyDescent="0.25"/>
    <row r="24613" s="42" customFormat="1" x14ac:dyDescent="0.25"/>
    <row r="24614" s="42" customFormat="1" x14ac:dyDescent="0.25"/>
    <row r="24615" s="42" customFormat="1" x14ac:dyDescent="0.25"/>
    <row r="24616" s="42" customFormat="1" x14ac:dyDescent="0.25"/>
    <row r="24617" s="42" customFormat="1" x14ac:dyDescent="0.25"/>
    <row r="24618" s="42" customFormat="1" x14ac:dyDescent="0.25"/>
    <row r="24619" s="42" customFormat="1" x14ac:dyDescent="0.25"/>
    <row r="24620" s="42" customFormat="1" x14ac:dyDescent="0.25"/>
    <row r="24621" s="42" customFormat="1" x14ac:dyDescent="0.25"/>
    <row r="24622" s="42" customFormat="1" x14ac:dyDescent="0.25"/>
    <row r="24623" s="42" customFormat="1" x14ac:dyDescent="0.25"/>
    <row r="24624" s="42" customFormat="1" x14ac:dyDescent="0.25"/>
    <row r="24625" s="42" customFormat="1" x14ac:dyDescent="0.25"/>
    <row r="24626" s="42" customFormat="1" x14ac:dyDescent="0.25"/>
    <row r="24627" s="42" customFormat="1" x14ac:dyDescent="0.25"/>
    <row r="24628" s="42" customFormat="1" x14ac:dyDescent="0.25"/>
    <row r="24629" s="42" customFormat="1" x14ac:dyDescent="0.25"/>
    <row r="24630" s="42" customFormat="1" x14ac:dyDescent="0.25"/>
    <row r="24631" s="42" customFormat="1" x14ac:dyDescent="0.25"/>
    <row r="24632" s="42" customFormat="1" x14ac:dyDescent="0.25"/>
    <row r="24633" s="42" customFormat="1" x14ac:dyDescent="0.25"/>
    <row r="24634" s="42" customFormat="1" x14ac:dyDescent="0.25"/>
    <row r="24635" s="42" customFormat="1" x14ac:dyDescent="0.25"/>
    <row r="24636" s="42" customFormat="1" x14ac:dyDescent="0.25"/>
    <row r="24637" s="42" customFormat="1" x14ac:dyDescent="0.25"/>
    <row r="24638" s="42" customFormat="1" x14ac:dyDescent="0.25"/>
    <row r="24639" s="42" customFormat="1" x14ac:dyDescent="0.25"/>
    <row r="24640" s="42" customFormat="1" x14ac:dyDescent="0.25"/>
    <row r="24641" s="42" customFormat="1" x14ac:dyDescent="0.25"/>
    <row r="24642" s="42" customFormat="1" x14ac:dyDescent="0.25"/>
    <row r="24643" s="42" customFormat="1" x14ac:dyDescent="0.25"/>
    <row r="24644" s="42" customFormat="1" x14ac:dyDescent="0.25"/>
    <row r="24645" s="42" customFormat="1" x14ac:dyDescent="0.25"/>
    <row r="24646" s="42" customFormat="1" x14ac:dyDescent="0.25"/>
    <row r="24647" s="42" customFormat="1" x14ac:dyDescent="0.25"/>
    <row r="24648" s="42" customFormat="1" x14ac:dyDescent="0.25"/>
    <row r="24649" s="42" customFormat="1" x14ac:dyDescent="0.25"/>
    <row r="24650" s="42" customFormat="1" x14ac:dyDescent="0.25"/>
    <row r="24651" s="42" customFormat="1" x14ac:dyDescent="0.25"/>
    <row r="24652" s="42" customFormat="1" x14ac:dyDescent="0.25"/>
    <row r="24653" s="42" customFormat="1" x14ac:dyDescent="0.25"/>
    <row r="24654" s="42" customFormat="1" x14ac:dyDescent="0.25"/>
    <row r="24655" s="42" customFormat="1" x14ac:dyDescent="0.25"/>
    <row r="24656" s="42" customFormat="1" x14ac:dyDescent="0.25"/>
    <row r="24657" s="42" customFormat="1" x14ac:dyDescent="0.25"/>
    <row r="24658" s="42" customFormat="1" x14ac:dyDescent="0.25"/>
    <row r="24659" s="42" customFormat="1" x14ac:dyDescent="0.25"/>
    <row r="24660" s="42" customFormat="1" x14ac:dyDescent="0.25"/>
    <row r="24661" s="42" customFormat="1" x14ac:dyDescent="0.25"/>
    <row r="24662" s="42" customFormat="1" x14ac:dyDescent="0.25"/>
    <row r="24663" s="42" customFormat="1" x14ac:dyDescent="0.25"/>
    <row r="24664" s="42" customFormat="1" x14ac:dyDescent="0.25"/>
    <row r="24665" s="42" customFormat="1" x14ac:dyDescent="0.25"/>
    <row r="24666" s="42" customFormat="1" x14ac:dyDescent="0.25"/>
    <row r="24667" s="42" customFormat="1" x14ac:dyDescent="0.25"/>
    <row r="24668" s="42" customFormat="1" x14ac:dyDescent="0.25"/>
    <row r="24669" s="42" customFormat="1" x14ac:dyDescent="0.25"/>
    <row r="24670" s="42" customFormat="1" x14ac:dyDescent="0.25"/>
    <row r="24671" s="42" customFormat="1" x14ac:dyDescent="0.25"/>
    <row r="24672" s="42" customFormat="1" x14ac:dyDescent="0.25"/>
    <row r="24673" s="42" customFormat="1" x14ac:dyDescent="0.25"/>
    <row r="24674" s="42" customFormat="1" x14ac:dyDescent="0.25"/>
    <row r="24675" s="42" customFormat="1" x14ac:dyDescent="0.25"/>
    <row r="24676" s="42" customFormat="1" x14ac:dyDescent="0.25"/>
    <row r="24677" s="42" customFormat="1" x14ac:dyDescent="0.25"/>
    <row r="24678" s="42" customFormat="1" x14ac:dyDescent="0.25"/>
    <row r="24679" s="42" customFormat="1" x14ac:dyDescent="0.25"/>
    <row r="24680" s="42" customFormat="1" x14ac:dyDescent="0.25"/>
    <row r="24681" s="42" customFormat="1" x14ac:dyDescent="0.25"/>
    <row r="24682" s="42" customFormat="1" x14ac:dyDescent="0.25"/>
    <row r="24683" s="42" customFormat="1" x14ac:dyDescent="0.25"/>
    <row r="24684" s="42" customFormat="1" x14ac:dyDescent="0.25"/>
    <row r="24685" s="42" customFormat="1" x14ac:dyDescent="0.25"/>
    <row r="24686" s="42" customFormat="1" x14ac:dyDescent="0.25"/>
    <row r="24687" s="42" customFormat="1" x14ac:dyDescent="0.25"/>
    <row r="24688" s="42" customFormat="1" x14ac:dyDescent="0.25"/>
    <row r="24689" s="42" customFormat="1" x14ac:dyDescent="0.25"/>
    <row r="24690" s="42" customFormat="1" x14ac:dyDescent="0.25"/>
    <row r="24691" s="42" customFormat="1" x14ac:dyDescent="0.25"/>
    <row r="24692" s="42" customFormat="1" x14ac:dyDescent="0.25"/>
    <row r="24693" s="42" customFormat="1" x14ac:dyDescent="0.25"/>
    <row r="24694" s="42" customFormat="1" x14ac:dyDescent="0.25"/>
    <row r="24695" s="42" customFormat="1" x14ac:dyDescent="0.25"/>
    <row r="24696" s="42" customFormat="1" x14ac:dyDescent="0.25"/>
    <row r="24697" s="42" customFormat="1" x14ac:dyDescent="0.25"/>
    <row r="24698" s="42" customFormat="1" x14ac:dyDescent="0.25"/>
    <row r="24699" s="42" customFormat="1" x14ac:dyDescent="0.25"/>
    <row r="24700" s="42" customFormat="1" x14ac:dyDescent="0.25"/>
    <row r="24701" s="42" customFormat="1" x14ac:dyDescent="0.25"/>
    <row r="24702" s="42" customFormat="1" x14ac:dyDescent="0.25"/>
    <row r="24703" s="42" customFormat="1" x14ac:dyDescent="0.25"/>
    <row r="24704" s="42" customFormat="1" x14ac:dyDescent="0.25"/>
    <row r="24705" s="42" customFormat="1" x14ac:dyDescent="0.25"/>
    <row r="24706" s="42" customFormat="1" x14ac:dyDescent="0.25"/>
    <row r="24707" s="42" customFormat="1" x14ac:dyDescent="0.25"/>
    <row r="24708" s="42" customFormat="1" x14ac:dyDescent="0.25"/>
    <row r="24709" s="42" customFormat="1" x14ac:dyDescent="0.25"/>
    <row r="24710" s="42" customFormat="1" x14ac:dyDescent="0.25"/>
    <row r="24711" s="42" customFormat="1" x14ac:dyDescent="0.25"/>
    <row r="24712" s="42" customFormat="1" x14ac:dyDescent="0.25"/>
    <row r="24713" s="42" customFormat="1" x14ac:dyDescent="0.25"/>
    <row r="24714" s="42" customFormat="1" x14ac:dyDescent="0.25"/>
    <row r="24715" s="42" customFormat="1" x14ac:dyDescent="0.25"/>
    <row r="24716" s="42" customFormat="1" x14ac:dyDescent="0.25"/>
    <row r="24717" s="42" customFormat="1" x14ac:dyDescent="0.25"/>
    <row r="24718" s="42" customFormat="1" x14ac:dyDescent="0.25"/>
    <row r="24719" s="42" customFormat="1" x14ac:dyDescent="0.25"/>
    <row r="24720" s="42" customFormat="1" x14ac:dyDescent="0.25"/>
    <row r="24721" s="42" customFormat="1" x14ac:dyDescent="0.25"/>
    <row r="24722" s="42" customFormat="1" x14ac:dyDescent="0.25"/>
    <row r="24723" s="42" customFormat="1" x14ac:dyDescent="0.25"/>
    <row r="24724" s="42" customFormat="1" x14ac:dyDescent="0.25"/>
    <row r="24725" s="42" customFormat="1" x14ac:dyDescent="0.25"/>
    <row r="24726" s="42" customFormat="1" x14ac:dyDescent="0.25"/>
    <row r="24727" s="42" customFormat="1" x14ac:dyDescent="0.25"/>
    <row r="24728" s="42" customFormat="1" x14ac:dyDescent="0.25"/>
    <row r="24729" s="42" customFormat="1" x14ac:dyDescent="0.25"/>
    <row r="24730" s="42" customFormat="1" x14ac:dyDescent="0.25"/>
    <row r="24731" s="42" customFormat="1" x14ac:dyDescent="0.25"/>
    <row r="24732" s="42" customFormat="1" x14ac:dyDescent="0.25"/>
    <row r="24733" s="42" customFormat="1" x14ac:dyDescent="0.25"/>
    <row r="24734" s="42" customFormat="1" x14ac:dyDescent="0.25"/>
    <row r="24735" s="42" customFormat="1" x14ac:dyDescent="0.25"/>
    <row r="24736" s="42" customFormat="1" x14ac:dyDescent="0.25"/>
    <row r="24737" s="42" customFormat="1" x14ac:dyDescent="0.25"/>
    <row r="24738" s="42" customFormat="1" x14ac:dyDescent="0.25"/>
    <row r="24739" s="42" customFormat="1" x14ac:dyDescent="0.25"/>
    <row r="24740" s="42" customFormat="1" x14ac:dyDescent="0.25"/>
    <row r="24741" s="42" customFormat="1" x14ac:dyDescent="0.25"/>
    <row r="24742" s="42" customFormat="1" x14ac:dyDescent="0.25"/>
    <row r="24743" s="42" customFormat="1" x14ac:dyDescent="0.25"/>
    <row r="24744" s="42" customFormat="1" x14ac:dyDescent="0.25"/>
    <row r="24745" s="42" customFormat="1" x14ac:dyDescent="0.25"/>
    <row r="24746" s="42" customFormat="1" x14ac:dyDescent="0.25"/>
    <row r="24747" s="42" customFormat="1" x14ac:dyDescent="0.25"/>
    <row r="24748" s="42" customFormat="1" x14ac:dyDescent="0.25"/>
    <row r="24749" s="42" customFormat="1" x14ac:dyDescent="0.25"/>
    <row r="24750" s="42" customFormat="1" x14ac:dyDescent="0.25"/>
    <row r="24751" s="42" customFormat="1" x14ac:dyDescent="0.25"/>
    <row r="24752" s="42" customFormat="1" x14ac:dyDescent="0.25"/>
    <row r="24753" s="42" customFormat="1" x14ac:dyDescent="0.25"/>
    <row r="24754" s="42" customFormat="1" x14ac:dyDescent="0.25"/>
    <row r="24755" s="42" customFormat="1" x14ac:dyDescent="0.25"/>
    <row r="24756" s="42" customFormat="1" x14ac:dyDescent="0.25"/>
    <row r="24757" s="42" customFormat="1" x14ac:dyDescent="0.25"/>
    <row r="24758" s="42" customFormat="1" x14ac:dyDescent="0.25"/>
    <row r="24759" s="42" customFormat="1" x14ac:dyDescent="0.25"/>
    <row r="24760" s="42" customFormat="1" x14ac:dyDescent="0.25"/>
    <row r="24761" s="42" customFormat="1" x14ac:dyDescent="0.25"/>
    <row r="24762" s="42" customFormat="1" x14ac:dyDescent="0.25"/>
    <row r="24763" s="42" customFormat="1" x14ac:dyDescent="0.25"/>
    <row r="24764" s="42" customFormat="1" x14ac:dyDescent="0.25"/>
    <row r="24765" s="42" customFormat="1" x14ac:dyDescent="0.25"/>
    <row r="24766" s="42" customFormat="1" x14ac:dyDescent="0.25"/>
    <row r="24767" s="42" customFormat="1" x14ac:dyDescent="0.25"/>
    <row r="24768" s="42" customFormat="1" x14ac:dyDescent="0.25"/>
    <row r="24769" s="42" customFormat="1" x14ac:dyDescent="0.25"/>
    <row r="24770" s="42" customFormat="1" x14ac:dyDescent="0.25"/>
    <row r="24771" s="42" customFormat="1" x14ac:dyDescent="0.25"/>
    <row r="24772" s="42" customFormat="1" x14ac:dyDescent="0.25"/>
    <row r="24773" s="42" customFormat="1" x14ac:dyDescent="0.25"/>
    <row r="24774" s="42" customFormat="1" x14ac:dyDescent="0.25"/>
    <row r="24775" s="42" customFormat="1" x14ac:dyDescent="0.25"/>
    <row r="24776" s="42" customFormat="1" x14ac:dyDescent="0.25"/>
    <row r="24777" s="42" customFormat="1" x14ac:dyDescent="0.25"/>
    <row r="24778" s="42" customFormat="1" x14ac:dyDescent="0.25"/>
    <row r="24779" s="42" customFormat="1" x14ac:dyDescent="0.25"/>
    <row r="24780" s="42" customFormat="1" x14ac:dyDescent="0.25"/>
    <row r="24781" s="42" customFormat="1" x14ac:dyDescent="0.25"/>
    <row r="24782" s="42" customFormat="1" x14ac:dyDescent="0.25"/>
    <row r="24783" s="42" customFormat="1" x14ac:dyDescent="0.25"/>
    <row r="24784" s="42" customFormat="1" x14ac:dyDescent="0.25"/>
    <row r="24785" s="42" customFormat="1" x14ac:dyDescent="0.25"/>
    <row r="24786" s="42" customFormat="1" x14ac:dyDescent="0.25"/>
    <row r="24787" s="42" customFormat="1" x14ac:dyDescent="0.25"/>
    <row r="24788" s="42" customFormat="1" x14ac:dyDescent="0.25"/>
    <row r="24789" s="42" customFormat="1" x14ac:dyDescent="0.25"/>
    <row r="24790" s="42" customFormat="1" x14ac:dyDescent="0.25"/>
    <row r="24791" s="42" customFormat="1" x14ac:dyDescent="0.25"/>
    <row r="24792" s="42" customFormat="1" x14ac:dyDescent="0.25"/>
    <row r="24793" s="42" customFormat="1" x14ac:dyDescent="0.25"/>
    <row r="24794" s="42" customFormat="1" x14ac:dyDescent="0.25"/>
    <row r="24795" s="42" customFormat="1" x14ac:dyDescent="0.25"/>
    <row r="24796" s="42" customFormat="1" x14ac:dyDescent="0.25"/>
    <row r="24797" s="42" customFormat="1" x14ac:dyDescent="0.25"/>
    <row r="24798" s="42" customFormat="1" x14ac:dyDescent="0.25"/>
    <row r="24799" s="42" customFormat="1" x14ac:dyDescent="0.25"/>
    <row r="24800" s="42" customFormat="1" x14ac:dyDescent="0.25"/>
    <row r="24801" s="42" customFormat="1" x14ac:dyDescent="0.25"/>
    <row r="24802" s="42" customFormat="1" x14ac:dyDescent="0.25"/>
    <row r="24803" s="42" customFormat="1" x14ac:dyDescent="0.25"/>
    <row r="24804" s="42" customFormat="1" x14ac:dyDescent="0.25"/>
    <row r="24805" s="42" customFormat="1" x14ac:dyDescent="0.25"/>
    <row r="24806" s="42" customFormat="1" x14ac:dyDescent="0.25"/>
    <row r="24807" s="42" customFormat="1" x14ac:dyDescent="0.25"/>
    <row r="24808" s="42" customFormat="1" x14ac:dyDescent="0.25"/>
    <row r="24809" s="42" customFormat="1" x14ac:dyDescent="0.25"/>
    <row r="24810" s="42" customFormat="1" x14ac:dyDescent="0.25"/>
    <row r="24811" s="42" customFormat="1" x14ac:dyDescent="0.25"/>
    <row r="24812" s="42" customFormat="1" x14ac:dyDescent="0.25"/>
    <row r="24813" s="42" customFormat="1" x14ac:dyDescent="0.25"/>
    <row r="24814" s="42" customFormat="1" x14ac:dyDescent="0.25"/>
    <row r="24815" s="42" customFormat="1" x14ac:dyDescent="0.25"/>
    <row r="24816" s="42" customFormat="1" x14ac:dyDescent="0.25"/>
    <row r="24817" s="42" customFormat="1" x14ac:dyDescent="0.25"/>
    <row r="24818" s="42" customFormat="1" x14ac:dyDescent="0.25"/>
    <row r="24819" s="42" customFormat="1" x14ac:dyDescent="0.25"/>
    <row r="24820" s="42" customFormat="1" x14ac:dyDescent="0.25"/>
    <row r="24821" s="42" customFormat="1" x14ac:dyDescent="0.25"/>
    <row r="24822" s="42" customFormat="1" x14ac:dyDescent="0.25"/>
    <row r="24823" s="42" customFormat="1" x14ac:dyDescent="0.25"/>
    <row r="24824" s="42" customFormat="1" x14ac:dyDescent="0.25"/>
    <row r="24825" s="42" customFormat="1" x14ac:dyDescent="0.25"/>
    <row r="24826" s="42" customFormat="1" x14ac:dyDescent="0.25"/>
    <row r="24827" s="42" customFormat="1" x14ac:dyDescent="0.25"/>
    <row r="24828" s="42" customFormat="1" x14ac:dyDescent="0.25"/>
    <row r="24829" s="42" customFormat="1" x14ac:dyDescent="0.25"/>
    <row r="24830" s="42" customFormat="1" x14ac:dyDescent="0.25"/>
    <row r="24831" s="42" customFormat="1" x14ac:dyDescent="0.25"/>
    <row r="24832" s="42" customFormat="1" x14ac:dyDescent="0.25"/>
    <row r="24833" s="42" customFormat="1" x14ac:dyDescent="0.25"/>
    <row r="24834" s="42" customFormat="1" x14ac:dyDescent="0.25"/>
    <row r="24835" s="42" customFormat="1" x14ac:dyDescent="0.25"/>
    <row r="24836" s="42" customFormat="1" x14ac:dyDescent="0.25"/>
    <row r="24837" s="42" customFormat="1" x14ac:dyDescent="0.25"/>
    <row r="24838" s="42" customFormat="1" x14ac:dyDescent="0.25"/>
    <row r="24839" s="42" customFormat="1" x14ac:dyDescent="0.25"/>
    <row r="24840" s="42" customFormat="1" x14ac:dyDescent="0.25"/>
    <row r="24841" s="42" customFormat="1" x14ac:dyDescent="0.25"/>
    <row r="24842" s="42" customFormat="1" x14ac:dyDescent="0.25"/>
    <row r="24843" s="42" customFormat="1" x14ac:dyDescent="0.25"/>
    <row r="24844" s="42" customFormat="1" x14ac:dyDescent="0.25"/>
    <row r="24845" s="42" customFormat="1" x14ac:dyDescent="0.25"/>
    <row r="24846" s="42" customFormat="1" x14ac:dyDescent="0.25"/>
    <row r="24847" s="42" customFormat="1" x14ac:dyDescent="0.25"/>
    <row r="24848" s="42" customFormat="1" x14ac:dyDescent="0.25"/>
    <row r="24849" s="42" customFormat="1" x14ac:dyDescent="0.25"/>
    <row r="24850" s="42" customFormat="1" x14ac:dyDescent="0.25"/>
    <row r="24851" s="42" customFormat="1" x14ac:dyDescent="0.25"/>
    <row r="24852" s="42" customFormat="1" x14ac:dyDescent="0.25"/>
    <row r="24853" s="42" customFormat="1" x14ac:dyDescent="0.25"/>
    <row r="24854" s="42" customFormat="1" x14ac:dyDescent="0.25"/>
    <row r="24855" s="42" customFormat="1" x14ac:dyDescent="0.25"/>
    <row r="24856" s="42" customFormat="1" x14ac:dyDescent="0.25"/>
    <row r="24857" s="42" customFormat="1" x14ac:dyDescent="0.25"/>
    <row r="24858" s="42" customFormat="1" x14ac:dyDescent="0.25"/>
    <row r="24859" s="42" customFormat="1" x14ac:dyDescent="0.25"/>
    <row r="24860" s="42" customFormat="1" x14ac:dyDescent="0.25"/>
    <row r="24861" s="42" customFormat="1" x14ac:dyDescent="0.25"/>
    <row r="24862" s="42" customFormat="1" x14ac:dyDescent="0.25"/>
    <row r="24863" s="42" customFormat="1" x14ac:dyDescent="0.25"/>
    <row r="24864" s="42" customFormat="1" x14ac:dyDescent="0.25"/>
    <row r="24865" s="42" customFormat="1" x14ac:dyDescent="0.25"/>
    <row r="24866" s="42" customFormat="1" x14ac:dyDescent="0.25"/>
    <row r="24867" s="42" customFormat="1" x14ac:dyDescent="0.25"/>
    <row r="24868" s="42" customFormat="1" x14ac:dyDescent="0.25"/>
    <row r="24869" s="42" customFormat="1" x14ac:dyDescent="0.25"/>
    <row r="24870" s="42" customFormat="1" x14ac:dyDescent="0.25"/>
    <row r="24871" s="42" customFormat="1" x14ac:dyDescent="0.25"/>
    <row r="24872" s="42" customFormat="1" x14ac:dyDescent="0.25"/>
    <row r="24873" s="42" customFormat="1" x14ac:dyDescent="0.25"/>
    <row r="24874" s="42" customFormat="1" x14ac:dyDescent="0.25"/>
    <row r="24875" s="42" customFormat="1" x14ac:dyDescent="0.25"/>
    <row r="24876" s="42" customFormat="1" x14ac:dyDescent="0.25"/>
    <row r="24877" s="42" customFormat="1" x14ac:dyDescent="0.25"/>
    <row r="24878" s="42" customFormat="1" x14ac:dyDescent="0.25"/>
    <row r="24879" s="42" customFormat="1" x14ac:dyDescent="0.25"/>
    <row r="24880" s="42" customFormat="1" x14ac:dyDescent="0.25"/>
    <row r="24881" s="42" customFormat="1" x14ac:dyDescent="0.25"/>
    <row r="24882" s="42" customFormat="1" x14ac:dyDescent="0.25"/>
    <row r="24883" s="42" customFormat="1" x14ac:dyDescent="0.25"/>
    <row r="24884" s="42" customFormat="1" x14ac:dyDescent="0.25"/>
    <row r="24885" s="42" customFormat="1" x14ac:dyDescent="0.25"/>
    <row r="24886" s="42" customFormat="1" x14ac:dyDescent="0.25"/>
    <row r="24887" s="42" customFormat="1" x14ac:dyDescent="0.25"/>
    <row r="24888" s="42" customFormat="1" x14ac:dyDescent="0.25"/>
    <row r="24889" s="42" customFormat="1" x14ac:dyDescent="0.25"/>
    <row r="24890" s="42" customFormat="1" x14ac:dyDescent="0.25"/>
    <row r="24891" s="42" customFormat="1" x14ac:dyDescent="0.25"/>
    <row r="24892" s="42" customFormat="1" x14ac:dyDescent="0.25"/>
    <row r="24893" s="42" customFormat="1" x14ac:dyDescent="0.25"/>
    <row r="24894" s="42" customFormat="1" x14ac:dyDescent="0.25"/>
    <row r="24895" s="42" customFormat="1" x14ac:dyDescent="0.25"/>
    <row r="24896" s="42" customFormat="1" x14ac:dyDescent="0.25"/>
    <row r="24897" s="42" customFormat="1" x14ac:dyDescent="0.25"/>
    <row r="24898" s="42" customFormat="1" x14ac:dyDescent="0.25"/>
    <row r="24899" s="42" customFormat="1" x14ac:dyDescent="0.25"/>
    <row r="24900" s="42" customFormat="1" x14ac:dyDescent="0.25"/>
    <row r="24901" s="42" customFormat="1" x14ac:dyDescent="0.25"/>
    <row r="24902" s="42" customFormat="1" x14ac:dyDescent="0.25"/>
    <row r="24903" s="42" customFormat="1" x14ac:dyDescent="0.25"/>
    <row r="24904" s="42" customFormat="1" x14ac:dyDescent="0.25"/>
    <row r="24905" s="42" customFormat="1" x14ac:dyDescent="0.25"/>
    <row r="24906" s="42" customFormat="1" x14ac:dyDescent="0.25"/>
    <row r="24907" s="42" customFormat="1" x14ac:dyDescent="0.25"/>
    <row r="24908" s="42" customFormat="1" x14ac:dyDescent="0.25"/>
    <row r="24909" s="42" customFormat="1" x14ac:dyDescent="0.25"/>
    <row r="24910" s="42" customFormat="1" x14ac:dyDescent="0.25"/>
    <row r="24911" s="42" customFormat="1" x14ac:dyDescent="0.25"/>
    <row r="24912" s="42" customFormat="1" x14ac:dyDescent="0.25"/>
    <row r="24913" s="42" customFormat="1" x14ac:dyDescent="0.25"/>
    <row r="24914" s="42" customFormat="1" x14ac:dyDescent="0.25"/>
    <row r="24915" s="42" customFormat="1" x14ac:dyDescent="0.25"/>
    <row r="24916" s="42" customFormat="1" x14ac:dyDescent="0.25"/>
    <row r="24917" s="42" customFormat="1" x14ac:dyDescent="0.25"/>
    <row r="24918" s="42" customFormat="1" x14ac:dyDescent="0.25"/>
    <row r="24919" s="42" customFormat="1" x14ac:dyDescent="0.25"/>
    <row r="24920" s="42" customFormat="1" x14ac:dyDescent="0.25"/>
    <row r="24921" s="42" customFormat="1" x14ac:dyDescent="0.25"/>
    <row r="24922" s="42" customFormat="1" x14ac:dyDescent="0.25"/>
    <row r="24923" s="42" customFormat="1" x14ac:dyDescent="0.25"/>
    <row r="24924" s="42" customFormat="1" x14ac:dyDescent="0.25"/>
    <row r="24925" s="42" customFormat="1" x14ac:dyDescent="0.25"/>
    <row r="24926" s="42" customFormat="1" x14ac:dyDescent="0.25"/>
    <row r="24927" s="42" customFormat="1" x14ac:dyDescent="0.25"/>
    <row r="24928" s="42" customFormat="1" x14ac:dyDescent="0.25"/>
    <row r="24929" s="42" customFormat="1" x14ac:dyDescent="0.25"/>
    <row r="24930" s="42" customFormat="1" x14ac:dyDescent="0.25"/>
    <row r="24931" s="42" customFormat="1" x14ac:dyDescent="0.25"/>
    <row r="24932" s="42" customFormat="1" x14ac:dyDescent="0.25"/>
    <row r="24933" s="42" customFormat="1" x14ac:dyDescent="0.25"/>
    <row r="24934" s="42" customFormat="1" x14ac:dyDescent="0.25"/>
    <row r="24935" s="42" customFormat="1" x14ac:dyDescent="0.25"/>
    <row r="24936" s="42" customFormat="1" x14ac:dyDescent="0.25"/>
    <row r="24937" s="42" customFormat="1" x14ac:dyDescent="0.25"/>
    <row r="24938" s="42" customFormat="1" x14ac:dyDescent="0.25"/>
    <row r="24939" s="42" customFormat="1" x14ac:dyDescent="0.25"/>
    <row r="24940" s="42" customFormat="1" x14ac:dyDescent="0.25"/>
    <row r="24941" s="42" customFormat="1" x14ac:dyDescent="0.25"/>
    <row r="24942" s="42" customFormat="1" x14ac:dyDescent="0.25"/>
    <row r="24943" s="42" customFormat="1" x14ac:dyDescent="0.25"/>
    <row r="24944" s="42" customFormat="1" x14ac:dyDescent="0.25"/>
    <row r="24945" s="42" customFormat="1" x14ac:dyDescent="0.25"/>
    <row r="24946" s="42" customFormat="1" x14ac:dyDescent="0.25"/>
    <row r="24947" s="42" customFormat="1" x14ac:dyDescent="0.25"/>
    <row r="24948" s="42" customFormat="1" x14ac:dyDescent="0.25"/>
    <row r="24949" s="42" customFormat="1" x14ac:dyDescent="0.25"/>
    <row r="24950" s="42" customFormat="1" x14ac:dyDescent="0.25"/>
    <row r="24951" s="42" customFormat="1" x14ac:dyDescent="0.25"/>
    <row r="24952" s="42" customFormat="1" x14ac:dyDescent="0.25"/>
    <row r="24953" s="42" customFormat="1" x14ac:dyDescent="0.25"/>
    <row r="24954" s="42" customFormat="1" x14ac:dyDescent="0.25"/>
    <row r="24955" s="42" customFormat="1" x14ac:dyDescent="0.25"/>
    <row r="24956" s="42" customFormat="1" x14ac:dyDescent="0.25"/>
    <row r="24957" s="42" customFormat="1" x14ac:dyDescent="0.25"/>
    <row r="24958" s="42" customFormat="1" x14ac:dyDescent="0.25"/>
    <row r="24959" s="42" customFormat="1" x14ac:dyDescent="0.25"/>
    <row r="24960" s="42" customFormat="1" x14ac:dyDescent="0.25"/>
    <row r="24961" s="42" customFormat="1" x14ac:dyDescent="0.25"/>
    <row r="24962" s="42" customFormat="1" x14ac:dyDescent="0.25"/>
    <row r="24963" s="42" customFormat="1" x14ac:dyDescent="0.25"/>
    <row r="24964" s="42" customFormat="1" x14ac:dyDescent="0.25"/>
    <row r="24965" s="42" customFormat="1" x14ac:dyDescent="0.25"/>
    <row r="24966" s="42" customFormat="1" x14ac:dyDescent="0.25"/>
    <row r="24967" s="42" customFormat="1" x14ac:dyDescent="0.25"/>
    <row r="24968" s="42" customFormat="1" x14ac:dyDescent="0.25"/>
    <row r="24969" s="42" customFormat="1" x14ac:dyDescent="0.25"/>
    <row r="24970" s="42" customFormat="1" x14ac:dyDescent="0.25"/>
    <row r="24971" s="42" customFormat="1" x14ac:dyDescent="0.25"/>
    <row r="24972" s="42" customFormat="1" x14ac:dyDescent="0.25"/>
    <row r="24973" s="42" customFormat="1" x14ac:dyDescent="0.25"/>
    <row r="24974" s="42" customFormat="1" x14ac:dyDescent="0.25"/>
    <row r="24975" s="42" customFormat="1" x14ac:dyDescent="0.25"/>
    <row r="24976" s="42" customFormat="1" x14ac:dyDescent="0.25"/>
    <row r="24977" s="42" customFormat="1" x14ac:dyDescent="0.25"/>
    <row r="24978" s="42" customFormat="1" x14ac:dyDescent="0.25"/>
    <row r="24979" s="42" customFormat="1" x14ac:dyDescent="0.25"/>
    <row r="24980" s="42" customFormat="1" x14ac:dyDescent="0.25"/>
    <row r="24981" s="42" customFormat="1" x14ac:dyDescent="0.25"/>
    <row r="24982" s="42" customFormat="1" x14ac:dyDescent="0.25"/>
    <row r="24983" s="42" customFormat="1" x14ac:dyDescent="0.25"/>
    <row r="24984" s="42" customFormat="1" x14ac:dyDescent="0.25"/>
    <row r="24985" s="42" customFormat="1" x14ac:dyDescent="0.25"/>
    <row r="24986" s="42" customFormat="1" x14ac:dyDescent="0.25"/>
    <row r="24987" s="42" customFormat="1" x14ac:dyDescent="0.25"/>
    <row r="24988" s="42" customFormat="1" x14ac:dyDescent="0.25"/>
    <row r="24989" s="42" customFormat="1" x14ac:dyDescent="0.25"/>
    <row r="24990" s="42" customFormat="1" x14ac:dyDescent="0.25"/>
    <row r="24991" s="42" customFormat="1" x14ac:dyDescent="0.25"/>
    <row r="24992" s="42" customFormat="1" x14ac:dyDescent="0.25"/>
    <row r="24993" s="42" customFormat="1" x14ac:dyDescent="0.25"/>
    <row r="24994" s="42" customFormat="1" x14ac:dyDescent="0.25"/>
    <row r="24995" s="42" customFormat="1" x14ac:dyDescent="0.25"/>
    <row r="24996" s="42" customFormat="1" x14ac:dyDescent="0.25"/>
    <row r="24997" s="42" customFormat="1" x14ac:dyDescent="0.25"/>
    <row r="24998" s="42" customFormat="1" x14ac:dyDescent="0.25"/>
    <row r="24999" s="42" customFormat="1" x14ac:dyDescent="0.25"/>
    <row r="25000" s="42" customFormat="1" x14ac:dyDescent="0.25"/>
    <row r="25001" s="42" customFormat="1" x14ac:dyDescent="0.25"/>
    <row r="25002" s="42" customFormat="1" x14ac:dyDescent="0.25"/>
    <row r="25003" s="42" customFormat="1" x14ac:dyDescent="0.25"/>
    <row r="25004" s="42" customFormat="1" x14ac:dyDescent="0.25"/>
    <row r="25005" s="42" customFormat="1" x14ac:dyDescent="0.25"/>
    <row r="25006" s="42" customFormat="1" x14ac:dyDescent="0.25"/>
    <row r="25007" s="42" customFormat="1" x14ac:dyDescent="0.25"/>
    <row r="25008" s="42" customFormat="1" x14ac:dyDescent="0.25"/>
    <row r="25009" s="42" customFormat="1" x14ac:dyDescent="0.25"/>
    <row r="25010" s="42" customFormat="1" x14ac:dyDescent="0.25"/>
    <row r="25011" s="42" customFormat="1" x14ac:dyDescent="0.25"/>
    <row r="25012" s="42" customFormat="1" x14ac:dyDescent="0.25"/>
    <row r="25013" s="42" customFormat="1" x14ac:dyDescent="0.25"/>
    <row r="25014" s="42" customFormat="1" x14ac:dyDescent="0.25"/>
    <row r="25015" s="42" customFormat="1" x14ac:dyDescent="0.25"/>
    <row r="25016" s="42" customFormat="1" x14ac:dyDescent="0.25"/>
    <row r="25017" s="42" customFormat="1" x14ac:dyDescent="0.25"/>
    <row r="25018" s="42" customFormat="1" x14ac:dyDescent="0.25"/>
    <row r="25019" s="42" customFormat="1" x14ac:dyDescent="0.25"/>
    <row r="25020" s="42" customFormat="1" x14ac:dyDescent="0.25"/>
    <row r="25021" s="42" customFormat="1" x14ac:dyDescent="0.25"/>
    <row r="25022" s="42" customFormat="1" x14ac:dyDescent="0.25"/>
    <row r="25023" s="42" customFormat="1" x14ac:dyDescent="0.25"/>
    <row r="25024" s="42" customFormat="1" x14ac:dyDescent="0.25"/>
    <row r="25025" s="42" customFormat="1" x14ac:dyDescent="0.25"/>
    <row r="25026" s="42" customFormat="1" x14ac:dyDescent="0.25"/>
    <row r="25027" s="42" customFormat="1" x14ac:dyDescent="0.25"/>
    <row r="25028" s="42" customFormat="1" x14ac:dyDescent="0.25"/>
    <row r="25029" s="42" customFormat="1" x14ac:dyDescent="0.25"/>
    <row r="25030" s="42" customFormat="1" x14ac:dyDescent="0.25"/>
    <row r="25031" s="42" customFormat="1" x14ac:dyDescent="0.25"/>
    <row r="25032" s="42" customFormat="1" x14ac:dyDescent="0.25"/>
    <row r="25033" s="42" customFormat="1" x14ac:dyDescent="0.25"/>
    <row r="25034" s="42" customFormat="1" x14ac:dyDescent="0.25"/>
    <row r="25035" s="42" customFormat="1" x14ac:dyDescent="0.25"/>
    <row r="25036" s="42" customFormat="1" x14ac:dyDescent="0.25"/>
    <row r="25037" s="42" customFormat="1" x14ac:dyDescent="0.25"/>
    <row r="25038" s="42" customFormat="1" x14ac:dyDescent="0.25"/>
    <row r="25039" s="42" customFormat="1" x14ac:dyDescent="0.25"/>
    <row r="25040" s="42" customFormat="1" x14ac:dyDescent="0.25"/>
    <row r="25041" s="42" customFormat="1" x14ac:dyDescent="0.25"/>
    <row r="25042" s="42" customFormat="1" x14ac:dyDescent="0.25"/>
    <row r="25043" s="42" customFormat="1" x14ac:dyDescent="0.25"/>
    <row r="25044" s="42" customFormat="1" x14ac:dyDescent="0.25"/>
    <row r="25045" s="42" customFormat="1" x14ac:dyDescent="0.25"/>
    <row r="25046" s="42" customFormat="1" x14ac:dyDescent="0.25"/>
    <row r="25047" s="42" customFormat="1" x14ac:dyDescent="0.25"/>
    <row r="25048" s="42" customFormat="1" x14ac:dyDescent="0.25"/>
    <row r="25049" s="42" customFormat="1" x14ac:dyDescent="0.25"/>
    <row r="25050" s="42" customFormat="1" x14ac:dyDescent="0.25"/>
    <row r="25051" s="42" customFormat="1" x14ac:dyDescent="0.25"/>
    <row r="25052" s="42" customFormat="1" x14ac:dyDescent="0.25"/>
    <row r="25053" s="42" customFormat="1" x14ac:dyDescent="0.25"/>
    <row r="25054" s="42" customFormat="1" x14ac:dyDescent="0.25"/>
    <row r="25055" s="42" customFormat="1" x14ac:dyDescent="0.25"/>
    <row r="25056" s="42" customFormat="1" x14ac:dyDescent="0.25"/>
    <row r="25057" s="42" customFormat="1" x14ac:dyDescent="0.25"/>
    <row r="25058" s="42" customFormat="1" x14ac:dyDescent="0.25"/>
    <row r="25059" s="42" customFormat="1" x14ac:dyDescent="0.25"/>
    <row r="25060" s="42" customFormat="1" x14ac:dyDescent="0.25"/>
    <row r="25061" s="42" customFormat="1" x14ac:dyDescent="0.25"/>
    <row r="25062" s="42" customFormat="1" x14ac:dyDescent="0.25"/>
    <row r="25063" s="42" customFormat="1" x14ac:dyDescent="0.25"/>
    <row r="25064" s="42" customFormat="1" x14ac:dyDescent="0.25"/>
    <row r="25065" s="42" customFormat="1" x14ac:dyDescent="0.25"/>
    <row r="25066" s="42" customFormat="1" x14ac:dyDescent="0.25"/>
    <row r="25067" s="42" customFormat="1" x14ac:dyDescent="0.25"/>
    <row r="25068" s="42" customFormat="1" x14ac:dyDescent="0.25"/>
    <row r="25069" s="42" customFormat="1" x14ac:dyDescent="0.25"/>
    <row r="25070" s="42" customFormat="1" x14ac:dyDescent="0.25"/>
    <row r="25071" s="42" customFormat="1" x14ac:dyDescent="0.25"/>
    <row r="25072" s="42" customFormat="1" x14ac:dyDescent="0.25"/>
    <row r="25073" s="42" customFormat="1" x14ac:dyDescent="0.25"/>
    <row r="25074" s="42" customFormat="1" x14ac:dyDescent="0.25"/>
    <row r="25075" s="42" customFormat="1" x14ac:dyDescent="0.25"/>
    <row r="25076" s="42" customFormat="1" x14ac:dyDescent="0.25"/>
    <row r="25077" s="42" customFormat="1" x14ac:dyDescent="0.25"/>
    <row r="25078" s="42" customFormat="1" x14ac:dyDescent="0.25"/>
    <row r="25079" s="42" customFormat="1" x14ac:dyDescent="0.25"/>
    <row r="25080" s="42" customFormat="1" x14ac:dyDescent="0.25"/>
    <row r="25081" s="42" customFormat="1" x14ac:dyDescent="0.25"/>
    <row r="25082" s="42" customFormat="1" x14ac:dyDescent="0.25"/>
    <row r="25083" s="42" customFormat="1" x14ac:dyDescent="0.25"/>
    <row r="25084" s="42" customFormat="1" x14ac:dyDescent="0.25"/>
    <row r="25085" s="42" customFormat="1" x14ac:dyDescent="0.25"/>
    <row r="25086" s="42" customFormat="1" x14ac:dyDescent="0.25"/>
    <row r="25087" s="42" customFormat="1" x14ac:dyDescent="0.25"/>
    <row r="25088" s="42" customFormat="1" x14ac:dyDescent="0.25"/>
    <row r="25089" s="42" customFormat="1" x14ac:dyDescent="0.25"/>
    <row r="25090" s="42" customFormat="1" x14ac:dyDescent="0.25"/>
    <row r="25091" s="42" customFormat="1" x14ac:dyDescent="0.25"/>
    <row r="25092" s="42" customFormat="1" x14ac:dyDescent="0.25"/>
    <row r="25093" s="42" customFormat="1" x14ac:dyDescent="0.25"/>
    <row r="25094" s="42" customFormat="1" x14ac:dyDescent="0.25"/>
    <row r="25095" s="42" customFormat="1" x14ac:dyDescent="0.25"/>
    <row r="25096" s="42" customFormat="1" x14ac:dyDescent="0.25"/>
    <row r="25097" s="42" customFormat="1" x14ac:dyDescent="0.25"/>
    <row r="25098" s="42" customFormat="1" x14ac:dyDescent="0.25"/>
    <row r="25099" s="42" customFormat="1" x14ac:dyDescent="0.25"/>
    <row r="25100" s="42" customFormat="1" x14ac:dyDescent="0.25"/>
    <row r="25101" s="42" customFormat="1" x14ac:dyDescent="0.25"/>
    <row r="25102" s="42" customFormat="1" x14ac:dyDescent="0.25"/>
    <row r="25103" s="42" customFormat="1" x14ac:dyDescent="0.25"/>
    <row r="25104" s="42" customFormat="1" x14ac:dyDescent="0.25"/>
    <row r="25105" s="42" customFormat="1" x14ac:dyDescent="0.25"/>
    <row r="25106" s="42" customFormat="1" x14ac:dyDescent="0.25"/>
    <row r="25107" s="42" customFormat="1" x14ac:dyDescent="0.25"/>
    <row r="25108" s="42" customFormat="1" x14ac:dyDescent="0.25"/>
    <row r="25109" s="42" customFormat="1" x14ac:dyDescent="0.25"/>
    <row r="25110" s="42" customFormat="1" x14ac:dyDescent="0.25"/>
    <row r="25111" s="42" customFormat="1" x14ac:dyDescent="0.25"/>
    <row r="25112" s="42" customFormat="1" x14ac:dyDescent="0.25"/>
    <row r="25113" s="42" customFormat="1" x14ac:dyDescent="0.25"/>
    <row r="25114" s="42" customFormat="1" x14ac:dyDescent="0.25"/>
    <row r="25115" s="42" customFormat="1" x14ac:dyDescent="0.25"/>
    <row r="25116" s="42" customFormat="1" x14ac:dyDescent="0.25"/>
    <row r="25117" s="42" customFormat="1" x14ac:dyDescent="0.25"/>
    <row r="25118" s="42" customFormat="1" x14ac:dyDescent="0.25"/>
    <row r="25119" s="42" customFormat="1" x14ac:dyDescent="0.25"/>
    <row r="25120" s="42" customFormat="1" x14ac:dyDescent="0.25"/>
    <row r="25121" s="42" customFormat="1" x14ac:dyDescent="0.25"/>
    <row r="25122" s="42" customFormat="1" x14ac:dyDescent="0.25"/>
    <row r="25123" s="42" customFormat="1" x14ac:dyDescent="0.25"/>
    <row r="25124" s="42" customFormat="1" x14ac:dyDescent="0.25"/>
    <row r="25125" s="42" customFormat="1" x14ac:dyDescent="0.25"/>
    <row r="25126" s="42" customFormat="1" x14ac:dyDescent="0.25"/>
    <row r="25127" s="42" customFormat="1" x14ac:dyDescent="0.25"/>
    <row r="25128" s="42" customFormat="1" x14ac:dyDescent="0.25"/>
    <row r="25129" s="42" customFormat="1" x14ac:dyDescent="0.25"/>
    <row r="25130" s="42" customFormat="1" x14ac:dyDescent="0.25"/>
    <row r="25131" s="42" customFormat="1" x14ac:dyDescent="0.25"/>
    <row r="25132" s="42" customFormat="1" x14ac:dyDescent="0.25"/>
    <row r="25133" s="42" customFormat="1" x14ac:dyDescent="0.25"/>
    <row r="25134" s="42" customFormat="1" x14ac:dyDescent="0.25"/>
    <row r="25135" s="42" customFormat="1" x14ac:dyDescent="0.25"/>
    <row r="25136" s="42" customFormat="1" x14ac:dyDescent="0.25"/>
    <row r="25137" s="42" customFormat="1" x14ac:dyDescent="0.25"/>
    <row r="25138" s="42" customFormat="1" x14ac:dyDescent="0.25"/>
    <row r="25139" s="42" customFormat="1" x14ac:dyDescent="0.25"/>
    <row r="25140" s="42" customFormat="1" x14ac:dyDescent="0.25"/>
    <row r="25141" s="42" customFormat="1" x14ac:dyDescent="0.25"/>
    <row r="25142" s="42" customFormat="1" x14ac:dyDescent="0.25"/>
    <row r="25143" s="42" customFormat="1" x14ac:dyDescent="0.25"/>
    <row r="25144" s="42" customFormat="1" x14ac:dyDescent="0.25"/>
    <row r="25145" s="42" customFormat="1" x14ac:dyDescent="0.25"/>
    <row r="25146" s="42" customFormat="1" x14ac:dyDescent="0.25"/>
    <row r="25147" s="42" customFormat="1" x14ac:dyDescent="0.25"/>
    <row r="25148" s="42" customFormat="1" x14ac:dyDescent="0.25"/>
    <row r="25149" s="42" customFormat="1" x14ac:dyDescent="0.25"/>
    <row r="25150" s="42" customFormat="1" x14ac:dyDescent="0.25"/>
    <row r="25151" s="42" customFormat="1" x14ac:dyDescent="0.25"/>
    <row r="25152" s="42" customFormat="1" x14ac:dyDescent="0.25"/>
    <row r="25153" s="42" customFormat="1" x14ac:dyDescent="0.25"/>
    <row r="25154" s="42" customFormat="1" x14ac:dyDescent="0.25"/>
    <row r="25155" s="42" customFormat="1" x14ac:dyDescent="0.25"/>
    <row r="25156" s="42" customFormat="1" x14ac:dyDescent="0.25"/>
    <row r="25157" s="42" customFormat="1" x14ac:dyDescent="0.25"/>
    <row r="25158" s="42" customFormat="1" x14ac:dyDescent="0.25"/>
    <row r="25159" s="42" customFormat="1" x14ac:dyDescent="0.25"/>
    <row r="25160" s="42" customFormat="1" x14ac:dyDescent="0.25"/>
    <row r="25161" s="42" customFormat="1" x14ac:dyDescent="0.25"/>
    <row r="25162" s="42" customFormat="1" x14ac:dyDescent="0.25"/>
    <row r="25163" s="42" customFormat="1" x14ac:dyDescent="0.25"/>
    <row r="25164" s="42" customFormat="1" x14ac:dyDescent="0.25"/>
    <row r="25165" s="42" customFormat="1" x14ac:dyDescent="0.25"/>
    <row r="25166" s="42" customFormat="1" x14ac:dyDescent="0.25"/>
    <row r="25167" s="42" customFormat="1" x14ac:dyDescent="0.25"/>
    <row r="25168" s="42" customFormat="1" x14ac:dyDescent="0.25"/>
    <row r="25169" s="42" customFormat="1" x14ac:dyDescent="0.25"/>
    <row r="25170" s="42" customFormat="1" x14ac:dyDescent="0.25"/>
    <row r="25171" s="42" customFormat="1" x14ac:dyDescent="0.25"/>
    <row r="25172" s="42" customFormat="1" x14ac:dyDescent="0.25"/>
    <row r="25173" s="42" customFormat="1" x14ac:dyDescent="0.25"/>
    <row r="25174" s="42" customFormat="1" x14ac:dyDescent="0.25"/>
    <row r="25175" s="42" customFormat="1" x14ac:dyDescent="0.25"/>
    <row r="25176" s="42" customFormat="1" x14ac:dyDescent="0.25"/>
    <row r="25177" s="42" customFormat="1" x14ac:dyDescent="0.25"/>
    <row r="25178" s="42" customFormat="1" x14ac:dyDescent="0.25"/>
    <row r="25179" s="42" customFormat="1" x14ac:dyDescent="0.25"/>
    <row r="25180" s="42" customFormat="1" x14ac:dyDescent="0.25"/>
    <row r="25181" s="42" customFormat="1" x14ac:dyDescent="0.25"/>
    <row r="25182" s="42" customFormat="1" x14ac:dyDescent="0.25"/>
    <row r="25183" s="42" customFormat="1" x14ac:dyDescent="0.25"/>
    <row r="25184" s="42" customFormat="1" x14ac:dyDescent="0.25"/>
    <row r="25185" s="42" customFormat="1" x14ac:dyDescent="0.25"/>
    <row r="25186" s="42" customFormat="1" x14ac:dyDescent="0.25"/>
    <row r="25187" s="42" customFormat="1" x14ac:dyDescent="0.25"/>
    <row r="25188" s="42" customFormat="1" x14ac:dyDescent="0.25"/>
    <row r="25189" s="42" customFormat="1" x14ac:dyDescent="0.25"/>
    <row r="25190" s="42" customFormat="1" x14ac:dyDescent="0.25"/>
    <row r="25191" s="42" customFormat="1" x14ac:dyDescent="0.25"/>
    <row r="25192" s="42" customFormat="1" x14ac:dyDescent="0.25"/>
    <row r="25193" s="42" customFormat="1" x14ac:dyDescent="0.25"/>
    <row r="25194" s="42" customFormat="1" x14ac:dyDescent="0.25"/>
    <row r="25195" s="42" customFormat="1" x14ac:dyDescent="0.25"/>
    <row r="25196" s="42" customFormat="1" x14ac:dyDescent="0.25"/>
    <row r="25197" s="42" customFormat="1" x14ac:dyDescent="0.25"/>
    <row r="25198" s="42" customFormat="1" x14ac:dyDescent="0.25"/>
    <row r="25199" s="42" customFormat="1" x14ac:dyDescent="0.25"/>
    <row r="25200" s="42" customFormat="1" x14ac:dyDescent="0.25"/>
    <row r="25201" s="42" customFormat="1" x14ac:dyDescent="0.25"/>
    <row r="25202" s="42" customFormat="1" x14ac:dyDescent="0.25"/>
    <row r="25203" s="42" customFormat="1" x14ac:dyDescent="0.25"/>
    <row r="25204" s="42" customFormat="1" x14ac:dyDescent="0.25"/>
    <row r="25205" s="42" customFormat="1" x14ac:dyDescent="0.25"/>
    <row r="25206" s="42" customFormat="1" x14ac:dyDescent="0.25"/>
    <row r="25207" s="42" customFormat="1" x14ac:dyDescent="0.25"/>
    <row r="25208" s="42" customFormat="1" x14ac:dyDescent="0.25"/>
    <row r="25209" s="42" customFormat="1" x14ac:dyDescent="0.25"/>
    <row r="25210" s="42" customFormat="1" x14ac:dyDescent="0.25"/>
    <row r="25211" s="42" customFormat="1" x14ac:dyDescent="0.25"/>
    <row r="25212" s="42" customFormat="1" x14ac:dyDescent="0.25"/>
    <row r="25213" s="42" customFormat="1" x14ac:dyDescent="0.25"/>
    <row r="25214" s="42" customFormat="1" x14ac:dyDescent="0.25"/>
    <row r="25215" s="42" customFormat="1" x14ac:dyDescent="0.25"/>
    <row r="25216" s="42" customFormat="1" x14ac:dyDescent="0.25"/>
    <row r="25217" s="42" customFormat="1" x14ac:dyDescent="0.25"/>
    <row r="25218" s="42" customFormat="1" x14ac:dyDescent="0.25"/>
    <row r="25219" s="42" customFormat="1" x14ac:dyDescent="0.25"/>
    <row r="25220" s="42" customFormat="1" x14ac:dyDescent="0.25"/>
    <row r="25221" s="42" customFormat="1" x14ac:dyDescent="0.25"/>
    <row r="25222" s="42" customFormat="1" x14ac:dyDescent="0.25"/>
    <row r="25223" s="42" customFormat="1" x14ac:dyDescent="0.25"/>
    <row r="25224" s="42" customFormat="1" x14ac:dyDescent="0.25"/>
    <row r="25225" s="42" customFormat="1" x14ac:dyDescent="0.25"/>
    <row r="25226" s="42" customFormat="1" x14ac:dyDescent="0.25"/>
    <row r="25227" s="42" customFormat="1" x14ac:dyDescent="0.25"/>
    <row r="25228" s="42" customFormat="1" x14ac:dyDescent="0.25"/>
    <row r="25229" s="42" customFormat="1" x14ac:dyDescent="0.25"/>
    <row r="25230" s="42" customFormat="1" x14ac:dyDescent="0.25"/>
    <row r="25231" s="42" customFormat="1" x14ac:dyDescent="0.25"/>
    <row r="25232" s="42" customFormat="1" x14ac:dyDescent="0.25"/>
    <row r="25233" s="42" customFormat="1" x14ac:dyDescent="0.25"/>
    <row r="25234" s="42" customFormat="1" x14ac:dyDescent="0.25"/>
    <row r="25235" s="42" customFormat="1" x14ac:dyDescent="0.25"/>
    <row r="25236" s="42" customFormat="1" x14ac:dyDescent="0.25"/>
    <row r="25237" s="42" customFormat="1" x14ac:dyDescent="0.25"/>
    <row r="25238" s="42" customFormat="1" x14ac:dyDescent="0.25"/>
    <row r="25239" s="42" customFormat="1" x14ac:dyDescent="0.25"/>
    <row r="25240" s="42" customFormat="1" x14ac:dyDescent="0.25"/>
    <row r="25241" s="42" customFormat="1" x14ac:dyDescent="0.25"/>
    <row r="25242" s="42" customFormat="1" x14ac:dyDescent="0.25"/>
    <row r="25243" s="42" customFormat="1" x14ac:dyDescent="0.25"/>
    <row r="25244" s="42" customFormat="1" x14ac:dyDescent="0.25"/>
    <row r="25245" s="42" customFormat="1" x14ac:dyDescent="0.25"/>
    <row r="25246" s="42" customFormat="1" x14ac:dyDescent="0.25"/>
    <row r="25247" s="42" customFormat="1" x14ac:dyDescent="0.25"/>
    <row r="25248" s="42" customFormat="1" x14ac:dyDescent="0.25"/>
    <row r="25249" s="42" customFormat="1" x14ac:dyDescent="0.25"/>
    <row r="25250" s="42" customFormat="1" x14ac:dyDescent="0.25"/>
    <row r="25251" s="42" customFormat="1" x14ac:dyDescent="0.25"/>
    <row r="25252" s="42" customFormat="1" x14ac:dyDescent="0.25"/>
    <row r="25253" s="42" customFormat="1" x14ac:dyDescent="0.25"/>
    <row r="25254" s="42" customFormat="1" x14ac:dyDescent="0.25"/>
    <row r="25255" s="42" customFormat="1" x14ac:dyDescent="0.25"/>
    <row r="25256" s="42" customFormat="1" x14ac:dyDescent="0.25"/>
    <row r="25257" s="42" customFormat="1" x14ac:dyDescent="0.25"/>
    <row r="25258" s="42" customFormat="1" x14ac:dyDescent="0.25"/>
    <row r="25259" s="42" customFormat="1" x14ac:dyDescent="0.25"/>
    <row r="25260" s="42" customFormat="1" x14ac:dyDescent="0.25"/>
    <row r="25261" s="42" customFormat="1" x14ac:dyDescent="0.25"/>
    <row r="25262" s="42" customFormat="1" x14ac:dyDescent="0.25"/>
    <row r="25263" s="42" customFormat="1" x14ac:dyDescent="0.25"/>
    <row r="25264" s="42" customFormat="1" x14ac:dyDescent="0.25"/>
    <row r="25265" s="42" customFormat="1" x14ac:dyDescent="0.25"/>
    <row r="25266" s="42" customFormat="1" x14ac:dyDescent="0.25"/>
    <row r="25267" s="42" customFormat="1" x14ac:dyDescent="0.25"/>
    <row r="25268" s="42" customFormat="1" x14ac:dyDescent="0.25"/>
    <row r="25269" s="42" customFormat="1" x14ac:dyDescent="0.25"/>
    <row r="25270" s="42" customFormat="1" x14ac:dyDescent="0.25"/>
    <row r="25271" s="42" customFormat="1" x14ac:dyDescent="0.25"/>
    <row r="25272" s="42" customFormat="1" x14ac:dyDescent="0.25"/>
    <row r="25273" s="42" customFormat="1" x14ac:dyDescent="0.25"/>
    <row r="25274" s="42" customFormat="1" x14ac:dyDescent="0.25"/>
    <row r="25275" s="42" customFormat="1" x14ac:dyDescent="0.25"/>
    <row r="25276" s="42" customFormat="1" x14ac:dyDescent="0.25"/>
    <row r="25277" s="42" customFormat="1" x14ac:dyDescent="0.25"/>
    <row r="25278" s="42" customFormat="1" x14ac:dyDescent="0.25"/>
    <row r="25279" s="42" customFormat="1" x14ac:dyDescent="0.25"/>
    <row r="25280" s="42" customFormat="1" x14ac:dyDescent="0.25"/>
    <row r="25281" s="42" customFormat="1" x14ac:dyDescent="0.25"/>
    <row r="25282" s="42" customFormat="1" x14ac:dyDescent="0.25"/>
    <row r="25283" s="42" customFormat="1" x14ac:dyDescent="0.25"/>
    <row r="25284" s="42" customFormat="1" x14ac:dyDescent="0.25"/>
    <row r="25285" s="42" customFormat="1" x14ac:dyDescent="0.25"/>
    <row r="25286" s="42" customFormat="1" x14ac:dyDescent="0.25"/>
    <row r="25287" s="42" customFormat="1" x14ac:dyDescent="0.25"/>
    <row r="25288" s="42" customFormat="1" x14ac:dyDescent="0.25"/>
    <row r="25289" s="42" customFormat="1" x14ac:dyDescent="0.25"/>
    <row r="25290" s="42" customFormat="1" x14ac:dyDescent="0.25"/>
    <row r="25291" s="42" customFormat="1" x14ac:dyDescent="0.25"/>
    <row r="25292" s="42" customFormat="1" x14ac:dyDescent="0.25"/>
    <row r="25293" s="42" customFormat="1" x14ac:dyDescent="0.25"/>
    <row r="25294" s="42" customFormat="1" x14ac:dyDescent="0.25"/>
    <row r="25295" s="42" customFormat="1" x14ac:dyDescent="0.25"/>
    <row r="25296" s="42" customFormat="1" x14ac:dyDescent="0.25"/>
    <row r="25297" s="42" customFormat="1" x14ac:dyDescent="0.25"/>
    <row r="25298" s="42" customFormat="1" x14ac:dyDescent="0.25"/>
    <row r="25299" s="42" customFormat="1" x14ac:dyDescent="0.25"/>
    <row r="25300" s="42" customFormat="1" x14ac:dyDescent="0.25"/>
    <row r="25301" s="42" customFormat="1" x14ac:dyDescent="0.25"/>
    <row r="25302" s="42" customFormat="1" x14ac:dyDescent="0.25"/>
    <row r="25303" s="42" customFormat="1" x14ac:dyDescent="0.25"/>
    <row r="25304" s="42" customFormat="1" x14ac:dyDescent="0.25"/>
    <row r="25305" s="42" customFormat="1" x14ac:dyDescent="0.25"/>
    <row r="25306" s="42" customFormat="1" x14ac:dyDescent="0.25"/>
    <row r="25307" s="42" customFormat="1" x14ac:dyDescent="0.25"/>
    <row r="25308" s="42" customFormat="1" x14ac:dyDescent="0.25"/>
    <row r="25309" s="42" customFormat="1" x14ac:dyDescent="0.25"/>
    <row r="25310" s="42" customFormat="1" x14ac:dyDescent="0.25"/>
    <row r="25311" s="42" customFormat="1" x14ac:dyDescent="0.25"/>
    <row r="25312" s="42" customFormat="1" x14ac:dyDescent="0.25"/>
    <row r="25313" s="42" customFormat="1" x14ac:dyDescent="0.25"/>
    <row r="25314" s="42" customFormat="1" x14ac:dyDescent="0.25"/>
    <row r="25315" s="42" customFormat="1" x14ac:dyDescent="0.25"/>
    <row r="25316" s="42" customFormat="1" x14ac:dyDescent="0.25"/>
    <row r="25317" s="42" customFormat="1" x14ac:dyDescent="0.25"/>
    <row r="25318" s="42" customFormat="1" x14ac:dyDescent="0.25"/>
    <row r="25319" s="42" customFormat="1" x14ac:dyDescent="0.25"/>
    <row r="25320" s="42" customFormat="1" x14ac:dyDescent="0.25"/>
    <row r="25321" s="42" customFormat="1" x14ac:dyDescent="0.25"/>
    <row r="25322" s="42" customFormat="1" x14ac:dyDescent="0.25"/>
    <row r="25323" s="42" customFormat="1" x14ac:dyDescent="0.25"/>
    <row r="25324" s="42" customFormat="1" x14ac:dyDescent="0.25"/>
    <row r="25325" s="42" customFormat="1" x14ac:dyDescent="0.25"/>
    <row r="25326" s="42" customFormat="1" x14ac:dyDescent="0.25"/>
    <row r="25327" s="42" customFormat="1" x14ac:dyDescent="0.25"/>
    <row r="25328" s="42" customFormat="1" x14ac:dyDescent="0.25"/>
    <row r="25329" s="42" customFormat="1" x14ac:dyDescent="0.25"/>
    <row r="25330" s="42" customFormat="1" x14ac:dyDescent="0.25"/>
    <row r="25331" s="42" customFormat="1" x14ac:dyDescent="0.25"/>
    <row r="25332" s="42" customFormat="1" x14ac:dyDescent="0.25"/>
    <row r="25333" s="42" customFormat="1" x14ac:dyDescent="0.25"/>
    <row r="25334" s="42" customFormat="1" x14ac:dyDescent="0.25"/>
    <row r="25335" s="42" customFormat="1" x14ac:dyDescent="0.25"/>
    <row r="25336" s="42" customFormat="1" x14ac:dyDescent="0.25"/>
    <row r="25337" s="42" customFormat="1" x14ac:dyDescent="0.25"/>
    <row r="25338" s="42" customFormat="1" x14ac:dyDescent="0.25"/>
    <row r="25339" s="42" customFormat="1" x14ac:dyDescent="0.25"/>
    <row r="25340" s="42" customFormat="1" x14ac:dyDescent="0.25"/>
    <row r="25341" s="42" customFormat="1" x14ac:dyDescent="0.25"/>
    <row r="25342" s="42" customFormat="1" x14ac:dyDescent="0.25"/>
    <row r="25343" s="42" customFormat="1" x14ac:dyDescent="0.25"/>
    <row r="25344" s="42" customFormat="1" x14ac:dyDescent="0.25"/>
    <row r="25345" s="42" customFormat="1" x14ac:dyDescent="0.25"/>
    <row r="25346" s="42" customFormat="1" x14ac:dyDescent="0.25"/>
    <row r="25347" s="42" customFormat="1" x14ac:dyDescent="0.25"/>
    <row r="25348" s="42" customFormat="1" x14ac:dyDescent="0.25"/>
    <row r="25349" s="42" customFormat="1" x14ac:dyDescent="0.25"/>
    <row r="25350" s="42" customFormat="1" x14ac:dyDescent="0.25"/>
    <row r="25351" s="42" customFormat="1" x14ac:dyDescent="0.25"/>
    <row r="25352" s="42" customFormat="1" x14ac:dyDescent="0.25"/>
    <row r="25353" s="42" customFormat="1" x14ac:dyDescent="0.25"/>
    <row r="25354" s="42" customFormat="1" x14ac:dyDescent="0.25"/>
    <row r="25355" s="42" customFormat="1" x14ac:dyDescent="0.25"/>
    <row r="25356" s="42" customFormat="1" x14ac:dyDescent="0.25"/>
    <row r="25357" s="42" customFormat="1" x14ac:dyDescent="0.25"/>
    <row r="25358" s="42" customFormat="1" x14ac:dyDescent="0.25"/>
    <row r="25359" s="42" customFormat="1" x14ac:dyDescent="0.25"/>
    <row r="25360" s="42" customFormat="1" x14ac:dyDescent="0.25"/>
    <row r="25361" s="42" customFormat="1" x14ac:dyDescent="0.25"/>
    <row r="25362" s="42" customFormat="1" x14ac:dyDescent="0.25"/>
    <row r="25363" s="42" customFormat="1" x14ac:dyDescent="0.25"/>
    <row r="25364" s="42" customFormat="1" x14ac:dyDescent="0.25"/>
    <row r="25365" s="42" customFormat="1" x14ac:dyDescent="0.25"/>
    <row r="25366" s="42" customFormat="1" x14ac:dyDescent="0.25"/>
    <row r="25367" s="42" customFormat="1" x14ac:dyDescent="0.25"/>
    <row r="25368" s="42" customFormat="1" x14ac:dyDescent="0.25"/>
    <row r="25369" s="42" customFormat="1" x14ac:dyDescent="0.25"/>
    <row r="25370" s="42" customFormat="1" x14ac:dyDescent="0.25"/>
    <row r="25371" s="42" customFormat="1" x14ac:dyDescent="0.25"/>
    <row r="25372" s="42" customFormat="1" x14ac:dyDescent="0.25"/>
    <row r="25373" s="42" customFormat="1" x14ac:dyDescent="0.25"/>
    <row r="25374" s="42" customFormat="1" x14ac:dyDescent="0.25"/>
    <row r="25375" s="42" customFormat="1" x14ac:dyDescent="0.25"/>
    <row r="25376" s="42" customFormat="1" x14ac:dyDescent="0.25"/>
    <row r="25377" s="42" customFormat="1" x14ac:dyDescent="0.25"/>
    <row r="25378" s="42" customFormat="1" x14ac:dyDescent="0.25"/>
    <row r="25379" s="42" customFormat="1" x14ac:dyDescent="0.25"/>
    <row r="25380" s="42" customFormat="1" x14ac:dyDescent="0.25"/>
    <row r="25381" s="42" customFormat="1" x14ac:dyDescent="0.25"/>
    <row r="25382" s="42" customFormat="1" x14ac:dyDescent="0.25"/>
    <row r="25383" s="42" customFormat="1" x14ac:dyDescent="0.25"/>
    <row r="25384" s="42" customFormat="1" x14ac:dyDescent="0.25"/>
    <row r="25385" s="42" customFormat="1" x14ac:dyDescent="0.25"/>
    <row r="25386" s="42" customFormat="1" x14ac:dyDescent="0.25"/>
    <row r="25387" s="42" customFormat="1" x14ac:dyDescent="0.25"/>
    <row r="25388" s="42" customFormat="1" x14ac:dyDescent="0.25"/>
    <row r="25389" s="42" customFormat="1" x14ac:dyDescent="0.25"/>
    <row r="25390" s="42" customFormat="1" x14ac:dyDescent="0.25"/>
    <row r="25391" s="42" customFormat="1" x14ac:dyDescent="0.25"/>
    <row r="25392" s="42" customFormat="1" x14ac:dyDescent="0.25"/>
    <row r="25393" s="42" customFormat="1" x14ac:dyDescent="0.25"/>
    <row r="25394" s="42" customFormat="1" x14ac:dyDescent="0.25"/>
    <row r="25395" s="42" customFormat="1" x14ac:dyDescent="0.25"/>
    <row r="25396" s="42" customFormat="1" x14ac:dyDescent="0.25"/>
    <row r="25397" s="42" customFormat="1" x14ac:dyDescent="0.25"/>
    <row r="25398" s="42" customFormat="1" x14ac:dyDescent="0.25"/>
    <row r="25399" s="42" customFormat="1" x14ac:dyDescent="0.25"/>
    <row r="25400" s="42" customFormat="1" x14ac:dyDescent="0.25"/>
    <row r="25401" s="42" customFormat="1" x14ac:dyDescent="0.25"/>
    <row r="25402" s="42" customFormat="1" x14ac:dyDescent="0.25"/>
    <row r="25403" s="42" customFormat="1" x14ac:dyDescent="0.25"/>
    <row r="25404" s="42" customFormat="1" x14ac:dyDescent="0.25"/>
    <row r="25405" s="42" customFormat="1" x14ac:dyDescent="0.25"/>
    <row r="25406" s="42" customFormat="1" x14ac:dyDescent="0.25"/>
    <row r="25407" s="42" customFormat="1" x14ac:dyDescent="0.25"/>
    <row r="25408" s="42" customFormat="1" x14ac:dyDescent="0.25"/>
    <row r="25409" s="42" customFormat="1" x14ac:dyDescent="0.25"/>
    <row r="25410" s="42" customFormat="1" x14ac:dyDescent="0.25"/>
    <row r="25411" s="42" customFormat="1" x14ac:dyDescent="0.25"/>
    <row r="25412" s="42" customFormat="1" x14ac:dyDescent="0.25"/>
    <row r="25413" s="42" customFormat="1" x14ac:dyDescent="0.25"/>
    <row r="25414" s="42" customFormat="1" x14ac:dyDescent="0.25"/>
    <row r="25415" s="42" customFormat="1" x14ac:dyDescent="0.25"/>
    <row r="25416" s="42" customFormat="1" x14ac:dyDescent="0.25"/>
    <row r="25417" s="42" customFormat="1" x14ac:dyDescent="0.25"/>
    <row r="25418" s="42" customFormat="1" x14ac:dyDescent="0.25"/>
    <row r="25419" s="42" customFormat="1" x14ac:dyDescent="0.25"/>
    <row r="25420" s="42" customFormat="1" x14ac:dyDescent="0.25"/>
    <row r="25421" s="42" customFormat="1" x14ac:dyDescent="0.25"/>
    <row r="25422" s="42" customFormat="1" x14ac:dyDescent="0.25"/>
    <row r="25423" s="42" customFormat="1" x14ac:dyDescent="0.25"/>
    <row r="25424" s="42" customFormat="1" x14ac:dyDescent="0.25"/>
    <row r="25425" s="42" customFormat="1" x14ac:dyDescent="0.25"/>
    <row r="25426" s="42" customFormat="1" x14ac:dyDescent="0.25"/>
    <row r="25427" s="42" customFormat="1" x14ac:dyDescent="0.25"/>
    <row r="25428" s="42" customFormat="1" x14ac:dyDescent="0.25"/>
    <row r="25429" s="42" customFormat="1" x14ac:dyDescent="0.25"/>
    <row r="25430" s="42" customFormat="1" x14ac:dyDescent="0.25"/>
    <row r="25431" s="42" customFormat="1" x14ac:dyDescent="0.25"/>
    <row r="25432" s="42" customFormat="1" x14ac:dyDescent="0.25"/>
    <row r="25433" s="42" customFormat="1" x14ac:dyDescent="0.25"/>
    <row r="25434" s="42" customFormat="1" x14ac:dyDescent="0.25"/>
    <row r="25435" s="42" customFormat="1" x14ac:dyDescent="0.25"/>
    <row r="25436" s="42" customFormat="1" x14ac:dyDescent="0.25"/>
    <row r="25437" s="42" customFormat="1" x14ac:dyDescent="0.25"/>
    <row r="25438" s="42" customFormat="1" x14ac:dyDescent="0.25"/>
    <row r="25439" s="42" customFormat="1" x14ac:dyDescent="0.25"/>
    <row r="25440" s="42" customFormat="1" x14ac:dyDescent="0.25"/>
    <row r="25441" s="42" customFormat="1" x14ac:dyDescent="0.25"/>
    <row r="25442" s="42" customFormat="1" x14ac:dyDescent="0.25"/>
    <row r="25443" s="42" customFormat="1" x14ac:dyDescent="0.25"/>
    <row r="25444" s="42" customFormat="1" x14ac:dyDescent="0.25"/>
    <row r="25445" s="42" customFormat="1" x14ac:dyDescent="0.25"/>
    <row r="25446" s="42" customFormat="1" x14ac:dyDescent="0.25"/>
    <row r="25447" s="42" customFormat="1" x14ac:dyDescent="0.25"/>
    <row r="25448" s="42" customFormat="1" x14ac:dyDescent="0.25"/>
    <row r="25449" s="42" customFormat="1" x14ac:dyDescent="0.25"/>
    <row r="25450" s="42" customFormat="1" x14ac:dyDescent="0.25"/>
    <row r="25451" s="42" customFormat="1" x14ac:dyDescent="0.25"/>
    <row r="25452" s="42" customFormat="1" x14ac:dyDescent="0.25"/>
    <row r="25453" s="42" customFormat="1" x14ac:dyDescent="0.25"/>
    <row r="25454" s="42" customFormat="1" x14ac:dyDescent="0.25"/>
    <row r="25455" s="42" customFormat="1" x14ac:dyDescent="0.25"/>
    <row r="25456" s="42" customFormat="1" x14ac:dyDescent="0.25"/>
    <row r="25457" s="42" customFormat="1" x14ac:dyDescent="0.25"/>
    <row r="25458" s="42" customFormat="1" x14ac:dyDescent="0.25"/>
    <row r="25459" s="42" customFormat="1" x14ac:dyDescent="0.25"/>
    <row r="25460" s="42" customFormat="1" x14ac:dyDescent="0.25"/>
    <row r="25461" s="42" customFormat="1" x14ac:dyDescent="0.25"/>
    <row r="25462" s="42" customFormat="1" x14ac:dyDescent="0.25"/>
    <row r="25463" s="42" customFormat="1" x14ac:dyDescent="0.25"/>
    <row r="25464" s="42" customFormat="1" x14ac:dyDescent="0.25"/>
    <row r="25465" s="42" customFormat="1" x14ac:dyDescent="0.25"/>
    <row r="25466" s="42" customFormat="1" x14ac:dyDescent="0.25"/>
    <row r="25467" s="42" customFormat="1" x14ac:dyDescent="0.25"/>
    <row r="25468" s="42" customFormat="1" x14ac:dyDescent="0.25"/>
    <row r="25469" s="42" customFormat="1" x14ac:dyDescent="0.25"/>
    <row r="25470" s="42" customFormat="1" x14ac:dyDescent="0.25"/>
    <row r="25471" s="42" customFormat="1" x14ac:dyDescent="0.25"/>
    <row r="25472" s="42" customFormat="1" x14ac:dyDescent="0.25"/>
    <row r="25473" s="42" customFormat="1" x14ac:dyDescent="0.25"/>
    <row r="25474" s="42" customFormat="1" x14ac:dyDescent="0.25"/>
    <row r="25475" s="42" customFormat="1" x14ac:dyDescent="0.25"/>
    <row r="25476" s="42" customFormat="1" x14ac:dyDescent="0.25"/>
    <row r="25477" s="42" customFormat="1" x14ac:dyDescent="0.25"/>
    <row r="25478" s="42" customFormat="1" x14ac:dyDescent="0.25"/>
    <row r="25479" s="42" customFormat="1" x14ac:dyDescent="0.25"/>
    <row r="25480" s="42" customFormat="1" x14ac:dyDescent="0.25"/>
    <row r="25481" s="42" customFormat="1" x14ac:dyDescent="0.25"/>
    <row r="25482" s="42" customFormat="1" x14ac:dyDescent="0.25"/>
    <row r="25483" s="42" customFormat="1" x14ac:dyDescent="0.25"/>
    <row r="25484" s="42" customFormat="1" x14ac:dyDescent="0.25"/>
    <row r="25485" s="42" customFormat="1" x14ac:dyDescent="0.25"/>
    <row r="25486" s="42" customFormat="1" x14ac:dyDescent="0.25"/>
    <row r="25487" s="42" customFormat="1" x14ac:dyDescent="0.25"/>
    <row r="25488" s="42" customFormat="1" x14ac:dyDescent="0.25"/>
    <row r="25489" s="42" customFormat="1" x14ac:dyDescent="0.25"/>
    <row r="25490" s="42" customFormat="1" x14ac:dyDescent="0.25"/>
    <row r="25491" s="42" customFormat="1" x14ac:dyDescent="0.25"/>
    <row r="25492" s="42" customFormat="1" x14ac:dyDescent="0.25"/>
    <row r="25493" s="42" customFormat="1" x14ac:dyDescent="0.25"/>
    <row r="25494" s="42" customFormat="1" x14ac:dyDescent="0.25"/>
    <row r="25495" s="42" customFormat="1" x14ac:dyDescent="0.25"/>
    <row r="25496" s="42" customFormat="1" x14ac:dyDescent="0.25"/>
    <row r="25497" s="42" customFormat="1" x14ac:dyDescent="0.25"/>
    <row r="25498" s="42" customFormat="1" x14ac:dyDescent="0.25"/>
    <row r="25499" s="42" customFormat="1" x14ac:dyDescent="0.25"/>
    <row r="25500" s="42" customFormat="1" x14ac:dyDescent="0.25"/>
    <row r="25501" s="42" customFormat="1" x14ac:dyDescent="0.25"/>
    <row r="25502" s="42" customFormat="1" x14ac:dyDescent="0.25"/>
    <row r="25503" s="42" customFormat="1" x14ac:dyDescent="0.25"/>
    <row r="25504" s="42" customFormat="1" x14ac:dyDescent="0.25"/>
    <row r="25505" s="42" customFormat="1" x14ac:dyDescent="0.25"/>
    <row r="25506" s="42" customFormat="1" x14ac:dyDescent="0.25"/>
    <row r="25507" s="42" customFormat="1" x14ac:dyDescent="0.25"/>
    <row r="25508" s="42" customFormat="1" x14ac:dyDescent="0.25"/>
    <row r="25509" s="42" customFormat="1" x14ac:dyDescent="0.25"/>
    <row r="25510" s="42" customFormat="1" x14ac:dyDescent="0.25"/>
    <row r="25511" s="42" customFormat="1" x14ac:dyDescent="0.25"/>
    <row r="25512" s="42" customFormat="1" x14ac:dyDescent="0.25"/>
    <row r="25513" s="42" customFormat="1" x14ac:dyDescent="0.25"/>
    <row r="25514" s="42" customFormat="1" x14ac:dyDescent="0.25"/>
    <row r="25515" s="42" customFormat="1" x14ac:dyDescent="0.25"/>
    <row r="25516" s="42" customFormat="1" x14ac:dyDescent="0.25"/>
    <row r="25517" s="42" customFormat="1" x14ac:dyDescent="0.25"/>
    <row r="25518" s="42" customFormat="1" x14ac:dyDescent="0.25"/>
    <row r="25519" s="42" customFormat="1" x14ac:dyDescent="0.25"/>
    <row r="25520" s="42" customFormat="1" x14ac:dyDescent="0.25"/>
    <row r="25521" s="42" customFormat="1" x14ac:dyDescent="0.25"/>
    <row r="25522" s="42" customFormat="1" x14ac:dyDescent="0.25"/>
    <row r="25523" s="42" customFormat="1" x14ac:dyDescent="0.25"/>
    <row r="25524" s="42" customFormat="1" x14ac:dyDescent="0.25"/>
    <row r="25525" s="42" customFormat="1" x14ac:dyDescent="0.25"/>
    <row r="25526" s="42" customFormat="1" x14ac:dyDescent="0.25"/>
    <row r="25527" s="42" customFormat="1" x14ac:dyDescent="0.25"/>
    <row r="25528" s="42" customFormat="1" x14ac:dyDescent="0.25"/>
    <row r="25529" s="42" customFormat="1" x14ac:dyDescent="0.25"/>
    <row r="25530" s="42" customFormat="1" x14ac:dyDescent="0.25"/>
    <row r="25531" s="42" customFormat="1" x14ac:dyDescent="0.25"/>
    <row r="25532" s="42" customFormat="1" x14ac:dyDescent="0.25"/>
    <row r="25533" s="42" customFormat="1" x14ac:dyDescent="0.25"/>
    <row r="25534" s="42" customFormat="1" x14ac:dyDescent="0.25"/>
    <row r="25535" s="42" customFormat="1" x14ac:dyDescent="0.25"/>
    <row r="25536" s="42" customFormat="1" x14ac:dyDescent="0.25"/>
    <row r="25537" s="42" customFormat="1" x14ac:dyDescent="0.25"/>
    <row r="25538" s="42" customFormat="1" x14ac:dyDescent="0.25"/>
    <row r="25539" s="42" customFormat="1" x14ac:dyDescent="0.25"/>
    <row r="25540" s="42" customFormat="1" x14ac:dyDescent="0.25"/>
    <row r="25541" s="42" customFormat="1" x14ac:dyDescent="0.25"/>
    <row r="25542" s="42" customFormat="1" x14ac:dyDescent="0.25"/>
    <row r="25543" s="42" customFormat="1" x14ac:dyDescent="0.25"/>
    <row r="25544" s="42" customFormat="1" x14ac:dyDescent="0.25"/>
    <row r="25545" s="42" customFormat="1" x14ac:dyDescent="0.25"/>
    <row r="25546" s="42" customFormat="1" x14ac:dyDescent="0.25"/>
    <row r="25547" s="42" customFormat="1" x14ac:dyDescent="0.25"/>
    <row r="25548" s="42" customFormat="1" x14ac:dyDescent="0.25"/>
    <row r="25549" s="42" customFormat="1" x14ac:dyDescent="0.25"/>
    <row r="25550" s="42" customFormat="1" x14ac:dyDescent="0.25"/>
    <row r="25551" s="42" customFormat="1" x14ac:dyDescent="0.25"/>
    <row r="25552" s="42" customFormat="1" x14ac:dyDescent="0.25"/>
    <row r="25553" s="42" customFormat="1" x14ac:dyDescent="0.25"/>
    <row r="25554" s="42" customFormat="1" x14ac:dyDescent="0.25"/>
    <row r="25555" s="42" customFormat="1" x14ac:dyDescent="0.25"/>
    <row r="25556" s="42" customFormat="1" x14ac:dyDescent="0.25"/>
    <row r="25557" s="42" customFormat="1" x14ac:dyDescent="0.25"/>
    <row r="25558" s="42" customFormat="1" x14ac:dyDescent="0.25"/>
    <row r="25559" s="42" customFormat="1" x14ac:dyDescent="0.25"/>
    <row r="25560" s="42" customFormat="1" x14ac:dyDescent="0.25"/>
    <row r="25561" s="42" customFormat="1" x14ac:dyDescent="0.25"/>
    <row r="25562" s="42" customFormat="1" x14ac:dyDescent="0.25"/>
    <row r="25563" s="42" customFormat="1" x14ac:dyDescent="0.25"/>
    <row r="25564" s="42" customFormat="1" x14ac:dyDescent="0.25"/>
    <row r="25565" s="42" customFormat="1" x14ac:dyDescent="0.25"/>
    <row r="25566" s="42" customFormat="1" x14ac:dyDescent="0.25"/>
    <row r="25567" s="42" customFormat="1" x14ac:dyDescent="0.25"/>
    <row r="25568" s="42" customFormat="1" x14ac:dyDescent="0.25"/>
    <row r="25569" s="42" customFormat="1" x14ac:dyDescent="0.25"/>
    <row r="25570" s="42" customFormat="1" x14ac:dyDescent="0.25"/>
    <row r="25571" s="42" customFormat="1" x14ac:dyDescent="0.25"/>
    <row r="25572" s="42" customFormat="1" x14ac:dyDescent="0.25"/>
    <row r="25573" s="42" customFormat="1" x14ac:dyDescent="0.25"/>
    <row r="25574" s="42" customFormat="1" x14ac:dyDescent="0.25"/>
    <row r="25575" s="42" customFormat="1" x14ac:dyDescent="0.25"/>
    <row r="25576" s="42" customFormat="1" x14ac:dyDescent="0.25"/>
    <row r="25577" s="42" customFormat="1" x14ac:dyDescent="0.25"/>
    <row r="25578" s="42" customFormat="1" x14ac:dyDescent="0.25"/>
    <row r="25579" s="42" customFormat="1" x14ac:dyDescent="0.25"/>
    <row r="25580" s="42" customFormat="1" x14ac:dyDescent="0.25"/>
    <row r="25581" s="42" customFormat="1" x14ac:dyDescent="0.25"/>
    <row r="25582" s="42" customFormat="1" x14ac:dyDescent="0.25"/>
    <row r="25583" s="42" customFormat="1" x14ac:dyDescent="0.25"/>
    <row r="25584" s="42" customFormat="1" x14ac:dyDescent="0.25"/>
    <row r="25585" s="42" customFormat="1" x14ac:dyDescent="0.25"/>
    <row r="25586" s="42" customFormat="1" x14ac:dyDescent="0.25"/>
    <row r="25587" s="42" customFormat="1" x14ac:dyDescent="0.25"/>
    <row r="25588" s="42" customFormat="1" x14ac:dyDescent="0.25"/>
    <row r="25589" s="42" customFormat="1" x14ac:dyDescent="0.25"/>
    <row r="25590" s="42" customFormat="1" x14ac:dyDescent="0.25"/>
    <row r="25591" s="42" customFormat="1" x14ac:dyDescent="0.25"/>
    <row r="25592" s="42" customFormat="1" x14ac:dyDescent="0.25"/>
    <row r="25593" s="42" customFormat="1" x14ac:dyDescent="0.25"/>
    <row r="25594" s="42" customFormat="1" x14ac:dyDescent="0.25"/>
    <row r="25595" s="42" customFormat="1" x14ac:dyDescent="0.25"/>
    <row r="25596" s="42" customFormat="1" x14ac:dyDescent="0.25"/>
    <row r="25597" s="42" customFormat="1" x14ac:dyDescent="0.25"/>
    <row r="25598" s="42" customFormat="1" x14ac:dyDescent="0.25"/>
    <row r="25599" s="42" customFormat="1" x14ac:dyDescent="0.25"/>
    <row r="25600" s="42" customFormat="1" x14ac:dyDescent="0.25"/>
    <row r="25601" s="42" customFormat="1" x14ac:dyDescent="0.25"/>
    <row r="25602" s="42" customFormat="1" x14ac:dyDescent="0.25"/>
    <row r="25603" s="42" customFormat="1" x14ac:dyDescent="0.25"/>
    <row r="25604" s="42" customFormat="1" x14ac:dyDescent="0.25"/>
    <row r="25605" s="42" customFormat="1" x14ac:dyDescent="0.25"/>
    <row r="25606" s="42" customFormat="1" x14ac:dyDescent="0.25"/>
    <row r="25607" s="42" customFormat="1" x14ac:dyDescent="0.25"/>
    <row r="25608" s="42" customFormat="1" x14ac:dyDescent="0.25"/>
    <row r="25609" s="42" customFormat="1" x14ac:dyDescent="0.25"/>
    <row r="25610" s="42" customFormat="1" x14ac:dyDescent="0.25"/>
    <row r="25611" s="42" customFormat="1" x14ac:dyDescent="0.25"/>
    <row r="25612" s="42" customFormat="1" x14ac:dyDescent="0.25"/>
    <row r="25613" s="42" customFormat="1" x14ac:dyDescent="0.25"/>
    <row r="25614" s="42" customFormat="1" x14ac:dyDescent="0.25"/>
    <row r="25615" s="42" customFormat="1" x14ac:dyDescent="0.25"/>
    <row r="25616" s="42" customFormat="1" x14ac:dyDescent="0.25"/>
    <row r="25617" s="42" customFormat="1" x14ac:dyDescent="0.25"/>
    <row r="25618" s="42" customFormat="1" x14ac:dyDescent="0.25"/>
    <row r="25619" s="42" customFormat="1" x14ac:dyDescent="0.25"/>
    <row r="25620" s="42" customFormat="1" x14ac:dyDescent="0.25"/>
    <row r="25621" s="42" customFormat="1" x14ac:dyDescent="0.25"/>
    <row r="25622" s="42" customFormat="1" x14ac:dyDescent="0.25"/>
    <row r="25623" s="42" customFormat="1" x14ac:dyDescent="0.25"/>
    <row r="25624" s="42" customFormat="1" x14ac:dyDescent="0.25"/>
    <row r="25625" s="42" customFormat="1" x14ac:dyDescent="0.25"/>
    <row r="25626" s="42" customFormat="1" x14ac:dyDescent="0.25"/>
    <row r="25627" s="42" customFormat="1" x14ac:dyDescent="0.25"/>
    <row r="25628" s="42" customFormat="1" x14ac:dyDescent="0.25"/>
    <row r="25629" s="42" customFormat="1" x14ac:dyDescent="0.25"/>
    <row r="25630" s="42" customFormat="1" x14ac:dyDescent="0.25"/>
    <row r="25631" s="42" customFormat="1" x14ac:dyDescent="0.25"/>
    <row r="25632" s="42" customFormat="1" x14ac:dyDescent="0.25"/>
    <row r="25633" s="42" customFormat="1" x14ac:dyDescent="0.25"/>
    <row r="25634" s="42" customFormat="1" x14ac:dyDescent="0.25"/>
    <row r="25635" s="42" customFormat="1" x14ac:dyDescent="0.25"/>
    <row r="25636" s="42" customFormat="1" x14ac:dyDescent="0.25"/>
    <row r="25637" s="42" customFormat="1" x14ac:dyDescent="0.25"/>
    <row r="25638" s="42" customFormat="1" x14ac:dyDescent="0.25"/>
    <row r="25639" s="42" customFormat="1" x14ac:dyDescent="0.25"/>
    <row r="25640" s="42" customFormat="1" x14ac:dyDescent="0.25"/>
    <row r="25641" s="42" customFormat="1" x14ac:dyDescent="0.25"/>
    <row r="25642" s="42" customFormat="1" x14ac:dyDescent="0.25"/>
    <row r="25643" s="42" customFormat="1" x14ac:dyDescent="0.25"/>
    <row r="25644" s="42" customFormat="1" x14ac:dyDescent="0.25"/>
    <row r="25645" s="42" customFormat="1" x14ac:dyDescent="0.25"/>
    <row r="25646" s="42" customFormat="1" x14ac:dyDescent="0.25"/>
    <row r="25647" s="42" customFormat="1" x14ac:dyDescent="0.25"/>
    <row r="25648" s="42" customFormat="1" x14ac:dyDescent="0.25"/>
    <row r="25649" s="42" customFormat="1" x14ac:dyDescent="0.25"/>
    <row r="25650" s="42" customFormat="1" x14ac:dyDescent="0.25"/>
    <row r="25651" s="42" customFormat="1" x14ac:dyDescent="0.25"/>
    <row r="25652" s="42" customFormat="1" x14ac:dyDescent="0.25"/>
    <row r="25653" s="42" customFormat="1" x14ac:dyDescent="0.25"/>
    <row r="25654" s="42" customFormat="1" x14ac:dyDescent="0.25"/>
    <row r="25655" s="42" customFormat="1" x14ac:dyDescent="0.25"/>
    <row r="25656" s="42" customFormat="1" x14ac:dyDescent="0.25"/>
    <row r="25657" s="42" customFormat="1" x14ac:dyDescent="0.25"/>
    <row r="25658" s="42" customFormat="1" x14ac:dyDescent="0.25"/>
    <row r="25659" s="42" customFormat="1" x14ac:dyDescent="0.25"/>
    <row r="25660" s="42" customFormat="1" x14ac:dyDescent="0.25"/>
    <row r="25661" s="42" customFormat="1" x14ac:dyDescent="0.25"/>
    <row r="25662" s="42" customFormat="1" x14ac:dyDescent="0.25"/>
    <row r="25663" s="42" customFormat="1" x14ac:dyDescent="0.25"/>
    <row r="25664" s="42" customFormat="1" x14ac:dyDescent="0.25"/>
    <row r="25665" s="42" customFormat="1" x14ac:dyDescent="0.25"/>
    <row r="25666" s="42" customFormat="1" x14ac:dyDescent="0.25"/>
    <row r="25667" s="42" customFormat="1" x14ac:dyDescent="0.25"/>
    <row r="25668" s="42" customFormat="1" x14ac:dyDescent="0.25"/>
    <row r="25669" s="42" customFormat="1" x14ac:dyDescent="0.25"/>
    <row r="25670" s="42" customFormat="1" x14ac:dyDescent="0.25"/>
    <row r="25671" s="42" customFormat="1" x14ac:dyDescent="0.25"/>
    <row r="25672" s="42" customFormat="1" x14ac:dyDescent="0.25"/>
    <row r="25673" s="42" customFormat="1" x14ac:dyDescent="0.25"/>
    <row r="25674" s="42" customFormat="1" x14ac:dyDescent="0.25"/>
    <row r="25675" s="42" customFormat="1" x14ac:dyDescent="0.25"/>
    <row r="25676" s="42" customFormat="1" x14ac:dyDescent="0.25"/>
    <row r="25677" s="42" customFormat="1" x14ac:dyDescent="0.25"/>
    <row r="25678" s="42" customFormat="1" x14ac:dyDescent="0.25"/>
    <row r="25679" s="42" customFormat="1" x14ac:dyDescent="0.25"/>
    <row r="25680" s="42" customFormat="1" x14ac:dyDescent="0.25"/>
    <row r="25681" s="42" customFormat="1" x14ac:dyDescent="0.25"/>
    <row r="25682" s="42" customFormat="1" x14ac:dyDescent="0.25"/>
    <row r="25683" s="42" customFormat="1" x14ac:dyDescent="0.25"/>
    <row r="25684" s="42" customFormat="1" x14ac:dyDescent="0.25"/>
    <row r="25685" s="42" customFormat="1" x14ac:dyDescent="0.25"/>
    <row r="25686" s="42" customFormat="1" x14ac:dyDescent="0.25"/>
    <row r="25687" s="42" customFormat="1" x14ac:dyDescent="0.25"/>
    <row r="25688" s="42" customFormat="1" x14ac:dyDescent="0.25"/>
    <row r="25689" s="42" customFormat="1" x14ac:dyDescent="0.25"/>
    <row r="25690" s="42" customFormat="1" x14ac:dyDescent="0.25"/>
    <row r="25691" s="42" customFormat="1" x14ac:dyDescent="0.25"/>
    <row r="25692" s="42" customFormat="1" x14ac:dyDescent="0.25"/>
    <row r="25693" s="42" customFormat="1" x14ac:dyDescent="0.25"/>
    <row r="25694" s="42" customFormat="1" x14ac:dyDescent="0.25"/>
    <row r="25695" s="42" customFormat="1" x14ac:dyDescent="0.25"/>
    <row r="25696" s="42" customFormat="1" x14ac:dyDescent="0.25"/>
    <row r="25697" s="42" customFormat="1" x14ac:dyDescent="0.25"/>
    <row r="25698" s="42" customFormat="1" x14ac:dyDescent="0.25"/>
    <row r="25699" s="42" customFormat="1" x14ac:dyDescent="0.25"/>
    <row r="25700" s="42" customFormat="1" x14ac:dyDescent="0.25"/>
    <row r="25701" s="42" customFormat="1" x14ac:dyDescent="0.25"/>
    <row r="25702" s="42" customFormat="1" x14ac:dyDescent="0.25"/>
    <row r="25703" s="42" customFormat="1" x14ac:dyDescent="0.25"/>
    <row r="25704" s="42" customFormat="1" x14ac:dyDescent="0.25"/>
    <row r="25705" s="42" customFormat="1" x14ac:dyDescent="0.25"/>
    <row r="25706" s="42" customFormat="1" x14ac:dyDescent="0.25"/>
    <row r="25707" s="42" customFormat="1" x14ac:dyDescent="0.25"/>
    <row r="25708" s="42" customFormat="1" x14ac:dyDescent="0.25"/>
    <row r="25709" s="42" customFormat="1" x14ac:dyDescent="0.25"/>
    <row r="25710" s="42" customFormat="1" x14ac:dyDescent="0.25"/>
    <row r="25711" s="42" customFormat="1" x14ac:dyDescent="0.25"/>
    <row r="25712" s="42" customFormat="1" x14ac:dyDescent="0.25"/>
    <row r="25713" s="42" customFormat="1" x14ac:dyDescent="0.25"/>
    <row r="25714" s="42" customFormat="1" x14ac:dyDescent="0.25"/>
    <row r="25715" s="42" customFormat="1" x14ac:dyDescent="0.25"/>
    <row r="25716" s="42" customFormat="1" x14ac:dyDescent="0.25"/>
    <row r="25717" s="42" customFormat="1" x14ac:dyDescent="0.25"/>
    <row r="25718" s="42" customFormat="1" x14ac:dyDescent="0.25"/>
    <row r="25719" s="42" customFormat="1" x14ac:dyDescent="0.25"/>
    <row r="25720" s="42" customFormat="1" x14ac:dyDescent="0.25"/>
    <row r="25721" s="42" customFormat="1" x14ac:dyDescent="0.25"/>
    <row r="25722" s="42" customFormat="1" x14ac:dyDescent="0.25"/>
    <row r="25723" s="42" customFormat="1" x14ac:dyDescent="0.25"/>
    <row r="25724" s="42" customFormat="1" x14ac:dyDescent="0.25"/>
    <row r="25725" s="42" customFormat="1" x14ac:dyDescent="0.25"/>
    <row r="25726" s="42" customFormat="1" x14ac:dyDescent="0.25"/>
    <row r="25727" s="42" customFormat="1" x14ac:dyDescent="0.25"/>
    <row r="25728" s="42" customFormat="1" x14ac:dyDescent="0.25"/>
    <row r="25729" s="42" customFormat="1" x14ac:dyDescent="0.25"/>
    <row r="25730" s="42" customFormat="1" x14ac:dyDescent="0.25"/>
    <row r="25731" s="42" customFormat="1" x14ac:dyDescent="0.25"/>
    <row r="25732" s="42" customFormat="1" x14ac:dyDescent="0.25"/>
    <row r="25733" s="42" customFormat="1" x14ac:dyDescent="0.25"/>
    <row r="25734" s="42" customFormat="1" x14ac:dyDescent="0.25"/>
    <row r="25735" s="42" customFormat="1" x14ac:dyDescent="0.25"/>
    <row r="25736" s="42" customFormat="1" x14ac:dyDescent="0.25"/>
    <row r="25737" s="42" customFormat="1" x14ac:dyDescent="0.25"/>
    <row r="25738" s="42" customFormat="1" x14ac:dyDescent="0.25"/>
    <row r="25739" s="42" customFormat="1" x14ac:dyDescent="0.25"/>
    <row r="25740" s="42" customFormat="1" x14ac:dyDescent="0.25"/>
    <row r="25741" s="42" customFormat="1" x14ac:dyDescent="0.25"/>
    <row r="25742" s="42" customFormat="1" x14ac:dyDescent="0.25"/>
    <row r="25743" s="42" customFormat="1" x14ac:dyDescent="0.25"/>
    <row r="25744" s="42" customFormat="1" x14ac:dyDescent="0.25"/>
    <row r="25745" s="42" customFormat="1" x14ac:dyDescent="0.25"/>
    <row r="25746" s="42" customFormat="1" x14ac:dyDescent="0.25"/>
    <row r="25747" s="42" customFormat="1" x14ac:dyDescent="0.25"/>
    <row r="25748" s="42" customFormat="1" x14ac:dyDescent="0.25"/>
    <row r="25749" s="42" customFormat="1" x14ac:dyDescent="0.25"/>
    <row r="25750" s="42" customFormat="1" x14ac:dyDescent="0.25"/>
    <row r="25751" s="42" customFormat="1" x14ac:dyDescent="0.25"/>
    <row r="25752" s="42" customFormat="1" x14ac:dyDescent="0.25"/>
    <row r="25753" s="42" customFormat="1" x14ac:dyDescent="0.25"/>
    <row r="25754" s="42" customFormat="1" x14ac:dyDescent="0.25"/>
    <row r="25755" s="42" customFormat="1" x14ac:dyDescent="0.25"/>
    <row r="25756" s="42" customFormat="1" x14ac:dyDescent="0.25"/>
    <row r="25757" s="42" customFormat="1" x14ac:dyDescent="0.25"/>
    <row r="25758" s="42" customFormat="1" x14ac:dyDescent="0.25"/>
    <row r="25759" s="42" customFormat="1" x14ac:dyDescent="0.25"/>
    <row r="25760" s="42" customFormat="1" x14ac:dyDescent="0.25"/>
    <row r="25761" s="42" customFormat="1" x14ac:dyDescent="0.25"/>
    <row r="25762" s="42" customFormat="1" x14ac:dyDescent="0.25"/>
    <row r="25763" s="42" customFormat="1" x14ac:dyDescent="0.25"/>
    <row r="25764" s="42" customFormat="1" x14ac:dyDescent="0.25"/>
    <row r="25765" s="42" customFormat="1" x14ac:dyDescent="0.25"/>
    <row r="25766" s="42" customFormat="1" x14ac:dyDescent="0.25"/>
    <row r="25767" s="42" customFormat="1" x14ac:dyDescent="0.25"/>
    <row r="25768" s="42" customFormat="1" x14ac:dyDescent="0.25"/>
    <row r="25769" s="42" customFormat="1" x14ac:dyDescent="0.25"/>
    <row r="25770" s="42" customFormat="1" x14ac:dyDescent="0.25"/>
    <row r="25771" s="42" customFormat="1" x14ac:dyDescent="0.25"/>
    <row r="25772" s="42" customFormat="1" x14ac:dyDescent="0.25"/>
    <row r="25773" s="42" customFormat="1" x14ac:dyDescent="0.25"/>
    <row r="25774" s="42" customFormat="1" x14ac:dyDescent="0.25"/>
    <row r="25775" s="42" customFormat="1" x14ac:dyDescent="0.25"/>
    <row r="25776" s="42" customFormat="1" x14ac:dyDescent="0.25"/>
    <row r="25777" s="42" customFormat="1" x14ac:dyDescent="0.25"/>
    <row r="25778" s="42" customFormat="1" x14ac:dyDescent="0.25"/>
    <row r="25779" s="42" customFormat="1" x14ac:dyDescent="0.25"/>
    <row r="25780" s="42" customFormat="1" x14ac:dyDescent="0.25"/>
    <row r="25781" s="42" customFormat="1" x14ac:dyDescent="0.25"/>
    <row r="25782" s="42" customFormat="1" x14ac:dyDescent="0.25"/>
    <row r="25783" s="42" customFormat="1" x14ac:dyDescent="0.25"/>
    <row r="25784" s="42" customFormat="1" x14ac:dyDescent="0.25"/>
    <row r="25785" s="42" customFormat="1" x14ac:dyDescent="0.25"/>
    <row r="25786" s="42" customFormat="1" x14ac:dyDescent="0.25"/>
    <row r="25787" s="42" customFormat="1" x14ac:dyDescent="0.25"/>
    <row r="25788" s="42" customFormat="1" x14ac:dyDescent="0.25"/>
    <row r="25789" s="42" customFormat="1" x14ac:dyDescent="0.25"/>
    <row r="25790" s="42" customFormat="1" x14ac:dyDescent="0.25"/>
    <row r="25791" s="42" customFormat="1" x14ac:dyDescent="0.25"/>
    <row r="25792" s="42" customFormat="1" x14ac:dyDescent="0.25"/>
    <row r="25793" s="42" customFormat="1" x14ac:dyDescent="0.25"/>
    <row r="25794" s="42" customFormat="1" x14ac:dyDescent="0.25"/>
    <row r="25795" s="42" customFormat="1" x14ac:dyDescent="0.25"/>
    <row r="25796" s="42" customFormat="1" x14ac:dyDescent="0.25"/>
    <row r="25797" s="42" customFormat="1" x14ac:dyDescent="0.25"/>
    <row r="25798" s="42" customFormat="1" x14ac:dyDescent="0.25"/>
    <row r="25799" s="42" customFormat="1" x14ac:dyDescent="0.25"/>
    <row r="25800" s="42" customFormat="1" x14ac:dyDescent="0.25"/>
    <row r="25801" s="42" customFormat="1" x14ac:dyDescent="0.25"/>
    <row r="25802" s="42" customFormat="1" x14ac:dyDescent="0.25"/>
    <row r="25803" s="42" customFormat="1" x14ac:dyDescent="0.25"/>
    <row r="25804" s="42" customFormat="1" x14ac:dyDescent="0.25"/>
    <row r="25805" s="42" customFormat="1" x14ac:dyDescent="0.25"/>
    <row r="25806" s="42" customFormat="1" x14ac:dyDescent="0.25"/>
    <row r="25807" s="42" customFormat="1" x14ac:dyDescent="0.25"/>
    <row r="25808" s="42" customFormat="1" x14ac:dyDescent="0.25"/>
    <row r="25809" s="42" customFormat="1" x14ac:dyDescent="0.25"/>
    <row r="25810" s="42" customFormat="1" x14ac:dyDescent="0.25"/>
    <row r="25811" s="42" customFormat="1" x14ac:dyDescent="0.25"/>
    <row r="25812" s="42" customFormat="1" x14ac:dyDescent="0.25"/>
    <row r="25813" s="42" customFormat="1" x14ac:dyDescent="0.25"/>
    <row r="25814" s="42" customFormat="1" x14ac:dyDescent="0.25"/>
    <row r="25815" s="42" customFormat="1" x14ac:dyDescent="0.25"/>
    <row r="25816" s="42" customFormat="1" x14ac:dyDescent="0.25"/>
    <row r="25817" s="42" customFormat="1" x14ac:dyDescent="0.25"/>
    <row r="25818" s="42" customFormat="1" x14ac:dyDescent="0.25"/>
    <row r="25819" s="42" customFormat="1" x14ac:dyDescent="0.25"/>
    <row r="25820" s="42" customFormat="1" x14ac:dyDescent="0.25"/>
    <row r="25821" s="42" customFormat="1" x14ac:dyDescent="0.25"/>
    <row r="25822" s="42" customFormat="1" x14ac:dyDescent="0.25"/>
    <row r="25823" s="42" customFormat="1" x14ac:dyDescent="0.25"/>
    <row r="25824" s="42" customFormat="1" x14ac:dyDescent="0.25"/>
    <row r="25825" s="42" customFormat="1" x14ac:dyDescent="0.25"/>
    <row r="25826" s="42" customFormat="1" x14ac:dyDescent="0.25"/>
    <row r="25827" s="42" customFormat="1" x14ac:dyDescent="0.25"/>
    <row r="25828" s="42" customFormat="1" x14ac:dyDescent="0.25"/>
    <row r="25829" s="42" customFormat="1" x14ac:dyDescent="0.25"/>
    <row r="25830" s="42" customFormat="1" x14ac:dyDescent="0.25"/>
    <row r="25831" s="42" customFormat="1" x14ac:dyDescent="0.25"/>
    <row r="25832" s="42" customFormat="1" x14ac:dyDescent="0.25"/>
    <row r="25833" s="42" customFormat="1" x14ac:dyDescent="0.25"/>
    <row r="25834" s="42" customFormat="1" x14ac:dyDescent="0.25"/>
    <row r="25835" s="42" customFormat="1" x14ac:dyDescent="0.25"/>
    <row r="25836" s="42" customFormat="1" x14ac:dyDescent="0.25"/>
    <row r="25837" s="42" customFormat="1" x14ac:dyDescent="0.25"/>
    <row r="25838" s="42" customFormat="1" x14ac:dyDescent="0.25"/>
    <row r="25839" s="42" customFormat="1" x14ac:dyDescent="0.25"/>
    <row r="25840" s="42" customFormat="1" x14ac:dyDescent="0.25"/>
    <row r="25841" s="42" customFormat="1" x14ac:dyDescent="0.25"/>
    <row r="25842" s="42" customFormat="1" x14ac:dyDescent="0.25"/>
    <row r="25843" s="42" customFormat="1" x14ac:dyDescent="0.25"/>
    <row r="25844" s="42" customFormat="1" x14ac:dyDescent="0.25"/>
    <row r="25845" s="42" customFormat="1" x14ac:dyDescent="0.25"/>
    <row r="25846" s="42" customFormat="1" x14ac:dyDescent="0.25"/>
    <row r="25847" s="42" customFormat="1" x14ac:dyDescent="0.25"/>
    <row r="25848" s="42" customFormat="1" x14ac:dyDescent="0.25"/>
    <row r="25849" s="42" customFormat="1" x14ac:dyDescent="0.25"/>
    <row r="25850" s="42" customFormat="1" x14ac:dyDescent="0.25"/>
    <row r="25851" s="42" customFormat="1" x14ac:dyDescent="0.25"/>
    <row r="25852" s="42" customFormat="1" x14ac:dyDescent="0.25"/>
    <row r="25853" s="42" customFormat="1" x14ac:dyDescent="0.25"/>
    <row r="25854" s="42" customFormat="1" x14ac:dyDescent="0.25"/>
    <row r="25855" s="42" customFormat="1" x14ac:dyDescent="0.25"/>
    <row r="25856" s="42" customFormat="1" x14ac:dyDescent="0.25"/>
    <row r="25857" s="42" customFormat="1" x14ac:dyDescent="0.25"/>
    <row r="25858" s="42" customFormat="1" x14ac:dyDescent="0.25"/>
    <row r="25859" s="42" customFormat="1" x14ac:dyDescent="0.25"/>
    <row r="25860" s="42" customFormat="1" x14ac:dyDescent="0.25"/>
    <row r="25861" s="42" customFormat="1" x14ac:dyDescent="0.25"/>
    <row r="25862" s="42" customFormat="1" x14ac:dyDescent="0.25"/>
    <row r="25863" s="42" customFormat="1" x14ac:dyDescent="0.25"/>
    <row r="25864" s="42" customFormat="1" x14ac:dyDescent="0.25"/>
    <row r="25865" s="42" customFormat="1" x14ac:dyDescent="0.25"/>
    <row r="25866" s="42" customFormat="1" x14ac:dyDescent="0.25"/>
    <row r="25867" s="42" customFormat="1" x14ac:dyDescent="0.25"/>
    <row r="25868" s="42" customFormat="1" x14ac:dyDescent="0.25"/>
    <row r="25869" s="42" customFormat="1" x14ac:dyDescent="0.25"/>
    <row r="25870" s="42" customFormat="1" x14ac:dyDescent="0.25"/>
    <row r="25871" s="42" customFormat="1" x14ac:dyDescent="0.25"/>
    <row r="25872" s="42" customFormat="1" x14ac:dyDescent="0.25"/>
    <row r="25873" s="42" customFormat="1" x14ac:dyDescent="0.25"/>
    <row r="25874" s="42" customFormat="1" x14ac:dyDescent="0.25"/>
    <row r="25875" s="42" customFormat="1" x14ac:dyDescent="0.25"/>
    <row r="25876" s="42" customFormat="1" x14ac:dyDescent="0.25"/>
    <row r="25877" s="42" customFormat="1" x14ac:dyDescent="0.25"/>
    <row r="25878" s="42" customFormat="1" x14ac:dyDescent="0.25"/>
    <row r="25879" s="42" customFormat="1" x14ac:dyDescent="0.25"/>
    <row r="25880" s="42" customFormat="1" x14ac:dyDescent="0.25"/>
    <row r="25881" s="42" customFormat="1" x14ac:dyDescent="0.25"/>
    <row r="25882" s="42" customFormat="1" x14ac:dyDescent="0.25"/>
    <row r="25883" s="42" customFormat="1" x14ac:dyDescent="0.25"/>
    <row r="25884" s="42" customFormat="1" x14ac:dyDescent="0.25"/>
    <row r="25885" s="42" customFormat="1" x14ac:dyDescent="0.25"/>
    <row r="25886" s="42" customFormat="1" x14ac:dyDescent="0.25"/>
    <row r="25887" s="42" customFormat="1" x14ac:dyDescent="0.25"/>
    <row r="25888" s="42" customFormat="1" x14ac:dyDescent="0.25"/>
    <row r="25889" s="42" customFormat="1" x14ac:dyDescent="0.25"/>
    <row r="25890" s="42" customFormat="1" x14ac:dyDescent="0.25"/>
    <row r="25891" s="42" customFormat="1" x14ac:dyDescent="0.25"/>
    <row r="25892" s="42" customFormat="1" x14ac:dyDescent="0.25"/>
    <row r="25893" s="42" customFormat="1" x14ac:dyDescent="0.25"/>
    <row r="25894" s="42" customFormat="1" x14ac:dyDescent="0.25"/>
    <row r="25895" s="42" customFormat="1" x14ac:dyDescent="0.25"/>
    <row r="25896" s="42" customFormat="1" x14ac:dyDescent="0.25"/>
    <row r="25897" s="42" customFormat="1" x14ac:dyDescent="0.25"/>
    <row r="25898" s="42" customFormat="1" x14ac:dyDescent="0.25"/>
    <row r="25899" s="42" customFormat="1" x14ac:dyDescent="0.25"/>
    <row r="25900" s="42" customFormat="1" x14ac:dyDescent="0.25"/>
    <row r="25901" s="42" customFormat="1" x14ac:dyDescent="0.25"/>
    <row r="25902" s="42" customFormat="1" x14ac:dyDescent="0.25"/>
    <row r="25903" s="42" customFormat="1" x14ac:dyDescent="0.25"/>
    <row r="25904" s="42" customFormat="1" x14ac:dyDescent="0.25"/>
    <row r="25905" s="42" customFormat="1" x14ac:dyDescent="0.25"/>
    <row r="25906" s="42" customFormat="1" x14ac:dyDescent="0.25"/>
    <row r="25907" s="42" customFormat="1" x14ac:dyDescent="0.25"/>
    <row r="25908" s="42" customFormat="1" x14ac:dyDescent="0.25"/>
    <row r="25909" s="42" customFormat="1" x14ac:dyDescent="0.25"/>
    <row r="25910" s="42" customFormat="1" x14ac:dyDescent="0.25"/>
    <row r="25911" s="42" customFormat="1" x14ac:dyDescent="0.25"/>
    <row r="25912" s="42" customFormat="1" x14ac:dyDescent="0.25"/>
    <row r="25913" s="42" customFormat="1" x14ac:dyDescent="0.25"/>
    <row r="25914" s="42" customFormat="1" x14ac:dyDescent="0.25"/>
    <row r="25915" s="42" customFormat="1" x14ac:dyDescent="0.25"/>
    <row r="25916" s="42" customFormat="1" x14ac:dyDescent="0.25"/>
    <row r="25917" s="42" customFormat="1" x14ac:dyDescent="0.25"/>
    <row r="25918" s="42" customFormat="1" x14ac:dyDescent="0.25"/>
    <row r="25919" s="42" customFormat="1" x14ac:dyDescent="0.25"/>
    <row r="25920" s="42" customFormat="1" x14ac:dyDescent="0.25"/>
    <row r="25921" s="42" customFormat="1" x14ac:dyDescent="0.25"/>
    <row r="25922" s="42" customFormat="1" x14ac:dyDescent="0.25"/>
    <row r="25923" s="42" customFormat="1" x14ac:dyDescent="0.25"/>
    <row r="25924" s="42" customFormat="1" x14ac:dyDescent="0.25"/>
    <row r="25925" s="42" customFormat="1" x14ac:dyDescent="0.25"/>
    <row r="25926" s="42" customFormat="1" x14ac:dyDescent="0.25"/>
    <row r="25927" s="42" customFormat="1" x14ac:dyDescent="0.25"/>
    <row r="25928" s="42" customFormat="1" x14ac:dyDescent="0.25"/>
    <row r="25929" s="42" customFormat="1" x14ac:dyDescent="0.25"/>
    <row r="25930" s="42" customFormat="1" x14ac:dyDescent="0.25"/>
    <row r="25931" s="42" customFormat="1" x14ac:dyDescent="0.25"/>
    <row r="25932" s="42" customFormat="1" x14ac:dyDescent="0.25"/>
    <row r="25933" s="42" customFormat="1" x14ac:dyDescent="0.25"/>
    <row r="25934" s="42" customFormat="1" x14ac:dyDescent="0.25"/>
    <row r="25935" s="42" customFormat="1" x14ac:dyDescent="0.25"/>
    <row r="25936" s="42" customFormat="1" x14ac:dyDescent="0.25"/>
    <row r="25937" s="42" customFormat="1" x14ac:dyDescent="0.25"/>
    <row r="25938" s="42" customFormat="1" x14ac:dyDescent="0.25"/>
    <row r="25939" s="42" customFormat="1" x14ac:dyDescent="0.25"/>
    <row r="25940" s="42" customFormat="1" x14ac:dyDescent="0.25"/>
    <row r="25941" s="42" customFormat="1" x14ac:dyDescent="0.25"/>
    <row r="25942" s="42" customFormat="1" x14ac:dyDescent="0.25"/>
    <row r="25943" s="42" customFormat="1" x14ac:dyDescent="0.25"/>
    <row r="25944" s="42" customFormat="1" x14ac:dyDescent="0.25"/>
    <row r="25945" s="42" customFormat="1" x14ac:dyDescent="0.25"/>
    <row r="25946" s="42" customFormat="1" x14ac:dyDescent="0.25"/>
    <row r="25947" s="42" customFormat="1" x14ac:dyDescent="0.25"/>
    <row r="25948" s="42" customFormat="1" x14ac:dyDescent="0.25"/>
    <row r="25949" s="42" customFormat="1" x14ac:dyDescent="0.25"/>
    <row r="25950" s="42" customFormat="1" x14ac:dyDescent="0.25"/>
    <row r="25951" s="42" customFormat="1" x14ac:dyDescent="0.25"/>
    <row r="25952" s="42" customFormat="1" x14ac:dyDescent="0.25"/>
    <row r="25953" s="42" customFormat="1" x14ac:dyDescent="0.25"/>
    <row r="25954" s="42" customFormat="1" x14ac:dyDescent="0.25"/>
    <row r="25955" s="42" customFormat="1" x14ac:dyDescent="0.25"/>
    <row r="25956" s="42" customFormat="1" x14ac:dyDescent="0.25"/>
    <row r="25957" s="42" customFormat="1" x14ac:dyDescent="0.25"/>
    <row r="25958" s="42" customFormat="1" x14ac:dyDescent="0.25"/>
    <row r="25959" s="42" customFormat="1" x14ac:dyDescent="0.25"/>
    <row r="25960" s="42" customFormat="1" x14ac:dyDescent="0.25"/>
    <row r="25961" s="42" customFormat="1" x14ac:dyDescent="0.25"/>
    <row r="25962" s="42" customFormat="1" x14ac:dyDescent="0.25"/>
    <row r="25963" s="42" customFormat="1" x14ac:dyDescent="0.25"/>
    <row r="25964" s="42" customFormat="1" x14ac:dyDescent="0.25"/>
    <row r="25965" s="42" customFormat="1" x14ac:dyDescent="0.25"/>
    <row r="25966" s="42" customFormat="1" x14ac:dyDescent="0.25"/>
    <row r="25967" s="42" customFormat="1" x14ac:dyDescent="0.25"/>
    <row r="25968" s="42" customFormat="1" x14ac:dyDescent="0.25"/>
    <row r="25969" s="42" customFormat="1" x14ac:dyDescent="0.25"/>
    <row r="25970" s="42" customFormat="1" x14ac:dyDescent="0.25"/>
    <row r="25971" s="42" customFormat="1" x14ac:dyDescent="0.25"/>
    <row r="25972" s="42" customFormat="1" x14ac:dyDescent="0.25"/>
    <row r="25973" s="42" customFormat="1" x14ac:dyDescent="0.25"/>
    <row r="25974" s="42" customFormat="1" x14ac:dyDescent="0.25"/>
    <row r="25975" s="42" customFormat="1" x14ac:dyDescent="0.25"/>
    <row r="25976" s="42" customFormat="1" x14ac:dyDescent="0.25"/>
    <row r="25977" s="42" customFormat="1" x14ac:dyDescent="0.25"/>
    <row r="25978" s="42" customFormat="1" x14ac:dyDescent="0.25"/>
    <row r="25979" s="42" customFormat="1" x14ac:dyDescent="0.25"/>
    <row r="25980" s="42" customFormat="1" x14ac:dyDescent="0.25"/>
    <row r="25981" s="42" customFormat="1" x14ac:dyDescent="0.25"/>
    <row r="25982" s="42" customFormat="1" x14ac:dyDescent="0.25"/>
    <row r="25983" s="42" customFormat="1" x14ac:dyDescent="0.25"/>
    <row r="25984" s="42" customFormat="1" x14ac:dyDescent="0.25"/>
    <row r="25985" s="42" customFormat="1" x14ac:dyDescent="0.25"/>
    <row r="25986" s="42" customFormat="1" x14ac:dyDescent="0.25"/>
    <row r="25987" s="42" customFormat="1" x14ac:dyDescent="0.25"/>
    <row r="25988" s="42" customFormat="1" x14ac:dyDescent="0.25"/>
    <row r="25989" s="42" customFormat="1" x14ac:dyDescent="0.25"/>
    <row r="25990" s="42" customFormat="1" x14ac:dyDescent="0.25"/>
    <row r="25991" s="42" customFormat="1" x14ac:dyDescent="0.25"/>
    <row r="25992" s="42" customFormat="1" x14ac:dyDescent="0.25"/>
    <row r="25993" s="42" customFormat="1" x14ac:dyDescent="0.25"/>
    <row r="25994" s="42" customFormat="1" x14ac:dyDescent="0.25"/>
    <row r="25995" s="42" customFormat="1" x14ac:dyDescent="0.25"/>
    <row r="25996" s="42" customFormat="1" x14ac:dyDescent="0.25"/>
    <row r="25997" s="42" customFormat="1" x14ac:dyDescent="0.25"/>
    <row r="25998" s="42" customFormat="1" x14ac:dyDescent="0.25"/>
    <row r="25999" s="42" customFormat="1" x14ac:dyDescent="0.25"/>
    <row r="26000" s="42" customFormat="1" x14ac:dyDescent="0.25"/>
    <row r="26001" s="42" customFormat="1" x14ac:dyDescent="0.25"/>
    <row r="26002" s="42" customFormat="1" x14ac:dyDescent="0.25"/>
    <row r="26003" s="42" customFormat="1" x14ac:dyDescent="0.25"/>
    <row r="26004" s="42" customFormat="1" x14ac:dyDescent="0.25"/>
    <row r="26005" s="42" customFormat="1" x14ac:dyDescent="0.25"/>
    <row r="26006" s="42" customFormat="1" x14ac:dyDescent="0.25"/>
    <row r="26007" s="42" customFormat="1" x14ac:dyDescent="0.25"/>
    <row r="26008" s="42" customFormat="1" x14ac:dyDescent="0.25"/>
    <row r="26009" s="42" customFormat="1" x14ac:dyDescent="0.25"/>
    <row r="26010" s="42" customFormat="1" x14ac:dyDescent="0.25"/>
    <row r="26011" s="42" customFormat="1" x14ac:dyDescent="0.25"/>
    <row r="26012" s="42" customFormat="1" x14ac:dyDescent="0.25"/>
    <row r="26013" s="42" customFormat="1" x14ac:dyDescent="0.25"/>
    <row r="26014" s="42" customFormat="1" x14ac:dyDescent="0.25"/>
    <row r="26015" s="42" customFormat="1" x14ac:dyDescent="0.25"/>
    <row r="26016" s="42" customFormat="1" x14ac:dyDescent="0.25"/>
    <row r="26017" s="42" customFormat="1" x14ac:dyDescent="0.25"/>
    <row r="26018" s="42" customFormat="1" x14ac:dyDescent="0.25"/>
    <row r="26019" s="42" customFormat="1" x14ac:dyDescent="0.25"/>
    <row r="26020" s="42" customFormat="1" x14ac:dyDescent="0.25"/>
    <row r="26021" s="42" customFormat="1" x14ac:dyDescent="0.25"/>
    <row r="26022" s="42" customFormat="1" x14ac:dyDescent="0.25"/>
    <row r="26023" s="42" customFormat="1" x14ac:dyDescent="0.25"/>
    <row r="26024" s="42" customFormat="1" x14ac:dyDescent="0.25"/>
    <row r="26025" s="42" customFormat="1" x14ac:dyDescent="0.25"/>
    <row r="26026" s="42" customFormat="1" x14ac:dyDescent="0.25"/>
    <row r="26027" s="42" customFormat="1" x14ac:dyDescent="0.25"/>
    <row r="26028" s="42" customFormat="1" x14ac:dyDescent="0.25"/>
    <row r="26029" s="42" customFormat="1" x14ac:dyDescent="0.25"/>
    <row r="26030" s="42" customFormat="1" x14ac:dyDescent="0.25"/>
    <row r="26031" s="42" customFormat="1" x14ac:dyDescent="0.25"/>
    <row r="26032" s="42" customFormat="1" x14ac:dyDescent="0.25"/>
    <row r="26033" s="42" customFormat="1" x14ac:dyDescent="0.25"/>
    <row r="26034" s="42" customFormat="1" x14ac:dyDescent="0.25"/>
    <row r="26035" s="42" customFormat="1" x14ac:dyDescent="0.25"/>
    <row r="26036" s="42" customFormat="1" x14ac:dyDescent="0.25"/>
    <row r="26037" s="42" customFormat="1" x14ac:dyDescent="0.25"/>
    <row r="26038" s="42" customFormat="1" x14ac:dyDescent="0.25"/>
    <row r="26039" s="42" customFormat="1" x14ac:dyDescent="0.25"/>
    <row r="26040" s="42" customFormat="1" x14ac:dyDescent="0.25"/>
    <row r="26041" s="42" customFormat="1" x14ac:dyDescent="0.25"/>
    <row r="26042" s="42" customFormat="1" x14ac:dyDescent="0.25"/>
    <row r="26043" s="42" customFormat="1" x14ac:dyDescent="0.25"/>
    <row r="26044" s="42" customFormat="1" x14ac:dyDescent="0.25"/>
    <row r="26045" s="42" customFormat="1" x14ac:dyDescent="0.25"/>
    <row r="26046" s="42" customFormat="1" x14ac:dyDescent="0.25"/>
    <row r="26047" s="42" customFormat="1" x14ac:dyDescent="0.25"/>
    <row r="26048" s="42" customFormat="1" x14ac:dyDescent="0.25"/>
    <row r="26049" s="42" customFormat="1" x14ac:dyDescent="0.25"/>
    <row r="26050" s="42" customFormat="1" x14ac:dyDescent="0.25"/>
    <row r="26051" s="42" customFormat="1" x14ac:dyDescent="0.25"/>
    <row r="26052" s="42" customFormat="1" x14ac:dyDescent="0.25"/>
    <row r="26053" s="42" customFormat="1" x14ac:dyDescent="0.25"/>
    <row r="26054" s="42" customFormat="1" x14ac:dyDescent="0.25"/>
    <row r="26055" s="42" customFormat="1" x14ac:dyDescent="0.25"/>
    <row r="26056" s="42" customFormat="1" x14ac:dyDescent="0.25"/>
    <row r="26057" s="42" customFormat="1" x14ac:dyDescent="0.25"/>
    <row r="26058" s="42" customFormat="1" x14ac:dyDescent="0.25"/>
    <row r="26059" s="42" customFormat="1" x14ac:dyDescent="0.25"/>
    <row r="26060" s="42" customFormat="1" x14ac:dyDescent="0.25"/>
    <row r="26061" s="42" customFormat="1" x14ac:dyDescent="0.25"/>
    <row r="26062" s="42" customFormat="1" x14ac:dyDescent="0.25"/>
    <row r="26063" s="42" customFormat="1" x14ac:dyDescent="0.25"/>
    <row r="26064" s="42" customFormat="1" x14ac:dyDescent="0.25"/>
    <row r="26065" s="42" customFormat="1" x14ac:dyDescent="0.25"/>
    <row r="26066" s="42" customFormat="1" x14ac:dyDescent="0.25"/>
    <row r="26067" s="42" customFormat="1" x14ac:dyDescent="0.25"/>
    <row r="26068" s="42" customFormat="1" x14ac:dyDescent="0.25"/>
    <row r="26069" s="42" customFormat="1" x14ac:dyDescent="0.25"/>
    <row r="26070" s="42" customFormat="1" x14ac:dyDescent="0.25"/>
    <row r="26071" s="42" customFormat="1" x14ac:dyDescent="0.25"/>
    <row r="26072" s="42" customFormat="1" x14ac:dyDescent="0.25"/>
    <row r="26073" s="42" customFormat="1" x14ac:dyDescent="0.25"/>
    <row r="26074" s="42" customFormat="1" x14ac:dyDescent="0.25"/>
    <row r="26075" s="42" customFormat="1" x14ac:dyDescent="0.25"/>
    <row r="26076" s="42" customFormat="1" x14ac:dyDescent="0.25"/>
    <row r="26077" s="42" customFormat="1" x14ac:dyDescent="0.25"/>
    <row r="26078" s="42" customFormat="1" x14ac:dyDescent="0.25"/>
    <row r="26079" s="42" customFormat="1" x14ac:dyDescent="0.25"/>
    <row r="26080" s="42" customFormat="1" x14ac:dyDescent="0.25"/>
    <row r="26081" s="42" customFormat="1" x14ac:dyDescent="0.25"/>
    <row r="26082" s="42" customFormat="1" x14ac:dyDescent="0.25"/>
    <row r="26083" s="42" customFormat="1" x14ac:dyDescent="0.25"/>
    <row r="26084" s="42" customFormat="1" x14ac:dyDescent="0.25"/>
    <row r="26085" s="42" customFormat="1" x14ac:dyDescent="0.25"/>
    <row r="26086" s="42" customFormat="1" x14ac:dyDescent="0.25"/>
    <row r="26087" s="42" customFormat="1" x14ac:dyDescent="0.25"/>
    <row r="26088" s="42" customFormat="1" x14ac:dyDescent="0.25"/>
    <row r="26089" s="42" customFormat="1" x14ac:dyDescent="0.25"/>
    <row r="26090" s="42" customFormat="1" x14ac:dyDescent="0.25"/>
    <row r="26091" s="42" customFormat="1" x14ac:dyDescent="0.25"/>
    <row r="26092" s="42" customFormat="1" x14ac:dyDescent="0.25"/>
    <row r="26093" s="42" customFormat="1" x14ac:dyDescent="0.25"/>
    <row r="26094" s="42" customFormat="1" x14ac:dyDescent="0.25"/>
    <row r="26095" s="42" customFormat="1" x14ac:dyDescent="0.25"/>
    <row r="26096" s="42" customFormat="1" x14ac:dyDescent="0.25"/>
    <row r="26097" s="42" customFormat="1" x14ac:dyDescent="0.25"/>
    <row r="26098" s="42" customFormat="1" x14ac:dyDescent="0.25"/>
    <row r="26099" s="42" customFormat="1" x14ac:dyDescent="0.25"/>
    <row r="26100" s="42" customFormat="1" x14ac:dyDescent="0.25"/>
    <row r="26101" s="42" customFormat="1" x14ac:dyDescent="0.25"/>
    <row r="26102" s="42" customFormat="1" x14ac:dyDescent="0.25"/>
    <row r="26103" s="42" customFormat="1" x14ac:dyDescent="0.25"/>
    <row r="26104" s="42" customFormat="1" x14ac:dyDescent="0.25"/>
    <row r="26105" s="42" customFormat="1" x14ac:dyDescent="0.25"/>
    <row r="26106" s="42" customFormat="1" x14ac:dyDescent="0.25"/>
    <row r="26107" s="42" customFormat="1" x14ac:dyDescent="0.25"/>
    <row r="26108" s="42" customFormat="1" x14ac:dyDescent="0.25"/>
    <row r="26109" s="42" customFormat="1" x14ac:dyDescent="0.25"/>
    <row r="26110" s="42" customFormat="1" x14ac:dyDescent="0.25"/>
    <row r="26111" s="42" customFormat="1" x14ac:dyDescent="0.25"/>
    <row r="26112" s="42" customFormat="1" x14ac:dyDescent="0.25"/>
    <row r="26113" s="42" customFormat="1" x14ac:dyDescent="0.25"/>
    <row r="26114" s="42" customFormat="1" x14ac:dyDescent="0.25"/>
    <row r="26115" s="42" customFormat="1" x14ac:dyDescent="0.25"/>
    <row r="26116" s="42" customFormat="1" x14ac:dyDescent="0.25"/>
    <row r="26117" s="42" customFormat="1" x14ac:dyDescent="0.25"/>
    <row r="26118" s="42" customFormat="1" x14ac:dyDescent="0.25"/>
    <row r="26119" s="42" customFormat="1" x14ac:dyDescent="0.25"/>
    <row r="26120" s="42" customFormat="1" x14ac:dyDescent="0.25"/>
    <row r="26121" s="42" customFormat="1" x14ac:dyDescent="0.25"/>
    <row r="26122" s="42" customFormat="1" x14ac:dyDescent="0.25"/>
    <row r="26123" s="42" customFormat="1" x14ac:dyDescent="0.25"/>
    <row r="26124" s="42" customFormat="1" x14ac:dyDescent="0.25"/>
    <row r="26125" s="42" customFormat="1" x14ac:dyDescent="0.25"/>
    <row r="26126" s="42" customFormat="1" x14ac:dyDescent="0.25"/>
    <row r="26127" s="42" customFormat="1" x14ac:dyDescent="0.25"/>
    <row r="26128" s="42" customFormat="1" x14ac:dyDescent="0.25"/>
    <row r="26129" s="42" customFormat="1" x14ac:dyDescent="0.25"/>
    <row r="26130" s="42" customFormat="1" x14ac:dyDescent="0.25"/>
    <row r="26131" s="42" customFormat="1" x14ac:dyDescent="0.25"/>
    <row r="26132" s="42" customFormat="1" x14ac:dyDescent="0.25"/>
    <row r="26133" s="42" customFormat="1" x14ac:dyDescent="0.25"/>
    <row r="26134" s="42" customFormat="1" x14ac:dyDescent="0.25"/>
    <row r="26135" s="42" customFormat="1" x14ac:dyDescent="0.25"/>
    <row r="26136" s="42" customFormat="1" x14ac:dyDescent="0.25"/>
    <row r="26137" s="42" customFormat="1" x14ac:dyDescent="0.25"/>
    <row r="26138" s="42" customFormat="1" x14ac:dyDescent="0.25"/>
    <row r="26139" s="42" customFormat="1" x14ac:dyDescent="0.25"/>
    <row r="26140" s="42" customFormat="1" x14ac:dyDescent="0.25"/>
    <row r="26141" s="42" customFormat="1" x14ac:dyDescent="0.25"/>
    <row r="26142" s="42" customFormat="1" x14ac:dyDescent="0.25"/>
    <row r="26143" s="42" customFormat="1" x14ac:dyDescent="0.25"/>
    <row r="26144" s="42" customFormat="1" x14ac:dyDescent="0.25"/>
    <row r="26145" s="42" customFormat="1" x14ac:dyDescent="0.25"/>
    <row r="26146" s="42" customFormat="1" x14ac:dyDescent="0.25"/>
    <row r="26147" s="42" customFormat="1" x14ac:dyDescent="0.25"/>
    <row r="26148" s="42" customFormat="1" x14ac:dyDescent="0.25"/>
    <row r="26149" s="42" customFormat="1" x14ac:dyDescent="0.25"/>
    <row r="26150" s="42" customFormat="1" x14ac:dyDescent="0.25"/>
    <row r="26151" s="42" customFormat="1" x14ac:dyDescent="0.25"/>
    <row r="26152" s="42" customFormat="1" x14ac:dyDescent="0.25"/>
    <row r="26153" s="42" customFormat="1" x14ac:dyDescent="0.25"/>
    <row r="26154" s="42" customFormat="1" x14ac:dyDescent="0.25"/>
    <row r="26155" s="42" customFormat="1" x14ac:dyDescent="0.25"/>
    <row r="26156" s="42" customFormat="1" x14ac:dyDescent="0.25"/>
    <row r="26157" s="42" customFormat="1" x14ac:dyDescent="0.25"/>
    <row r="26158" s="42" customFormat="1" x14ac:dyDescent="0.25"/>
    <row r="26159" s="42" customFormat="1" x14ac:dyDescent="0.25"/>
    <row r="26160" s="42" customFormat="1" x14ac:dyDescent="0.25"/>
    <row r="26161" s="42" customFormat="1" x14ac:dyDescent="0.25"/>
    <row r="26162" s="42" customFormat="1" x14ac:dyDescent="0.25"/>
    <row r="26163" s="42" customFormat="1" x14ac:dyDescent="0.25"/>
    <row r="26164" s="42" customFormat="1" x14ac:dyDescent="0.25"/>
    <row r="26165" s="42" customFormat="1" x14ac:dyDescent="0.25"/>
    <row r="26166" s="42" customFormat="1" x14ac:dyDescent="0.25"/>
    <row r="26167" s="42" customFormat="1" x14ac:dyDescent="0.25"/>
    <row r="26168" s="42" customFormat="1" x14ac:dyDescent="0.25"/>
    <row r="26169" s="42" customFormat="1" x14ac:dyDescent="0.25"/>
    <row r="26170" s="42" customFormat="1" x14ac:dyDescent="0.25"/>
    <row r="26171" s="42" customFormat="1" x14ac:dyDescent="0.25"/>
    <row r="26172" s="42" customFormat="1" x14ac:dyDescent="0.25"/>
    <row r="26173" s="42" customFormat="1" x14ac:dyDescent="0.25"/>
    <row r="26174" s="42" customFormat="1" x14ac:dyDescent="0.25"/>
    <row r="26175" s="42" customFormat="1" x14ac:dyDescent="0.25"/>
    <row r="26176" s="42" customFormat="1" x14ac:dyDescent="0.25"/>
    <row r="26177" s="42" customFormat="1" x14ac:dyDescent="0.25"/>
    <row r="26178" s="42" customFormat="1" x14ac:dyDescent="0.25"/>
    <row r="26179" s="42" customFormat="1" x14ac:dyDescent="0.25"/>
    <row r="26180" s="42" customFormat="1" x14ac:dyDescent="0.25"/>
    <row r="26181" s="42" customFormat="1" x14ac:dyDescent="0.25"/>
    <row r="26182" s="42" customFormat="1" x14ac:dyDescent="0.25"/>
    <row r="26183" s="42" customFormat="1" x14ac:dyDescent="0.25"/>
    <row r="26184" s="42" customFormat="1" x14ac:dyDescent="0.25"/>
    <row r="26185" s="42" customFormat="1" x14ac:dyDescent="0.25"/>
    <row r="26186" s="42" customFormat="1" x14ac:dyDescent="0.25"/>
    <row r="26187" s="42" customFormat="1" x14ac:dyDescent="0.25"/>
    <row r="26188" s="42" customFormat="1" x14ac:dyDescent="0.25"/>
    <row r="26189" s="42" customFormat="1" x14ac:dyDescent="0.25"/>
    <row r="26190" s="42" customFormat="1" x14ac:dyDescent="0.25"/>
    <row r="26191" s="42" customFormat="1" x14ac:dyDescent="0.25"/>
    <row r="26192" s="42" customFormat="1" x14ac:dyDescent="0.25"/>
    <row r="26193" s="42" customFormat="1" x14ac:dyDescent="0.25"/>
    <row r="26194" s="42" customFormat="1" x14ac:dyDescent="0.25"/>
    <row r="26195" s="42" customFormat="1" x14ac:dyDescent="0.25"/>
    <row r="26196" s="42" customFormat="1" x14ac:dyDescent="0.25"/>
    <row r="26197" s="42" customFormat="1" x14ac:dyDescent="0.25"/>
    <row r="26198" s="42" customFormat="1" x14ac:dyDescent="0.25"/>
    <row r="26199" s="42" customFormat="1" x14ac:dyDescent="0.25"/>
    <row r="26200" s="42" customFormat="1" x14ac:dyDescent="0.25"/>
    <row r="26201" s="42" customFormat="1" x14ac:dyDescent="0.25"/>
    <row r="26202" s="42" customFormat="1" x14ac:dyDescent="0.25"/>
    <row r="26203" s="42" customFormat="1" x14ac:dyDescent="0.25"/>
    <row r="26204" s="42" customFormat="1" x14ac:dyDescent="0.25"/>
    <row r="26205" s="42" customFormat="1" x14ac:dyDescent="0.25"/>
    <row r="26206" s="42" customFormat="1" x14ac:dyDescent="0.25"/>
    <row r="26207" s="42" customFormat="1" x14ac:dyDescent="0.25"/>
    <row r="26208" s="42" customFormat="1" x14ac:dyDescent="0.25"/>
    <row r="26209" s="42" customFormat="1" x14ac:dyDescent="0.25"/>
    <row r="26210" s="42" customFormat="1" x14ac:dyDescent="0.25"/>
    <row r="26211" s="42" customFormat="1" x14ac:dyDescent="0.25"/>
    <row r="26212" s="42" customFormat="1" x14ac:dyDescent="0.25"/>
    <row r="26213" s="42" customFormat="1" x14ac:dyDescent="0.25"/>
    <row r="26214" s="42" customFormat="1" x14ac:dyDescent="0.25"/>
    <row r="26215" s="42" customFormat="1" x14ac:dyDescent="0.25"/>
    <row r="26216" s="42" customFormat="1" x14ac:dyDescent="0.25"/>
    <row r="26217" s="42" customFormat="1" x14ac:dyDescent="0.25"/>
    <row r="26218" s="42" customFormat="1" x14ac:dyDescent="0.25"/>
    <row r="26219" s="42" customFormat="1" x14ac:dyDescent="0.25"/>
    <row r="26220" s="42" customFormat="1" x14ac:dyDescent="0.25"/>
    <row r="26221" s="42" customFormat="1" x14ac:dyDescent="0.25"/>
    <row r="26222" s="42" customFormat="1" x14ac:dyDescent="0.25"/>
    <row r="26223" s="42" customFormat="1" x14ac:dyDescent="0.25"/>
    <row r="26224" s="42" customFormat="1" x14ac:dyDescent="0.25"/>
    <row r="26225" s="42" customFormat="1" x14ac:dyDescent="0.25"/>
    <row r="26226" s="42" customFormat="1" x14ac:dyDescent="0.25"/>
    <row r="26227" s="42" customFormat="1" x14ac:dyDescent="0.25"/>
    <row r="26228" s="42" customFormat="1" x14ac:dyDescent="0.25"/>
    <row r="26229" s="42" customFormat="1" x14ac:dyDescent="0.25"/>
    <row r="26230" s="42" customFormat="1" x14ac:dyDescent="0.25"/>
    <row r="26231" s="42" customFormat="1" x14ac:dyDescent="0.25"/>
    <row r="26232" s="42" customFormat="1" x14ac:dyDescent="0.25"/>
    <row r="26233" s="42" customFormat="1" x14ac:dyDescent="0.25"/>
    <row r="26234" s="42" customFormat="1" x14ac:dyDescent="0.25"/>
    <row r="26235" s="42" customFormat="1" x14ac:dyDescent="0.25"/>
    <row r="26236" s="42" customFormat="1" x14ac:dyDescent="0.25"/>
    <row r="26237" s="42" customFormat="1" x14ac:dyDescent="0.25"/>
    <row r="26238" s="42" customFormat="1" x14ac:dyDescent="0.25"/>
    <row r="26239" s="42" customFormat="1" x14ac:dyDescent="0.25"/>
    <row r="26240" s="42" customFormat="1" x14ac:dyDescent="0.25"/>
    <row r="26241" s="42" customFormat="1" x14ac:dyDescent="0.25"/>
    <row r="26242" s="42" customFormat="1" x14ac:dyDescent="0.25"/>
    <row r="26243" s="42" customFormat="1" x14ac:dyDescent="0.25"/>
    <row r="26244" s="42" customFormat="1" x14ac:dyDescent="0.25"/>
    <row r="26245" s="42" customFormat="1" x14ac:dyDescent="0.25"/>
    <row r="26246" s="42" customFormat="1" x14ac:dyDescent="0.25"/>
    <row r="26247" s="42" customFormat="1" x14ac:dyDescent="0.25"/>
    <row r="26248" s="42" customFormat="1" x14ac:dyDescent="0.25"/>
    <row r="26249" s="42" customFormat="1" x14ac:dyDescent="0.25"/>
    <row r="26250" s="42" customFormat="1" x14ac:dyDescent="0.25"/>
    <row r="26251" s="42" customFormat="1" x14ac:dyDescent="0.25"/>
    <row r="26252" s="42" customFormat="1" x14ac:dyDescent="0.25"/>
    <row r="26253" s="42" customFormat="1" x14ac:dyDescent="0.25"/>
    <row r="26254" s="42" customFormat="1" x14ac:dyDescent="0.25"/>
    <row r="26255" s="42" customFormat="1" x14ac:dyDescent="0.25"/>
    <row r="26256" s="42" customFormat="1" x14ac:dyDescent="0.25"/>
    <row r="26257" s="42" customFormat="1" x14ac:dyDescent="0.25"/>
    <row r="26258" s="42" customFormat="1" x14ac:dyDescent="0.25"/>
    <row r="26259" s="42" customFormat="1" x14ac:dyDescent="0.25"/>
    <row r="26260" s="42" customFormat="1" x14ac:dyDescent="0.25"/>
    <row r="26261" s="42" customFormat="1" x14ac:dyDescent="0.25"/>
    <row r="26262" s="42" customFormat="1" x14ac:dyDescent="0.25"/>
    <row r="26263" s="42" customFormat="1" x14ac:dyDescent="0.25"/>
    <row r="26264" s="42" customFormat="1" x14ac:dyDescent="0.25"/>
    <row r="26265" s="42" customFormat="1" x14ac:dyDescent="0.25"/>
    <row r="26266" s="42" customFormat="1" x14ac:dyDescent="0.25"/>
    <row r="26267" s="42" customFormat="1" x14ac:dyDescent="0.25"/>
    <row r="26268" s="42" customFormat="1" x14ac:dyDescent="0.25"/>
    <row r="26269" s="42" customFormat="1" x14ac:dyDescent="0.25"/>
    <row r="26270" s="42" customFormat="1" x14ac:dyDescent="0.25"/>
    <row r="26271" s="42" customFormat="1" x14ac:dyDescent="0.25"/>
    <row r="26272" s="42" customFormat="1" x14ac:dyDescent="0.25"/>
    <row r="26273" s="42" customFormat="1" x14ac:dyDescent="0.25"/>
    <row r="26274" s="42" customFormat="1" x14ac:dyDescent="0.25"/>
    <row r="26275" s="42" customFormat="1" x14ac:dyDescent="0.25"/>
    <row r="26276" s="42" customFormat="1" x14ac:dyDescent="0.25"/>
    <row r="26277" s="42" customFormat="1" x14ac:dyDescent="0.25"/>
    <row r="26278" s="42" customFormat="1" x14ac:dyDescent="0.25"/>
    <row r="26279" s="42" customFormat="1" x14ac:dyDescent="0.25"/>
    <row r="26280" s="42" customFormat="1" x14ac:dyDescent="0.25"/>
    <row r="26281" s="42" customFormat="1" x14ac:dyDescent="0.25"/>
    <row r="26282" s="42" customFormat="1" x14ac:dyDescent="0.25"/>
    <row r="26283" s="42" customFormat="1" x14ac:dyDescent="0.25"/>
    <row r="26284" s="42" customFormat="1" x14ac:dyDescent="0.25"/>
    <row r="26285" s="42" customFormat="1" x14ac:dyDescent="0.25"/>
    <row r="26286" s="42" customFormat="1" x14ac:dyDescent="0.25"/>
    <row r="26287" s="42" customFormat="1" x14ac:dyDescent="0.25"/>
    <row r="26288" s="42" customFormat="1" x14ac:dyDescent="0.25"/>
    <row r="26289" s="42" customFormat="1" x14ac:dyDescent="0.25"/>
    <row r="26290" s="42" customFormat="1" x14ac:dyDescent="0.25"/>
    <row r="26291" s="42" customFormat="1" x14ac:dyDescent="0.25"/>
    <row r="26292" s="42" customFormat="1" x14ac:dyDescent="0.25"/>
    <row r="26293" s="42" customFormat="1" x14ac:dyDescent="0.25"/>
    <row r="26294" s="42" customFormat="1" x14ac:dyDescent="0.25"/>
    <row r="26295" s="42" customFormat="1" x14ac:dyDescent="0.25"/>
    <row r="26296" s="42" customFormat="1" x14ac:dyDescent="0.25"/>
    <row r="26297" s="42" customFormat="1" x14ac:dyDescent="0.25"/>
    <row r="26298" s="42" customFormat="1" x14ac:dyDescent="0.25"/>
    <row r="26299" s="42" customFormat="1" x14ac:dyDescent="0.25"/>
    <row r="26300" s="42" customFormat="1" x14ac:dyDescent="0.25"/>
    <row r="26301" s="42" customFormat="1" x14ac:dyDescent="0.25"/>
    <row r="26302" s="42" customFormat="1" x14ac:dyDescent="0.25"/>
    <row r="26303" s="42" customFormat="1" x14ac:dyDescent="0.25"/>
    <row r="26304" s="42" customFormat="1" x14ac:dyDescent="0.25"/>
    <row r="26305" s="42" customFormat="1" x14ac:dyDescent="0.25"/>
    <row r="26306" s="42" customFormat="1" x14ac:dyDescent="0.25"/>
    <row r="26307" s="42" customFormat="1" x14ac:dyDescent="0.25"/>
    <row r="26308" s="42" customFormat="1" x14ac:dyDescent="0.25"/>
    <row r="26309" s="42" customFormat="1" x14ac:dyDescent="0.25"/>
    <row r="26310" s="42" customFormat="1" x14ac:dyDescent="0.25"/>
    <row r="26311" s="42" customFormat="1" x14ac:dyDescent="0.25"/>
    <row r="26312" s="42" customFormat="1" x14ac:dyDescent="0.25"/>
    <row r="26313" s="42" customFormat="1" x14ac:dyDescent="0.25"/>
    <row r="26314" s="42" customFormat="1" x14ac:dyDescent="0.25"/>
    <row r="26315" s="42" customFormat="1" x14ac:dyDescent="0.25"/>
    <row r="26316" s="42" customFormat="1" x14ac:dyDescent="0.25"/>
    <row r="26317" s="42" customFormat="1" x14ac:dyDescent="0.25"/>
    <row r="26318" s="42" customFormat="1" x14ac:dyDescent="0.25"/>
    <row r="26319" s="42" customFormat="1" x14ac:dyDescent="0.25"/>
    <row r="26320" s="42" customFormat="1" x14ac:dyDescent="0.25"/>
    <row r="26321" s="42" customFormat="1" x14ac:dyDescent="0.25"/>
    <row r="26322" s="42" customFormat="1" x14ac:dyDescent="0.25"/>
    <row r="26323" s="42" customFormat="1" x14ac:dyDescent="0.25"/>
    <row r="26324" s="42" customFormat="1" x14ac:dyDescent="0.25"/>
    <row r="26325" s="42" customFormat="1" x14ac:dyDescent="0.25"/>
    <row r="26326" s="42" customFormat="1" x14ac:dyDescent="0.25"/>
    <row r="26327" s="42" customFormat="1" x14ac:dyDescent="0.25"/>
    <row r="26328" s="42" customFormat="1" x14ac:dyDescent="0.25"/>
    <row r="26329" s="42" customFormat="1" x14ac:dyDescent="0.25"/>
    <row r="26330" s="42" customFormat="1" x14ac:dyDescent="0.25"/>
    <row r="26331" s="42" customFormat="1" x14ac:dyDescent="0.25"/>
    <row r="26332" s="42" customFormat="1" x14ac:dyDescent="0.25"/>
    <row r="26333" s="42" customFormat="1" x14ac:dyDescent="0.25"/>
    <row r="26334" s="42" customFormat="1" x14ac:dyDescent="0.25"/>
    <row r="26335" s="42" customFormat="1" x14ac:dyDescent="0.25"/>
    <row r="26336" s="42" customFormat="1" x14ac:dyDescent="0.25"/>
    <row r="26337" s="42" customFormat="1" x14ac:dyDescent="0.25"/>
    <row r="26338" s="42" customFormat="1" x14ac:dyDescent="0.25"/>
    <row r="26339" s="42" customFormat="1" x14ac:dyDescent="0.25"/>
    <row r="26340" s="42" customFormat="1" x14ac:dyDescent="0.25"/>
    <row r="26341" s="42" customFormat="1" x14ac:dyDescent="0.25"/>
    <row r="26342" s="42" customFormat="1" x14ac:dyDescent="0.25"/>
    <row r="26343" s="42" customFormat="1" x14ac:dyDescent="0.25"/>
    <row r="26344" s="42" customFormat="1" x14ac:dyDescent="0.25"/>
    <row r="26345" s="42" customFormat="1" x14ac:dyDescent="0.25"/>
    <row r="26346" s="42" customFormat="1" x14ac:dyDescent="0.25"/>
    <row r="26347" s="42" customFormat="1" x14ac:dyDescent="0.25"/>
    <row r="26348" s="42" customFormat="1" x14ac:dyDescent="0.25"/>
    <row r="26349" s="42" customFormat="1" x14ac:dyDescent="0.25"/>
    <row r="26350" s="42" customFormat="1" x14ac:dyDescent="0.25"/>
    <row r="26351" s="42" customFormat="1" x14ac:dyDescent="0.25"/>
    <row r="26352" s="42" customFormat="1" x14ac:dyDescent="0.25"/>
    <row r="26353" s="42" customFormat="1" x14ac:dyDescent="0.25"/>
    <row r="26354" s="42" customFormat="1" x14ac:dyDescent="0.25"/>
    <row r="26355" s="42" customFormat="1" x14ac:dyDescent="0.25"/>
    <row r="26356" s="42" customFormat="1" x14ac:dyDescent="0.25"/>
    <row r="26357" s="42" customFormat="1" x14ac:dyDescent="0.25"/>
    <row r="26358" s="42" customFormat="1" x14ac:dyDescent="0.25"/>
    <row r="26359" s="42" customFormat="1" x14ac:dyDescent="0.25"/>
    <row r="26360" s="42" customFormat="1" x14ac:dyDescent="0.25"/>
    <row r="26361" s="42" customFormat="1" x14ac:dyDescent="0.25"/>
    <row r="26362" s="42" customFormat="1" x14ac:dyDescent="0.25"/>
    <row r="26363" s="42" customFormat="1" x14ac:dyDescent="0.25"/>
    <row r="26364" s="42" customFormat="1" x14ac:dyDescent="0.25"/>
    <row r="26365" s="42" customFormat="1" x14ac:dyDescent="0.25"/>
    <row r="26366" s="42" customFormat="1" x14ac:dyDescent="0.25"/>
    <row r="26367" s="42" customFormat="1" x14ac:dyDescent="0.25"/>
    <row r="26368" s="42" customFormat="1" x14ac:dyDescent="0.25"/>
    <row r="26369" s="42" customFormat="1" x14ac:dyDescent="0.25"/>
    <row r="26370" s="42" customFormat="1" x14ac:dyDescent="0.25"/>
    <row r="26371" s="42" customFormat="1" x14ac:dyDescent="0.25"/>
    <row r="26372" s="42" customFormat="1" x14ac:dyDescent="0.25"/>
    <row r="26373" s="42" customFormat="1" x14ac:dyDescent="0.25"/>
    <row r="26374" s="42" customFormat="1" x14ac:dyDescent="0.25"/>
    <row r="26375" s="42" customFormat="1" x14ac:dyDescent="0.25"/>
    <row r="26376" s="42" customFormat="1" x14ac:dyDescent="0.25"/>
    <row r="26377" s="42" customFormat="1" x14ac:dyDescent="0.25"/>
    <row r="26378" s="42" customFormat="1" x14ac:dyDescent="0.25"/>
    <row r="26379" s="42" customFormat="1" x14ac:dyDescent="0.25"/>
    <row r="26380" s="42" customFormat="1" x14ac:dyDescent="0.25"/>
    <row r="26381" s="42" customFormat="1" x14ac:dyDescent="0.25"/>
    <row r="26382" s="42" customFormat="1" x14ac:dyDescent="0.25"/>
    <row r="26383" s="42" customFormat="1" x14ac:dyDescent="0.25"/>
    <row r="26384" s="42" customFormat="1" x14ac:dyDescent="0.25"/>
    <row r="26385" s="42" customFormat="1" x14ac:dyDescent="0.25"/>
    <row r="26386" s="42" customFormat="1" x14ac:dyDescent="0.25"/>
    <row r="26387" s="42" customFormat="1" x14ac:dyDescent="0.25"/>
    <row r="26388" s="42" customFormat="1" x14ac:dyDescent="0.25"/>
    <row r="26389" s="42" customFormat="1" x14ac:dyDescent="0.25"/>
    <row r="26390" s="42" customFormat="1" x14ac:dyDescent="0.25"/>
    <row r="26391" s="42" customFormat="1" x14ac:dyDescent="0.25"/>
    <row r="26392" s="42" customFormat="1" x14ac:dyDescent="0.25"/>
    <row r="26393" s="42" customFormat="1" x14ac:dyDescent="0.25"/>
    <row r="26394" s="42" customFormat="1" x14ac:dyDescent="0.25"/>
    <row r="26395" s="42" customFormat="1" x14ac:dyDescent="0.25"/>
    <row r="26396" s="42" customFormat="1" x14ac:dyDescent="0.25"/>
    <row r="26397" s="42" customFormat="1" x14ac:dyDescent="0.25"/>
    <row r="26398" s="42" customFormat="1" x14ac:dyDescent="0.25"/>
    <row r="26399" s="42" customFormat="1" x14ac:dyDescent="0.25"/>
    <row r="26400" s="42" customFormat="1" x14ac:dyDescent="0.25"/>
    <row r="26401" s="42" customFormat="1" x14ac:dyDescent="0.25"/>
    <row r="26402" s="42" customFormat="1" x14ac:dyDescent="0.25"/>
    <row r="26403" s="42" customFormat="1" x14ac:dyDescent="0.25"/>
    <row r="26404" s="42" customFormat="1" x14ac:dyDescent="0.25"/>
    <row r="26405" s="42" customFormat="1" x14ac:dyDescent="0.25"/>
    <row r="26406" s="42" customFormat="1" x14ac:dyDescent="0.25"/>
    <row r="26407" s="42" customFormat="1" x14ac:dyDescent="0.25"/>
    <row r="26408" s="42" customFormat="1" x14ac:dyDescent="0.25"/>
    <row r="26409" s="42" customFormat="1" x14ac:dyDescent="0.25"/>
    <row r="26410" s="42" customFormat="1" x14ac:dyDescent="0.25"/>
    <row r="26411" s="42" customFormat="1" x14ac:dyDescent="0.25"/>
    <row r="26412" s="42" customFormat="1" x14ac:dyDescent="0.25"/>
    <row r="26413" s="42" customFormat="1" x14ac:dyDescent="0.25"/>
    <row r="26414" s="42" customFormat="1" x14ac:dyDescent="0.25"/>
    <row r="26415" s="42" customFormat="1" x14ac:dyDescent="0.25"/>
    <row r="26416" s="42" customFormat="1" x14ac:dyDescent="0.25"/>
    <row r="26417" s="42" customFormat="1" x14ac:dyDescent="0.25"/>
    <row r="26418" s="42" customFormat="1" x14ac:dyDescent="0.25"/>
    <row r="26419" s="42" customFormat="1" x14ac:dyDescent="0.25"/>
    <row r="26420" s="42" customFormat="1" x14ac:dyDescent="0.25"/>
    <row r="26421" s="42" customFormat="1" x14ac:dyDescent="0.25"/>
    <row r="26422" s="42" customFormat="1" x14ac:dyDescent="0.25"/>
    <row r="26423" s="42" customFormat="1" x14ac:dyDescent="0.25"/>
    <row r="26424" s="42" customFormat="1" x14ac:dyDescent="0.25"/>
    <row r="26425" s="42" customFormat="1" x14ac:dyDescent="0.25"/>
    <row r="26426" s="42" customFormat="1" x14ac:dyDescent="0.25"/>
    <row r="26427" s="42" customFormat="1" x14ac:dyDescent="0.25"/>
    <row r="26428" s="42" customFormat="1" x14ac:dyDescent="0.25"/>
    <row r="26429" s="42" customFormat="1" x14ac:dyDescent="0.25"/>
    <row r="26430" s="42" customFormat="1" x14ac:dyDescent="0.25"/>
    <row r="26431" s="42" customFormat="1" x14ac:dyDescent="0.25"/>
    <row r="26432" s="42" customFormat="1" x14ac:dyDescent="0.25"/>
    <row r="26433" s="42" customFormat="1" x14ac:dyDescent="0.25"/>
    <row r="26434" s="42" customFormat="1" x14ac:dyDescent="0.25"/>
    <row r="26435" s="42" customFormat="1" x14ac:dyDescent="0.25"/>
    <row r="26436" s="42" customFormat="1" x14ac:dyDescent="0.25"/>
    <row r="26437" s="42" customFormat="1" x14ac:dyDescent="0.25"/>
    <row r="26438" s="42" customFormat="1" x14ac:dyDescent="0.25"/>
    <row r="26439" s="42" customFormat="1" x14ac:dyDescent="0.25"/>
    <row r="26440" s="42" customFormat="1" x14ac:dyDescent="0.25"/>
    <row r="26441" s="42" customFormat="1" x14ac:dyDescent="0.25"/>
    <row r="26442" s="42" customFormat="1" x14ac:dyDescent="0.25"/>
    <row r="26443" s="42" customFormat="1" x14ac:dyDescent="0.25"/>
    <row r="26444" s="42" customFormat="1" x14ac:dyDescent="0.25"/>
    <row r="26445" s="42" customFormat="1" x14ac:dyDescent="0.25"/>
    <row r="26446" s="42" customFormat="1" x14ac:dyDescent="0.25"/>
    <row r="26447" s="42" customFormat="1" x14ac:dyDescent="0.25"/>
    <row r="26448" s="42" customFormat="1" x14ac:dyDescent="0.25"/>
    <row r="26449" s="42" customFormat="1" x14ac:dyDescent="0.25"/>
    <row r="26450" s="42" customFormat="1" x14ac:dyDescent="0.25"/>
    <row r="26451" s="42" customFormat="1" x14ac:dyDescent="0.25"/>
    <row r="26452" s="42" customFormat="1" x14ac:dyDescent="0.25"/>
    <row r="26453" s="42" customFormat="1" x14ac:dyDescent="0.25"/>
    <row r="26454" s="42" customFormat="1" x14ac:dyDescent="0.25"/>
    <row r="26455" s="42" customFormat="1" x14ac:dyDescent="0.25"/>
    <row r="26456" s="42" customFormat="1" x14ac:dyDescent="0.25"/>
    <row r="26457" s="42" customFormat="1" x14ac:dyDescent="0.25"/>
    <row r="26458" s="42" customFormat="1" x14ac:dyDescent="0.25"/>
    <row r="26459" s="42" customFormat="1" x14ac:dyDescent="0.25"/>
    <row r="26460" s="42" customFormat="1" x14ac:dyDescent="0.25"/>
    <row r="26461" s="42" customFormat="1" x14ac:dyDescent="0.25"/>
    <row r="26462" s="42" customFormat="1" x14ac:dyDescent="0.25"/>
    <row r="26463" s="42" customFormat="1" x14ac:dyDescent="0.25"/>
    <row r="26464" s="42" customFormat="1" x14ac:dyDescent="0.25"/>
    <row r="26465" s="42" customFormat="1" x14ac:dyDescent="0.25"/>
    <row r="26466" s="42" customFormat="1" x14ac:dyDescent="0.25"/>
    <row r="26467" s="42" customFormat="1" x14ac:dyDescent="0.25"/>
    <row r="26468" s="42" customFormat="1" x14ac:dyDescent="0.25"/>
    <row r="26469" s="42" customFormat="1" x14ac:dyDescent="0.25"/>
    <row r="26470" s="42" customFormat="1" x14ac:dyDescent="0.25"/>
    <row r="26471" s="42" customFormat="1" x14ac:dyDescent="0.25"/>
    <row r="26472" s="42" customFormat="1" x14ac:dyDescent="0.25"/>
    <row r="26473" s="42" customFormat="1" x14ac:dyDescent="0.25"/>
    <row r="26474" s="42" customFormat="1" x14ac:dyDescent="0.25"/>
    <row r="26475" s="42" customFormat="1" x14ac:dyDescent="0.25"/>
    <row r="26476" s="42" customFormat="1" x14ac:dyDescent="0.25"/>
    <row r="26477" s="42" customFormat="1" x14ac:dyDescent="0.25"/>
    <row r="26478" s="42" customFormat="1" x14ac:dyDescent="0.25"/>
    <row r="26479" s="42" customFormat="1" x14ac:dyDescent="0.25"/>
    <row r="26480" s="42" customFormat="1" x14ac:dyDescent="0.25"/>
    <row r="26481" s="42" customFormat="1" x14ac:dyDescent="0.25"/>
    <row r="26482" s="42" customFormat="1" x14ac:dyDescent="0.25"/>
    <row r="26483" s="42" customFormat="1" x14ac:dyDescent="0.25"/>
    <row r="26484" s="42" customFormat="1" x14ac:dyDescent="0.25"/>
    <row r="26485" s="42" customFormat="1" x14ac:dyDescent="0.25"/>
    <row r="26486" s="42" customFormat="1" x14ac:dyDescent="0.25"/>
    <row r="26487" s="42" customFormat="1" x14ac:dyDescent="0.25"/>
    <row r="26488" s="42" customFormat="1" x14ac:dyDescent="0.25"/>
    <row r="26489" s="42" customFormat="1" x14ac:dyDescent="0.25"/>
    <row r="26490" s="42" customFormat="1" x14ac:dyDescent="0.25"/>
    <row r="26491" s="42" customFormat="1" x14ac:dyDescent="0.25"/>
    <row r="26492" s="42" customFormat="1" x14ac:dyDescent="0.25"/>
    <row r="26493" s="42" customFormat="1" x14ac:dyDescent="0.25"/>
    <row r="26494" s="42" customFormat="1" x14ac:dyDescent="0.25"/>
    <row r="26495" s="42" customFormat="1" x14ac:dyDescent="0.25"/>
    <row r="26496" s="42" customFormat="1" x14ac:dyDescent="0.25"/>
    <row r="26497" s="42" customFormat="1" x14ac:dyDescent="0.25"/>
    <row r="26498" s="42" customFormat="1" x14ac:dyDescent="0.25"/>
    <row r="26499" s="42" customFormat="1" x14ac:dyDescent="0.25"/>
    <row r="26500" s="42" customFormat="1" x14ac:dyDescent="0.25"/>
    <row r="26501" s="42" customFormat="1" x14ac:dyDescent="0.25"/>
    <row r="26502" s="42" customFormat="1" x14ac:dyDescent="0.25"/>
    <row r="26503" s="42" customFormat="1" x14ac:dyDescent="0.25"/>
    <row r="26504" s="42" customFormat="1" x14ac:dyDescent="0.25"/>
    <row r="26505" s="42" customFormat="1" x14ac:dyDescent="0.25"/>
    <row r="26506" s="42" customFormat="1" x14ac:dyDescent="0.25"/>
    <row r="26507" s="42" customFormat="1" x14ac:dyDescent="0.25"/>
    <row r="26508" s="42" customFormat="1" x14ac:dyDescent="0.25"/>
    <row r="26509" s="42" customFormat="1" x14ac:dyDescent="0.25"/>
    <row r="26510" s="42" customFormat="1" x14ac:dyDescent="0.25"/>
    <row r="26511" s="42" customFormat="1" x14ac:dyDescent="0.25"/>
    <row r="26512" s="42" customFormat="1" x14ac:dyDescent="0.25"/>
    <row r="26513" s="42" customFormat="1" x14ac:dyDescent="0.25"/>
    <row r="26514" s="42" customFormat="1" x14ac:dyDescent="0.25"/>
    <row r="26515" s="42" customFormat="1" x14ac:dyDescent="0.25"/>
    <row r="26516" s="42" customFormat="1" x14ac:dyDescent="0.25"/>
    <row r="26517" s="42" customFormat="1" x14ac:dyDescent="0.25"/>
    <row r="26518" s="42" customFormat="1" x14ac:dyDescent="0.25"/>
    <row r="26519" s="42" customFormat="1" x14ac:dyDescent="0.25"/>
    <row r="26520" s="42" customFormat="1" x14ac:dyDescent="0.25"/>
    <row r="26521" s="42" customFormat="1" x14ac:dyDescent="0.25"/>
    <row r="26522" s="42" customFormat="1" x14ac:dyDescent="0.25"/>
    <row r="26523" s="42" customFormat="1" x14ac:dyDescent="0.25"/>
    <row r="26524" s="42" customFormat="1" x14ac:dyDescent="0.25"/>
    <row r="26525" s="42" customFormat="1" x14ac:dyDescent="0.25"/>
    <row r="26526" s="42" customFormat="1" x14ac:dyDescent="0.25"/>
    <row r="26527" s="42" customFormat="1" x14ac:dyDescent="0.25"/>
    <row r="26528" s="42" customFormat="1" x14ac:dyDescent="0.25"/>
    <row r="26529" s="42" customFormat="1" x14ac:dyDescent="0.25"/>
    <row r="26530" s="42" customFormat="1" x14ac:dyDescent="0.25"/>
    <row r="26531" s="42" customFormat="1" x14ac:dyDescent="0.25"/>
    <row r="26532" s="42" customFormat="1" x14ac:dyDescent="0.25"/>
    <row r="26533" s="42" customFormat="1" x14ac:dyDescent="0.25"/>
    <row r="26534" s="42" customFormat="1" x14ac:dyDescent="0.25"/>
    <row r="26535" s="42" customFormat="1" x14ac:dyDescent="0.25"/>
    <row r="26536" s="42" customFormat="1" x14ac:dyDescent="0.25"/>
    <row r="26537" s="42" customFormat="1" x14ac:dyDescent="0.25"/>
    <row r="26538" s="42" customFormat="1" x14ac:dyDescent="0.25"/>
    <row r="26539" s="42" customFormat="1" x14ac:dyDescent="0.25"/>
    <row r="26540" s="42" customFormat="1" x14ac:dyDescent="0.25"/>
    <row r="26541" s="42" customFormat="1" x14ac:dyDescent="0.25"/>
    <row r="26542" s="42" customFormat="1" x14ac:dyDescent="0.25"/>
    <row r="26543" s="42" customFormat="1" x14ac:dyDescent="0.25"/>
    <row r="26544" s="42" customFormat="1" x14ac:dyDescent="0.25"/>
    <row r="26545" s="42" customFormat="1" x14ac:dyDescent="0.25"/>
    <row r="26546" s="42" customFormat="1" x14ac:dyDescent="0.25"/>
    <row r="26547" s="42" customFormat="1" x14ac:dyDescent="0.25"/>
    <row r="26548" s="42" customFormat="1" x14ac:dyDescent="0.25"/>
    <row r="26549" s="42" customFormat="1" x14ac:dyDescent="0.25"/>
    <row r="26550" s="42" customFormat="1" x14ac:dyDescent="0.25"/>
    <row r="26551" s="42" customFormat="1" x14ac:dyDescent="0.25"/>
    <row r="26552" s="42" customFormat="1" x14ac:dyDescent="0.25"/>
    <row r="26553" s="42" customFormat="1" x14ac:dyDescent="0.25"/>
    <row r="26554" s="42" customFormat="1" x14ac:dyDescent="0.25"/>
    <row r="26555" s="42" customFormat="1" x14ac:dyDescent="0.25"/>
    <row r="26556" s="42" customFormat="1" x14ac:dyDescent="0.25"/>
    <row r="26557" s="42" customFormat="1" x14ac:dyDescent="0.25"/>
    <row r="26558" s="42" customFormat="1" x14ac:dyDescent="0.25"/>
    <row r="26559" s="42" customFormat="1" x14ac:dyDescent="0.25"/>
    <row r="26560" s="42" customFormat="1" x14ac:dyDescent="0.25"/>
    <row r="26561" s="42" customFormat="1" x14ac:dyDescent="0.25"/>
    <row r="26562" s="42" customFormat="1" x14ac:dyDescent="0.25"/>
    <row r="26563" s="42" customFormat="1" x14ac:dyDescent="0.25"/>
    <row r="26564" s="42" customFormat="1" x14ac:dyDescent="0.25"/>
    <row r="26565" s="42" customFormat="1" x14ac:dyDescent="0.25"/>
    <row r="26566" s="42" customFormat="1" x14ac:dyDescent="0.25"/>
    <row r="26567" s="42" customFormat="1" x14ac:dyDescent="0.25"/>
    <row r="26568" s="42" customFormat="1" x14ac:dyDescent="0.25"/>
    <row r="26569" s="42" customFormat="1" x14ac:dyDescent="0.25"/>
    <row r="26570" s="42" customFormat="1" x14ac:dyDescent="0.25"/>
    <row r="26571" s="42" customFormat="1" x14ac:dyDescent="0.25"/>
    <row r="26572" s="42" customFormat="1" x14ac:dyDescent="0.25"/>
    <row r="26573" s="42" customFormat="1" x14ac:dyDescent="0.25"/>
    <row r="26574" s="42" customFormat="1" x14ac:dyDescent="0.25"/>
    <row r="26575" s="42" customFormat="1" x14ac:dyDescent="0.25"/>
    <row r="26576" s="42" customFormat="1" x14ac:dyDescent="0.25"/>
    <row r="26577" s="42" customFormat="1" x14ac:dyDescent="0.25"/>
    <row r="26578" s="42" customFormat="1" x14ac:dyDescent="0.25"/>
    <row r="26579" s="42" customFormat="1" x14ac:dyDescent="0.25"/>
    <row r="26580" s="42" customFormat="1" x14ac:dyDescent="0.25"/>
    <row r="26581" s="42" customFormat="1" x14ac:dyDescent="0.25"/>
    <row r="26582" s="42" customFormat="1" x14ac:dyDescent="0.25"/>
    <row r="26583" s="42" customFormat="1" x14ac:dyDescent="0.25"/>
    <row r="26584" s="42" customFormat="1" x14ac:dyDescent="0.25"/>
    <row r="26585" s="42" customFormat="1" x14ac:dyDescent="0.25"/>
    <row r="26586" s="42" customFormat="1" x14ac:dyDescent="0.25"/>
    <row r="26587" s="42" customFormat="1" x14ac:dyDescent="0.25"/>
    <row r="26588" s="42" customFormat="1" x14ac:dyDescent="0.25"/>
    <row r="26589" s="42" customFormat="1" x14ac:dyDescent="0.25"/>
    <row r="26590" s="42" customFormat="1" x14ac:dyDescent="0.25"/>
    <row r="26591" s="42" customFormat="1" x14ac:dyDescent="0.25"/>
    <row r="26592" s="42" customFormat="1" x14ac:dyDescent="0.25"/>
    <row r="26593" s="42" customFormat="1" x14ac:dyDescent="0.25"/>
    <row r="26594" s="42" customFormat="1" x14ac:dyDescent="0.25"/>
    <row r="26595" s="42" customFormat="1" x14ac:dyDescent="0.25"/>
    <row r="26596" s="42" customFormat="1" x14ac:dyDescent="0.25"/>
    <row r="26597" s="42" customFormat="1" x14ac:dyDescent="0.25"/>
    <row r="26598" s="42" customFormat="1" x14ac:dyDescent="0.25"/>
    <row r="26599" s="42" customFormat="1" x14ac:dyDescent="0.25"/>
    <row r="26600" s="42" customFormat="1" x14ac:dyDescent="0.25"/>
    <row r="26601" s="42" customFormat="1" x14ac:dyDescent="0.25"/>
    <row r="26602" s="42" customFormat="1" x14ac:dyDescent="0.25"/>
    <row r="26603" s="42" customFormat="1" x14ac:dyDescent="0.25"/>
    <row r="26604" s="42" customFormat="1" x14ac:dyDescent="0.25"/>
    <row r="26605" s="42" customFormat="1" x14ac:dyDescent="0.25"/>
    <row r="26606" s="42" customFormat="1" x14ac:dyDescent="0.25"/>
    <row r="26607" s="42" customFormat="1" x14ac:dyDescent="0.25"/>
    <row r="26608" s="42" customFormat="1" x14ac:dyDescent="0.25"/>
    <row r="26609" s="42" customFormat="1" x14ac:dyDescent="0.25"/>
    <row r="26610" s="42" customFormat="1" x14ac:dyDescent="0.25"/>
    <row r="26611" s="42" customFormat="1" x14ac:dyDescent="0.25"/>
    <row r="26612" s="42" customFormat="1" x14ac:dyDescent="0.25"/>
    <row r="26613" s="42" customFormat="1" x14ac:dyDescent="0.25"/>
    <row r="26614" s="42" customFormat="1" x14ac:dyDescent="0.25"/>
    <row r="26615" s="42" customFormat="1" x14ac:dyDescent="0.25"/>
    <row r="26616" s="42" customFormat="1" x14ac:dyDescent="0.25"/>
    <row r="26617" s="42" customFormat="1" x14ac:dyDescent="0.25"/>
    <row r="26618" s="42" customFormat="1" x14ac:dyDescent="0.25"/>
    <row r="26619" s="42" customFormat="1" x14ac:dyDescent="0.25"/>
    <row r="26620" s="42" customFormat="1" x14ac:dyDescent="0.25"/>
    <row r="26621" s="42" customFormat="1" x14ac:dyDescent="0.25"/>
    <row r="26622" s="42" customFormat="1" x14ac:dyDescent="0.25"/>
    <row r="26623" s="42" customFormat="1" x14ac:dyDescent="0.25"/>
    <row r="26624" s="42" customFormat="1" x14ac:dyDescent="0.25"/>
    <row r="26625" s="42" customFormat="1" x14ac:dyDescent="0.25"/>
    <row r="26626" s="42" customFormat="1" x14ac:dyDescent="0.25"/>
    <row r="26627" s="42" customFormat="1" x14ac:dyDescent="0.25"/>
    <row r="26628" s="42" customFormat="1" x14ac:dyDescent="0.25"/>
    <row r="26629" s="42" customFormat="1" x14ac:dyDescent="0.25"/>
    <row r="26630" s="42" customFormat="1" x14ac:dyDescent="0.25"/>
    <row r="26631" s="42" customFormat="1" x14ac:dyDescent="0.25"/>
    <row r="26632" s="42" customFormat="1" x14ac:dyDescent="0.25"/>
    <row r="26633" s="42" customFormat="1" x14ac:dyDescent="0.25"/>
    <row r="26634" s="42" customFormat="1" x14ac:dyDescent="0.25"/>
    <row r="26635" s="42" customFormat="1" x14ac:dyDescent="0.25"/>
    <row r="26636" s="42" customFormat="1" x14ac:dyDescent="0.25"/>
    <row r="26637" s="42" customFormat="1" x14ac:dyDescent="0.25"/>
    <row r="26638" s="42" customFormat="1" x14ac:dyDescent="0.25"/>
    <row r="26639" s="42" customFormat="1" x14ac:dyDescent="0.25"/>
    <row r="26640" s="42" customFormat="1" x14ac:dyDescent="0.25"/>
    <row r="26641" s="42" customFormat="1" x14ac:dyDescent="0.25"/>
    <row r="26642" s="42" customFormat="1" x14ac:dyDescent="0.25"/>
    <row r="26643" s="42" customFormat="1" x14ac:dyDescent="0.25"/>
    <row r="26644" s="42" customFormat="1" x14ac:dyDescent="0.25"/>
    <row r="26645" s="42" customFormat="1" x14ac:dyDescent="0.25"/>
    <row r="26646" s="42" customFormat="1" x14ac:dyDescent="0.25"/>
    <row r="26647" s="42" customFormat="1" x14ac:dyDescent="0.25"/>
    <row r="26648" s="42" customFormat="1" x14ac:dyDescent="0.25"/>
    <row r="26649" s="42" customFormat="1" x14ac:dyDescent="0.25"/>
    <row r="26650" s="42" customFormat="1" x14ac:dyDescent="0.25"/>
    <row r="26651" s="42" customFormat="1" x14ac:dyDescent="0.25"/>
    <row r="26652" s="42" customFormat="1" x14ac:dyDescent="0.25"/>
    <row r="26653" s="42" customFormat="1" x14ac:dyDescent="0.25"/>
    <row r="26654" s="42" customFormat="1" x14ac:dyDescent="0.25"/>
    <row r="26655" s="42" customFormat="1" x14ac:dyDescent="0.25"/>
    <row r="26656" s="42" customFormat="1" x14ac:dyDescent="0.25"/>
    <row r="26657" s="42" customFormat="1" x14ac:dyDescent="0.25"/>
    <row r="26658" s="42" customFormat="1" x14ac:dyDescent="0.25"/>
    <row r="26659" s="42" customFormat="1" x14ac:dyDescent="0.25"/>
    <row r="26660" s="42" customFormat="1" x14ac:dyDescent="0.25"/>
    <row r="26661" s="42" customFormat="1" x14ac:dyDescent="0.25"/>
    <row r="26662" s="42" customFormat="1" x14ac:dyDescent="0.25"/>
    <row r="26663" s="42" customFormat="1" x14ac:dyDescent="0.25"/>
    <row r="26664" s="42" customFormat="1" x14ac:dyDescent="0.25"/>
    <row r="26665" s="42" customFormat="1" x14ac:dyDescent="0.25"/>
    <row r="26666" s="42" customFormat="1" x14ac:dyDescent="0.25"/>
    <row r="26667" s="42" customFormat="1" x14ac:dyDescent="0.25"/>
    <row r="26668" s="42" customFormat="1" x14ac:dyDescent="0.25"/>
    <row r="26669" s="42" customFormat="1" x14ac:dyDescent="0.25"/>
    <row r="26670" s="42" customFormat="1" x14ac:dyDescent="0.25"/>
    <row r="26671" s="42" customFormat="1" x14ac:dyDescent="0.25"/>
    <row r="26672" s="42" customFormat="1" x14ac:dyDescent="0.25"/>
    <row r="26673" s="42" customFormat="1" x14ac:dyDescent="0.25"/>
    <row r="26674" s="42" customFormat="1" x14ac:dyDescent="0.25"/>
    <row r="26675" s="42" customFormat="1" x14ac:dyDescent="0.25"/>
    <row r="26676" s="42" customFormat="1" x14ac:dyDescent="0.25"/>
    <row r="26677" s="42" customFormat="1" x14ac:dyDescent="0.25"/>
    <row r="26678" s="42" customFormat="1" x14ac:dyDescent="0.25"/>
    <row r="26679" s="42" customFormat="1" x14ac:dyDescent="0.25"/>
    <row r="26680" s="42" customFormat="1" x14ac:dyDescent="0.25"/>
    <row r="26681" s="42" customFormat="1" x14ac:dyDescent="0.25"/>
    <row r="26682" s="42" customFormat="1" x14ac:dyDescent="0.25"/>
    <row r="26683" s="42" customFormat="1" x14ac:dyDescent="0.25"/>
    <row r="26684" s="42" customFormat="1" x14ac:dyDescent="0.25"/>
    <row r="26685" s="42" customFormat="1" x14ac:dyDescent="0.25"/>
    <row r="26686" s="42" customFormat="1" x14ac:dyDescent="0.25"/>
    <row r="26687" s="42" customFormat="1" x14ac:dyDescent="0.25"/>
    <row r="26688" s="42" customFormat="1" x14ac:dyDescent="0.25"/>
    <row r="26689" s="42" customFormat="1" x14ac:dyDescent="0.25"/>
    <row r="26690" s="42" customFormat="1" x14ac:dyDescent="0.25"/>
    <row r="26691" s="42" customFormat="1" x14ac:dyDescent="0.25"/>
    <row r="26692" s="42" customFormat="1" x14ac:dyDescent="0.25"/>
    <row r="26693" s="42" customFormat="1" x14ac:dyDescent="0.25"/>
    <row r="26694" s="42" customFormat="1" x14ac:dyDescent="0.25"/>
    <row r="26695" s="42" customFormat="1" x14ac:dyDescent="0.25"/>
    <row r="26696" s="42" customFormat="1" x14ac:dyDescent="0.25"/>
    <row r="26697" s="42" customFormat="1" x14ac:dyDescent="0.25"/>
    <row r="26698" s="42" customFormat="1" x14ac:dyDescent="0.25"/>
    <row r="26699" s="42" customFormat="1" x14ac:dyDescent="0.25"/>
    <row r="26700" s="42" customFormat="1" x14ac:dyDescent="0.25"/>
    <row r="26701" s="42" customFormat="1" x14ac:dyDescent="0.25"/>
    <row r="26702" s="42" customFormat="1" x14ac:dyDescent="0.25"/>
    <row r="26703" s="42" customFormat="1" x14ac:dyDescent="0.25"/>
    <row r="26704" s="42" customFormat="1" x14ac:dyDescent="0.25"/>
    <row r="26705" s="42" customFormat="1" x14ac:dyDescent="0.25"/>
    <row r="26706" s="42" customFormat="1" x14ac:dyDescent="0.25"/>
    <row r="26707" s="42" customFormat="1" x14ac:dyDescent="0.25"/>
    <row r="26708" s="42" customFormat="1" x14ac:dyDescent="0.25"/>
    <row r="26709" s="42" customFormat="1" x14ac:dyDescent="0.25"/>
    <row r="26710" s="42" customFormat="1" x14ac:dyDescent="0.25"/>
    <row r="26711" s="42" customFormat="1" x14ac:dyDescent="0.25"/>
    <row r="26712" s="42" customFormat="1" x14ac:dyDescent="0.25"/>
    <row r="26713" s="42" customFormat="1" x14ac:dyDescent="0.25"/>
    <row r="26714" s="42" customFormat="1" x14ac:dyDescent="0.25"/>
    <row r="26715" s="42" customFormat="1" x14ac:dyDescent="0.25"/>
    <row r="26716" s="42" customFormat="1" x14ac:dyDescent="0.25"/>
    <row r="26717" s="42" customFormat="1" x14ac:dyDescent="0.25"/>
    <row r="26718" s="42" customFormat="1" x14ac:dyDescent="0.25"/>
    <row r="26719" s="42" customFormat="1" x14ac:dyDescent="0.25"/>
    <row r="26720" s="42" customFormat="1" x14ac:dyDescent="0.25"/>
    <row r="26721" s="42" customFormat="1" x14ac:dyDescent="0.25"/>
    <row r="26722" s="42" customFormat="1" x14ac:dyDescent="0.25"/>
    <row r="26723" s="42" customFormat="1" x14ac:dyDescent="0.25"/>
    <row r="26724" s="42" customFormat="1" x14ac:dyDescent="0.25"/>
    <row r="26725" s="42" customFormat="1" x14ac:dyDescent="0.25"/>
    <row r="26726" s="42" customFormat="1" x14ac:dyDescent="0.25"/>
    <row r="26727" s="42" customFormat="1" x14ac:dyDescent="0.25"/>
    <row r="26728" s="42" customFormat="1" x14ac:dyDescent="0.25"/>
    <row r="26729" s="42" customFormat="1" x14ac:dyDescent="0.25"/>
    <row r="26730" s="42" customFormat="1" x14ac:dyDescent="0.25"/>
    <row r="26731" s="42" customFormat="1" x14ac:dyDescent="0.25"/>
    <row r="26732" s="42" customFormat="1" x14ac:dyDescent="0.25"/>
    <row r="26733" s="42" customFormat="1" x14ac:dyDescent="0.25"/>
    <row r="26734" s="42" customFormat="1" x14ac:dyDescent="0.25"/>
    <row r="26735" s="42" customFormat="1" x14ac:dyDescent="0.25"/>
    <row r="26736" s="42" customFormat="1" x14ac:dyDescent="0.25"/>
    <row r="26737" s="42" customFormat="1" x14ac:dyDescent="0.25"/>
    <row r="26738" s="42" customFormat="1" x14ac:dyDescent="0.25"/>
    <row r="26739" s="42" customFormat="1" x14ac:dyDescent="0.25"/>
    <row r="26740" s="42" customFormat="1" x14ac:dyDescent="0.25"/>
    <row r="26741" s="42" customFormat="1" x14ac:dyDescent="0.25"/>
    <row r="26742" s="42" customFormat="1" x14ac:dyDescent="0.25"/>
    <row r="26743" s="42" customFormat="1" x14ac:dyDescent="0.25"/>
    <row r="26744" s="42" customFormat="1" x14ac:dyDescent="0.25"/>
    <row r="26745" s="42" customFormat="1" x14ac:dyDescent="0.25"/>
    <row r="26746" s="42" customFormat="1" x14ac:dyDescent="0.25"/>
    <row r="26747" s="42" customFormat="1" x14ac:dyDescent="0.25"/>
    <row r="26748" s="42" customFormat="1" x14ac:dyDescent="0.25"/>
    <row r="26749" s="42" customFormat="1" x14ac:dyDescent="0.25"/>
    <row r="26750" s="42" customFormat="1" x14ac:dyDescent="0.25"/>
    <row r="26751" s="42" customFormat="1" x14ac:dyDescent="0.25"/>
    <row r="26752" s="42" customFormat="1" x14ac:dyDescent="0.25"/>
    <row r="26753" s="42" customFormat="1" x14ac:dyDescent="0.25"/>
    <row r="26754" s="42" customFormat="1" x14ac:dyDescent="0.25"/>
    <row r="26755" s="42" customFormat="1" x14ac:dyDescent="0.25"/>
    <row r="26756" s="42" customFormat="1" x14ac:dyDescent="0.25"/>
    <row r="26757" s="42" customFormat="1" x14ac:dyDescent="0.25"/>
    <row r="26758" s="42" customFormat="1" x14ac:dyDescent="0.25"/>
    <row r="26759" s="42" customFormat="1" x14ac:dyDescent="0.25"/>
    <row r="26760" s="42" customFormat="1" x14ac:dyDescent="0.25"/>
    <row r="26761" s="42" customFormat="1" x14ac:dyDescent="0.25"/>
    <row r="26762" s="42" customFormat="1" x14ac:dyDescent="0.25"/>
    <row r="26763" s="42" customFormat="1" x14ac:dyDescent="0.25"/>
    <row r="26764" s="42" customFormat="1" x14ac:dyDescent="0.25"/>
    <row r="26765" s="42" customFormat="1" x14ac:dyDescent="0.25"/>
    <row r="26766" s="42" customFormat="1" x14ac:dyDescent="0.25"/>
    <row r="26767" s="42" customFormat="1" x14ac:dyDescent="0.25"/>
    <row r="26768" s="42" customFormat="1" x14ac:dyDescent="0.25"/>
    <row r="26769" s="42" customFormat="1" x14ac:dyDescent="0.25"/>
    <row r="26770" s="42" customFormat="1" x14ac:dyDescent="0.25"/>
    <row r="26771" s="42" customFormat="1" x14ac:dyDescent="0.25"/>
    <row r="26772" s="42" customFormat="1" x14ac:dyDescent="0.25"/>
    <row r="26773" s="42" customFormat="1" x14ac:dyDescent="0.25"/>
    <row r="26774" s="42" customFormat="1" x14ac:dyDescent="0.25"/>
    <row r="26775" s="42" customFormat="1" x14ac:dyDescent="0.25"/>
    <row r="26776" s="42" customFormat="1" x14ac:dyDescent="0.25"/>
    <row r="26777" s="42" customFormat="1" x14ac:dyDescent="0.25"/>
    <row r="26778" s="42" customFormat="1" x14ac:dyDescent="0.25"/>
    <row r="26779" s="42" customFormat="1" x14ac:dyDescent="0.25"/>
    <row r="26780" s="42" customFormat="1" x14ac:dyDescent="0.25"/>
    <row r="26781" s="42" customFormat="1" x14ac:dyDescent="0.25"/>
    <row r="26782" s="42" customFormat="1" x14ac:dyDescent="0.25"/>
    <row r="26783" s="42" customFormat="1" x14ac:dyDescent="0.25"/>
    <row r="26784" s="42" customFormat="1" x14ac:dyDescent="0.25"/>
    <row r="26785" s="42" customFormat="1" x14ac:dyDescent="0.25"/>
    <row r="26786" s="42" customFormat="1" x14ac:dyDescent="0.25"/>
    <row r="26787" s="42" customFormat="1" x14ac:dyDescent="0.25"/>
    <row r="26788" s="42" customFormat="1" x14ac:dyDescent="0.25"/>
    <row r="26789" s="42" customFormat="1" x14ac:dyDescent="0.25"/>
    <row r="26790" s="42" customFormat="1" x14ac:dyDescent="0.25"/>
    <row r="26791" s="42" customFormat="1" x14ac:dyDescent="0.25"/>
    <row r="26792" s="42" customFormat="1" x14ac:dyDescent="0.25"/>
    <row r="26793" s="42" customFormat="1" x14ac:dyDescent="0.25"/>
    <row r="26794" s="42" customFormat="1" x14ac:dyDescent="0.25"/>
    <row r="26795" s="42" customFormat="1" x14ac:dyDescent="0.25"/>
    <row r="26796" s="42" customFormat="1" x14ac:dyDescent="0.25"/>
    <row r="26797" s="42" customFormat="1" x14ac:dyDescent="0.25"/>
    <row r="26798" s="42" customFormat="1" x14ac:dyDescent="0.25"/>
    <row r="26799" s="42" customFormat="1" x14ac:dyDescent="0.25"/>
    <row r="26800" s="42" customFormat="1" x14ac:dyDescent="0.25"/>
    <row r="26801" s="42" customFormat="1" x14ac:dyDescent="0.25"/>
    <row r="26802" s="42" customFormat="1" x14ac:dyDescent="0.25"/>
    <row r="26803" s="42" customFormat="1" x14ac:dyDescent="0.25"/>
    <row r="26804" s="42" customFormat="1" x14ac:dyDescent="0.25"/>
    <row r="26805" s="42" customFormat="1" x14ac:dyDescent="0.25"/>
    <row r="26806" s="42" customFormat="1" x14ac:dyDescent="0.25"/>
    <row r="26807" s="42" customFormat="1" x14ac:dyDescent="0.25"/>
    <row r="26808" s="42" customFormat="1" x14ac:dyDescent="0.25"/>
    <row r="26809" s="42" customFormat="1" x14ac:dyDescent="0.25"/>
    <row r="26810" s="42" customFormat="1" x14ac:dyDescent="0.25"/>
    <row r="26811" s="42" customFormat="1" x14ac:dyDescent="0.25"/>
    <row r="26812" s="42" customFormat="1" x14ac:dyDescent="0.25"/>
    <row r="26813" s="42" customFormat="1" x14ac:dyDescent="0.25"/>
    <row r="26814" s="42" customFormat="1" x14ac:dyDescent="0.25"/>
    <row r="26815" s="42" customFormat="1" x14ac:dyDescent="0.25"/>
    <row r="26816" s="42" customFormat="1" x14ac:dyDescent="0.25"/>
    <row r="26817" s="42" customFormat="1" x14ac:dyDescent="0.25"/>
    <row r="26818" s="42" customFormat="1" x14ac:dyDescent="0.25"/>
    <row r="26819" s="42" customFormat="1" x14ac:dyDescent="0.25"/>
    <row r="26820" s="42" customFormat="1" x14ac:dyDescent="0.25"/>
    <row r="26821" s="42" customFormat="1" x14ac:dyDescent="0.25"/>
    <row r="26822" s="42" customFormat="1" x14ac:dyDescent="0.25"/>
    <row r="26823" s="42" customFormat="1" x14ac:dyDescent="0.25"/>
    <row r="26824" s="42" customFormat="1" x14ac:dyDescent="0.25"/>
    <row r="26825" s="42" customFormat="1" x14ac:dyDescent="0.25"/>
    <row r="26826" s="42" customFormat="1" x14ac:dyDescent="0.25"/>
    <row r="26827" s="42" customFormat="1" x14ac:dyDescent="0.25"/>
    <row r="26828" s="42" customFormat="1" x14ac:dyDescent="0.25"/>
    <row r="26829" s="42" customFormat="1" x14ac:dyDescent="0.25"/>
    <row r="26830" s="42" customFormat="1" x14ac:dyDescent="0.25"/>
    <row r="26831" s="42" customFormat="1" x14ac:dyDescent="0.25"/>
    <row r="26832" s="42" customFormat="1" x14ac:dyDescent="0.25"/>
    <row r="26833" s="42" customFormat="1" x14ac:dyDescent="0.25"/>
    <row r="26834" s="42" customFormat="1" x14ac:dyDescent="0.25"/>
    <row r="26835" s="42" customFormat="1" x14ac:dyDescent="0.25"/>
    <row r="26836" s="42" customFormat="1" x14ac:dyDescent="0.25"/>
    <row r="26837" s="42" customFormat="1" x14ac:dyDescent="0.25"/>
    <row r="26838" s="42" customFormat="1" x14ac:dyDescent="0.25"/>
    <row r="26839" s="42" customFormat="1" x14ac:dyDescent="0.25"/>
    <row r="26840" s="42" customFormat="1" x14ac:dyDescent="0.25"/>
    <row r="26841" s="42" customFormat="1" x14ac:dyDescent="0.25"/>
    <row r="26842" s="42" customFormat="1" x14ac:dyDescent="0.25"/>
    <row r="26843" s="42" customFormat="1" x14ac:dyDescent="0.25"/>
    <row r="26844" s="42" customFormat="1" x14ac:dyDescent="0.25"/>
    <row r="26845" s="42" customFormat="1" x14ac:dyDescent="0.25"/>
    <row r="26846" s="42" customFormat="1" x14ac:dyDescent="0.25"/>
    <row r="26847" s="42" customFormat="1" x14ac:dyDescent="0.25"/>
    <row r="26848" s="42" customFormat="1" x14ac:dyDescent="0.25"/>
    <row r="26849" s="42" customFormat="1" x14ac:dyDescent="0.25"/>
    <row r="26850" s="42" customFormat="1" x14ac:dyDescent="0.25"/>
    <row r="26851" s="42" customFormat="1" x14ac:dyDescent="0.25"/>
    <row r="26852" s="42" customFormat="1" x14ac:dyDescent="0.25"/>
    <row r="26853" s="42" customFormat="1" x14ac:dyDescent="0.25"/>
    <row r="26854" s="42" customFormat="1" x14ac:dyDescent="0.25"/>
    <row r="26855" s="42" customFormat="1" x14ac:dyDescent="0.25"/>
    <row r="26856" s="42" customFormat="1" x14ac:dyDescent="0.25"/>
    <row r="26857" s="42" customFormat="1" x14ac:dyDescent="0.25"/>
    <row r="26858" s="42" customFormat="1" x14ac:dyDescent="0.25"/>
    <row r="26859" s="42" customFormat="1" x14ac:dyDescent="0.25"/>
    <row r="26860" s="42" customFormat="1" x14ac:dyDescent="0.25"/>
    <row r="26861" s="42" customFormat="1" x14ac:dyDescent="0.25"/>
    <row r="26862" s="42" customFormat="1" x14ac:dyDescent="0.25"/>
    <row r="26863" s="42" customFormat="1" x14ac:dyDescent="0.25"/>
    <row r="26864" s="42" customFormat="1" x14ac:dyDescent="0.25"/>
    <row r="26865" s="42" customFormat="1" x14ac:dyDescent="0.25"/>
    <row r="26866" s="42" customFormat="1" x14ac:dyDescent="0.25"/>
    <row r="26867" s="42" customFormat="1" x14ac:dyDescent="0.25"/>
    <row r="26868" s="42" customFormat="1" x14ac:dyDescent="0.25"/>
    <row r="26869" s="42" customFormat="1" x14ac:dyDescent="0.25"/>
    <row r="26870" s="42" customFormat="1" x14ac:dyDescent="0.25"/>
    <row r="26871" s="42" customFormat="1" x14ac:dyDescent="0.25"/>
    <row r="26872" s="42" customFormat="1" x14ac:dyDescent="0.25"/>
    <row r="26873" s="42" customFormat="1" x14ac:dyDescent="0.25"/>
    <row r="26874" s="42" customFormat="1" x14ac:dyDescent="0.25"/>
    <row r="26875" s="42" customFormat="1" x14ac:dyDescent="0.25"/>
    <row r="26876" s="42" customFormat="1" x14ac:dyDescent="0.25"/>
    <row r="26877" s="42" customFormat="1" x14ac:dyDescent="0.25"/>
    <row r="26878" s="42" customFormat="1" x14ac:dyDescent="0.25"/>
    <row r="26879" s="42" customFormat="1" x14ac:dyDescent="0.25"/>
    <row r="26880" s="42" customFormat="1" x14ac:dyDescent="0.25"/>
    <row r="26881" s="42" customFormat="1" x14ac:dyDescent="0.25"/>
    <row r="26882" s="42" customFormat="1" x14ac:dyDescent="0.25"/>
    <row r="26883" s="42" customFormat="1" x14ac:dyDescent="0.25"/>
    <row r="26884" s="42" customFormat="1" x14ac:dyDescent="0.25"/>
    <row r="26885" s="42" customFormat="1" x14ac:dyDescent="0.25"/>
    <row r="26886" s="42" customFormat="1" x14ac:dyDescent="0.25"/>
    <row r="26887" s="42" customFormat="1" x14ac:dyDescent="0.25"/>
    <row r="26888" s="42" customFormat="1" x14ac:dyDescent="0.25"/>
    <row r="26889" s="42" customFormat="1" x14ac:dyDescent="0.25"/>
    <row r="26890" s="42" customFormat="1" x14ac:dyDescent="0.25"/>
    <row r="26891" s="42" customFormat="1" x14ac:dyDescent="0.25"/>
    <row r="26892" s="42" customFormat="1" x14ac:dyDescent="0.25"/>
    <row r="26893" s="42" customFormat="1" x14ac:dyDescent="0.25"/>
    <row r="26894" s="42" customFormat="1" x14ac:dyDescent="0.25"/>
    <row r="26895" s="42" customFormat="1" x14ac:dyDescent="0.25"/>
    <row r="26896" s="42" customFormat="1" x14ac:dyDescent="0.25"/>
    <row r="26897" s="42" customFormat="1" x14ac:dyDescent="0.25"/>
    <row r="26898" s="42" customFormat="1" x14ac:dyDescent="0.25"/>
    <row r="26899" s="42" customFormat="1" x14ac:dyDescent="0.25"/>
    <row r="26900" s="42" customFormat="1" x14ac:dyDescent="0.25"/>
    <row r="26901" s="42" customFormat="1" x14ac:dyDescent="0.25"/>
    <row r="26902" s="42" customFormat="1" x14ac:dyDescent="0.25"/>
    <row r="26903" s="42" customFormat="1" x14ac:dyDescent="0.25"/>
    <row r="26904" s="42" customFormat="1" x14ac:dyDescent="0.25"/>
    <row r="26905" s="42" customFormat="1" x14ac:dyDescent="0.25"/>
    <row r="26906" s="42" customFormat="1" x14ac:dyDescent="0.25"/>
    <row r="26907" s="42" customFormat="1" x14ac:dyDescent="0.25"/>
    <row r="26908" s="42" customFormat="1" x14ac:dyDescent="0.25"/>
    <row r="26909" s="42" customFormat="1" x14ac:dyDescent="0.25"/>
    <row r="26910" s="42" customFormat="1" x14ac:dyDescent="0.25"/>
    <row r="26911" s="42" customFormat="1" x14ac:dyDescent="0.25"/>
    <row r="26912" s="42" customFormat="1" x14ac:dyDescent="0.25"/>
    <row r="26913" s="42" customFormat="1" x14ac:dyDescent="0.25"/>
    <row r="26914" s="42" customFormat="1" x14ac:dyDescent="0.25"/>
    <row r="26915" s="42" customFormat="1" x14ac:dyDescent="0.25"/>
    <row r="26916" s="42" customFormat="1" x14ac:dyDescent="0.25"/>
    <row r="26917" s="42" customFormat="1" x14ac:dyDescent="0.25"/>
    <row r="26918" s="42" customFormat="1" x14ac:dyDescent="0.25"/>
    <row r="26919" s="42" customFormat="1" x14ac:dyDescent="0.25"/>
    <row r="26920" s="42" customFormat="1" x14ac:dyDescent="0.25"/>
    <row r="26921" s="42" customFormat="1" x14ac:dyDescent="0.25"/>
    <row r="26922" s="42" customFormat="1" x14ac:dyDescent="0.25"/>
    <row r="26923" s="42" customFormat="1" x14ac:dyDescent="0.25"/>
    <row r="26924" s="42" customFormat="1" x14ac:dyDescent="0.25"/>
    <row r="26925" s="42" customFormat="1" x14ac:dyDescent="0.25"/>
    <row r="26926" s="42" customFormat="1" x14ac:dyDescent="0.25"/>
    <row r="26927" s="42" customFormat="1" x14ac:dyDescent="0.25"/>
    <row r="26928" s="42" customFormat="1" x14ac:dyDescent="0.25"/>
    <row r="26929" s="42" customFormat="1" x14ac:dyDescent="0.25"/>
    <row r="26930" s="42" customFormat="1" x14ac:dyDescent="0.25"/>
    <row r="26931" s="42" customFormat="1" x14ac:dyDescent="0.25"/>
    <row r="26932" s="42" customFormat="1" x14ac:dyDescent="0.25"/>
    <row r="26933" s="42" customFormat="1" x14ac:dyDescent="0.25"/>
    <row r="26934" s="42" customFormat="1" x14ac:dyDescent="0.25"/>
    <row r="26935" s="42" customFormat="1" x14ac:dyDescent="0.25"/>
    <row r="26936" s="42" customFormat="1" x14ac:dyDescent="0.25"/>
    <row r="26937" s="42" customFormat="1" x14ac:dyDescent="0.25"/>
    <row r="26938" s="42" customFormat="1" x14ac:dyDescent="0.25"/>
    <row r="26939" s="42" customFormat="1" x14ac:dyDescent="0.25"/>
    <row r="26940" s="42" customFormat="1" x14ac:dyDescent="0.25"/>
    <row r="26941" s="42" customFormat="1" x14ac:dyDescent="0.25"/>
    <row r="26942" s="42" customFormat="1" x14ac:dyDescent="0.25"/>
    <row r="26943" s="42" customFormat="1" x14ac:dyDescent="0.25"/>
    <row r="26944" s="42" customFormat="1" x14ac:dyDescent="0.25"/>
    <row r="26945" s="42" customFormat="1" x14ac:dyDescent="0.25"/>
    <row r="26946" s="42" customFormat="1" x14ac:dyDescent="0.25"/>
    <row r="26947" s="42" customFormat="1" x14ac:dyDescent="0.25"/>
    <row r="26948" s="42" customFormat="1" x14ac:dyDescent="0.25"/>
    <row r="26949" s="42" customFormat="1" x14ac:dyDescent="0.25"/>
    <row r="26950" s="42" customFormat="1" x14ac:dyDescent="0.25"/>
    <row r="26951" s="42" customFormat="1" x14ac:dyDescent="0.25"/>
    <row r="26952" s="42" customFormat="1" x14ac:dyDescent="0.25"/>
    <row r="26953" s="42" customFormat="1" x14ac:dyDescent="0.25"/>
    <row r="26954" s="42" customFormat="1" x14ac:dyDescent="0.25"/>
    <row r="26955" s="42" customFormat="1" x14ac:dyDescent="0.25"/>
    <row r="26956" s="42" customFormat="1" x14ac:dyDescent="0.25"/>
    <row r="26957" s="42" customFormat="1" x14ac:dyDescent="0.25"/>
    <row r="26958" s="42" customFormat="1" x14ac:dyDescent="0.25"/>
    <row r="26959" s="42" customFormat="1" x14ac:dyDescent="0.25"/>
    <row r="26960" s="42" customFormat="1" x14ac:dyDescent="0.25"/>
    <row r="26961" s="42" customFormat="1" x14ac:dyDescent="0.25"/>
    <row r="26962" s="42" customFormat="1" x14ac:dyDescent="0.25"/>
    <row r="26963" s="42" customFormat="1" x14ac:dyDescent="0.25"/>
    <row r="26964" s="42" customFormat="1" x14ac:dyDescent="0.25"/>
    <row r="26965" s="42" customFormat="1" x14ac:dyDescent="0.25"/>
    <row r="26966" s="42" customFormat="1" x14ac:dyDescent="0.25"/>
    <row r="26967" s="42" customFormat="1" x14ac:dyDescent="0.25"/>
    <row r="26968" s="42" customFormat="1" x14ac:dyDescent="0.25"/>
    <row r="26969" s="42" customFormat="1" x14ac:dyDescent="0.25"/>
    <row r="26970" s="42" customFormat="1" x14ac:dyDescent="0.25"/>
    <row r="26971" s="42" customFormat="1" x14ac:dyDescent="0.25"/>
    <row r="26972" s="42" customFormat="1" x14ac:dyDescent="0.25"/>
    <row r="26973" s="42" customFormat="1" x14ac:dyDescent="0.25"/>
    <row r="26974" s="42" customFormat="1" x14ac:dyDescent="0.25"/>
    <row r="26975" s="42" customFormat="1" x14ac:dyDescent="0.25"/>
    <row r="26976" s="42" customFormat="1" x14ac:dyDescent="0.25"/>
    <row r="26977" s="42" customFormat="1" x14ac:dyDescent="0.25"/>
    <row r="26978" s="42" customFormat="1" x14ac:dyDescent="0.25"/>
    <row r="26979" s="42" customFormat="1" x14ac:dyDescent="0.25"/>
    <row r="26980" s="42" customFormat="1" x14ac:dyDescent="0.25"/>
    <row r="26981" s="42" customFormat="1" x14ac:dyDescent="0.25"/>
    <row r="26982" s="42" customFormat="1" x14ac:dyDescent="0.25"/>
    <row r="26983" s="42" customFormat="1" x14ac:dyDescent="0.25"/>
    <row r="26984" s="42" customFormat="1" x14ac:dyDescent="0.25"/>
    <row r="26985" s="42" customFormat="1" x14ac:dyDescent="0.25"/>
    <row r="26986" s="42" customFormat="1" x14ac:dyDescent="0.25"/>
    <row r="26987" s="42" customFormat="1" x14ac:dyDescent="0.25"/>
    <row r="26988" s="42" customFormat="1" x14ac:dyDescent="0.25"/>
    <row r="26989" s="42" customFormat="1" x14ac:dyDescent="0.25"/>
    <row r="26990" s="42" customFormat="1" x14ac:dyDescent="0.25"/>
    <row r="26991" s="42" customFormat="1" x14ac:dyDescent="0.25"/>
    <row r="26992" s="42" customFormat="1" x14ac:dyDescent="0.25"/>
    <row r="26993" s="42" customFormat="1" x14ac:dyDescent="0.25"/>
    <row r="26994" s="42" customFormat="1" x14ac:dyDescent="0.25"/>
    <row r="26995" s="42" customFormat="1" x14ac:dyDescent="0.25"/>
    <row r="26996" s="42" customFormat="1" x14ac:dyDescent="0.25"/>
    <row r="26997" s="42" customFormat="1" x14ac:dyDescent="0.25"/>
    <row r="26998" s="42" customFormat="1" x14ac:dyDescent="0.25"/>
    <row r="26999" s="42" customFormat="1" x14ac:dyDescent="0.25"/>
    <row r="27000" s="42" customFormat="1" x14ac:dyDescent="0.25"/>
    <row r="27001" s="42" customFormat="1" x14ac:dyDescent="0.25"/>
    <row r="27002" s="42" customFormat="1" x14ac:dyDescent="0.25"/>
    <row r="27003" s="42" customFormat="1" x14ac:dyDescent="0.25"/>
    <row r="27004" s="42" customFormat="1" x14ac:dyDescent="0.25"/>
    <row r="27005" s="42" customFormat="1" x14ac:dyDescent="0.25"/>
    <row r="27006" s="42" customFormat="1" x14ac:dyDescent="0.25"/>
    <row r="27007" s="42" customFormat="1" x14ac:dyDescent="0.25"/>
    <row r="27008" s="42" customFormat="1" x14ac:dyDescent="0.25"/>
    <row r="27009" s="42" customFormat="1" x14ac:dyDescent="0.25"/>
    <row r="27010" s="42" customFormat="1" x14ac:dyDescent="0.25"/>
    <row r="27011" s="42" customFormat="1" x14ac:dyDescent="0.25"/>
    <row r="27012" s="42" customFormat="1" x14ac:dyDescent="0.25"/>
    <row r="27013" s="42" customFormat="1" x14ac:dyDescent="0.25"/>
    <row r="27014" s="42" customFormat="1" x14ac:dyDescent="0.25"/>
    <row r="27015" s="42" customFormat="1" x14ac:dyDescent="0.25"/>
    <row r="27016" s="42" customFormat="1" x14ac:dyDescent="0.25"/>
    <row r="27017" s="42" customFormat="1" x14ac:dyDescent="0.25"/>
    <row r="27018" s="42" customFormat="1" x14ac:dyDescent="0.25"/>
    <row r="27019" s="42" customFormat="1" x14ac:dyDescent="0.25"/>
    <row r="27020" s="42" customFormat="1" x14ac:dyDescent="0.25"/>
    <row r="27021" s="42" customFormat="1" x14ac:dyDescent="0.25"/>
    <row r="27022" s="42" customFormat="1" x14ac:dyDescent="0.25"/>
    <row r="27023" s="42" customFormat="1" x14ac:dyDescent="0.25"/>
    <row r="27024" s="42" customFormat="1" x14ac:dyDescent="0.25"/>
    <row r="27025" s="42" customFormat="1" x14ac:dyDescent="0.25"/>
    <row r="27026" s="42" customFormat="1" x14ac:dyDescent="0.25"/>
    <row r="27027" s="42" customFormat="1" x14ac:dyDescent="0.25"/>
    <row r="27028" s="42" customFormat="1" x14ac:dyDescent="0.25"/>
    <row r="27029" s="42" customFormat="1" x14ac:dyDescent="0.25"/>
    <row r="27030" s="42" customFormat="1" x14ac:dyDescent="0.25"/>
    <row r="27031" s="42" customFormat="1" x14ac:dyDescent="0.25"/>
    <row r="27032" s="42" customFormat="1" x14ac:dyDescent="0.25"/>
    <row r="27033" s="42" customFormat="1" x14ac:dyDescent="0.25"/>
    <row r="27034" s="42" customFormat="1" x14ac:dyDescent="0.25"/>
    <row r="27035" s="42" customFormat="1" x14ac:dyDescent="0.25"/>
    <row r="27036" s="42" customFormat="1" x14ac:dyDescent="0.25"/>
    <row r="27037" s="42" customFormat="1" x14ac:dyDescent="0.25"/>
    <row r="27038" s="42" customFormat="1" x14ac:dyDescent="0.25"/>
    <row r="27039" s="42" customFormat="1" x14ac:dyDescent="0.25"/>
    <row r="27040" s="42" customFormat="1" x14ac:dyDescent="0.25"/>
    <row r="27041" s="42" customFormat="1" x14ac:dyDescent="0.25"/>
    <row r="27042" s="42" customFormat="1" x14ac:dyDescent="0.25"/>
    <row r="27043" s="42" customFormat="1" x14ac:dyDescent="0.25"/>
    <row r="27044" s="42" customFormat="1" x14ac:dyDescent="0.25"/>
    <row r="27045" s="42" customFormat="1" x14ac:dyDescent="0.25"/>
    <row r="27046" s="42" customFormat="1" x14ac:dyDescent="0.25"/>
    <row r="27047" s="42" customFormat="1" x14ac:dyDescent="0.25"/>
    <row r="27048" s="42" customFormat="1" x14ac:dyDescent="0.25"/>
    <row r="27049" s="42" customFormat="1" x14ac:dyDescent="0.25"/>
    <row r="27050" s="42" customFormat="1" x14ac:dyDescent="0.25"/>
    <row r="27051" s="42" customFormat="1" x14ac:dyDescent="0.25"/>
    <row r="27052" s="42" customFormat="1" x14ac:dyDescent="0.25"/>
    <row r="27053" s="42" customFormat="1" x14ac:dyDescent="0.25"/>
    <row r="27054" s="42" customFormat="1" x14ac:dyDescent="0.25"/>
    <row r="27055" s="42" customFormat="1" x14ac:dyDescent="0.25"/>
    <row r="27056" s="42" customFormat="1" x14ac:dyDescent="0.25"/>
    <row r="27057" s="42" customFormat="1" x14ac:dyDescent="0.25"/>
    <row r="27058" s="42" customFormat="1" x14ac:dyDescent="0.25"/>
    <row r="27059" s="42" customFormat="1" x14ac:dyDescent="0.25"/>
    <row r="27060" s="42" customFormat="1" x14ac:dyDescent="0.25"/>
    <row r="27061" s="42" customFormat="1" x14ac:dyDescent="0.25"/>
    <row r="27062" s="42" customFormat="1" x14ac:dyDescent="0.25"/>
    <row r="27063" s="42" customFormat="1" x14ac:dyDescent="0.25"/>
    <row r="27064" s="42" customFormat="1" x14ac:dyDescent="0.25"/>
    <row r="27065" s="42" customFormat="1" x14ac:dyDescent="0.25"/>
    <row r="27066" s="42" customFormat="1" x14ac:dyDescent="0.25"/>
    <row r="27067" s="42" customFormat="1" x14ac:dyDescent="0.25"/>
    <row r="27068" s="42" customFormat="1" x14ac:dyDescent="0.25"/>
    <row r="27069" s="42" customFormat="1" x14ac:dyDescent="0.25"/>
    <row r="27070" s="42" customFormat="1" x14ac:dyDescent="0.25"/>
    <row r="27071" s="42" customFormat="1" x14ac:dyDescent="0.25"/>
    <row r="27072" s="42" customFormat="1" x14ac:dyDescent="0.25"/>
    <row r="27073" s="42" customFormat="1" x14ac:dyDescent="0.25"/>
    <row r="27074" s="42" customFormat="1" x14ac:dyDescent="0.25"/>
    <row r="27075" s="42" customFormat="1" x14ac:dyDescent="0.25"/>
    <row r="27076" s="42" customFormat="1" x14ac:dyDescent="0.25"/>
    <row r="27077" s="42" customFormat="1" x14ac:dyDescent="0.25"/>
    <row r="27078" s="42" customFormat="1" x14ac:dyDescent="0.25"/>
    <row r="27079" s="42" customFormat="1" x14ac:dyDescent="0.25"/>
    <row r="27080" s="42" customFormat="1" x14ac:dyDescent="0.25"/>
    <row r="27081" s="42" customFormat="1" x14ac:dyDescent="0.25"/>
    <row r="27082" s="42" customFormat="1" x14ac:dyDescent="0.25"/>
    <row r="27083" s="42" customFormat="1" x14ac:dyDescent="0.25"/>
    <row r="27084" s="42" customFormat="1" x14ac:dyDescent="0.25"/>
    <row r="27085" s="42" customFormat="1" x14ac:dyDescent="0.25"/>
    <row r="27086" s="42" customFormat="1" x14ac:dyDescent="0.25"/>
    <row r="27087" s="42" customFormat="1" x14ac:dyDescent="0.25"/>
    <row r="27088" s="42" customFormat="1" x14ac:dyDescent="0.25"/>
    <row r="27089" s="42" customFormat="1" x14ac:dyDescent="0.25"/>
    <row r="27090" s="42" customFormat="1" x14ac:dyDescent="0.25"/>
    <row r="27091" s="42" customFormat="1" x14ac:dyDescent="0.25"/>
    <row r="27092" s="42" customFormat="1" x14ac:dyDescent="0.25"/>
    <row r="27093" s="42" customFormat="1" x14ac:dyDescent="0.25"/>
    <row r="27094" s="42" customFormat="1" x14ac:dyDescent="0.25"/>
    <row r="27095" s="42" customFormat="1" x14ac:dyDescent="0.25"/>
    <row r="27096" s="42" customFormat="1" x14ac:dyDescent="0.25"/>
    <row r="27097" s="42" customFormat="1" x14ac:dyDescent="0.25"/>
    <row r="27098" s="42" customFormat="1" x14ac:dyDescent="0.25"/>
    <row r="27099" s="42" customFormat="1" x14ac:dyDescent="0.25"/>
    <row r="27100" s="42" customFormat="1" x14ac:dyDescent="0.25"/>
    <row r="27101" s="42" customFormat="1" x14ac:dyDescent="0.25"/>
    <row r="27102" s="42" customFormat="1" x14ac:dyDescent="0.25"/>
    <row r="27103" s="42" customFormat="1" x14ac:dyDescent="0.25"/>
    <row r="27104" s="42" customFormat="1" x14ac:dyDescent="0.25"/>
    <row r="27105" s="42" customFormat="1" x14ac:dyDescent="0.25"/>
    <row r="27106" s="42" customFormat="1" x14ac:dyDescent="0.25"/>
    <row r="27107" s="42" customFormat="1" x14ac:dyDescent="0.25"/>
    <row r="27108" s="42" customFormat="1" x14ac:dyDescent="0.25"/>
    <row r="27109" s="42" customFormat="1" x14ac:dyDescent="0.25"/>
    <row r="27110" s="42" customFormat="1" x14ac:dyDescent="0.25"/>
    <row r="27111" s="42" customFormat="1" x14ac:dyDescent="0.25"/>
    <row r="27112" s="42" customFormat="1" x14ac:dyDescent="0.25"/>
    <row r="27113" s="42" customFormat="1" x14ac:dyDescent="0.25"/>
    <row r="27114" s="42" customFormat="1" x14ac:dyDescent="0.25"/>
    <row r="27115" s="42" customFormat="1" x14ac:dyDescent="0.25"/>
    <row r="27116" s="42" customFormat="1" x14ac:dyDescent="0.25"/>
    <row r="27117" s="42" customFormat="1" x14ac:dyDescent="0.25"/>
    <row r="27118" s="42" customFormat="1" x14ac:dyDescent="0.25"/>
    <row r="27119" s="42" customFormat="1" x14ac:dyDescent="0.25"/>
    <row r="27120" s="42" customFormat="1" x14ac:dyDescent="0.25"/>
    <row r="27121" s="42" customFormat="1" x14ac:dyDescent="0.25"/>
    <row r="27122" s="42" customFormat="1" x14ac:dyDescent="0.25"/>
    <row r="27123" s="42" customFormat="1" x14ac:dyDescent="0.25"/>
    <row r="27124" s="42" customFormat="1" x14ac:dyDescent="0.25"/>
    <row r="27125" s="42" customFormat="1" x14ac:dyDescent="0.25"/>
    <row r="27126" s="42" customFormat="1" x14ac:dyDescent="0.25"/>
    <row r="27127" s="42" customFormat="1" x14ac:dyDescent="0.25"/>
    <row r="27128" s="42" customFormat="1" x14ac:dyDescent="0.25"/>
    <row r="27129" s="42" customFormat="1" x14ac:dyDescent="0.25"/>
    <row r="27130" s="42" customFormat="1" x14ac:dyDescent="0.25"/>
    <row r="27131" s="42" customFormat="1" x14ac:dyDescent="0.25"/>
    <row r="27132" s="42" customFormat="1" x14ac:dyDescent="0.25"/>
    <row r="27133" s="42" customFormat="1" x14ac:dyDescent="0.25"/>
    <row r="27134" s="42" customFormat="1" x14ac:dyDescent="0.25"/>
    <row r="27135" s="42" customFormat="1" x14ac:dyDescent="0.25"/>
    <row r="27136" s="42" customFormat="1" x14ac:dyDescent="0.25"/>
    <row r="27137" s="42" customFormat="1" x14ac:dyDescent="0.25"/>
    <row r="27138" s="42" customFormat="1" x14ac:dyDescent="0.25"/>
    <row r="27139" s="42" customFormat="1" x14ac:dyDescent="0.25"/>
    <row r="27140" s="42" customFormat="1" x14ac:dyDescent="0.25"/>
    <row r="27141" s="42" customFormat="1" x14ac:dyDescent="0.25"/>
    <row r="27142" s="42" customFormat="1" x14ac:dyDescent="0.25"/>
    <row r="27143" s="42" customFormat="1" x14ac:dyDescent="0.25"/>
    <row r="27144" s="42" customFormat="1" x14ac:dyDescent="0.25"/>
    <row r="27145" s="42" customFormat="1" x14ac:dyDescent="0.25"/>
    <row r="27146" s="42" customFormat="1" x14ac:dyDescent="0.25"/>
    <row r="27147" s="42" customFormat="1" x14ac:dyDescent="0.25"/>
    <row r="27148" s="42" customFormat="1" x14ac:dyDescent="0.25"/>
    <row r="27149" s="42" customFormat="1" x14ac:dyDescent="0.25"/>
    <row r="27150" s="42" customFormat="1" x14ac:dyDescent="0.25"/>
    <row r="27151" s="42" customFormat="1" x14ac:dyDescent="0.25"/>
    <row r="27152" s="42" customFormat="1" x14ac:dyDescent="0.25"/>
    <row r="27153" s="42" customFormat="1" x14ac:dyDescent="0.25"/>
    <row r="27154" s="42" customFormat="1" x14ac:dyDescent="0.25"/>
    <row r="27155" s="42" customFormat="1" x14ac:dyDescent="0.25"/>
    <row r="27156" s="42" customFormat="1" x14ac:dyDescent="0.25"/>
    <row r="27157" s="42" customFormat="1" x14ac:dyDescent="0.25"/>
    <row r="27158" s="42" customFormat="1" x14ac:dyDescent="0.25"/>
    <row r="27159" s="42" customFormat="1" x14ac:dyDescent="0.25"/>
    <row r="27160" s="42" customFormat="1" x14ac:dyDescent="0.25"/>
    <row r="27161" s="42" customFormat="1" x14ac:dyDescent="0.25"/>
    <row r="27162" s="42" customFormat="1" x14ac:dyDescent="0.25"/>
    <row r="27163" s="42" customFormat="1" x14ac:dyDescent="0.25"/>
    <row r="27164" s="42" customFormat="1" x14ac:dyDescent="0.25"/>
    <row r="27165" s="42" customFormat="1" x14ac:dyDescent="0.25"/>
    <row r="27166" s="42" customFormat="1" x14ac:dyDescent="0.25"/>
    <row r="27167" s="42" customFormat="1" x14ac:dyDescent="0.25"/>
    <row r="27168" s="42" customFormat="1" x14ac:dyDescent="0.25"/>
    <row r="27169" s="42" customFormat="1" x14ac:dyDescent="0.25"/>
    <row r="27170" s="42" customFormat="1" x14ac:dyDescent="0.25"/>
    <row r="27171" s="42" customFormat="1" x14ac:dyDescent="0.25"/>
    <row r="27172" s="42" customFormat="1" x14ac:dyDescent="0.25"/>
    <row r="27173" s="42" customFormat="1" x14ac:dyDescent="0.25"/>
    <row r="27174" s="42" customFormat="1" x14ac:dyDescent="0.25"/>
    <row r="27175" s="42" customFormat="1" x14ac:dyDescent="0.25"/>
    <row r="27176" s="42" customFormat="1" x14ac:dyDescent="0.25"/>
    <row r="27177" s="42" customFormat="1" x14ac:dyDescent="0.25"/>
    <row r="27178" s="42" customFormat="1" x14ac:dyDescent="0.25"/>
    <row r="27179" s="42" customFormat="1" x14ac:dyDescent="0.25"/>
    <row r="27180" s="42" customFormat="1" x14ac:dyDescent="0.25"/>
    <row r="27181" s="42" customFormat="1" x14ac:dyDescent="0.25"/>
    <row r="27182" s="42" customFormat="1" x14ac:dyDescent="0.25"/>
    <row r="27183" s="42" customFormat="1" x14ac:dyDescent="0.25"/>
    <row r="27184" s="42" customFormat="1" x14ac:dyDescent="0.25"/>
    <row r="27185" s="42" customFormat="1" x14ac:dyDescent="0.25"/>
    <row r="27186" s="42" customFormat="1" x14ac:dyDescent="0.25"/>
    <row r="27187" s="42" customFormat="1" x14ac:dyDescent="0.25"/>
    <row r="27188" s="42" customFormat="1" x14ac:dyDescent="0.25"/>
    <row r="27189" s="42" customFormat="1" x14ac:dyDescent="0.25"/>
    <row r="27190" s="42" customFormat="1" x14ac:dyDescent="0.25"/>
    <row r="27191" s="42" customFormat="1" x14ac:dyDescent="0.25"/>
    <row r="27192" s="42" customFormat="1" x14ac:dyDescent="0.25"/>
    <row r="27193" s="42" customFormat="1" x14ac:dyDescent="0.25"/>
    <row r="27194" s="42" customFormat="1" x14ac:dyDescent="0.25"/>
    <row r="27195" s="42" customFormat="1" x14ac:dyDescent="0.25"/>
    <row r="27196" s="42" customFormat="1" x14ac:dyDescent="0.25"/>
    <row r="27197" s="42" customFormat="1" x14ac:dyDescent="0.25"/>
    <row r="27198" s="42" customFormat="1" x14ac:dyDescent="0.25"/>
    <row r="27199" s="42" customFormat="1" x14ac:dyDescent="0.25"/>
    <row r="27200" s="42" customFormat="1" x14ac:dyDescent="0.25"/>
    <row r="27201" s="42" customFormat="1" x14ac:dyDescent="0.25"/>
    <row r="27202" s="42" customFormat="1" x14ac:dyDescent="0.25"/>
    <row r="27203" s="42" customFormat="1" x14ac:dyDescent="0.25"/>
    <row r="27204" s="42" customFormat="1" x14ac:dyDescent="0.25"/>
    <row r="27205" s="42" customFormat="1" x14ac:dyDescent="0.25"/>
    <row r="27206" s="42" customFormat="1" x14ac:dyDescent="0.25"/>
    <row r="27207" s="42" customFormat="1" x14ac:dyDescent="0.25"/>
    <row r="27208" s="42" customFormat="1" x14ac:dyDescent="0.25"/>
    <row r="27209" s="42" customFormat="1" x14ac:dyDescent="0.25"/>
    <row r="27210" s="42" customFormat="1" x14ac:dyDescent="0.25"/>
    <row r="27211" s="42" customFormat="1" x14ac:dyDescent="0.25"/>
    <row r="27212" s="42" customFormat="1" x14ac:dyDescent="0.25"/>
    <row r="27213" s="42" customFormat="1" x14ac:dyDescent="0.25"/>
    <row r="27214" s="42" customFormat="1" x14ac:dyDescent="0.25"/>
    <row r="27215" s="42" customFormat="1" x14ac:dyDescent="0.25"/>
    <row r="27216" s="42" customFormat="1" x14ac:dyDescent="0.25"/>
    <row r="27217" s="42" customFormat="1" x14ac:dyDescent="0.25"/>
    <row r="27218" s="42" customFormat="1" x14ac:dyDescent="0.25"/>
    <row r="27219" s="42" customFormat="1" x14ac:dyDescent="0.25"/>
    <row r="27220" s="42" customFormat="1" x14ac:dyDescent="0.25"/>
    <row r="27221" s="42" customFormat="1" x14ac:dyDescent="0.25"/>
    <row r="27222" s="42" customFormat="1" x14ac:dyDescent="0.25"/>
    <row r="27223" s="42" customFormat="1" x14ac:dyDescent="0.25"/>
    <row r="27224" s="42" customFormat="1" x14ac:dyDescent="0.25"/>
    <row r="27225" s="42" customFormat="1" x14ac:dyDescent="0.25"/>
    <row r="27226" s="42" customFormat="1" x14ac:dyDescent="0.25"/>
    <row r="27227" s="42" customFormat="1" x14ac:dyDescent="0.25"/>
    <row r="27228" s="42" customFormat="1" x14ac:dyDescent="0.25"/>
    <row r="27229" s="42" customFormat="1" x14ac:dyDescent="0.25"/>
    <row r="27230" s="42" customFormat="1" x14ac:dyDescent="0.25"/>
    <row r="27231" s="42" customFormat="1" x14ac:dyDescent="0.25"/>
    <row r="27232" s="42" customFormat="1" x14ac:dyDescent="0.25"/>
    <row r="27233" s="42" customFormat="1" x14ac:dyDescent="0.25"/>
    <row r="27234" s="42" customFormat="1" x14ac:dyDescent="0.25"/>
    <row r="27235" s="42" customFormat="1" x14ac:dyDescent="0.25"/>
    <row r="27236" s="42" customFormat="1" x14ac:dyDescent="0.25"/>
    <row r="27237" s="42" customFormat="1" x14ac:dyDescent="0.25"/>
    <row r="27238" s="42" customFormat="1" x14ac:dyDescent="0.25"/>
    <row r="27239" s="42" customFormat="1" x14ac:dyDescent="0.25"/>
    <row r="27240" s="42" customFormat="1" x14ac:dyDescent="0.25"/>
    <row r="27241" s="42" customFormat="1" x14ac:dyDescent="0.25"/>
    <row r="27242" s="42" customFormat="1" x14ac:dyDescent="0.25"/>
    <row r="27243" s="42" customFormat="1" x14ac:dyDescent="0.25"/>
    <row r="27244" s="42" customFormat="1" x14ac:dyDescent="0.25"/>
    <row r="27245" s="42" customFormat="1" x14ac:dyDescent="0.25"/>
    <row r="27246" s="42" customFormat="1" x14ac:dyDescent="0.25"/>
    <row r="27247" s="42" customFormat="1" x14ac:dyDescent="0.25"/>
    <row r="27248" s="42" customFormat="1" x14ac:dyDescent="0.25"/>
    <row r="27249" s="42" customFormat="1" x14ac:dyDescent="0.25"/>
    <row r="27250" s="42" customFormat="1" x14ac:dyDescent="0.25"/>
    <row r="27251" s="42" customFormat="1" x14ac:dyDescent="0.25"/>
    <row r="27252" s="42" customFormat="1" x14ac:dyDescent="0.25"/>
    <row r="27253" s="42" customFormat="1" x14ac:dyDescent="0.25"/>
    <row r="27254" s="42" customFormat="1" x14ac:dyDescent="0.25"/>
    <row r="27255" s="42" customFormat="1" x14ac:dyDescent="0.25"/>
    <row r="27256" s="42" customFormat="1" x14ac:dyDescent="0.25"/>
    <row r="27257" s="42" customFormat="1" x14ac:dyDescent="0.25"/>
    <row r="27258" s="42" customFormat="1" x14ac:dyDescent="0.25"/>
    <row r="27259" s="42" customFormat="1" x14ac:dyDescent="0.25"/>
    <row r="27260" s="42" customFormat="1" x14ac:dyDescent="0.25"/>
    <row r="27261" s="42" customFormat="1" x14ac:dyDescent="0.25"/>
    <row r="27262" s="42" customFormat="1" x14ac:dyDescent="0.25"/>
    <row r="27263" s="42" customFormat="1" x14ac:dyDescent="0.25"/>
    <row r="27264" s="42" customFormat="1" x14ac:dyDescent="0.25"/>
    <row r="27265" s="42" customFormat="1" x14ac:dyDescent="0.25"/>
    <row r="27266" s="42" customFormat="1" x14ac:dyDescent="0.25"/>
    <row r="27267" s="42" customFormat="1" x14ac:dyDescent="0.25"/>
    <row r="27268" s="42" customFormat="1" x14ac:dyDescent="0.25"/>
    <row r="27269" s="42" customFormat="1" x14ac:dyDescent="0.25"/>
    <row r="27270" s="42" customFormat="1" x14ac:dyDescent="0.25"/>
    <row r="27271" s="42" customFormat="1" x14ac:dyDescent="0.25"/>
    <row r="27272" s="42" customFormat="1" x14ac:dyDescent="0.25"/>
    <row r="27273" s="42" customFormat="1" x14ac:dyDescent="0.25"/>
    <row r="27274" s="42" customFormat="1" x14ac:dyDescent="0.25"/>
    <row r="27275" s="42" customFormat="1" x14ac:dyDescent="0.25"/>
    <row r="27276" s="42" customFormat="1" x14ac:dyDescent="0.25"/>
    <row r="27277" s="42" customFormat="1" x14ac:dyDescent="0.25"/>
    <row r="27278" s="42" customFormat="1" x14ac:dyDescent="0.25"/>
    <row r="27279" s="42" customFormat="1" x14ac:dyDescent="0.25"/>
    <row r="27280" s="42" customFormat="1" x14ac:dyDescent="0.25"/>
    <row r="27281" s="42" customFormat="1" x14ac:dyDescent="0.25"/>
    <row r="27282" s="42" customFormat="1" x14ac:dyDescent="0.25"/>
    <row r="27283" s="42" customFormat="1" x14ac:dyDescent="0.25"/>
    <row r="27284" s="42" customFormat="1" x14ac:dyDescent="0.25"/>
    <row r="27285" s="42" customFormat="1" x14ac:dyDescent="0.25"/>
    <row r="27286" s="42" customFormat="1" x14ac:dyDescent="0.25"/>
    <row r="27287" s="42" customFormat="1" x14ac:dyDescent="0.25"/>
    <row r="27288" s="42" customFormat="1" x14ac:dyDescent="0.25"/>
    <row r="27289" s="42" customFormat="1" x14ac:dyDescent="0.25"/>
    <row r="27290" s="42" customFormat="1" x14ac:dyDescent="0.25"/>
    <row r="27291" s="42" customFormat="1" x14ac:dyDescent="0.25"/>
    <row r="27292" s="42" customFormat="1" x14ac:dyDescent="0.25"/>
    <row r="27293" s="42" customFormat="1" x14ac:dyDescent="0.25"/>
    <row r="27294" s="42" customFormat="1" x14ac:dyDescent="0.25"/>
    <row r="27295" s="42" customFormat="1" x14ac:dyDescent="0.25"/>
    <row r="27296" s="42" customFormat="1" x14ac:dyDescent="0.25"/>
    <row r="27297" s="42" customFormat="1" x14ac:dyDescent="0.25"/>
    <row r="27298" s="42" customFormat="1" x14ac:dyDescent="0.25"/>
    <row r="27299" s="42" customFormat="1" x14ac:dyDescent="0.25"/>
    <row r="27300" s="42" customFormat="1" x14ac:dyDescent="0.25"/>
    <row r="27301" s="42" customFormat="1" x14ac:dyDescent="0.25"/>
    <row r="27302" s="42" customFormat="1" x14ac:dyDescent="0.25"/>
    <row r="27303" s="42" customFormat="1" x14ac:dyDescent="0.25"/>
    <row r="27304" s="42" customFormat="1" x14ac:dyDescent="0.25"/>
    <row r="27305" s="42" customFormat="1" x14ac:dyDescent="0.25"/>
    <row r="27306" s="42" customFormat="1" x14ac:dyDescent="0.25"/>
    <row r="27307" s="42" customFormat="1" x14ac:dyDescent="0.25"/>
    <row r="27308" s="42" customFormat="1" x14ac:dyDescent="0.25"/>
    <row r="27309" s="42" customFormat="1" x14ac:dyDescent="0.25"/>
    <row r="27310" s="42" customFormat="1" x14ac:dyDescent="0.25"/>
    <row r="27311" s="42" customFormat="1" x14ac:dyDescent="0.25"/>
    <row r="27312" s="42" customFormat="1" x14ac:dyDescent="0.25"/>
    <row r="27313" s="42" customFormat="1" x14ac:dyDescent="0.25"/>
    <row r="27314" s="42" customFormat="1" x14ac:dyDescent="0.25"/>
    <row r="27315" s="42" customFormat="1" x14ac:dyDescent="0.25"/>
    <row r="27316" s="42" customFormat="1" x14ac:dyDescent="0.25"/>
    <row r="27317" s="42" customFormat="1" x14ac:dyDescent="0.25"/>
    <row r="27318" s="42" customFormat="1" x14ac:dyDescent="0.25"/>
    <row r="27319" s="42" customFormat="1" x14ac:dyDescent="0.25"/>
    <row r="27320" s="42" customFormat="1" x14ac:dyDescent="0.25"/>
    <row r="27321" s="42" customFormat="1" x14ac:dyDescent="0.25"/>
    <row r="27322" s="42" customFormat="1" x14ac:dyDescent="0.25"/>
    <row r="27323" s="42" customFormat="1" x14ac:dyDescent="0.25"/>
    <row r="27324" s="42" customFormat="1" x14ac:dyDescent="0.25"/>
    <row r="27325" s="42" customFormat="1" x14ac:dyDescent="0.25"/>
    <row r="27326" s="42" customFormat="1" x14ac:dyDescent="0.25"/>
    <row r="27327" s="42" customFormat="1" x14ac:dyDescent="0.25"/>
    <row r="27328" s="42" customFormat="1" x14ac:dyDescent="0.25"/>
    <row r="27329" s="42" customFormat="1" x14ac:dyDescent="0.25"/>
    <row r="27330" s="42" customFormat="1" x14ac:dyDescent="0.25"/>
    <row r="27331" s="42" customFormat="1" x14ac:dyDescent="0.25"/>
    <row r="27332" s="42" customFormat="1" x14ac:dyDescent="0.25"/>
    <row r="27333" s="42" customFormat="1" x14ac:dyDescent="0.25"/>
    <row r="27334" s="42" customFormat="1" x14ac:dyDescent="0.25"/>
    <row r="27335" s="42" customFormat="1" x14ac:dyDescent="0.25"/>
    <row r="27336" s="42" customFormat="1" x14ac:dyDescent="0.25"/>
    <row r="27337" s="42" customFormat="1" x14ac:dyDescent="0.25"/>
    <row r="27338" s="42" customFormat="1" x14ac:dyDescent="0.25"/>
    <row r="27339" s="42" customFormat="1" x14ac:dyDescent="0.25"/>
    <row r="27340" s="42" customFormat="1" x14ac:dyDescent="0.25"/>
    <row r="27341" s="42" customFormat="1" x14ac:dyDescent="0.25"/>
    <row r="27342" s="42" customFormat="1" x14ac:dyDescent="0.25"/>
    <row r="27343" s="42" customFormat="1" x14ac:dyDescent="0.25"/>
    <row r="27344" s="42" customFormat="1" x14ac:dyDescent="0.25"/>
    <row r="27345" s="42" customFormat="1" x14ac:dyDescent="0.25"/>
    <row r="27346" s="42" customFormat="1" x14ac:dyDescent="0.25"/>
    <row r="27347" s="42" customFormat="1" x14ac:dyDescent="0.25"/>
    <row r="27348" s="42" customFormat="1" x14ac:dyDescent="0.25"/>
    <row r="27349" s="42" customFormat="1" x14ac:dyDescent="0.25"/>
    <row r="27350" s="42" customFormat="1" x14ac:dyDescent="0.25"/>
    <row r="27351" s="42" customFormat="1" x14ac:dyDescent="0.25"/>
    <row r="27352" s="42" customFormat="1" x14ac:dyDescent="0.25"/>
    <row r="27353" s="42" customFormat="1" x14ac:dyDescent="0.25"/>
    <row r="27354" s="42" customFormat="1" x14ac:dyDescent="0.25"/>
    <row r="27355" s="42" customFormat="1" x14ac:dyDescent="0.25"/>
    <row r="27356" s="42" customFormat="1" x14ac:dyDescent="0.25"/>
    <row r="27357" s="42" customFormat="1" x14ac:dyDescent="0.25"/>
    <row r="27358" s="42" customFormat="1" x14ac:dyDescent="0.25"/>
    <row r="27359" s="42" customFormat="1" x14ac:dyDescent="0.25"/>
    <row r="27360" s="42" customFormat="1" x14ac:dyDescent="0.25"/>
    <row r="27361" s="42" customFormat="1" x14ac:dyDescent="0.25"/>
    <row r="27362" s="42" customFormat="1" x14ac:dyDescent="0.25"/>
    <row r="27363" s="42" customFormat="1" x14ac:dyDescent="0.25"/>
    <row r="27364" s="42" customFormat="1" x14ac:dyDescent="0.25"/>
    <row r="27365" s="42" customFormat="1" x14ac:dyDescent="0.25"/>
    <row r="27366" s="42" customFormat="1" x14ac:dyDescent="0.25"/>
    <row r="27367" s="42" customFormat="1" x14ac:dyDescent="0.25"/>
    <row r="27368" s="42" customFormat="1" x14ac:dyDescent="0.25"/>
    <row r="27369" s="42" customFormat="1" x14ac:dyDescent="0.25"/>
    <row r="27370" s="42" customFormat="1" x14ac:dyDescent="0.25"/>
    <row r="27371" s="42" customFormat="1" x14ac:dyDescent="0.25"/>
    <row r="27372" s="42" customFormat="1" x14ac:dyDescent="0.25"/>
    <row r="27373" s="42" customFormat="1" x14ac:dyDescent="0.25"/>
    <row r="27374" s="42" customFormat="1" x14ac:dyDescent="0.25"/>
    <row r="27375" s="42" customFormat="1" x14ac:dyDescent="0.25"/>
    <row r="27376" s="42" customFormat="1" x14ac:dyDescent="0.25"/>
    <row r="27377" s="42" customFormat="1" x14ac:dyDescent="0.25"/>
    <row r="27378" s="42" customFormat="1" x14ac:dyDescent="0.25"/>
    <row r="27379" s="42" customFormat="1" x14ac:dyDescent="0.25"/>
    <row r="27380" s="42" customFormat="1" x14ac:dyDescent="0.25"/>
    <row r="27381" s="42" customFormat="1" x14ac:dyDescent="0.25"/>
    <row r="27382" s="42" customFormat="1" x14ac:dyDescent="0.25"/>
    <row r="27383" s="42" customFormat="1" x14ac:dyDescent="0.25"/>
    <row r="27384" s="42" customFormat="1" x14ac:dyDescent="0.25"/>
    <row r="27385" s="42" customFormat="1" x14ac:dyDescent="0.25"/>
    <row r="27386" s="42" customFormat="1" x14ac:dyDescent="0.25"/>
    <row r="27387" s="42" customFormat="1" x14ac:dyDescent="0.25"/>
    <row r="27388" s="42" customFormat="1" x14ac:dyDescent="0.25"/>
    <row r="27389" s="42" customFormat="1" x14ac:dyDescent="0.25"/>
    <row r="27390" s="42" customFormat="1" x14ac:dyDescent="0.25"/>
    <row r="27391" s="42" customFormat="1" x14ac:dyDescent="0.25"/>
    <row r="27392" s="42" customFormat="1" x14ac:dyDescent="0.25"/>
    <row r="27393" s="42" customFormat="1" x14ac:dyDescent="0.25"/>
    <row r="27394" s="42" customFormat="1" x14ac:dyDescent="0.25"/>
    <row r="27395" s="42" customFormat="1" x14ac:dyDescent="0.25"/>
    <row r="27396" s="42" customFormat="1" x14ac:dyDescent="0.25"/>
    <row r="27397" s="42" customFormat="1" x14ac:dyDescent="0.25"/>
    <row r="27398" s="42" customFormat="1" x14ac:dyDescent="0.25"/>
    <row r="27399" s="42" customFormat="1" x14ac:dyDescent="0.25"/>
    <row r="27400" s="42" customFormat="1" x14ac:dyDescent="0.25"/>
    <row r="27401" s="42" customFormat="1" x14ac:dyDescent="0.25"/>
    <row r="27402" s="42" customFormat="1" x14ac:dyDescent="0.25"/>
    <row r="27403" s="42" customFormat="1" x14ac:dyDescent="0.25"/>
    <row r="27404" s="42" customFormat="1" x14ac:dyDescent="0.25"/>
    <row r="27405" s="42" customFormat="1" x14ac:dyDescent="0.25"/>
    <row r="27406" s="42" customFormat="1" x14ac:dyDescent="0.25"/>
    <row r="27407" s="42" customFormat="1" x14ac:dyDescent="0.25"/>
    <row r="27408" s="42" customFormat="1" x14ac:dyDescent="0.25"/>
    <row r="27409" s="42" customFormat="1" x14ac:dyDescent="0.25"/>
    <row r="27410" s="42" customFormat="1" x14ac:dyDescent="0.25"/>
    <row r="27411" s="42" customFormat="1" x14ac:dyDescent="0.25"/>
    <row r="27412" s="42" customFormat="1" x14ac:dyDescent="0.25"/>
    <row r="27413" s="42" customFormat="1" x14ac:dyDescent="0.25"/>
    <row r="27414" s="42" customFormat="1" x14ac:dyDescent="0.25"/>
    <row r="27415" s="42" customFormat="1" x14ac:dyDescent="0.25"/>
    <row r="27416" s="42" customFormat="1" x14ac:dyDescent="0.25"/>
    <row r="27417" s="42" customFormat="1" x14ac:dyDescent="0.25"/>
    <row r="27418" s="42" customFormat="1" x14ac:dyDescent="0.25"/>
    <row r="27419" s="42" customFormat="1" x14ac:dyDescent="0.25"/>
    <row r="27420" s="42" customFormat="1" x14ac:dyDescent="0.25"/>
    <row r="27421" s="42" customFormat="1" x14ac:dyDescent="0.25"/>
    <row r="27422" s="42" customFormat="1" x14ac:dyDescent="0.25"/>
    <row r="27423" s="42" customFormat="1" x14ac:dyDescent="0.25"/>
    <row r="27424" s="42" customFormat="1" x14ac:dyDescent="0.25"/>
    <row r="27425" s="42" customFormat="1" x14ac:dyDescent="0.25"/>
    <row r="27426" s="42" customFormat="1" x14ac:dyDescent="0.25"/>
    <row r="27427" s="42" customFormat="1" x14ac:dyDescent="0.25"/>
    <row r="27428" s="42" customFormat="1" x14ac:dyDescent="0.25"/>
    <row r="27429" s="42" customFormat="1" x14ac:dyDescent="0.25"/>
    <row r="27430" s="42" customFormat="1" x14ac:dyDescent="0.25"/>
    <row r="27431" s="42" customFormat="1" x14ac:dyDescent="0.25"/>
    <row r="27432" s="42" customFormat="1" x14ac:dyDescent="0.25"/>
    <row r="27433" s="42" customFormat="1" x14ac:dyDescent="0.25"/>
    <row r="27434" s="42" customFormat="1" x14ac:dyDescent="0.25"/>
    <row r="27435" s="42" customFormat="1" x14ac:dyDescent="0.25"/>
    <row r="27436" s="42" customFormat="1" x14ac:dyDescent="0.25"/>
    <row r="27437" s="42" customFormat="1" x14ac:dyDescent="0.25"/>
    <row r="27438" s="42" customFormat="1" x14ac:dyDescent="0.25"/>
    <row r="27439" s="42" customFormat="1" x14ac:dyDescent="0.25"/>
    <row r="27440" s="42" customFormat="1" x14ac:dyDescent="0.25"/>
    <row r="27441" s="42" customFormat="1" x14ac:dyDescent="0.25"/>
    <row r="27442" s="42" customFormat="1" x14ac:dyDescent="0.25"/>
    <row r="27443" s="42" customFormat="1" x14ac:dyDescent="0.25"/>
    <row r="27444" s="42" customFormat="1" x14ac:dyDescent="0.25"/>
    <row r="27445" s="42" customFormat="1" x14ac:dyDescent="0.25"/>
    <row r="27446" s="42" customFormat="1" x14ac:dyDescent="0.25"/>
    <row r="27447" s="42" customFormat="1" x14ac:dyDescent="0.25"/>
    <row r="27448" s="42" customFormat="1" x14ac:dyDescent="0.25"/>
    <row r="27449" s="42" customFormat="1" x14ac:dyDescent="0.25"/>
    <row r="27450" s="42" customFormat="1" x14ac:dyDescent="0.25"/>
    <row r="27451" s="42" customFormat="1" x14ac:dyDescent="0.25"/>
    <row r="27452" s="42" customFormat="1" x14ac:dyDescent="0.25"/>
    <row r="27453" s="42" customFormat="1" x14ac:dyDescent="0.25"/>
    <row r="27454" s="42" customFormat="1" x14ac:dyDescent="0.25"/>
    <row r="27455" s="42" customFormat="1" x14ac:dyDescent="0.25"/>
    <row r="27456" s="42" customFormat="1" x14ac:dyDescent="0.25"/>
    <row r="27457" s="42" customFormat="1" x14ac:dyDescent="0.25"/>
    <row r="27458" s="42" customFormat="1" x14ac:dyDescent="0.25"/>
    <row r="27459" s="42" customFormat="1" x14ac:dyDescent="0.25"/>
    <row r="27460" s="42" customFormat="1" x14ac:dyDescent="0.25"/>
    <row r="27461" s="42" customFormat="1" x14ac:dyDescent="0.25"/>
    <row r="27462" s="42" customFormat="1" x14ac:dyDescent="0.25"/>
    <row r="27463" s="42" customFormat="1" x14ac:dyDescent="0.25"/>
    <row r="27464" s="42" customFormat="1" x14ac:dyDescent="0.25"/>
    <row r="27465" s="42" customFormat="1" x14ac:dyDescent="0.25"/>
    <row r="27466" s="42" customFormat="1" x14ac:dyDescent="0.25"/>
    <row r="27467" s="42" customFormat="1" x14ac:dyDescent="0.25"/>
    <row r="27468" s="42" customFormat="1" x14ac:dyDescent="0.25"/>
    <row r="27469" s="42" customFormat="1" x14ac:dyDescent="0.25"/>
    <row r="27470" s="42" customFormat="1" x14ac:dyDescent="0.25"/>
    <row r="27471" s="42" customFormat="1" x14ac:dyDescent="0.25"/>
    <row r="27472" s="42" customFormat="1" x14ac:dyDescent="0.25"/>
    <row r="27473" s="42" customFormat="1" x14ac:dyDescent="0.25"/>
    <row r="27474" s="42" customFormat="1" x14ac:dyDescent="0.25"/>
    <row r="27475" s="42" customFormat="1" x14ac:dyDescent="0.25"/>
    <row r="27476" s="42" customFormat="1" x14ac:dyDescent="0.25"/>
    <row r="27477" s="42" customFormat="1" x14ac:dyDescent="0.25"/>
    <row r="27478" s="42" customFormat="1" x14ac:dyDescent="0.25"/>
    <row r="27479" s="42" customFormat="1" x14ac:dyDescent="0.25"/>
    <row r="27480" s="42" customFormat="1" x14ac:dyDescent="0.25"/>
    <row r="27481" s="42" customFormat="1" x14ac:dyDescent="0.25"/>
    <row r="27482" s="42" customFormat="1" x14ac:dyDescent="0.25"/>
    <row r="27483" s="42" customFormat="1" x14ac:dyDescent="0.25"/>
    <row r="27484" s="42" customFormat="1" x14ac:dyDescent="0.25"/>
    <row r="27485" s="42" customFormat="1" x14ac:dyDescent="0.25"/>
    <row r="27486" s="42" customFormat="1" x14ac:dyDescent="0.25"/>
    <row r="27487" s="42" customFormat="1" x14ac:dyDescent="0.25"/>
    <row r="27488" s="42" customFormat="1" x14ac:dyDescent="0.25"/>
    <row r="27489" s="42" customFormat="1" x14ac:dyDescent="0.25"/>
    <row r="27490" s="42" customFormat="1" x14ac:dyDescent="0.25"/>
    <row r="27491" s="42" customFormat="1" x14ac:dyDescent="0.25"/>
    <row r="27492" s="42" customFormat="1" x14ac:dyDescent="0.25"/>
    <row r="27493" s="42" customFormat="1" x14ac:dyDescent="0.25"/>
    <row r="27494" s="42" customFormat="1" x14ac:dyDescent="0.25"/>
    <row r="27495" s="42" customFormat="1" x14ac:dyDescent="0.25"/>
    <row r="27496" s="42" customFormat="1" x14ac:dyDescent="0.25"/>
    <row r="27497" s="42" customFormat="1" x14ac:dyDescent="0.25"/>
    <row r="27498" s="42" customFormat="1" x14ac:dyDescent="0.25"/>
    <row r="27499" s="42" customFormat="1" x14ac:dyDescent="0.25"/>
    <row r="27500" s="42" customFormat="1" x14ac:dyDescent="0.25"/>
    <row r="27501" s="42" customFormat="1" x14ac:dyDescent="0.25"/>
    <row r="27502" s="42" customFormat="1" x14ac:dyDescent="0.25"/>
    <row r="27503" s="42" customFormat="1" x14ac:dyDescent="0.25"/>
    <row r="27504" s="42" customFormat="1" x14ac:dyDescent="0.25"/>
    <row r="27505" s="42" customFormat="1" x14ac:dyDescent="0.25"/>
    <row r="27506" s="42" customFormat="1" x14ac:dyDescent="0.25"/>
    <row r="27507" s="42" customFormat="1" x14ac:dyDescent="0.25"/>
    <row r="27508" s="42" customFormat="1" x14ac:dyDescent="0.25"/>
    <row r="27509" s="42" customFormat="1" x14ac:dyDescent="0.25"/>
    <row r="27510" s="42" customFormat="1" x14ac:dyDescent="0.25"/>
    <row r="27511" s="42" customFormat="1" x14ac:dyDescent="0.25"/>
    <row r="27512" s="42" customFormat="1" x14ac:dyDescent="0.25"/>
    <row r="27513" s="42" customFormat="1" x14ac:dyDescent="0.25"/>
    <row r="27514" s="42" customFormat="1" x14ac:dyDescent="0.25"/>
    <row r="27515" s="42" customFormat="1" x14ac:dyDescent="0.25"/>
    <row r="27516" s="42" customFormat="1" x14ac:dyDescent="0.25"/>
    <row r="27517" s="42" customFormat="1" x14ac:dyDescent="0.25"/>
    <row r="27518" s="42" customFormat="1" x14ac:dyDescent="0.25"/>
    <row r="27519" s="42" customFormat="1" x14ac:dyDescent="0.25"/>
    <row r="27520" s="42" customFormat="1" x14ac:dyDescent="0.25"/>
    <row r="27521" s="42" customFormat="1" x14ac:dyDescent="0.25"/>
    <row r="27522" s="42" customFormat="1" x14ac:dyDescent="0.25"/>
    <row r="27523" s="42" customFormat="1" x14ac:dyDescent="0.25"/>
    <row r="27524" s="42" customFormat="1" x14ac:dyDescent="0.25"/>
    <row r="27525" s="42" customFormat="1" x14ac:dyDescent="0.25"/>
    <row r="27526" s="42" customFormat="1" x14ac:dyDescent="0.25"/>
    <row r="27527" s="42" customFormat="1" x14ac:dyDescent="0.25"/>
    <row r="27528" s="42" customFormat="1" x14ac:dyDescent="0.25"/>
    <row r="27529" s="42" customFormat="1" x14ac:dyDescent="0.25"/>
    <row r="27530" s="42" customFormat="1" x14ac:dyDescent="0.25"/>
    <row r="27531" s="42" customFormat="1" x14ac:dyDescent="0.25"/>
    <row r="27532" s="42" customFormat="1" x14ac:dyDescent="0.25"/>
    <row r="27533" s="42" customFormat="1" x14ac:dyDescent="0.25"/>
    <row r="27534" s="42" customFormat="1" x14ac:dyDescent="0.25"/>
    <row r="27535" s="42" customFormat="1" x14ac:dyDescent="0.25"/>
    <row r="27536" s="42" customFormat="1" x14ac:dyDescent="0.25"/>
    <row r="27537" s="42" customFormat="1" x14ac:dyDescent="0.25"/>
    <row r="27538" s="42" customFormat="1" x14ac:dyDescent="0.25"/>
    <row r="27539" s="42" customFormat="1" x14ac:dyDescent="0.25"/>
    <row r="27540" s="42" customFormat="1" x14ac:dyDescent="0.25"/>
    <row r="27541" s="42" customFormat="1" x14ac:dyDescent="0.25"/>
    <row r="27542" s="42" customFormat="1" x14ac:dyDescent="0.25"/>
    <row r="27543" s="42" customFormat="1" x14ac:dyDescent="0.25"/>
    <row r="27544" s="42" customFormat="1" x14ac:dyDescent="0.25"/>
    <row r="27545" s="42" customFormat="1" x14ac:dyDescent="0.25"/>
    <row r="27546" s="42" customFormat="1" x14ac:dyDescent="0.25"/>
    <row r="27547" s="42" customFormat="1" x14ac:dyDescent="0.25"/>
    <row r="27548" s="42" customFormat="1" x14ac:dyDescent="0.25"/>
    <row r="27549" s="42" customFormat="1" x14ac:dyDescent="0.25"/>
    <row r="27550" s="42" customFormat="1" x14ac:dyDescent="0.25"/>
    <row r="27551" s="42" customFormat="1" x14ac:dyDescent="0.25"/>
    <row r="27552" s="42" customFormat="1" x14ac:dyDescent="0.25"/>
    <row r="27553" s="42" customFormat="1" x14ac:dyDescent="0.25"/>
    <row r="27554" s="42" customFormat="1" x14ac:dyDescent="0.25"/>
    <row r="27555" s="42" customFormat="1" x14ac:dyDescent="0.25"/>
    <row r="27556" s="42" customFormat="1" x14ac:dyDescent="0.25"/>
    <row r="27557" s="42" customFormat="1" x14ac:dyDescent="0.25"/>
    <row r="27558" s="42" customFormat="1" x14ac:dyDescent="0.25"/>
    <row r="27559" s="42" customFormat="1" x14ac:dyDescent="0.25"/>
    <row r="27560" s="42" customFormat="1" x14ac:dyDescent="0.25"/>
    <row r="27561" s="42" customFormat="1" x14ac:dyDescent="0.25"/>
    <row r="27562" s="42" customFormat="1" x14ac:dyDescent="0.25"/>
    <row r="27563" s="42" customFormat="1" x14ac:dyDescent="0.25"/>
    <row r="27564" s="42" customFormat="1" x14ac:dyDescent="0.25"/>
    <row r="27565" s="42" customFormat="1" x14ac:dyDescent="0.25"/>
    <row r="27566" s="42" customFormat="1" x14ac:dyDescent="0.25"/>
    <row r="27567" s="42" customFormat="1" x14ac:dyDescent="0.25"/>
    <row r="27568" s="42" customFormat="1" x14ac:dyDescent="0.25"/>
    <row r="27569" s="42" customFormat="1" x14ac:dyDescent="0.25"/>
    <row r="27570" s="42" customFormat="1" x14ac:dyDescent="0.25"/>
    <row r="27571" s="42" customFormat="1" x14ac:dyDescent="0.25"/>
    <row r="27572" s="42" customFormat="1" x14ac:dyDescent="0.25"/>
    <row r="27573" s="42" customFormat="1" x14ac:dyDescent="0.25"/>
    <row r="27574" s="42" customFormat="1" x14ac:dyDescent="0.25"/>
    <row r="27575" s="42" customFormat="1" x14ac:dyDescent="0.25"/>
    <row r="27576" s="42" customFormat="1" x14ac:dyDescent="0.25"/>
    <row r="27577" s="42" customFormat="1" x14ac:dyDescent="0.25"/>
    <row r="27578" s="42" customFormat="1" x14ac:dyDescent="0.25"/>
    <row r="27579" s="42" customFormat="1" x14ac:dyDescent="0.25"/>
    <row r="27580" s="42" customFormat="1" x14ac:dyDescent="0.25"/>
    <row r="27581" s="42" customFormat="1" x14ac:dyDescent="0.25"/>
    <row r="27582" s="42" customFormat="1" x14ac:dyDescent="0.25"/>
    <row r="27583" s="42" customFormat="1" x14ac:dyDescent="0.25"/>
    <row r="27584" s="42" customFormat="1" x14ac:dyDescent="0.25"/>
    <row r="27585" s="42" customFormat="1" x14ac:dyDescent="0.25"/>
    <row r="27586" s="42" customFormat="1" x14ac:dyDescent="0.25"/>
    <row r="27587" s="42" customFormat="1" x14ac:dyDescent="0.25"/>
    <row r="27588" s="42" customFormat="1" x14ac:dyDescent="0.25"/>
    <row r="27589" s="42" customFormat="1" x14ac:dyDescent="0.25"/>
    <row r="27590" s="42" customFormat="1" x14ac:dyDescent="0.25"/>
    <row r="27591" s="42" customFormat="1" x14ac:dyDescent="0.25"/>
    <row r="27592" s="42" customFormat="1" x14ac:dyDescent="0.25"/>
    <row r="27593" s="42" customFormat="1" x14ac:dyDescent="0.25"/>
    <row r="27594" s="42" customFormat="1" x14ac:dyDescent="0.25"/>
    <row r="27595" s="42" customFormat="1" x14ac:dyDescent="0.25"/>
    <row r="27596" s="42" customFormat="1" x14ac:dyDescent="0.25"/>
    <row r="27597" s="42" customFormat="1" x14ac:dyDescent="0.25"/>
    <row r="27598" s="42" customFormat="1" x14ac:dyDescent="0.25"/>
    <row r="27599" s="42" customFormat="1" x14ac:dyDescent="0.25"/>
    <row r="27600" s="42" customFormat="1" x14ac:dyDescent="0.25"/>
    <row r="27601" s="42" customFormat="1" x14ac:dyDescent="0.25"/>
    <row r="27602" s="42" customFormat="1" x14ac:dyDescent="0.25"/>
    <row r="27603" s="42" customFormat="1" x14ac:dyDescent="0.25"/>
    <row r="27604" s="42" customFormat="1" x14ac:dyDescent="0.25"/>
    <row r="27605" s="42" customFormat="1" x14ac:dyDescent="0.25"/>
    <row r="27606" s="42" customFormat="1" x14ac:dyDescent="0.25"/>
    <row r="27607" s="42" customFormat="1" x14ac:dyDescent="0.25"/>
    <row r="27608" s="42" customFormat="1" x14ac:dyDescent="0.25"/>
    <row r="27609" s="42" customFormat="1" x14ac:dyDescent="0.25"/>
    <row r="27610" s="42" customFormat="1" x14ac:dyDescent="0.25"/>
    <row r="27611" s="42" customFormat="1" x14ac:dyDescent="0.25"/>
    <row r="27612" s="42" customFormat="1" x14ac:dyDescent="0.25"/>
    <row r="27613" s="42" customFormat="1" x14ac:dyDescent="0.25"/>
    <row r="27614" s="42" customFormat="1" x14ac:dyDescent="0.25"/>
    <row r="27615" s="42" customFormat="1" x14ac:dyDescent="0.25"/>
    <row r="27616" s="42" customFormat="1" x14ac:dyDescent="0.25"/>
    <row r="27617" s="42" customFormat="1" x14ac:dyDescent="0.25"/>
    <row r="27618" s="42" customFormat="1" x14ac:dyDescent="0.25"/>
    <row r="27619" s="42" customFormat="1" x14ac:dyDescent="0.25"/>
    <row r="27620" s="42" customFormat="1" x14ac:dyDescent="0.25"/>
    <row r="27621" s="42" customFormat="1" x14ac:dyDescent="0.25"/>
    <row r="27622" s="42" customFormat="1" x14ac:dyDescent="0.25"/>
    <row r="27623" s="42" customFormat="1" x14ac:dyDescent="0.25"/>
    <row r="27624" s="42" customFormat="1" x14ac:dyDescent="0.25"/>
    <row r="27625" s="42" customFormat="1" x14ac:dyDescent="0.25"/>
    <row r="27626" s="42" customFormat="1" x14ac:dyDescent="0.25"/>
    <row r="27627" s="42" customFormat="1" x14ac:dyDescent="0.25"/>
    <row r="27628" s="42" customFormat="1" x14ac:dyDescent="0.25"/>
    <row r="27629" s="42" customFormat="1" x14ac:dyDescent="0.25"/>
    <row r="27630" s="42" customFormat="1" x14ac:dyDescent="0.25"/>
    <row r="27631" s="42" customFormat="1" x14ac:dyDescent="0.25"/>
    <row r="27632" s="42" customFormat="1" x14ac:dyDescent="0.25"/>
    <row r="27633" s="42" customFormat="1" x14ac:dyDescent="0.25"/>
    <row r="27634" s="42" customFormat="1" x14ac:dyDescent="0.25"/>
    <row r="27635" s="42" customFormat="1" x14ac:dyDescent="0.25"/>
    <row r="27636" s="42" customFormat="1" x14ac:dyDescent="0.25"/>
    <row r="27637" s="42" customFormat="1" x14ac:dyDescent="0.25"/>
    <row r="27638" s="42" customFormat="1" x14ac:dyDescent="0.25"/>
    <row r="27639" s="42" customFormat="1" x14ac:dyDescent="0.25"/>
    <row r="27640" s="42" customFormat="1" x14ac:dyDescent="0.25"/>
    <row r="27641" s="42" customFormat="1" x14ac:dyDescent="0.25"/>
    <row r="27642" s="42" customFormat="1" x14ac:dyDescent="0.25"/>
    <row r="27643" s="42" customFormat="1" x14ac:dyDescent="0.25"/>
    <row r="27644" s="42" customFormat="1" x14ac:dyDescent="0.25"/>
    <row r="27645" s="42" customFormat="1" x14ac:dyDescent="0.25"/>
    <row r="27646" s="42" customFormat="1" x14ac:dyDescent="0.25"/>
    <row r="27647" s="42" customFormat="1" x14ac:dyDescent="0.25"/>
    <row r="27648" s="42" customFormat="1" x14ac:dyDescent="0.25"/>
    <row r="27649" s="42" customFormat="1" x14ac:dyDescent="0.25"/>
    <row r="27650" s="42" customFormat="1" x14ac:dyDescent="0.25"/>
    <row r="27651" s="42" customFormat="1" x14ac:dyDescent="0.25"/>
    <row r="27652" s="42" customFormat="1" x14ac:dyDescent="0.25"/>
    <row r="27653" s="42" customFormat="1" x14ac:dyDescent="0.25"/>
    <row r="27654" s="42" customFormat="1" x14ac:dyDescent="0.25"/>
    <row r="27655" s="42" customFormat="1" x14ac:dyDescent="0.25"/>
    <row r="27656" s="42" customFormat="1" x14ac:dyDescent="0.25"/>
    <row r="27657" s="42" customFormat="1" x14ac:dyDescent="0.25"/>
    <row r="27658" s="42" customFormat="1" x14ac:dyDescent="0.25"/>
    <row r="27659" s="42" customFormat="1" x14ac:dyDescent="0.25"/>
    <row r="27660" s="42" customFormat="1" x14ac:dyDescent="0.25"/>
    <row r="27661" s="42" customFormat="1" x14ac:dyDescent="0.25"/>
    <row r="27662" s="42" customFormat="1" x14ac:dyDescent="0.25"/>
    <row r="27663" s="42" customFormat="1" x14ac:dyDescent="0.25"/>
    <row r="27664" s="42" customFormat="1" x14ac:dyDescent="0.25"/>
    <row r="27665" s="42" customFormat="1" x14ac:dyDescent="0.25"/>
    <row r="27666" s="42" customFormat="1" x14ac:dyDescent="0.25"/>
    <row r="27667" s="42" customFormat="1" x14ac:dyDescent="0.25"/>
    <row r="27668" s="42" customFormat="1" x14ac:dyDescent="0.25"/>
    <row r="27669" s="42" customFormat="1" x14ac:dyDescent="0.25"/>
    <row r="27670" s="42" customFormat="1" x14ac:dyDescent="0.25"/>
    <row r="27671" s="42" customFormat="1" x14ac:dyDescent="0.25"/>
    <row r="27672" s="42" customFormat="1" x14ac:dyDescent="0.25"/>
    <row r="27673" s="42" customFormat="1" x14ac:dyDescent="0.25"/>
    <row r="27674" s="42" customFormat="1" x14ac:dyDescent="0.25"/>
    <row r="27675" s="42" customFormat="1" x14ac:dyDescent="0.25"/>
    <row r="27676" s="42" customFormat="1" x14ac:dyDescent="0.25"/>
    <row r="27677" s="42" customFormat="1" x14ac:dyDescent="0.25"/>
    <row r="27678" s="42" customFormat="1" x14ac:dyDescent="0.25"/>
    <row r="27679" s="42" customFormat="1" x14ac:dyDescent="0.25"/>
    <row r="27680" s="42" customFormat="1" x14ac:dyDescent="0.25"/>
    <row r="27681" s="42" customFormat="1" x14ac:dyDescent="0.25"/>
    <row r="27682" s="42" customFormat="1" x14ac:dyDescent="0.25"/>
    <row r="27683" s="42" customFormat="1" x14ac:dyDescent="0.25"/>
    <row r="27684" s="42" customFormat="1" x14ac:dyDescent="0.25"/>
    <row r="27685" s="42" customFormat="1" x14ac:dyDescent="0.25"/>
    <row r="27686" s="42" customFormat="1" x14ac:dyDescent="0.25"/>
    <row r="27687" s="42" customFormat="1" x14ac:dyDescent="0.25"/>
    <row r="27688" s="42" customFormat="1" x14ac:dyDescent="0.25"/>
    <row r="27689" s="42" customFormat="1" x14ac:dyDescent="0.25"/>
    <row r="27690" s="42" customFormat="1" x14ac:dyDescent="0.25"/>
    <row r="27691" s="42" customFormat="1" x14ac:dyDescent="0.25"/>
    <row r="27692" s="42" customFormat="1" x14ac:dyDescent="0.25"/>
    <row r="27693" s="42" customFormat="1" x14ac:dyDescent="0.25"/>
    <row r="27694" s="42" customFormat="1" x14ac:dyDescent="0.25"/>
    <row r="27695" s="42" customFormat="1" x14ac:dyDescent="0.25"/>
    <row r="27696" s="42" customFormat="1" x14ac:dyDescent="0.25"/>
    <row r="27697" s="42" customFormat="1" x14ac:dyDescent="0.25"/>
    <row r="27698" s="42" customFormat="1" x14ac:dyDescent="0.25"/>
    <row r="27699" s="42" customFormat="1" x14ac:dyDescent="0.25"/>
    <row r="27700" s="42" customFormat="1" x14ac:dyDescent="0.25"/>
    <row r="27701" s="42" customFormat="1" x14ac:dyDescent="0.25"/>
    <row r="27702" s="42" customFormat="1" x14ac:dyDescent="0.25"/>
    <row r="27703" s="42" customFormat="1" x14ac:dyDescent="0.25"/>
    <row r="27704" s="42" customFormat="1" x14ac:dyDescent="0.25"/>
    <row r="27705" s="42" customFormat="1" x14ac:dyDescent="0.25"/>
    <row r="27706" s="42" customFormat="1" x14ac:dyDescent="0.25"/>
    <row r="27707" s="42" customFormat="1" x14ac:dyDescent="0.25"/>
    <row r="27708" s="42" customFormat="1" x14ac:dyDescent="0.25"/>
    <row r="27709" s="42" customFormat="1" x14ac:dyDescent="0.25"/>
    <row r="27710" s="42" customFormat="1" x14ac:dyDescent="0.25"/>
    <row r="27711" s="42" customFormat="1" x14ac:dyDescent="0.25"/>
    <row r="27712" s="42" customFormat="1" x14ac:dyDescent="0.25"/>
    <row r="27713" s="42" customFormat="1" x14ac:dyDescent="0.25"/>
    <row r="27714" s="42" customFormat="1" x14ac:dyDescent="0.25"/>
    <row r="27715" s="42" customFormat="1" x14ac:dyDescent="0.25"/>
    <row r="27716" s="42" customFormat="1" x14ac:dyDescent="0.25"/>
    <row r="27717" s="42" customFormat="1" x14ac:dyDescent="0.25"/>
    <row r="27718" s="42" customFormat="1" x14ac:dyDescent="0.25"/>
    <row r="27719" s="42" customFormat="1" x14ac:dyDescent="0.25"/>
    <row r="27720" s="42" customFormat="1" x14ac:dyDescent="0.25"/>
    <row r="27721" s="42" customFormat="1" x14ac:dyDescent="0.25"/>
    <row r="27722" s="42" customFormat="1" x14ac:dyDescent="0.25"/>
    <row r="27723" s="42" customFormat="1" x14ac:dyDescent="0.25"/>
    <row r="27724" s="42" customFormat="1" x14ac:dyDescent="0.25"/>
    <row r="27725" s="42" customFormat="1" x14ac:dyDescent="0.25"/>
    <row r="27726" s="42" customFormat="1" x14ac:dyDescent="0.25"/>
    <row r="27727" s="42" customFormat="1" x14ac:dyDescent="0.25"/>
    <row r="27728" s="42" customFormat="1" x14ac:dyDescent="0.25"/>
    <row r="27729" s="42" customFormat="1" x14ac:dyDescent="0.25"/>
    <row r="27730" s="42" customFormat="1" x14ac:dyDescent="0.25"/>
    <row r="27731" s="42" customFormat="1" x14ac:dyDescent="0.25"/>
    <row r="27732" s="42" customFormat="1" x14ac:dyDescent="0.25"/>
    <row r="27733" s="42" customFormat="1" x14ac:dyDescent="0.25"/>
    <row r="27734" s="42" customFormat="1" x14ac:dyDescent="0.25"/>
    <row r="27735" s="42" customFormat="1" x14ac:dyDescent="0.25"/>
    <row r="27736" s="42" customFormat="1" x14ac:dyDescent="0.25"/>
    <row r="27737" s="42" customFormat="1" x14ac:dyDescent="0.25"/>
    <row r="27738" s="42" customFormat="1" x14ac:dyDescent="0.25"/>
    <row r="27739" s="42" customFormat="1" x14ac:dyDescent="0.25"/>
    <row r="27740" s="42" customFormat="1" x14ac:dyDescent="0.25"/>
    <row r="27741" s="42" customFormat="1" x14ac:dyDescent="0.25"/>
    <row r="27742" s="42" customFormat="1" x14ac:dyDescent="0.25"/>
    <row r="27743" s="42" customFormat="1" x14ac:dyDescent="0.25"/>
    <row r="27744" s="42" customFormat="1" x14ac:dyDescent="0.25"/>
    <row r="27745" s="42" customFormat="1" x14ac:dyDescent="0.25"/>
    <row r="27746" s="42" customFormat="1" x14ac:dyDescent="0.25"/>
    <row r="27747" s="42" customFormat="1" x14ac:dyDescent="0.25"/>
    <row r="27748" s="42" customFormat="1" x14ac:dyDescent="0.25"/>
    <row r="27749" s="42" customFormat="1" x14ac:dyDescent="0.25"/>
    <row r="27750" s="42" customFormat="1" x14ac:dyDescent="0.25"/>
    <row r="27751" s="42" customFormat="1" x14ac:dyDescent="0.25"/>
    <row r="27752" s="42" customFormat="1" x14ac:dyDescent="0.25"/>
    <row r="27753" s="42" customFormat="1" x14ac:dyDescent="0.25"/>
    <row r="27754" s="42" customFormat="1" x14ac:dyDescent="0.25"/>
    <row r="27755" s="42" customFormat="1" x14ac:dyDescent="0.25"/>
    <row r="27756" s="42" customFormat="1" x14ac:dyDescent="0.25"/>
    <row r="27757" s="42" customFormat="1" x14ac:dyDescent="0.25"/>
    <row r="27758" s="42" customFormat="1" x14ac:dyDescent="0.25"/>
    <row r="27759" s="42" customFormat="1" x14ac:dyDescent="0.25"/>
    <row r="27760" s="42" customFormat="1" x14ac:dyDescent="0.25"/>
    <row r="27761" s="42" customFormat="1" x14ac:dyDescent="0.25"/>
    <row r="27762" s="42" customFormat="1" x14ac:dyDescent="0.25"/>
    <row r="27763" s="42" customFormat="1" x14ac:dyDescent="0.25"/>
    <row r="27764" s="42" customFormat="1" x14ac:dyDescent="0.25"/>
    <row r="27765" s="42" customFormat="1" x14ac:dyDescent="0.25"/>
    <row r="27766" s="42" customFormat="1" x14ac:dyDescent="0.25"/>
    <row r="27767" s="42" customFormat="1" x14ac:dyDescent="0.25"/>
    <row r="27768" s="42" customFormat="1" x14ac:dyDescent="0.25"/>
    <row r="27769" s="42" customFormat="1" x14ac:dyDescent="0.25"/>
    <row r="27770" s="42" customFormat="1" x14ac:dyDescent="0.25"/>
    <row r="27771" s="42" customFormat="1" x14ac:dyDescent="0.25"/>
    <row r="27772" s="42" customFormat="1" x14ac:dyDescent="0.25"/>
    <row r="27773" s="42" customFormat="1" x14ac:dyDescent="0.25"/>
    <row r="27774" s="42" customFormat="1" x14ac:dyDescent="0.25"/>
    <row r="27775" s="42" customFormat="1" x14ac:dyDescent="0.25"/>
    <row r="27776" s="42" customFormat="1" x14ac:dyDescent="0.25"/>
    <row r="27777" s="42" customFormat="1" x14ac:dyDescent="0.25"/>
    <row r="27778" s="42" customFormat="1" x14ac:dyDescent="0.25"/>
    <row r="27779" s="42" customFormat="1" x14ac:dyDescent="0.25"/>
    <row r="27780" s="42" customFormat="1" x14ac:dyDescent="0.25"/>
    <row r="27781" s="42" customFormat="1" x14ac:dyDescent="0.25"/>
    <row r="27782" s="42" customFormat="1" x14ac:dyDescent="0.25"/>
    <row r="27783" s="42" customFormat="1" x14ac:dyDescent="0.25"/>
    <row r="27784" s="42" customFormat="1" x14ac:dyDescent="0.25"/>
    <row r="27785" s="42" customFormat="1" x14ac:dyDescent="0.25"/>
    <row r="27786" s="42" customFormat="1" x14ac:dyDescent="0.25"/>
    <row r="27787" s="42" customFormat="1" x14ac:dyDescent="0.25"/>
    <row r="27788" s="42" customFormat="1" x14ac:dyDescent="0.25"/>
    <row r="27789" s="42" customFormat="1" x14ac:dyDescent="0.25"/>
    <row r="27790" s="42" customFormat="1" x14ac:dyDescent="0.25"/>
    <row r="27791" s="42" customFormat="1" x14ac:dyDescent="0.25"/>
    <row r="27792" s="42" customFormat="1" x14ac:dyDescent="0.25"/>
    <row r="27793" s="42" customFormat="1" x14ac:dyDescent="0.25"/>
    <row r="27794" s="42" customFormat="1" x14ac:dyDescent="0.25"/>
    <row r="27795" s="42" customFormat="1" x14ac:dyDescent="0.25"/>
    <row r="27796" s="42" customFormat="1" x14ac:dyDescent="0.25"/>
    <row r="27797" s="42" customFormat="1" x14ac:dyDescent="0.25"/>
    <row r="27798" s="42" customFormat="1" x14ac:dyDescent="0.25"/>
    <row r="27799" s="42" customFormat="1" x14ac:dyDescent="0.25"/>
    <row r="27800" s="42" customFormat="1" x14ac:dyDescent="0.25"/>
    <row r="27801" s="42" customFormat="1" x14ac:dyDescent="0.25"/>
    <row r="27802" s="42" customFormat="1" x14ac:dyDescent="0.25"/>
    <row r="27803" s="42" customFormat="1" x14ac:dyDescent="0.25"/>
    <row r="27804" s="42" customFormat="1" x14ac:dyDescent="0.25"/>
    <row r="27805" s="42" customFormat="1" x14ac:dyDescent="0.25"/>
    <row r="27806" s="42" customFormat="1" x14ac:dyDescent="0.25"/>
    <row r="27807" s="42" customFormat="1" x14ac:dyDescent="0.25"/>
    <row r="27808" s="42" customFormat="1" x14ac:dyDescent="0.25"/>
    <row r="27809" s="42" customFormat="1" x14ac:dyDescent="0.25"/>
    <row r="27810" s="42" customFormat="1" x14ac:dyDescent="0.25"/>
    <row r="27811" s="42" customFormat="1" x14ac:dyDescent="0.25"/>
    <row r="27812" s="42" customFormat="1" x14ac:dyDescent="0.25"/>
    <row r="27813" s="42" customFormat="1" x14ac:dyDescent="0.25"/>
    <row r="27814" s="42" customFormat="1" x14ac:dyDescent="0.25"/>
    <row r="27815" s="42" customFormat="1" x14ac:dyDescent="0.25"/>
    <row r="27816" s="42" customFormat="1" x14ac:dyDescent="0.25"/>
    <row r="27817" s="42" customFormat="1" x14ac:dyDescent="0.25"/>
    <row r="27818" s="42" customFormat="1" x14ac:dyDescent="0.25"/>
    <row r="27819" s="42" customFormat="1" x14ac:dyDescent="0.25"/>
    <row r="27820" s="42" customFormat="1" x14ac:dyDescent="0.25"/>
    <row r="27821" s="42" customFormat="1" x14ac:dyDescent="0.25"/>
    <row r="27822" s="42" customFormat="1" x14ac:dyDescent="0.25"/>
    <row r="27823" s="42" customFormat="1" x14ac:dyDescent="0.25"/>
    <row r="27824" s="42" customFormat="1" x14ac:dyDescent="0.25"/>
    <row r="27825" s="42" customFormat="1" x14ac:dyDescent="0.25"/>
    <row r="27826" s="42" customFormat="1" x14ac:dyDescent="0.25"/>
    <row r="27827" s="42" customFormat="1" x14ac:dyDescent="0.25"/>
    <row r="27828" s="42" customFormat="1" x14ac:dyDescent="0.25"/>
    <row r="27829" s="42" customFormat="1" x14ac:dyDescent="0.25"/>
    <row r="27830" s="42" customFormat="1" x14ac:dyDescent="0.25"/>
    <row r="27831" s="42" customFormat="1" x14ac:dyDescent="0.25"/>
    <row r="27832" s="42" customFormat="1" x14ac:dyDescent="0.25"/>
    <row r="27833" s="42" customFormat="1" x14ac:dyDescent="0.25"/>
    <row r="27834" s="42" customFormat="1" x14ac:dyDescent="0.25"/>
    <row r="27835" s="42" customFormat="1" x14ac:dyDescent="0.25"/>
    <row r="27836" s="42" customFormat="1" x14ac:dyDescent="0.25"/>
    <row r="27837" s="42" customFormat="1" x14ac:dyDescent="0.25"/>
    <row r="27838" s="42" customFormat="1" x14ac:dyDescent="0.25"/>
    <row r="27839" s="42" customFormat="1" x14ac:dyDescent="0.25"/>
    <row r="27840" s="42" customFormat="1" x14ac:dyDescent="0.25"/>
    <row r="27841" s="42" customFormat="1" x14ac:dyDescent="0.25"/>
    <row r="27842" s="42" customFormat="1" x14ac:dyDescent="0.25"/>
    <row r="27843" s="42" customFormat="1" x14ac:dyDescent="0.25"/>
    <row r="27844" s="42" customFormat="1" x14ac:dyDescent="0.25"/>
    <row r="27845" s="42" customFormat="1" x14ac:dyDescent="0.25"/>
    <row r="27846" s="42" customFormat="1" x14ac:dyDescent="0.25"/>
    <row r="27847" s="42" customFormat="1" x14ac:dyDescent="0.25"/>
    <row r="27848" s="42" customFormat="1" x14ac:dyDescent="0.25"/>
    <row r="27849" s="42" customFormat="1" x14ac:dyDescent="0.25"/>
    <row r="27850" s="42" customFormat="1" x14ac:dyDescent="0.25"/>
    <row r="27851" s="42" customFormat="1" x14ac:dyDescent="0.25"/>
    <row r="27852" s="42" customFormat="1" x14ac:dyDescent="0.25"/>
    <row r="27853" s="42" customFormat="1" x14ac:dyDescent="0.25"/>
    <row r="27854" s="42" customFormat="1" x14ac:dyDescent="0.25"/>
    <row r="27855" s="42" customFormat="1" x14ac:dyDescent="0.25"/>
    <row r="27856" s="42" customFormat="1" x14ac:dyDescent="0.25"/>
    <row r="27857" s="42" customFormat="1" x14ac:dyDescent="0.25"/>
    <row r="27858" s="42" customFormat="1" x14ac:dyDescent="0.25"/>
    <row r="27859" s="42" customFormat="1" x14ac:dyDescent="0.25"/>
    <row r="27860" s="42" customFormat="1" x14ac:dyDescent="0.25"/>
    <row r="27861" s="42" customFormat="1" x14ac:dyDescent="0.25"/>
    <row r="27862" s="42" customFormat="1" x14ac:dyDescent="0.25"/>
    <row r="27863" s="42" customFormat="1" x14ac:dyDescent="0.25"/>
    <row r="27864" s="42" customFormat="1" x14ac:dyDescent="0.25"/>
    <row r="27865" s="42" customFormat="1" x14ac:dyDescent="0.25"/>
    <row r="27866" s="42" customFormat="1" x14ac:dyDescent="0.25"/>
    <row r="27867" s="42" customFormat="1" x14ac:dyDescent="0.25"/>
    <row r="27868" s="42" customFormat="1" x14ac:dyDescent="0.25"/>
    <row r="27869" s="42" customFormat="1" x14ac:dyDescent="0.25"/>
    <row r="27870" s="42" customFormat="1" x14ac:dyDescent="0.25"/>
    <row r="27871" s="42" customFormat="1" x14ac:dyDescent="0.25"/>
    <row r="27872" s="42" customFormat="1" x14ac:dyDescent="0.25"/>
    <row r="27873" s="42" customFormat="1" x14ac:dyDescent="0.25"/>
    <row r="27874" s="42" customFormat="1" x14ac:dyDescent="0.25"/>
    <row r="27875" s="42" customFormat="1" x14ac:dyDescent="0.25"/>
    <row r="27876" s="42" customFormat="1" x14ac:dyDescent="0.25"/>
    <row r="27877" s="42" customFormat="1" x14ac:dyDescent="0.25"/>
    <row r="27878" s="42" customFormat="1" x14ac:dyDescent="0.25"/>
    <row r="27879" s="42" customFormat="1" x14ac:dyDescent="0.25"/>
    <row r="27880" s="42" customFormat="1" x14ac:dyDescent="0.25"/>
    <row r="27881" s="42" customFormat="1" x14ac:dyDescent="0.25"/>
    <row r="27882" s="42" customFormat="1" x14ac:dyDescent="0.25"/>
    <row r="27883" s="42" customFormat="1" x14ac:dyDescent="0.25"/>
    <row r="27884" s="42" customFormat="1" x14ac:dyDescent="0.25"/>
    <row r="27885" s="42" customFormat="1" x14ac:dyDescent="0.25"/>
    <row r="27886" s="42" customFormat="1" x14ac:dyDescent="0.25"/>
    <row r="27887" s="42" customFormat="1" x14ac:dyDescent="0.25"/>
    <row r="27888" s="42" customFormat="1" x14ac:dyDescent="0.25"/>
    <row r="27889" s="42" customFormat="1" x14ac:dyDescent="0.25"/>
    <row r="27890" s="42" customFormat="1" x14ac:dyDescent="0.25"/>
    <row r="27891" s="42" customFormat="1" x14ac:dyDescent="0.25"/>
    <row r="27892" s="42" customFormat="1" x14ac:dyDescent="0.25"/>
    <row r="27893" s="42" customFormat="1" x14ac:dyDescent="0.25"/>
    <row r="27894" s="42" customFormat="1" x14ac:dyDescent="0.25"/>
    <row r="27895" s="42" customFormat="1" x14ac:dyDescent="0.25"/>
    <row r="27896" s="42" customFormat="1" x14ac:dyDescent="0.25"/>
    <row r="27897" s="42" customFormat="1" x14ac:dyDescent="0.25"/>
    <row r="27898" s="42" customFormat="1" x14ac:dyDescent="0.25"/>
    <row r="27899" s="42" customFormat="1" x14ac:dyDescent="0.25"/>
    <row r="27900" s="42" customFormat="1" x14ac:dyDescent="0.25"/>
    <row r="27901" s="42" customFormat="1" x14ac:dyDescent="0.25"/>
    <row r="27902" s="42" customFormat="1" x14ac:dyDescent="0.25"/>
    <row r="27903" s="42" customFormat="1" x14ac:dyDescent="0.25"/>
    <row r="27904" s="42" customFormat="1" x14ac:dyDescent="0.25"/>
    <row r="27905" s="42" customFormat="1" x14ac:dyDescent="0.25"/>
    <row r="27906" s="42" customFormat="1" x14ac:dyDescent="0.25"/>
    <row r="27907" s="42" customFormat="1" x14ac:dyDescent="0.25"/>
    <row r="27908" s="42" customFormat="1" x14ac:dyDescent="0.25"/>
    <row r="27909" s="42" customFormat="1" x14ac:dyDescent="0.25"/>
    <row r="27910" s="42" customFormat="1" x14ac:dyDescent="0.25"/>
    <row r="27911" s="42" customFormat="1" x14ac:dyDescent="0.25"/>
    <row r="27912" s="42" customFormat="1" x14ac:dyDescent="0.25"/>
    <row r="27913" s="42" customFormat="1" x14ac:dyDescent="0.25"/>
    <row r="27914" s="42" customFormat="1" x14ac:dyDescent="0.25"/>
    <row r="27915" s="42" customFormat="1" x14ac:dyDescent="0.25"/>
    <row r="27916" s="42" customFormat="1" x14ac:dyDescent="0.25"/>
    <row r="27917" s="42" customFormat="1" x14ac:dyDescent="0.25"/>
    <row r="27918" s="42" customFormat="1" x14ac:dyDescent="0.25"/>
    <row r="27919" s="42" customFormat="1" x14ac:dyDescent="0.25"/>
    <row r="27920" s="42" customFormat="1" x14ac:dyDescent="0.25"/>
    <row r="27921" s="42" customFormat="1" x14ac:dyDescent="0.25"/>
    <row r="27922" s="42" customFormat="1" x14ac:dyDescent="0.25"/>
    <row r="27923" s="42" customFormat="1" x14ac:dyDescent="0.25"/>
    <row r="27924" s="42" customFormat="1" x14ac:dyDescent="0.25"/>
    <row r="27925" s="42" customFormat="1" x14ac:dyDescent="0.25"/>
    <row r="27926" s="42" customFormat="1" x14ac:dyDescent="0.25"/>
    <row r="27927" s="42" customFormat="1" x14ac:dyDescent="0.25"/>
    <row r="27928" s="42" customFormat="1" x14ac:dyDescent="0.25"/>
    <row r="27929" s="42" customFormat="1" x14ac:dyDescent="0.25"/>
    <row r="27930" s="42" customFormat="1" x14ac:dyDescent="0.25"/>
    <row r="27931" s="42" customFormat="1" x14ac:dyDescent="0.25"/>
    <row r="27932" s="42" customFormat="1" x14ac:dyDescent="0.25"/>
    <row r="27933" s="42" customFormat="1" x14ac:dyDescent="0.25"/>
    <row r="27934" s="42" customFormat="1" x14ac:dyDescent="0.25"/>
    <row r="27935" s="42" customFormat="1" x14ac:dyDescent="0.25"/>
    <row r="27936" s="42" customFormat="1" x14ac:dyDescent="0.25"/>
    <row r="27937" s="42" customFormat="1" x14ac:dyDescent="0.25"/>
    <row r="27938" s="42" customFormat="1" x14ac:dyDescent="0.25"/>
    <row r="27939" s="42" customFormat="1" x14ac:dyDescent="0.25"/>
    <row r="27940" s="42" customFormat="1" x14ac:dyDescent="0.25"/>
    <row r="27941" s="42" customFormat="1" x14ac:dyDescent="0.25"/>
    <row r="27942" s="42" customFormat="1" x14ac:dyDescent="0.25"/>
    <row r="27943" s="42" customFormat="1" x14ac:dyDescent="0.25"/>
    <row r="27944" s="42" customFormat="1" x14ac:dyDescent="0.25"/>
    <row r="27945" s="42" customFormat="1" x14ac:dyDescent="0.25"/>
    <row r="27946" s="42" customFormat="1" x14ac:dyDescent="0.25"/>
    <row r="27947" s="42" customFormat="1" x14ac:dyDescent="0.25"/>
    <row r="27948" s="42" customFormat="1" x14ac:dyDescent="0.25"/>
    <row r="27949" s="42" customFormat="1" x14ac:dyDescent="0.25"/>
    <row r="27950" s="42" customFormat="1" x14ac:dyDescent="0.25"/>
    <row r="27951" s="42" customFormat="1" x14ac:dyDescent="0.25"/>
    <row r="27952" s="42" customFormat="1" x14ac:dyDescent="0.25"/>
    <row r="27953" s="42" customFormat="1" x14ac:dyDescent="0.25"/>
    <row r="27954" s="42" customFormat="1" x14ac:dyDescent="0.25"/>
    <row r="27955" s="42" customFormat="1" x14ac:dyDescent="0.25"/>
    <row r="27956" s="42" customFormat="1" x14ac:dyDescent="0.25"/>
    <row r="27957" s="42" customFormat="1" x14ac:dyDescent="0.25"/>
    <row r="27958" s="42" customFormat="1" x14ac:dyDescent="0.25"/>
    <row r="27959" s="42" customFormat="1" x14ac:dyDescent="0.25"/>
    <row r="27960" s="42" customFormat="1" x14ac:dyDescent="0.25"/>
    <row r="27961" s="42" customFormat="1" x14ac:dyDescent="0.25"/>
    <row r="27962" s="42" customFormat="1" x14ac:dyDescent="0.25"/>
    <row r="27963" s="42" customFormat="1" x14ac:dyDescent="0.25"/>
    <row r="27964" s="42" customFormat="1" x14ac:dyDescent="0.25"/>
    <row r="27965" s="42" customFormat="1" x14ac:dyDescent="0.25"/>
    <row r="27966" s="42" customFormat="1" x14ac:dyDescent="0.25"/>
    <row r="27967" s="42" customFormat="1" x14ac:dyDescent="0.25"/>
    <row r="27968" s="42" customFormat="1" x14ac:dyDescent="0.25"/>
    <row r="27969" s="42" customFormat="1" x14ac:dyDescent="0.25"/>
    <row r="27970" s="42" customFormat="1" x14ac:dyDescent="0.25"/>
    <row r="27971" s="42" customFormat="1" x14ac:dyDescent="0.25"/>
    <row r="27972" s="42" customFormat="1" x14ac:dyDescent="0.25"/>
    <row r="27973" s="42" customFormat="1" x14ac:dyDescent="0.25"/>
    <row r="27974" s="42" customFormat="1" x14ac:dyDescent="0.25"/>
    <row r="27975" s="42" customFormat="1" x14ac:dyDescent="0.25"/>
    <row r="27976" s="42" customFormat="1" x14ac:dyDescent="0.25"/>
    <row r="27977" s="42" customFormat="1" x14ac:dyDescent="0.25"/>
    <row r="27978" s="42" customFormat="1" x14ac:dyDescent="0.25"/>
    <row r="27979" s="42" customFormat="1" x14ac:dyDescent="0.25"/>
    <row r="27980" s="42" customFormat="1" x14ac:dyDescent="0.25"/>
    <row r="27981" s="42" customFormat="1" x14ac:dyDescent="0.25"/>
    <row r="27982" s="42" customFormat="1" x14ac:dyDescent="0.25"/>
    <row r="27983" s="42" customFormat="1" x14ac:dyDescent="0.25"/>
    <row r="27984" s="42" customFormat="1" x14ac:dyDescent="0.25"/>
    <row r="27985" s="42" customFormat="1" x14ac:dyDescent="0.25"/>
    <row r="27986" s="42" customFormat="1" x14ac:dyDescent="0.25"/>
    <row r="27987" s="42" customFormat="1" x14ac:dyDescent="0.25"/>
    <row r="27988" s="42" customFormat="1" x14ac:dyDescent="0.25"/>
    <row r="27989" s="42" customFormat="1" x14ac:dyDescent="0.25"/>
    <row r="27990" s="42" customFormat="1" x14ac:dyDescent="0.25"/>
    <row r="27991" s="42" customFormat="1" x14ac:dyDescent="0.25"/>
    <row r="27992" s="42" customFormat="1" x14ac:dyDescent="0.25"/>
    <row r="27993" s="42" customFormat="1" x14ac:dyDescent="0.25"/>
    <row r="27994" s="42" customFormat="1" x14ac:dyDescent="0.25"/>
    <row r="27995" s="42" customFormat="1" x14ac:dyDescent="0.25"/>
    <row r="27996" s="42" customFormat="1" x14ac:dyDescent="0.25"/>
    <row r="27997" s="42" customFormat="1" x14ac:dyDescent="0.25"/>
    <row r="27998" s="42" customFormat="1" x14ac:dyDescent="0.25"/>
    <row r="27999" s="42" customFormat="1" x14ac:dyDescent="0.25"/>
    <row r="28000" s="42" customFormat="1" x14ac:dyDescent="0.25"/>
    <row r="28001" s="42" customFormat="1" x14ac:dyDescent="0.25"/>
    <row r="28002" s="42" customFormat="1" x14ac:dyDescent="0.25"/>
    <row r="28003" s="42" customFormat="1" x14ac:dyDescent="0.25"/>
    <row r="28004" s="42" customFormat="1" x14ac:dyDescent="0.25"/>
    <row r="28005" s="42" customFormat="1" x14ac:dyDescent="0.25"/>
    <row r="28006" s="42" customFormat="1" x14ac:dyDescent="0.25"/>
    <row r="28007" s="42" customFormat="1" x14ac:dyDescent="0.25"/>
    <row r="28008" s="42" customFormat="1" x14ac:dyDescent="0.25"/>
    <row r="28009" s="42" customFormat="1" x14ac:dyDescent="0.25"/>
    <row r="28010" s="42" customFormat="1" x14ac:dyDescent="0.25"/>
    <row r="28011" s="42" customFormat="1" x14ac:dyDescent="0.25"/>
    <row r="28012" s="42" customFormat="1" x14ac:dyDescent="0.25"/>
    <row r="28013" s="42" customFormat="1" x14ac:dyDescent="0.25"/>
    <row r="28014" s="42" customFormat="1" x14ac:dyDescent="0.25"/>
    <row r="28015" s="42" customFormat="1" x14ac:dyDescent="0.25"/>
    <row r="28016" s="42" customFormat="1" x14ac:dyDescent="0.25"/>
    <row r="28017" s="42" customFormat="1" x14ac:dyDescent="0.25"/>
    <row r="28018" s="42" customFormat="1" x14ac:dyDescent="0.25"/>
    <row r="28019" s="42" customFormat="1" x14ac:dyDescent="0.25"/>
    <row r="28020" s="42" customFormat="1" x14ac:dyDescent="0.25"/>
    <row r="28021" s="42" customFormat="1" x14ac:dyDescent="0.25"/>
    <row r="28022" s="42" customFormat="1" x14ac:dyDescent="0.25"/>
    <row r="28023" s="42" customFormat="1" x14ac:dyDescent="0.25"/>
    <row r="28024" s="42" customFormat="1" x14ac:dyDescent="0.25"/>
    <row r="28025" s="42" customFormat="1" x14ac:dyDescent="0.25"/>
    <row r="28026" s="42" customFormat="1" x14ac:dyDescent="0.25"/>
    <row r="28027" s="42" customFormat="1" x14ac:dyDescent="0.25"/>
    <row r="28028" s="42" customFormat="1" x14ac:dyDescent="0.25"/>
    <row r="28029" s="42" customFormat="1" x14ac:dyDescent="0.25"/>
    <row r="28030" s="42" customFormat="1" x14ac:dyDescent="0.25"/>
    <row r="28031" s="42" customFormat="1" x14ac:dyDescent="0.25"/>
    <row r="28032" s="42" customFormat="1" x14ac:dyDescent="0.25"/>
    <row r="28033" s="42" customFormat="1" x14ac:dyDescent="0.25"/>
    <row r="28034" s="42" customFormat="1" x14ac:dyDescent="0.25"/>
    <row r="28035" s="42" customFormat="1" x14ac:dyDescent="0.25"/>
    <row r="28036" s="42" customFormat="1" x14ac:dyDescent="0.25"/>
    <row r="28037" s="42" customFormat="1" x14ac:dyDescent="0.25"/>
    <row r="28038" s="42" customFormat="1" x14ac:dyDescent="0.25"/>
    <row r="28039" s="42" customFormat="1" x14ac:dyDescent="0.25"/>
    <row r="28040" s="42" customFormat="1" x14ac:dyDescent="0.25"/>
    <row r="28041" s="42" customFormat="1" x14ac:dyDescent="0.25"/>
    <row r="28042" s="42" customFormat="1" x14ac:dyDescent="0.25"/>
    <row r="28043" s="42" customFormat="1" x14ac:dyDescent="0.25"/>
    <row r="28044" s="42" customFormat="1" x14ac:dyDescent="0.25"/>
    <row r="28045" s="42" customFormat="1" x14ac:dyDescent="0.25"/>
    <row r="28046" s="42" customFormat="1" x14ac:dyDescent="0.25"/>
    <row r="28047" s="42" customFormat="1" x14ac:dyDescent="0.25"/>
    <row r="28048" s="42" customFormat="1" x14ac:dyDescent="0.25"/>
    <row r="28049" s="42" customFormat="1" x14ac:dyDescent="0.25"/>
    <row r="28050" s="42" customFormat="1" x14ac:dyDescent="0.25"/>
    <row r="28051" s="42" customFormat="1" x14ac:dyDescent="0.25"/>
    <row r="28052" s="42" customFormat="1" x14ac:dyDescent="0.25"/>
    <row r="28053" s="42" customFormat="1" x14ac:dyDescent="0.25"/>
    <row r="28054" s="42" customFormat="1" x14ac:dyDescent="0.25"/>
    <row r="28055" s="42" customFormat="1" x14ac:dyDescent="0.25"/>
    <row r="28056" s="42" customFormat="1" x14ac:dyDescent="0.25"/>
    <row r="28057" s="42" customFormat="1" x14ac:dyDescent="0.25"/>
    <row r="28058" s="42" customFormat="1" x14ac:dyDescent="0.25"/>
    <row r="28059" s="42" customFormat="1" x14ac:dyDescent="0.25"/>
    <row r="28060" s="42" customFormat="1" x14ac:dyDescent="0.25"/>
    <row r="28061" s="42" customFormat="1" x14ac:dyDescent="0.25"/>
    <row r="28062" s="42" customFormat="1" x14ac:dyDescent="0.25"/>
    <row r="28063" s="42" customFormat="1" x14ac:dyDescent="0.25"/>
    <row r="28064" s="42" customFormat="1" x14ac:dyDescent="0.25"/>
    <row r="28065" s="42" customFormat="1" x14ac:dyDescent="0.25"/>
    <row r="28066" s="42" customFormat="1" x14ac:dyDescent="0.25"/>
    <row r="28067" s="42" customFormat="1" x14ac:dyDescent="0.25"/>
    <row r="28068" s="42" customFormat="1" x14ac:dyDescent="0.25"/>
    <row r="28069" s="42" customFormat="1" x14ac:dyDescent="0.25"/>
    <row r="28070" s="42" customFormat="1" x14ac:dyDescent="0.25"/>
    <row r="28071" s="42" customFormat="1" x14ac:dyDescent="0.25"/>
    <row r="28072" s="42" customFormat="1" x14ac:dyDescent="0.25"/>
    <row r="28073" s="42" customFormat="1" x14ac:dyDescent="0.25"/>
    <row r="28074" s="42" customFormat="1" x14ac:dyDescent="0.25"/>
    <row r="28075" s="42" customFormat="1" x14ac:dyDescent="0.25"/>
    <row r="28076" s="42" customFormat="1" x14ac:dyDescent="0.25"/>
    <row r="28077" s="42" customFormat="1" x14ac:dyDescent="0.25"/>
    <row r="28078" s="42" customFormat="1" x14ac:dyDescent="0.25"/>
    <row r="28079" s="42" customFormat="1" x14ac:dyDescent="0.25"/>
    <row r="28080" s="42" customFormat="1" x14ac:dyDescent="0.25"/>
    <row r="28081" s="42" customFormat="1" x14ac:dyDescent="0.25"/>
    <row r="28082" s="42" customFormat="1" x14ac:dyDescent="0.25"/>
    <row r="28083" s="42" customFormat="1" x14ac:dyDescent="0.25"/>
    <row r="28084" s="42" customFormat="1" x14ac:dyDescent="0.25"/>
    <row r="28085" s="42" customFormat="1" x14ac:dyDescent="0.25"/>
    <row r="28086" s="42" customFormat="1" x14ac:dyDescent="0.25"/>
    <row r="28087" s="42" customFormat="1" x14ac:dyDescent="0.25"/>
    <row r="28088" s="42" customFormat="1" x14ac:dyDescent="0.25"/>
    <row r="28089" s="42" customFormat="1" x14ac:dyDescent="0.25"/>
    <row r="28090" s="42" customFormat="1" x14ac:dyDescent="0.25"/>
    <row r="28091" s="42" customFormat="1" x14ac:dyDescent="0.25"/>
    <row r="28092" s="42" customFormat="1" x14ac:dyDescent="0.25"/>
    <row r="28093" s="42" customFormat="1" x14ac:dyDescent="0.25"/>
    <row r="28094" s="42" customFormat="1" x14ac:dyDescent="0.25"/>
    <row r="28095" s="42" customFormat="1" x14ac:dyDescent="0.25"/>
    <row r="28096" s="42" customFormat="1" x14ac:dyDescent="0.25"/>
    <row r="28097" s="42" customFormat="1" x14ac:dyDescent="0.25"/>
    <row r="28098" s="42" customFormat="1" x14ac:dyDescent="0.25"/>
    <row r="28099" s="42" customFormat="1" x14ac:dyDescent="0.25"/>
    <row r="28100" s="42" customFormat="1" x14ac:dyDescent="0.25"/>
    <row r="28101" s="42" customFormat="1" x14ac:dyDescent="0.25"/>
    <row r="28102" s="42" customFormat="1" x14ac:dyDescent="0.25"/>
    <row r="28103" s="42" customFormat="1" x14ac:dyDescent="0.25"/>
    <row r="28104" s="42" customFormat="1" x14ac:dyDescent="0.25"/>
    <row r="28105" s="42" customFormat="1" x14ac:dyDescent="0.25"/>
    <row r="28106" s="42" customFormat="1" x14ac:dyDescent="0.25"/>
    <row r="28107" s="42" customFormat="1" x14ac:dyDescent="0.25"/>
    <row r="28108" s="42" customFormat="1" x14ac:dyDescent="0.25"/>
    <row r="28109" s="42" customFormat="1" x14ac:dyDescent="0.25"/>
    <row r="28110" s="42" customFormat="1" x14ac:dyDescent="0.25"/>
    <row r="28111" s="42" customFormat="1" x14ac:dyDescent="0.25"/>
    <row r="28112" s="42" customFormat="1" x14ac:dyDescent="0.25"/>
    <row r="28113" s="42" customFormat="1" x14ac:dyDescent="0.25"/>
    <row r="28114" s="42" customFormat="1" x14ac:dyDescent="0.25"/>
    <row r="28115" s="42" customFormat="1" x14ac:dyDescent="0.25"/>
    <row r="28116" s="42" customFormat="1" x14ac:dyDescent="0.25"/>
    <row r="28117" s="42" customFormat="1" x14ac:dyDescent="0.25"/>
    <row r="28118" s="42" customFormat="1" x14ac:dyDescent="0.25"/>
    <row r="28119" s="42" customFormat="1" x14ac:dyDescent="0.25"/>
    <row r="28120" s="42" customFormat="1" x14ac:dyDescent="0.25"/>
    <row r="28121" s="42" customFormat="1" x14ac:dyDescent="0.25"/>
    <row r="28122" s="42" customFormat="1" x14ac:dyDescent="0.25"/>
    <row r="28123" s="42" customFormat="1" x14ac:dyDescent="0.25"/>
    <row r="28124" s="42" customFormat="1" x14ac:dyDescent="0.25"/>
    <row r="28125" s="42" customFormat="1" x14ac:dyDescent="0.25"/>
    <row r="28126" s="42" customFormat="1" x14ac:dyDescent="0.25"/>
    <row r="28127" s="42" customFormat="1" x14ac:dyDescent="0.25"/>
    <row r="28128" s="42" customFormat="1" x14ac:dyDescent="0.25"/>
    <row r="28129" s="42" customFormat="1" x14ac:dyDescent="0.25"/>
    <row r="28130" s="42" customFormat="1" x14ac:dyDescent="0.25"/>
    <row r="28131" s="42" customFormat="1" x14ac:dyDescent="0.25"/>
    <row r="28132" s="42" customFormat="1" x14ac:dyDescent="0.25"/>
    <row r="28133" s="42" customFormat="1" x14ac:dyDescent="0.25"/>
    <row r="28134" s="42" customFormat="1" x14ac:dyDescent="0.25"/>
    <row r="28135" s="42" customFormat="1" x14ac:dyDescent="0.25"/>
    <row r="28136" s="42" customFormat="1" x14ac:dyDescent="0.25"/>
    <row r="28137" s="42" customFormat="1" x14ac:dyDescent="0.25"/>
    <row r="28138" s="42" customFormat="1" x14ac:dyDescent="0.25"/>
    <row r="28139" s="42" customFormat="1" x14ac:dyDescent="0.25"/>
    <row r="28140" s="42" customFormat="1" x14ac:dyDescent="0.25"/>
    <row r="28141" s="42" customFormat="1" x14ac:dyDescent="0.25"/>
    <row r="28142" s="42" customFormat="1" x14ac:dyDescent="0.25"/>
    <row r="28143" s="42" customFormat="1" x14ac:dyDescent="0.25"/>
    <row r="28144" s="42" customFormat="1" x14ac:dyDescent="0.25"/>
    <row r="28145" s="42" customFormat="1" x14ac:dyDescent="0.25"/>
    <row r="28146" s="42" customFormat="1" x14ac:dyDescent="0.25"/>
    <row r="28147" s="42" customFormat="1" x14ac:dyDescent="0.25"/>
    <row r="28148" s="42" customFormat="1" x14ac:dyDescent="0.25"/>
    <row r="28149" s="42" customFormat="1" x14ac:dyDescent="0.25"/>
    <row r="28150" s="42" customFormat="1" x14ac:dyDescent="0.25"/>
    <row r="28151" s="42" customFormat="1" x14ac:dyDescent="0.25"/>
    <row r="28152" s="42" customFormat="1" x14ac:dyDescent="0.25"/>
    <row r="28153" s="42" customFormat="1" x14ac:dyDescent="0.25"/>
    <row r="28154" s="42" customFormat="1" x14ac:dyDescent="0.25"/>
    <row r="28155" s="42" customFormat="1" x14ac:dyDescent="0.25"/>
    <row r="28156" s="42" customFormat="1" x14ac:dyDescent="0.25"/>
    <row r="28157" s="42" customFormat="1" x14ac:dyDescent="0.25"/>
    <row r="28158" s="42" customFormat="1" x14ac:dyDescent="0.25"/>
    <row r="28159" s="42" customFormat="1" x14ac:dyDescent="0.25"/>
    <row r="28160" s="42" customFormat="1" x14ac:dyDescent="0.25"/>
    <row r="28161" s="42" customFormat="1" x14ac:dyDescent="0.25"/>
    <row r="28162" s="42" customFormat="1" x14ac:dyDescent="0.25"/>
    <row r="28163" s="42" customFormat="1" x14ac:dyDescent="0.25"/>
    <row r="28164" s="42" customFormat="1" x14ac:dyDescent="0.25"/>
    <row r="28165" s="42" customFormat="1" x14ac:dyDescent="0.25"/>
    <row r="28166" s="42" customFormat="1" x14ac:dyDescent="0.25"/>
    <row r="28167" s="42" customFormat="1" x14ac:dyDescent="0.25"/>
    <row r="28168" s="42" customFormat="1" x14ac:dyDescent="0.25"/>
    <row r="28169" s="42" customFormat="1" x14ac:dyDescent="0.25"/>
    <row r="28170" s="42" customFormat="1" x14ac:dyDescent="0.25"/>
    <row r="28171" s="42" customFormat="1" x14ac:dyDescent="0.25"/>
    <row r="28172" s="42" customFormat="1" x14ac:dyDescent="0.25"/>
    <row r="28173" s="42" customFormat="1" x14ac:dyDescent="0.25"/>
    <row r="28174" s="42" customFormat="1" x14ac:dyDescent="0.25"/>
    <row r="28175" s="42" customFormat="1" x14ac:dyDescent="0.25"/>
    <row r="28176" s="42" customFormat="1" x14ac:dyDescent="0.25"/>
    <row r="28177" s="42" customFormat="1" x14ac:dyDescent="0.25"/>
    <row r="28178" s="42" customFormat="1" x14ac:dyDescent="0.25"/>
    <row r="28179" s="42" customFormat="1" x14ac:dyDescent="0.25"/>
    <row r="28180" s="42" customFormat="1" x14ac:dyDescent="0.25"/>
    <row r="28181" s="42" customFormat="1" x14ac:dyDescent="0.25"/>
    <row r="28182" s="42" customFormat="1" x14ac:dyDescent="0.25"/>
    <row r="28183" s="42" customFormat="1" x14ac:dyDescent="0.25"/>
    <row r="28184" s="42" customFormat="1" x14ac:dyDescent="0.25"/>
    <row r="28185" s="42" customFormat="1" x14ac:dyDescent="0.25"/>
    <row r="28186" s="42" customFormat="1" x14ac:dyDescent="0.25"/>
    <row r="28187" s="42" customFormat="1" x14ac:dyDescent="0.25"/>
    <row r="28188" s="42" customFormat="1" x14ac:dyDescent="0.25"/>
    <row r="28189" s="42" customFormat="1" x14ac:dyDescent="0.25"/>
    <row r="28190" s="42" customFormat="1" x14ac:dyDescent="0.25"/>
    <row r="28191" s="42" customFormat="1" x14ac:dyDescent="0.25"/>
    <row r="28192" s="42" customFormat="1" x14ac:dyDescent="0.25"/>
    <row r="28193" s="42" customFormat="1" x14ac:dyDescent="0.25"/>
    <row r="28194" s="42" customFormat="1" x14ac:dyDescent="0.25"/>
    <row r="28195" s="42" customFormat="1" x14ac:dyDescent="0.25"/>
    <row r="28196" s="42" customFormat="1" x14ac:dyDescent="0.25"/>
    <row r="28197" s="42" customFormat="1" x14ac:dyDescent="0.25"/>
    <row r="28198" s="42" customFormat="1" x14ac:dyDescent="0.25"/>
    <row r="28199" s="42" customFormat="1" x14ac:dyDescent="0.25"/>
    <row r="28200" s="42" customFormat="1" x14ac:dyDescent="0.25"/>
    <row r="28201" s="42" customFormat="1" x14ac:dyDescent="0.25"/>
    <row r="28202" s="42" customFormat="1" x14ac:dyDescent="0.25"/>
    <row r="28203" s="42" customFormat="1" x14ac:dyDescent="0.25"/>
    <row r="28204" s="42" customFormat="1" x14ac:dyDescent="0.25"/>
    <row r="28205" s="42" customFormat="1" x14ac:dyDescent="0.25"/>
    <row r="28206" s="42" customFormat="1" x14ac:dyDescent="0.25"/>
    <row r="28207" s="42" customFormat="1" x14ac:dyDescent="0.25"/>
    <row r="28208" s="42" customFormat="1" x14ac:dyDescent="0.25"/>
    <row r="28209" s="42" customFormat="1" x14ac:dyDescent="0.25"/>
    <row r="28210" s="42" customFormat="1" x14ac:dyDescent="0.25"/>
    <row r="28211" s="42" customFormat="1" x14ac:dyDescent="0.25"/>
    <row r="28212" s="42" customFormat="1" x14ac:dyDescent="0.25"/>
    <row r="28213" s="42" customFormat="1" x14ac:dyDescent="0.25"/>
    <row r="28214" s="42" customFormat="1" x14ac:dyDescent="0.25"/>
    <row r="28215" s="42" customFormat="1" x14ac:dyDescent="0.25"/>
    <row r="28216" s="42" customFormat="1" x14ac:dyDescent="0.25"/>
    <row r="28217" s="42" customFormat="1" x14ac:dyDescent="0.25"/>
    <row r="28218" s="42" customFormat="1" x14ac:dyDescent="0.25"/>
    <row r="28219" s="42" customFormat="1" x14ac:dyDescent="0.25"/>
    <row r="28220" s="42" customFormat="1" x14ac:dyDescent="0.25"/>
    <row r="28221" s="42" customFormat="1" x14ac:dyDescent="0.25"/>
    <row r="28222" s="42" customFormat="1" x14ac:dyDescent="0.25"/>
    <row r="28223" s="42" customFormat="1" x14ac:dyDescent="0.25"/>
    <row r="28224" s="42" customFormat="1" x14ac:dyDescent="0.25"/>
    <row r="28225" s="42" customFormat="1" x14ac:dyDescent="0.25"/>
    <row r="28226" s="42" customFormat="1" x14ac:dyDescent="0.25"/>
    <row r="28227" s="42" customFormat="1" x14ac:dyDescent="0.25"/>
    <row r="28228" s="42" customFormat="1" x14ac:dyDescent="0.25"/>
    <row r="28229" s="42" customFormat="1" x14ac:dyDescent="0.25"/>
    <row r="28230" s="42" customFormat="1" x14ac:dyDescent="0.25"/>
    <row r="28231" s="42" customFormat="1" x14ac:dyDescent="0.25"/>
    <row r="28232" s="42" customFormat="1" x14ac:dyDescent="0.25"/>
    <row r="28233" s="42" customFormat="1" x14ac:dyDescent="0.25"/>
    <row r="28234" s="42" customFormat="1" x14ac:dyDescent="0.25"/>
    <row r="28235" s="42" customFormat="1" x14ac:dyDescent="0.25"/>
    <row r="28236" s="42" customFormat="1" x14ac:dyDescent="0.25"/>
    <row r="28237" s="42" customFormat="1" x14ac:dyDescent="0.25"/>
    <row r="28238" s="42" customFormat="1" x14ac:dyDescent="0.25"/>
    <row r="28239" s="42" customFormat="1" x14ac:dyDescent="0.25"/>
    <row r="28240" s="42" customFormat="1" x14ac:dyDescent="0.25"/>
    <row r="28241" s="42" customFormat="1" x14ac:dyDescent="0.25"/>
    <row r="28242" s="42" customFormat="1" x14ac:dyDescent="0.25"/>
    <row r="28243" s="42" customFormat="1" x14ac:dyDescent="0.25"/>
    <row r="28244" s="42" customFormat="1" x14ac:dyDescent="0.25"/>
    <row r="28245" s="42" customFormat="1" x14ac:dyDescent="0.25"/>
    <row r="28246" s="42" customFormat="1" x14ac:dyDescent="0.25"/>
    <row r="28247" s="42" customFormat="1" x14ac:dyDescent="0.25"/>
    <row r="28248" s="42" customFormat="1" x14ac:dyDescent="0.25"/>
    <row r="28249" s="42" customFormat="1" x14ac:dyDescent="0.25"/>
    <row r="28250" s="42" customFormat="1" x14ac:dyDescent="0.25"/>
    <row r="28251" s="42" customFormat="1" x14ac:dyDescent="0.25"/>
    <row r="28252" s="42" customFormat="1" x14ac:dyDescent="0.25"/>
    <row r="28253" s="42" customFormat="1" x14ac:dyDescent="0.25"/>
    <row r="28254" s="42" customFormat="1" x14ac:dyDescent="0.25"/>
    <row r="28255" s="42" customFormat="1" x14ac:dyDescent="0.25"/>
    <row r="28256" s="42" customFormat="1" x14ac:dyDescent="0.25"/>
    <row r="28257" s="42" customFormat="1" x14ac:dyDescent="0.25"/>
    <row r="28258" s="42" customFormat="1" x14ac:dyDescent="0.25"/>
    <row r="28259" s="42" customFormat="1" x14ac:dyDescent="0.25"/>
    <row r="28260" s="42" customFormat="1" x14ac:dyDescent="0.25"/>
    <row r="28261" s="42" customFormat="1" x14ac:dyDescent="0.25"/>
    <row r="28262" s="42" customFormat="1" x14ac:dyDescent="0.25"/>
    <row r="28263" s="42" customFormat="1" x14ac:dyDescent="0.25"/>
    <row r="28264" s="42" customFormat="1" x14ac:dyDescent="0.25"/>
    <row r="28265" s="42" customFormat="1" x14ac:dyDescent="0.25"/>
    <row r="28266" s="42" customFormat="1" x14ac:dyDescent="0.25"/>
    <row r="28267" s="42" customFormat="1" x14ac:dyDescent="0.25"/>
    <row r="28268" s="42" customFormat="1" x14ac:dyDescent="0.25"/>
    <row r="28269" s="42" customFormat="1" x14ac:dyDescent="0.25"/>
    <row r="28270" s="42" customFormat="1" x14ac:dyDescent="0.25"/>
    <row r="28271" s="42" customFormat="1" x14ac:dyDescent="0.25"/>
    <row r="28272" s="42" customFormat="1" x14ac:dyDescent="0.25"/>
    <row r="28273" s="42" customFormat="1" x14ac:dyDescent="0.25"/>
    <row r="28274" s="42" customFormat="1" x14ac:dyDescent="0.25"/>
    <row r="28275" s="42" customFormat="1" x14ac:dyDescent="0.25"/>
    <row r="28276" s="42" customFormat="1" x14ac:dyDescent="0.25"/>
    <row r="28277" s="42" customFormat="1" x14ac:dyDescent="0.25"/>
    <row r="28278" s="42" customFormat="1" x14ac:dyDescent="0.25"/>
    <row r="28279" s="42" customFormat="1" x14ac:dyDescent="0.25"/>
    <row r="28280" s="42" customFormat="1" x14ac:dyDescent="0.25"/>
    <row r="28281" s="42" customFormat="1" x14ac:dyDescent="0.25"/>
    <row r="28282" s="42" customFormat="1" x14ac:dyDescent="0.25"/>
    <row r="28283" s="42" customFormat="1" x14ac:dyDescent="0.25"/>
    <row r="28284" s="42" customFormat="1" x14ac:dyDescent="0.25"/>
    <row r="28285" s="42" customFormat="1" x14ac:dyDescent="0.25"/>
    <row r="28286" s="42" customFormat="1" x14ac:dyDescent="0.25"/>
    <row r="28287" s="42" customFormat="1" x14ac:dyDescent="0.25"/>
    <row r="28288" s="42" customFormat="1" x14ac:dyDescent="0.25"/>
    <row r="28289" s="42" customFormat="1" x14ac:dyDescent="0.25"/>
    <row r="28290" s="42" customFormat="1" x14ac:dyDescent="0.25"/>
    <row r="28291" s="42" customFormat="1" x14ac:dyDescent="0.25"/>
    <row r="28292" s="42" customFormat="1" x14ac:dyDescent="0.25"/>
    <row r="28293" s="42" customFormat="1" x14ac:dyDescent="0.25"/>
    <row r="28294" s="42" customFormat="1" x14ac:dyDescent="0.25"/>
    <row r="28295" s="42" customFormat="1" x14ac:dyDescent="0.25"/>
    <row r="28296" s="42" customFormat="1" x14ac:dyDescent="0.25"/>
    <row r="28297" s="42" customFormat="1" x14ac:dyDescent="0.25"/>
    <row r="28298" s="42" customFormat="1" x14ac:dyDescent="0.25"/>
    <row r="28299" s="42" customFormat="1" x14ac:dyDescent="0.25"/>
    <row r="28300" s="42" customFormat="1" x14ac:dyDescent="0.25"/>
    <row r="28301" s="42" customFormat="1" x14ac:dyDescent="0.25"/>
    <row r="28302" s="42" customFormat="1" x14ac:dyDescent="0.25"/>
    <row r="28303" s="42" customFormat="1" x14ac:dyDescent="0.25"/>
    <row r="28304" s="42" customFormat="1" x14ac:dyDescent="0.25"/>
    <row r="28305" s="42" customFormat="1" x14ac:dyDescent="0.25"/>
    <row r="28306" s="42" customFormat="1" x14ac:dyDescent="0.25"/>
    <row r="28307" s="42" customFormat="1" x14ac:dyDescent="0.25"/>
    <row r="28308" s="42" customFormat="1" x14ac:dyDescent="0.25"/>
    <row r="28309" s="42" customFormat="1" x14ac:dyDescent="0.25"/>
    <row r="28310" s="42" customFormat="1" x14ac:dyDescent="0.25"/>
    <row r="28311" s="42" customFormat="1" x14ac:dyDescent="0.25"/>
    <row r="28312" s="42" customFormat="1" x14ac:dyDescent="0.25"/>
    <row r="28313" s="42" customFormat="1" x14ac:dyDescent="0.25"/>
    <row r="28314" s="42" customFormat="1" x14ac:dyDescent="0.25"/>
    <row r="28315" s="42" customFormat="1" x14ac:dyDescent="0.25"/>
    <row r="28316" s="42" customFormat="1" x14ac:dyDescent="0.25"/>
    <row r="28317" s="42" customFormat="1" x14ac:dyDescent="0.25"/>
    <row r="28318" s="42" customFormat="1" x14ac:dyDescent="0.25"/>
    <row r="28319" s="42" customFormat="1" x14ac:dyDescent="0.25"/>
    <row r="28320" s="42" customFormat="1" x14ac:dyDescent="0.25"/>
    <row r="28321" s="42" customFormat="1" x14ac:dyDescent="0.25"/>
    <row r="28322" s="42" customFormat="1" x14ac:dyDescent="0.25"/>
    <row r="28323" s="42" customFormat="1" x14ac:dyDescent="0.25"/>
    <row r="28324" s="42" customFormat="1" x14ac:dyDescent="0.25"/>
    <row r="28325" s="42" customFormat="1" x14ac:dyDescent="0.25"/>
    <row r="28326" s="42" customFormat="1" x14ac:dyDescent="0.25"/>
    <row r="28327" s="42" customFormat="1" x14ac:dyDescent="0.25"/>
    <row r="28328" s="42" customFormat="1" x14ac:dyDescent="0.25"/>
    <row r="28329" s="42" customFormat="1" x14ac:dyDescent="0.25"/>
    <row r="28330" s="42" customFormat="1" x14ac:dyDescent="0.25"/>
    <row r="28331" s="42" customFormat="1" x14ac:dyDescent="0.25"/>
    <row r="28332" s="42" customFormat="1" x14ac:dyDescent="0.25"/>
    <row r="28333" s="42" customFormat="1" x14ac:dyDescent="0.25"/>
    <row r="28334" s="42" customFormat="1" x14ac:dyDescent="0.25"/>
    <row r="28335" s="42" customFormat="1" x14ac:dyDescent="0.25"/>
    <row r="28336" s="42" customFormat="1" x14ac:dyDescent="0.25"/>
    <row r="28337" s="42" customFormat="1" x14ac:dyDescent="0.25"/>
    <row r="28338" s="42" customFormat="1" x14ac:dyDescent="0.25"/>
    <row r="28339" s="42" customFormat="1" x14ac:dyDescent="0.25"/>
    <row r="28340" s="42" customFormat="1" x14ac:dyDescent="0.25"/>
    <row r="28341" s="42" customFormat="1" x14ac:dyDescent="0.25"/>
    <row r="28342" s="42" customFormat="1" x14ac:dyDescent="0.25"/>
    <row r="28343" s="42" customFormat="1" x14ac:dyDescent="0.25"/>
    <row r="28344" s="42" customFormat="1" x14ac:dyDescent="0.25"/>
    <row r="28345" s="42" customFormat="1" x14ac:dyDescent="0.25"/>
    <row r="28346" s="42" customFormat="1" x14ac:dyDescent="0.25"/>
    <row r="28347" s="42" customFormat="1" x14ac:dyDescent="0.25"/>
    <row r="28348" s="42" customFormat="1" x14ac:dyDescent="0.25"/>
    <row r="28349" s="42" customFormat="1" x14ac:dyDescent="0.25"/>
    <row r="28350" s="42" customFormat="1" x14ac:dyDescent="0.25"/>
    <row r="28351" s="42" customFormat="1" x14ac:dyDescent="0.25"/>
    <row r="28352" s="42" customFormat="1" x14ac:dyDescent="0.25"/>
    <row r="28353" s="42" customFormat="1" x14ac:dyDescent="0.25"/>
    <row r="28354" s="42" customFormat="1" x14ac:dyDescent="0.25"/>
    <row r="28355" s="42" customFormat="1" x14ac:dyDescent="0.25"/>
    <row r="28356" s="42" customFormat="1" x14ac:dyDescent="0.25"/>
    <row r="28357" s="42" customFormat="1" x14ac:dyDescent="0.25"/>
    <row r="28358" s="42" customFormat="1" x14ac:dyDescent="0.25"/>
    <row r="28359" s="42" customFormat="1" x14ac:dyDescent="0.25"/>
    <row r="28360" s="42" customFormat="1" x14ac:dyDescent="0.25"/>
    <row r="28361" s="42" customFormat="1" x14ac:dyDescent="0.25"/>
    <row r="28362" s="42" customFormat="1" x14ac:dyDescent="0.25"/>
    <row r="28363" s="42" customFormat="1" x14ac:dyDescent="0.25"/>
    <row r="28364" s="42" customFormat="1" x14ac:dyDescent="0.25"/>
    <row r="28365" s="42" customFormat="1" x14ac:dyDescent="0.25"/>
    <row r="28366" s="42" customFormat="1" x14ac:dyDescent="0.25"/>
    <row r="28367" s="42" customFormat="1" x14ac:dyDescent="0.25"/>
    <row r="28368" s="42" customFormat="1" x14ac:dyDescent="0.25"/>
    <row r="28369" s="42" customFormat="1" x14ac:dyDescent="0.25"/>
    <row r="28370" s="42" customFormat="1" x14ac:dyDescent="0.25"/>
    <row r="28371" s="42" customFormat="1" x14ac:dyDescent="0.25"/>
    <row r="28372" s="42" customFormat="1" x14ac:dyDescent="0.25"/>
    <row r="28373" s="42" customFormat="1" x14ac:dyDescent="0.25"/>
    <row r="28374" s="42" customFormat="1" x14ac:dyDescent="0.25"/>
    <row r="28375" s="42" customFormat="1" x14ac:dyDescent="0.25"/>
    <row r="28376" s="42" customFormat="1" x14ac:dyDescent="0.25"/>
    <row r="28377" s="42" customFormat="1" x14ac:dyDescent="0.25"/>
    <row r="28378" s="42" customFormat="1" x14ac:dyDescent="0.25"/>
    <row r="28379" s="42" customFormat="1" x14ac:dyDescent="0.25"/>
    <row r="28380" s="42" customFormat="1" x14ac:dyDescent="0.25"/>
    <row r="28381" s="42" customFormat="1" x14ac:dyDescent="0.25"/>
    <row r="28382" s="42" customFormat="1" x14ac:dyDescent="0.25"/>
    <row r="28383" s="42" customFormat="1" x14ac:dyDescent="0.25"/>
    <row r="28384" s="42" customFormat="1" x14ac:dyDescent="0.25"/>
    <row r="28385" s="42" customFormat="1" x14ac:dyDescent="0.25"/>
    <row r="28386" s="42" customFormat="1" x14ac:dyDescent="0.25"/>
    <row r="28387" s="42" customFormat="1" x14ac:dyDescent="0.25"/>
    <row r="28388" s="42" customFormat="1" x14ac:dyDescent="0.25"/>
    <row r="28389" s="42" customFormat="1" x14ac:dyDescent="0.25"/>
    <row r="28390" s="42" customFormat="1" x14ac:dyDescent="0.25"/>
    <row r="28391" s="42" customFormat="1" x14ac:dyDescent="0.25"/>
    <row r="28392" s="42" customFormat="1" x14ac:dyDescent="0.25"/>
    <row r="28393" s="42" customFormat="1" x14ac:dyDescent="0.25"/>
    <row r="28394" s="42" customFormat="1" x14ac:dyDescent="0.25"/>
    <row r="28395" s="42" customFormat="1" x14ac:dyDescent="0.25"/>
    <row r="28396" s="42" customFormat="1" x14ac:dyDescent="0.25"/>
    <row r="28397" s="42" customFormat="1" x14ac:dyDescent="0.25"/>
    <row r="28398" s="42" customFormat="1" x14ac:dyDescent="0.25"/>
    <row r="28399" s="42" customFormat="1" x14ac:dyDescent="0.25"/>
    <row r="28400" s="42" customFormat="1" x14ac:dyDescent="0.25"/>
    <row r="28401" s="42" customFormat="1" x14ac:dyDescent="0.25"/>
    <row r="28402" s="42" customFormat="1" x14ac:dyDescent="0.25"/>
    <row r="28403" s="42" customFormat="1" x14ac:dyDescent="0.25"/>
    <row r="28404" s="42" customFormat="1" x14ac:dyDescent="0.25"/>
    <row r="28405" s="42" customFormat="1" x14ac:dyDescent="0.25"/>
    <row r="28406" s="42" customFormat="1" x14ac:dyDescent="0.25"/>
    <row r="28407" s="42" customFormat="1" x14ac:dyDescent="0.25"/>
    <row r="28408" s="42" customFormat="1" x14ac:dyDescent="0.25"/>
    <row r="28409" s="42" customFormat="1" x14ac:dyDescent="0.25"/>
    <row r="28410" s="42" customFormat="1" x14ac:dyDescent="0.25"/>
    <row r="28411" s="42" customFormat="1" x14ac:dyDescent="0.25"/>
    <row r="28412" s="42" customFormat="1" x14ac:dyDescent="0.25"/>
    <row r="28413" s="42" customFormat="1" x14ac:dyDescent="0.25"/>
    <row r="28414" s="42" customFormat="1" x14ac:dyDescent="0.25"/>
    <row r="28415" s="42" customFormat="1" x14ac:dyDescent="0.25"/>
    <row r="28416" s="42" customFormat="1" x14ac:dyDescent="0.25"/>
    <row r="28417" s="42" customFormat="1" x14ac:dyDescent="0.25"/>
    <row r="28418" s="42" customFormat="1" x14ac:dyDescent="0.25"/>
    <row r="28419" s="42" customFormat="1" x14ac:dyDescent="0.25"/>
    <row r="28420" s="42" customFormat="1" x14ac:dyDescent="0.25"/>
    <row r="28421" s="42" customFormat="1" x14ac:dyDescent="0.25"/>
    <row r="28422" s="42" customFormat="1" x14ac:dyDescent="0.25"/>
    <row r="28423" s="42" customFormat="1" x14ac:dyDescent="0.25"/>
    <row r="28424" s="42" customFormat="1" x14ac:dyDescent="0.25"/>
    <row r="28425" s="42" customFormat="1" x14ac:dyDescent="0.25"/>
    <row r="28426" s="42" customFormat="1" x14ac:dyDescent="0.25"/>
    <row r="28427" s="42" customFormat="1" x14ac:dyDescent="0.25"/>
    <row r="28428" s="42" customFormat="1" x14ac:dyDescent="0.25"/>
    <row r="28429" s="42" customFormat="1" x14ac:dyDescent="0.25"/>
    <row r="28430" s="42" customFormat="1" x14ac:dyDescent="0.25"/>
    <row r="28431" s="42" customFormat="1" x14ac:dyDescent="0.25"/>
    <row r="28432" s="42" customFormat="1" x14ac:dyDescent="0.25"/>
    <row r="28433" s="42" customFormat="1" x14ac:dyDescent="0.25"/>
    <row r="28434" s="42" customFormat="1" x14ac:dyDescent="0.25"/>
    <row r="28435" s="42" customFormat="1" x14ac:dyDescent="0.25"/>
    <row r="28436" s="42" customFormat="1" x14ac:dyDescent="0.25"/>
    <row r="28437" s="42" customFormat="1" x14ac:dyDescent="0.25"/>
    <row r="28438" s="42" customFormat="1" x14ac:dyDescent="0.25"/>
    <row r="28439" s="42" customFormat="1" x14ac:dyDescent="0.25"/>
    <row r="28440" s="42" customFormat="1" x14ac:dyDescent="0.25"/>
    <row r="28441" s="42" customFormat="1" x14ac:dyDescent="0.25"/>
    <row r="28442" s="42" customFormat="1" x14ac:dyDescent="0.25"/>
    <row r="28443" s="42" customFormat="1" x14ac:dyDescent="0.25"/>
    <row r="28444" s="42" customFormat="1" x14ac:dyDescent="0.25"/>
    <row r="28445" s="42" customFormat="1" x14ac:dyDescent="0.25"/>
    <row r="28446" s="42" customFormat="1" x14ac:dyDescent="0.25"/>
    <row r="28447" s="42" customFormat="1" x14ac:dyDescent="0.25"/>
    <row r="28448" s="42" customFormat="1" x14ac:dyDescent="0.25"/>
    <row r="28449" s="42" customFormat="1" x14ac:dyDescent="0.25"/>
    <row r="28450" s="42" customFormat="1" x14ac:dyDescent="0.25"/>
    <row r="28451" s="42" customFormat="1" x14ac:dyDescent="0.25"/>
    <row r="28452" s="42" customFormat="1" x14ac:dyDescent="0.25"/>
    <row r="28453" s="42" customFormat="1" x14ac:dyDescent="0.25"/>
    <row r="28454" s="42" customFormat="1" x14ac:dyDescent="0.25"/>
    <row r="28455" s="42" customFormat="1" x14ac:dyDescent="0.25"/>
    <row r="28456" s="42" customFormat="1" x14ac:dyDescent="0.25"/>
    <row r="28457" s="42" customFormat="1" x14ac:dyDescent="0.25"/>
    <row r="28458" s="42" customFormat="1" x14ac:dyDescent="0.25"/>
    <row r="28459" s="42" customFormat="1" x14ac:dyDescent="0.25"/>
    <row r="28460" s="42" customFormat="1" x14ac:dyDescent="0.25"/>
    <row r="28461" s="42" customFormat="1" x14ac:dyDescent="0.25"/>
    <row r="28462" s="42" customFormat="1" x14ac:dyDescent="0.25"/>
    <row r="28463" s="42" customFormat="1" x14ac:dyDescent="0.25"/>
    <row r="28464" s="42" customFormat="1" x14ac:dyDescent="0.25"/>
    <row r="28465" s="42" customFormat="1" x14ac:dyDescent="0.25"/>
    <row r="28466" s="42" customFormat="1" x14ac:dyDescent="0.25"/>
    <row r="28467" s="42" customFormat="1" x14ac:dyDescent="0.25"/>
    <row r="28468" s="42" customFormat="1" x14ac:dyDescent="0.25"/>
    <row r="28469" s="42" customFormat="1" x14ac:dyDescent="0.25"/>
    <row r="28470" s="42" customFormat="1" x14ac:dyDescent="0.25"/>
    <row r="28471" s="42" customFormat="1" x14ac:dyDescent="0.25"/>
    <row r="28472" s="42" customFormat="1" x14ac:dyDescent="0.25"/>
    <row r="28473" s="42" customFormat="1" x14ac:dyDescent="0.25"/>
    <row r="28474" s="42" customFormat="1" x14ac:dyDescent="0.25"/>
    <row r="28475" s="42" customFormat="1" x14ac:dyDescent="0.25"/>
    <row r="28476" s="42" customFormat="1" x14ac:dyDescent="0.25"/>
    <row r="28477" s="42" customFormat="1" x14ac:dyDescent="0.25"/>
    <row r="28478" s="42" customFormat="1" x14ac:dyDescent="0.25"/>
    <row r="28479" s="42" customFormat="1" x14ac:dyDescent="0.25"/>
    <row r="28480" s="42" customFormat="1" x14ac:dyDescent="0.25"/>
    <row r="28481" s="42" customFormat="1" x14ac:dyDescent="0.25"/>
    <row r="28482" s="42" customFormat="1" x14ac:dyDescent="0.25"/>
    <row r="28483" s="42" customFormat="1" x14ac:dyDescent="0.25"/>
    <row r="28484" s="42" customFormat="1" x14ac:dyDescent="0.25"/>
    <row r="28485" s="42" customFormat="1" x14ac:dyDescent="0.25"/>
    <row r="28486" s="42" customFormat="1" x14ac:dyDescent="0.25"/>
    <row r="28487" s="42" customFormat="1" x14ac:dyDescent="0.25"/>
    <row r="28488" s="42" customFormat="1" x14ac:dyDescent="0.25"/>
    <row r="28489" s="42" customFormat="1" x14ac:dyDescent="0.25"/>
    <row r="28490" s="42" customFormat="1" x14ac:dyDescent="0.25"/>
    <row r="28491" s="42" customFormat="1" x14ac:dyDescent="0.25"/>
    <row r="28492" s="42" customFormat="1" x14ac:dyDescent="0.25"/>
    <row r="28493" s="42" customFormat="1" x14ac:dyDescent="0.25"/>
    <row r="28494" s="42" customFormat="1" x14ac:dyDescent="0.25"/>
    <row r="28495" s="42" customFormat="1" x14ac:dyDescent="0.25"/>
    <row r="28496" s="42" customFormat="1" x14ac:dyDescent="0.25"/>
    <row r="28497" s="42" customFormat="1" x14ac:dyDescent="0.25"/>
    <row r="28498" s="42" customFormat="1" x14ac:dyDescent="0.25"/>
    <row r="28499" s="42" customFormat="1" x14ac:dyDescent="0.25"/>
    <row r="28500" s="42" customFormat="1" x14ac:dyDescent="0.25"/>
    <row r="28501" s="42" customFormat="1" x14ac:dyDescent="0.25"/>
    <row r="28502" s="42" customFormat="1" x14ac:dyDescent="0.25"/>
    <row r="28503" s="42" customFormat="1" x14ac:dyDescent="0.25"/>
    <row r="28504" s="42" customFormat="1" x14ac:dyDescent="0.25"/>
    <row r="28505" s="42" customFormat="1" x14ac:dyDescent="0.25"/>
    <row r="28506" s="42" customFormat="1" x14ac:dyDescent="0.25"/>
    <row r="28507" s="42" customFormat="1" x14ac:dyDescent="0.25"/>
    <row r="28508" s="42" customFormat="1" x14ac:dyDescent="0.25"/>
    <row r="28509" s="42" customFormat="1" x14ac:dyDescent="0.25"/>
    <row r="28510" s="42" customFormat="1" x14ac:dyDescent="0.25"/>
    <row r="28511" s="42" customFormat="1" x14ac:dyDescent="0.25"/>
    <row r="28512" s="42" customFormat="1" x14ac:dyDescent="0.25"/>
    <row r="28513" s="42" customFormat="1" x14ac:dyDescent="0.25"/>
    <row r="28514" s="42" customFormat="1" x14ac:dyDescent="0.25"/>
    <row r="28515" s="42" customFormat="1" x14ac:dyDescent="0.25"/>
    <row r="28516" s="42" customFormat="1" x14ac:dyDescent="0.25"/>
    <row r="28517" s="42" customFormat="1" x14ac:dyDescent="0.25"/>
    <row r="28518" s="42" customFormat="1" x14ac:dyDescent="0.25"/>
    <row r="28519" s="42" customFormat="1" x14ac:dyDescent="0.25"/>
    <row r="28520" s="42" customFormat="1" x14ac:dyDescent="0.25"/>
    <row r="28521" s="42" customFormat="1" x14ac:dyDescent="0.25"/>
    <row r="28522" s="42" customFormat="1" x14ac:dyDescent="0.25"/>
    <row r="28523" s="42" customFormat="1" x14ac:dyDescent="0.25"/>
    <row r="28524" s="42" customFormat="1" x14ac:dyDescent="0.25"/>
    <row r="28525" s="42" customFormat="1" x14ac:dyDescent="0.25"/>
    <row r="28526" s="42" customFormat="1" x14ac:dyDescent="0.25"/>
    <row r="28527" s="42" customFormat="1" x14ac:dyDescent="0.25"/>
    <row r="28528" s="42" customFormat="1" x14ac:dyDescent="0.25"/>
    <row r="28529" s="42" customFormat="1" x14ac:dyDescent="0.25"/>
    <row r="28530" s="42" customFormat="1" x14ac:dyDescent="0.25"/>
    <row r="28531" s="42" customFormat="1" x14ac:dyDescent="0.25"/>
    <row r="28532" s="42" customFormat="1" x14ac:dyDescent="0.25"/>
    <row r="28533" s="42" customFormat="1" x14ac:dyDescent="0.25"/>
    <row r="28534" s="42" customFormat="1" x14ac:dyDescent="0.25"/>
    <row r="28535" s="42" customFormat="1" x14ac:dyDescent="0.25"/>
    <row r="28536" s="42" customFormat="1" x14ac:dyDescent="0.25"/>
    <row r="28537" s="42" customFormat="1" x14ac:dyDescent="0.25"/>
    <row r="28538" s="42" customFormat="1" x14ac:dyDescent="0.25"/>
    <row r="28539" s="42" customFormat="1" x14ac:dyDescent="0.25"/>
    <row r="28540" s="42" customFormat="1" x14ac:dyDescent="0.25"/>
    <row r="28541" s="42" customFormat="1" x14ac:dyDescent="0.25"/>
    <row r="28542" s="42" customFormat="1" x14ac:dyDescent="0.25"/>
    <row r="28543" s="42" customFormat="1" x14ac:dyDescent="0.25"/>
    <row r="28544" s="42" customFormat="1" x14ac:dyDescent="0.25"/>
    <row r="28545" s="42" customFormat="1" x14ac:dyDescent="0.25"/>
    <row r="28546" s="42" customFormat="1" x14ac:dyDescent="0.25"/>
    <row r="28547" s="42" customFormat="1" x14ac:dyDescent="0.25"/>
    <row r="28548" s="42" customFormat="1" x14ac:dyDescent="0.25"/>
    <row r="28549" s="42" customFormat="1" x14ac:dyDescent="0.25"/>
    <row r="28550" s="42" customFormat="1" x14ac:dyDescent="0.25"/>
    <row r="28551" s="42" customFormat="1" x14ac:dyDescent="0.25"/>
    <row r="28552" s="42" customFormat="1" x14ac:dyDescent="0.25"/>
    <row r="28553" s="42" customFormat="1" x14ac:dyDescent="0.25"/>
    <row r="28554" s="42" customFormat="1" x14ac:dyDescent="0.25"/>
    <row r="28555" s="42" customFormat="1" x14ac:dyDescent="0.25"/>
    <row r="28556" s="42" customFormat="1" x14ac:dyDescent="0.25"/>
    <row r="28557" s="42" customFormat="1" x14ac:dyDescent="0.25"/>
    <row r="28558" s="42" customFormat="1" x14ac:dyDescent="0.25"/>
    <row r="28559" s="42" customFormat="1" x14ac:dyDescent="0.25"/>
    <row r="28560" s="42" customFormat="1" x14ac:dyDescent="0.25"/>
    <row r="28561" s="42" customFormat="1" x14ac:dyDescent="0.25"/>
    <row r="28562" s="42" customFormat="1" x14ac:dyDescent="0.25"/>
    <row r="28563" s="42" customFormat="1" x14ac:dyDescent="0.25"/>
    <row r="28564" s="42" customFormat="1" x14ac:dyDescent="0.25"/>
    <row r="28565" s="42" customFormat="1" x14ac:dyDescent="0.25"/>
    <row r="28566" s="42" customFormat="1" x14ac:dyDescent="0.25"/>
    <row r="28567" s="42" customFormat="1" x14ac:dyDescent="0.25"/>
    <row r="28568" s="42" customFormat="1" x14ac:dyDescent="0.25"/>
    <row r="28569" s="42" customFormat="1" x14ac:dyDescent="0.25"/>
    <row r="28570" s="42" customFormat="1" x14ac:dyDescent="0.25"/>
    <row r="28571" s="42" customFormat="1" x14ac:dyDescent="0.25"/>
    <row r="28572" s="42" customFormat="1" x14ac:dyDescent="0.25"/>
    <row r="28573" s="42" customFormat="1" x14ac:dyDescent="0.25"/>
    <row r="28574" s="42" customFormat="1" x14ac:dyDescent="0.25"/>
    <row r="28575" s="42" customFormat="1" x14ac:dyDescent="0.25"/>
    <row r="28576" s="42" customFormat="1" x14ac:dyDescent="0.25"/>
    <row r="28577" s="42" customFormat="1" x14ac:dyDescent="0.25"/>
    <row r="28578" s="42" customFormat="1" x14ac:dyDescent="0.25"/>
    <row r="28579" s="42" customFormat="1" x14ac:dyDescent="0.25"/>
    <row r="28580" s="42" customFormat="1" x14ac:dyDescent="0.25"/>
    <row r="28581" s="42" customFormat="1" x14ac:dyDescent="0.25"/>
    <row r="28582" s="42" customFormat="1" x14ac:dyDescent="0.25"/>
    <row r="28583" s="42" customFormat="1" x14ac:dyDescent="0.25"/>
    <row r="28584" s="42" customFormat="1" x14ac:dyDescent="0.25"/>
    <row r="28585" s="42" customFormat="1" x14ac:dyDescent="0.25"/>
    <row r="28586" s="42" customFormat="1" x14ac:dyDescent="0.25"/>
    <row r="28587" s="42" customFormat="1" x14ac:dyDescent="0.25"/>
    <row r="28588" s="42" customFormat="1" x14ac:dyDescent="0.25"/>
    <row r="28589" s="42" customFormat="1" x14ac:dyDescent="0.25"/>
    <row r="28590" s="42" customFormat="1" x14ac:dyDescent="0.25"/>
    <row r="28591" s="42" customFormat="1" x14ac:dyDescent="0.25"/>
    <row r="28592" s="42" customFormat="1" x14ac:dyDescent="0.25"/>
    <row r="28593" s="42" customFormat="1" x14ac:dyDescent="0.25"/>
    <row r="28594" s="42" customFormat="1" x14ac:dyDescent="0.25"/>
    <row r="28595" s="42" customFormat="1" x14ac:dyDescent="0.25"/>
    <row r="28596" s="42" customFormat="1" x14ac:dyDescent="0.25"/>
    <row r="28597" s="42" customFormat="1" x14ac:dyDescent="0.25"/>
    <row r="28598" s="42" customFormat="1" x14ac:dyDescent="0.25"/>
    <row r="28599" s="42" customFormat="1" x14ac:dyDescent="0.25"/>
    <row r="28600" s="42" customFormat="1" x14ac:dyDescent="0.25"/>
    <row r="28601" s="42" customFormat="1" x14ac:dyDescent="0.25"/>
    <row r="28602" s="42" customFormat="1" x14ac:dyDescent="0.25"/>
    <row r="28603" s="42" customFormat="1" x14ac:dyDescent="0.25"/>
    <row r="28604" s="42" customFormat="1" x14ac:dyDescent="0.25"/>
    <row r="28605" s="42" customFormat="1" x14ac:dyDescent="0.25"/>
    <row r="28606" s="42" customFormat="1" x14ac:dyDescent="0.25"/>
    <row r="28607" s="42" customFormat="1" x14ac:dyDescent="0.25"/>
    <row r="28608" s="42" customFormat="1" x14ac:dyDescent="0.25"/>
    <row r="28609" s="42" customFormat="1" x14ac:dyDescent="0.25"/>
    <row r="28610" s="42" customFormat="1" x14ac:dyDescent="0.25"/>
    <row r="28611" s="42" customFormat="1" x14ac:dyDescent="0.25"/>
    <row r="28612" s="42" customFormat="1" x14ac:dyDescent="0.25"/>
    <row r="28613" s="42" customFormat="1" x14ac:dyDescent="0.25"/>
    <row r="28614" s="42" customFormat="1" x14ac:dyDescent="0.25"/>
    <row r="28615" s="42" customFormat="1" x14ac:dyDescent="0.25"/>
    <row r="28616" s="42" customFormat="1" x14ac:dyDescent="0.25"/>
    <row r="28617" s="42" customFormat="1" x14ac:dyDescent="0.25"/>
    <row r="28618" s="42" customFormat="1" x14ac:dyDescent="0.25"/>
    <row r="28619" s="42" customFormat="1" x14ac:dyDescent="0.25"/>
    <row r="28620" s="42" customFormat="1" x14ac:dyDescent="0.25"/>
    <row r="28621" s="42" customFormat="1" x14ac:dyDescent="0.25"/>
    <row r="28622" s="42" customFormat="1" x14ac:dyDescent="0.25"/>
    <row r="28623" s="42" customFormat="1" x14ac:dyDescent="0.25"/>
    <row r="28624" s="42" customFormat="1" x14ac:dyDescent="0.25"/>
    <row r="28625" s="42" customFormat="1" x14ac:dyDescent="0.25"/>
    <row r="28626" s="42" customFormat="1" x14ac:dyDescent="0.25"/>
    <row r="28627" s="42" customFormat="1" x14ac:dyDescent="0.25"/>
    <row r="28628" s="42" customFormat="1" x14ac:dyDescent="0.25"/>
    <row r="28629" s="42" customFormat="1" x14ac:dyDescent="0.25"/>
    <row r="28630" s="42" customFormat="1" x14ac:dyDescent="0.25"/>
    <row r="28631" s="42" customFormat="1" x14ac:dyDescent="0.25"/>
    <row r="28632" s="42" customFormat="1" x14ac:dyDescent="0.25"/>
    <row r="28633" s="42" customFormat="1" x14ac:dyDescent="0.25"/>
    <row r="28634" s="42" customFormat="1" x14ac:dyDescent="0.25"/>
    <row r="28635" s="42" customFormat="1" x14ac:dyDescent="0.25"/>
    <row r="28636" s="42" customFormat="1" x14ac:dyDescent="0.25"/>
    <row r="28637" s="42" customFormat="1" x14ac:dyDescent="0.25"/>
    <row r="28638" s="42" customFormat="1" x14ac:dyDescent="0.25"/>
    <row r="28639" s="42" customFormat="1" x14ac:dyDescent="0.25"/>
    <row r="28640" s="42" customFormat="1" x14ac:dyDescent="0.25"/>
    <row r="28641" s="42" customFormat="1" x14ac:dyDescent="0.25"/>
    <row r="28642" s="42" customFormat="1" x14ac:dyDescent="0.25"/>
    <row r="28643" s="42" customFormat="1" x14ac:dyDescent="0.25"/>
    <row r="28644" s="42" customFormat="1" x14ac:dyDescent="0.25"/>
    <row r="28645" s="42" customFormat="1" x14ac:dyDescent="0.25"/>
    <row r="28646" s="42" customFormat="1" x14ac:dyDescent="0.25"/>
    <row r="28647" s="42" customFormat="1" x14ac:dyDescent="0.25"/>
    <row r="28648" s="42" customFormat="1" x14ac:dyDescent="0.25"/>
    <row r="28649" s="42" customFormat="1" x14ac:dyDescent="0.25"/>
    <row r="28650" s="42" customFormat="1" x14ac:dyDescent="0.25"/>
    <row r="28651" s="42" customFormat="1" x14ac:dyDescent="0.25"/>
    <row r="28652" s="42" customFormat="1" x14ac:dyDescent="0.25"/>
    <row r="28653" s="42" customFormat="1" x14ac:dyDescent="0.25"/>
    <row r="28654" s="42" customFormat="1" x14ac:dyDescent="0.25"/>
    <row r="28655" s="42" customFormat="1" x14ac:dyDescent="0.25"/>
    <row r="28656" s="42" customFormat="1" x14ac:dyDescent="0.25"/>
    <row r="28657" s="42" customFormat="1" x14ac:dyDescent="0.25"/>
    <row r="28658" s="42" customFormat="1" x14ac:dyDescent="0.25"/>
    <row r="28659" s="42" customFormat="1" x14ac:dyDescent="0.25"/>
    <row r="28660" s="42" customFormat="1" x14ac:dyDescent="0.25"/>
    <row r="28661" s="42" customFormat="1" x14ac:dyDescent="0.25"/>
    <row r="28662" s="42" customFormat="1" x14ac:dyDescent="0.25"/>
    <row r="28663" s="42" customFormat="1" x14ac:dyDescent="0.25"/>
    <row r="28664" s="42" customFormat="1" x14ac:dyDescent="0.25"/>
    <row r="28665" s="42" customFormat="1" x14ac:dyDescent="0.25"/>
    <row r="28666" s="42" customFormat="1" x14ac:dyDescent="0.25"/>
    <row r="28667" s="42" customFormat="1" x14ac:dyDescent="0.25"/>
    <row r="28668" s="42" customFormat="1" x14ac:dyDescent="0.25"/>
    <row r="28669" s="42" customFormat="1" x14ac:dyDescent="0.25"/>
    <row r="28670" s="42" customFormat="1" x14ac:dyDescent="0.25"/>
    <row r="28671" s="42" customFormat="1" x14ac:dyDescent="0.25"/>
    <row r="28672" s="42" customFormat="1" x14ac:dyDescent="0.25"/>
    <row r="28673" s="42" customFormat="1" x14ac:dyDescent="0.25"/>
    <row r="28674" s="42" customFormat="1" x14ac:dyDescent="0.25"/>
    <row r="28675" s="42" customFormat="1" x14ac:dyDescent="0.25"/>
    <row r="28676" s="42" customFormat="1" x14ac:dyDescent="0.25"/>
    <row r="28677" s="42" customFormat="1" x14ac:dyDescent="0.25"/>
    <row r="28678" s="42" customFormat="1" x14ac:dyDescent="0.25"/>
    <row r="28679" s="42" customFormat="1" x14ac:dyDescent="0.25"/>
    <row r="28680" s="42" customFormat="1" x14ac:dyDescent="0.25"/>
    <row r="28681" s="42" customFormat="1" x14ac:dyDescent="0.25"/>
    <row r="28682" s="42" customFormat="1" x14ac:dyDescent="0.25"/>
    <row r="28683" s="42" customFormat="1" x14ac:dyDescent="0.25"/>
    <row r="28684" s="42" customFormat="1" x14ac:dyDescent="0.25"/>
    <row r="28685" s="42" customFormat="1" x14ac:dyDescent="0.25"/>
    <row r="28686" s="42" customFormat="1" x14ac:dyDescent="0.25"/>
    <row r="28687" s="42" customFormat="1" x14ac:dyDescent="0.25"/>
    <row r="28688" s="42" customFormat="1" x14ac:dyDescent="0.25"/>
    <row r="28689" s="42" customFormat="1" x14ac:dyDescent="0.25"/>
    <row r="28690" s="42" customFormat="1" x14ac:dyDescent="0.25"/>
    <row r="28691" s="42" customFormat="1" x14ac:dyDescent="0.25"/>
    <row r="28692" s="42" customFormat="1" x14ac:dyDescent="0.25"/>
    <row r="28693" s="42" customFormat="1" x14ac:dyDescent="0.25"/>
    <row r="28694" s="42" customFormat="1" x14ac:dyDescent="0.25"/>
    <row r="28695" s="42" customFormat="1" x14ac:dyDescent="0.25"/>
    <row r="28696" s="42" customFormat="1" x14ac:dyDescent="0.25"/>
    <row r="28697" s="42" customFormat="1" x14ac:dyDescent="0.25"/>
    <row r="28698" s="42" customFormat="1" x14ac:dyDescent="0.25"/>
    <row r="28699" s="42" customFormat="1" x14ac:dyDescent="0.25"/>
    <row r="28700" s="42" customFormat="1" x14ac:dyDescent="0.25"/>
    <row r="28701" s="42" customFormat="1" x14ac:dyDescent="0.25"/>
    <row r="28702" s="42" customFormat="1" x14ac:dyDescent="0.25"/>
    <row r="28703" s="42" customFormat="1" x14ac:dyDescent="0.25"/>
    <row r="28704" s="42" customFormat="1" x14ac:dyDescent="0.25"/>
    <row r="28705" s="42" customFormat="1" x14ac:dyDescent="0.25"/>
    <row r="28706" s="42" customFormat="1" x14ac:dyDescent="0.25"/>
    <row r="28707" s="42" customFormat="1" x14ac:dyDescent="0.25"/>
    <row r="28708" s="42" customFormat="1" x14ac:dyDescent="0.25"/>
    <row r="28709" s="42" customFormat="1" x14ac:dyDescent="0.25"/>
    <row r="28710" s="42" customFormat="1" x14ac:dyDescent="0.25"/>
    <row r="28711" s="42" customFormat="1" x14ac:dyDescent="0.25"/>
    <row r="28712" s="42" customFormat="1" x14ac:dyDescent="0.25"/>
    <row r="28713" s="42" customFormat="1" x14ac:dyDescent="0.25"/>
    <row r="28714" s="42" customFormat="1" x14ac:dyDescent="0.25"/>
    <row r="28715" s="42" customFormat="1" x14ac:dyDescent="0.25"/>
    <row r="28716" s="42" customFormat="1" x14ac:dyDescent="0.25"/>
    <row r="28717" s="42" customFormat="1" x14ac:dyDescent="0.25"/>
    <row r="28718" s="42" customFormat="1" x14ac:dyDescent="0.25"/>
    <row r="28719" s="42" customFormat="1" x14ac:dyDescent="0.25"/>
    <row r="28720" s="42" customFormat="1" x14ac:dyDescent="0.25"/>
    <row r="28721" s="42" customFormat="1" x14ac:dyDescent="0.25"/>
    <row r="28722" s="42" customFormat="1" x14ac:dyDescent="0.25"/>
    <row r="28723" s="42" customFormat="1" x14ac:dyDescent="0.25"/>
    <row r="28724" s="42" customFormat="1" x14ac:dyDescent="0.25"/>
    <row r="28725" s="42" customFormat="1" x14ac:dyDescent="0.25"/>
    <row r="28726" s="42" customFormat="1" x14ac:dyDescent="0.25"/>
    <row r="28727" s="42" customFormat="1" x14ac:dyDescent="0.25"/>
    <row r="28728" s="42" customFormat="1" x14ac:dyDescent="0.25"/>
    <row r="28729" s="42" customFormat="1" x14ac:dyDescent="0.25"/>
    <row r="28730" s="42" customFormat="1" x14ac:dyDescent="0.25"/>
    <row r="28731" s="42" customFormat="1" x14ac:dyDescent="0.25"/>
    <row r="28732" s="42" customFormat="1" x14ac:dyDescent="0.25"/>
    <row r="28733" s="42" customFormat="1" x14ac:dyDescent="0.25"/>
    <row r="28734" s="42" customFormat="1" x14ac:dyDescent="0.25"/>
    <row r="28735" s="42" customFormat="1" x14ac:dyDescent="0.25"/>
    <row r="28736" s="42" customFormat="1" x14ac:dyDescent="0.25"/>
    <row r="28737" s="42" customFormat="1" x14ac:dyDescent="0.25"/>
    <row r="28738" s="42" customFormat="1" x14ac:dyDescent="0.25"/>
    <row r="28739" s="42" customFormat="1" x14ac:dyDescent="0.25"/>
    <row r="28740" s="42" customFormat="1" x14ac:dyDescent="0.25"/>
    <row r="28741" s="42" customFormat="1" x14ac:dyDescent="0.25"/>
    <row r="28742" s="42" customFormat="1" x14ac:dyDescent="0.25"/>
    <row r="28743" s="42" customFormat="1" x14ac:dyDescent="0.25"/>
    <row r="28744" s="42" customFormat="1" x14ac:dyDescent="0.25"/>
    <row r="28745" s="42" customFormat="1" x14ac:dyDescent="0.25"/>
    <row r="28746" s="42" customFormat="1" x14ac:dyDescent="0.25"/>
    <row r="28747" s="42" customFormat="1" x14ac:dyDescent="0.25"/>
    <row r="28748" s="42" customFormat="1" x14ac:dyDescent="0.25"/>
    <row r="28749" s="42" customFormat="1" x14ac:dyDescent="0.25"/>
    <row r="28750" s="42" customFormat="1" x14ac:dyDescent="0.25"/>
    <row r="28751" s="42" customFormat="1" x14ac:dyDescent="0.25"/>
    <row r="28752" s="42" customFormat="1" x14ac:dyDescent="0.25"/>
    <row r="28753" s="42" customFormat="1" x14ac:dyDescent="0.25"/>
    <row r="28754" s="42" customFormat="1" x14ac:dyDescent="0.25"/>
    <row r="28755" s="42" customFormat="1" x14ac:dyDescent="0.25"/>
    <row r="28756" s="42" customFormat="1" x14ac:dyDescent="0.25"/>
    <row r="28757" s="42" customFormat="1" x14ac:dyDescent="0.25"/>
    <row r="28758" s="42" customFormat="1" x14ac:dyDescent="0.25"/>
    <row r="28759" s="42" customFormat="1" x14ac:dyDescent="0.25"/>
    <row r="28760" s="42" customFormat="1" x14ac:dyDescent="0.25"/>
    <row r="28761" s="42" customFormat="1" x14ac:dyDescent="0.25"/>
    <row r="28762" s="42" customFormat="1" x14ac:dyDescent="0.25"/>
    <row r="28763" s="42" customFormat="1" x14ac:dyDescent="0.25"/>
    <row r="28764" s="42" customFormat="1" x14ac:dyDescent="0.25"/>
    <row r="28765" s="42" customFormat="1" x14ac:dyDescent="0.25"/>
    <row r="28766" s="42" customFormat="1" x14ac:dyDescent="0.25"/>
    <row r="28767" s="42" customFormat="1" x14ac:dyDescent="0.25"/>
    <row r="28768" s="42" customFormat="1" x14ac:dyDescent="0.25"/>
    <row r="28769" s="42" customFormat="1" x14ac:dyDescent="0.25"/>
    <row r="28770" s="42" customFormat="1" x14ac:dyDescent="0.25"/>
    <row r="28771" s="42" customFormat="1" x14ac:dyDescent="0.25"/>
    <row r="28772" s="42" customFormat="1" x14ac:dyDescent="0.25"/>
    <row r="28773" s="42" customFormat="1" x14ac:dyDescent="0.25"/>
    <row r="28774" s="42" customFormat="1" x14ac:dyDescent="0.25"/>
    <row r="28775" s="42" customFormat="1" x14ac:dyDescent="0.25"/>
    <row r="28776" s="42" customFormat="1" x14ac:dyDescent="0.25"/>
    <row r="28777" s="42" customFormat="1" x14ac:dyDescent="0.25"/>
    <row r="28778" s="42" customFormat="1" x14ac:dyDescent="0.25"/>
    <row r="28779" s="42" customFormat="1" x14ac:dyDescent="0.25"/>
    <row r="28780" s="42" customFormat="1" x14ac:dyDescent="0.25"/>
    <row r="28781" s="42" customFormat="1" x14ac:dyDescent="0.25"/>
    <row r="28782" s="42" customFormat="1" x14ac:dyDescent="0.25"/>
    <row r="28783" s="42" customFormat="1" x14ac:dyDescent="0.25"/>
    <row r="28784" s="42" customFormat="1" x14ac:dyDescent="0.25"/>
    <row r="28785" s="42" customFormat="1" x14ac:dyDescent="0.25"/>
    <row r="28786" s="42" customFormat="1" x14ac:dyDescent="0.25"/>
    <row r="28787" s="42" customFormat="1" x14ac:dyDescent="0.25"/>
    <row r="28788" s="42" customFormat="1" x14ac:dyDescent="0.25"/>
    <row r="28789" s="42" customFormat="1" x14ac:dyDescent="0.25"/>
    <row r="28790" s="42" customFormat="1" x14ac:dyDescent="0.25"/>
    <row r="28791" s="42" customFormat="1" x14ac:dyDescent="0.25"/>
    <row r="28792" s="42" customFormat="1" x14ac:dyDescent="0.25"/>
    <row r="28793" s="42" customFormat="1" x14ac:dyDescent="0.25"/>
    <row r="28794" s="42" customFormat="1" x14ac:dyDescent="0.25"/>
    <row r="28795" s="42" customFormat="1" x14ac:dyDescent="0.25"/>
    <row r="28796" s="42" customFormat="1" x14ac:dyDescent="0.25"/>
    <row r="28797" s="42" customFormat="1" x14ac:dyDescent="0.25"/>
    <row r="28798" s="42" customFormat="1" x14ac:dyDescent="0.25"/>
    <row r="28799" s="42" customFormat="1" x14ac:dyDescent="0.25"/>
    <row r="28800" s="42" customFormat="1" x14ac:dyDescent="0.25"/>
    <row r="28801" s="42" customFormat="1" x14ac:dyDescent="0.25"/>
    <row r="28802" s="42" customFormat="1" x14ac:dyDescent="0.25"/>
    <row r="28803" s="42" customFormat="1" x14ac:dyDescent="0.25"/>
    <row r="28804" s="42" customFormat="1" x14ac:dyDescent="0.25"/>
    <row r="28805" s="42" customFormat="1" x14ac:dyDescent="0.25"/>
    <row r="28806" s="42" customFormat="1" x14ac:dyDescent="0.25"/>
    <row r="28807" s="42" customFormat="1" x14ac:dyDescent="0.25"/>
    <row r="28808" s="42" customFormat="1" x14ac:dyDescent="0.25"/>
    <row r="28809" s="42" customFormat="1" x14ac:dyDescent="0.25"/>
    <row r="28810" s="42" customFormat="1" x14ac:dyDescent="0.25"/>
    <row r="28811" s="42" customFormat="1" x14ac:dyDescent="0.25"/>
    <row r="28812" s="42" customFormat="1" x14ac:dyDescent="0.25"/>
    <row r="28813" s="42" customFormat="1" x14ac:dyDescent="0.25"/>
    <row r="28814" s="42" customFormat="1" x14ac:dyDescent="0.25"/>
    <row r="28815" s="42" customFormat="1" x14ac:dyDescent="0.25"/>
    <row r="28816" s="42" customFormat="1" x14ac:dyDescent="0.25"/>
    <row r="28817" s="42" customFormat="1" x14ac:dyDescent="0.25"/>
    <row r="28818" s="42" customFormat="1" x14ac:dyDescent="0.25"/>
    <row r="28819" s="42" customFormat="1" x14ac:dyDescent="0.25"/>
    <row r="28820" s="42" customFormat="1" x14ac:dyDescent="0.25"/>
    <row r="28821" s="42" customFormat="1" x14ac:dyDescent="0.25"/>
    <row r="28822" s="42" customFormat="1" x14ac:dyDescent="0.25"/>
    <row r="28823" s="42" customFormat="1" x14ac:dyDescent="0.25"/>
    <row r="28824" s="42" customFormat="1" x14ac:dyDescent="0.25"/>
    <row r="28825" s="42" customFormat="1" x14ac:dyDescent="0.25"/>
    <row r="28826" s="42" customFormat="1" x14ac:dyDescent="0.25"/>
    <row r="28827" s="42" customFormat="1" x14ac:dyDescent="0.25"/>
    <row r="28828" s="42" customFormat="1" x14ac:dyDescent="0.25"/>
    <row r="28829" s="42" customFormat="1" x14ac:dyDescent="0.25"/>
    <row r="28830" s="42" customFormat="1" x14ac:dyDescent="0.25"/>
    <row r="28831" s="42" customFormat="1" x14ac:dyDescent="0.25"/>
    <row r="28832" s="42" customFormat="1" x14ac:dyDescent="0.25"/>
    <row r="28833" s="42" customFormat="1" x14ac:dyDescent="0.25"/>
    <row r="28834" s="42" customFormat="1" x14ac:dyDescent="0.25"/>
    <row r="28835" s="42" customFormat="1" x14ac:dyDescent="0.25"/>
    <row r="28836" s="42" customFormat="1" x14ac:dyDescent="0.25"/>
    <row r="28837" s="42" customFormat="1" x14ac:dyDescent="0.25"/>
    <row r="28838" s="42" customFormat="1" x14ac:dyDescent="0.25"/>
    <row r="28839" s="42" customFormat="1" x14ac:dyDescent="0.25"/>
    <row r="28840" s="42" customFormat="1" x14ac:dyDescent="0.25"/>
    <row r="28841" s="42" customFormat="1" x14ac:dyDescent="0.25"/>
    <row r="28842" s="42" customFormat="1" x14ac:dyDescent="0.25"/>
    <row r="28843" s="42" customFormat="1" x14ac:dyDescent="0.25"/>
    <row r="28844" s="42" customFormat="1" x14ac:dyDescent="0.25"/>
    <row r="28845" s="42" customFormat="1" x14ac:dyDescent="0.25"/>
    <row r="28846" s="42" customFormat="1" x14ac:dyDescent="0.25"/>
    <row r="28847" s="42" customFormat="1" x14ac:dyDescent="0.25"/>
    <row r="28848" s="42" customFormat="1" x14ac:dyDescent="0.25"/>
    <row r="28849" s="42" customFormat="1" x14ac:dyDescent="0.25"/>
    <row r="28850" s="42" customFormat="1" x14ac:dyDescent="0.25"/>
    <row r="28851" s="42" customFormat="1" x14ac:dyDescent="0.25"/>
    <row r="28852" s="42" customFormat="1" x14ac:dyDescent="0.25"/>
    <row r="28853" s="42" customFormat="1" x14ac:dyDescent="0.25"/>
    <row r="28854" s="42" customFormat="1" x14ac:dyDescent="0.25"/>
    <row r="28855" s="42" customFormat="1" x14ac:dyDescent="0.25"/>
    <row r="28856" s="42" customFormat="1" x14ac:dyDescent="0.25"/>
    <row r="28857" s="42" customFormat="1" x14ac:dyDescent="0.25"/>
    <row r="28858" s="42" customFormat="1" x14ac:dyDescent="0.25"/>
    <row r="28859" s="42" customFormat="1" x14ac:dyDescent="0.25"/>
    <row r="28860" s="42" customFormat="1" x14ac:dyDescent="0.25"/>
    <row r="28861" s="42" customFormat="1" x14ac:dyDescent="0.25"/>
    <row r="28862" s="42" customFormat="1" x14ac:dyDescent="0.25"/>
    <row r="28863" s="42" customFormat="1" x14ac:dyDescent="0.25"/>
    <row r="28864" s="42" customFormat="1" x14ac:dyDescent="0.25"/>
    <row r="28865" s="42" customFormat="1" x14ac:dyDescent="0.25"/>
    <row r="28866" s="42" customFormat="1" x14ac:dyDescent="0.25"/>
    <row r="28867" s="42" customFormat="1" x14ac:dyDescent="0.25"/>
    <row r="28868" s="42" customFormat="1" x14ac:dyDescent="0.25"/>
    <row r="28869" s="42" customFormat="1" x14ac:dyDescent="0.25"/>
    <row r="28870" s="42" customFormat="1" x14ac:dyDescent="0.25"/>
    <row r="28871" s="42" customFormat="1" x14ac:dyDescent="0.25"/>
    <row r="28872" s="42" customFormat="1" x14ac:dyDescent="0.25"/>
    <row r="28873" s="42" customFormat="1" x14ac:dyDescent="0.25"/>
    <row r="28874" s="42" customFormat="1" x14ac:dyDescent="0.25"/>
    <row r="28875" s="42" customFormat="1" x14ac:dyDescent="0.25"/>
    <row r="28876" s="42" customFormat="1" x14ac:dyDescent="0.25"/>
    <row r="28877" s="42" customFormat="1" x14ac:dyDescent="0.25"/>
    <row r="28878" s="42" customFormat="1" x14ac:dyDescent="0.25"/>
    <row r="28879" s="42" customFormat="1" x14ac:dyDescent="0.25"/>
    <row r="28880" s="42" customFormat="1" x14ac:dyDescent="0.25"/>
    <row r="28881" s="42" customFormat="1" x14ac:dyDescent="0.25"/>
    <row r="28882" s="42" customFormat="1" x14ac:dyDescent="0.25"/>
    <row r="28883" s="42" customFormat="1" x14ac:dyDescent="0.25"/>
    <row r="28884" s="42" customFormat="1" x14ac:dyDescent="0.25"/>
    <row r="28885" s="42" customFormat="1" x14ac:dyDescent="0.25"/>
    <row r="28886" s="42" customFormat="1" x14ac:dyDescent="0.25"/>
    <row r="28887" s="42" customFormat="1" x14ac:dyDescent="0.25"/>
    <row r="28888" s="42" customFormat="1" x14ac:dyDescent="0.25"/>
    <row r="28889" s="42" customFormat="1" x14ac:dyDescent="0.25"/>
    <row r="28890" s="42" customFormat="1" x14ac:dyDescent="0.25"/>
    <row r="28891" s="42" customFormat="1" x14ac:dyDescent="0.25"/>
    <row r="28892" s="42" customFormat="1" x14ac:dyDescent="0.25"/>
    <row r="28893" s="42" customFormat="1" x14ac:dyDescent="0.25"/>
    <row r="28894" s="42" customFormat="1" x14ac:dyDescent="0.25"/>
    <row r="28895" s="42" customFormat="1" x14ac:dyDescent="0.25"/>
    <row r="28896" s="42" customFormat="1" x14ac:dyDescent="0.25"/>
    <row r="28897" s="42" customFormat="1" x14ac:dyDescent="0.25"/>
    <row r="28898" s="42" customFormat="1" x14ac:dyDescent="0.25"/>
    <row r="28899" s="42" customFormat="1" x14ac:dyDescent="0.25"/>
    <row r="28900" s="42" customFormat="1" x14ac:dyDescent="0.25"/>
    <row r="28901" s="42" customFormat="1" x14ac:dyDescent="0.25"/>
    <row r="28902" s="42" customFormat="1" x14ac:dyDescent="0.25"/>
    <row r="28903" s="42" customFormat="1" x14ac:dyDescent="0.25"/>
    <row r="28904" s="42" customFormat="1" x14ac:dyDescent="0.25"/>
    <row r="28905" s="42" customFormat="1" x14ac:dyDescent="0.25"/>
    <row r="28906" s="42" customFormat="1" x14ac:dyDescent="0.25"/>
    <row r="28907" s="42" customFormat="1" x14ac:dyDescent="0.25"/>
    <row r="28908" s="42" customFormat="1" x14ac:dyDescent="0.25"/>
    <row r="28909" s="42" customFormat="1" x14ac:dyDescent="0.25"/>
    <row r="28910" s="42" customFormat="1" x14ac:dyDescent="0.25"/>
    <row r="28911" s="42" customFormat="1" x14ac:dyDescent="0.25"/>
    <row r="28912" s="42" customFormat="1" x14ac:dyDescent="0.25"/>
    <row r="28913" s="42" customFormat="1" x14ac:dyDescent="0.25"/>
    <row r="28914" s="42" customFormat="1" x14ac:dyDescent="0.25"/>
    <row r="28915" s="42" customFormat="1" x14ac:dyDescent="0.25"/>
    <row r="28916" s="42" customFormat="1" x14ac:dyDescent="0.25"/>
    <row r="28917" s="42" customFormat="1" x14ac:dyDescent="0.25"/>
    <row r="28918" s="42" customFormat="1" x14ac:dyDescent="0.25"/>
    <row r="28919" s="42" customFormat="1" x14ac:dyDescent="0.25"/>
    <row r="28920" s="42" customFormat="1" x14ac:dyDescent="0.25"/>
    <row r="28921" s="42" customFormat="1" x14ac:dyDescent="0.25"/>
    <row r="28922" s="42" customFormat="1" x14ac:dyDescent="0.25"/>
    <row r="28923" s="42" customFormat="1" x14ac:dyDescent="0.25"/>
    <row r="28924" s="42" customFormat="1" x14ac:dyDescent="0.25"/>
    <row r="28925" s="42" customFormat="1" x14ac:dyDescent="0.25"/>
    <row r="28926" s="42" customFormat="1" x14ac:dyDescent="0.25"/>
    <row r="28927" s="42" customFormat="1" x14ac:dyDescent="0.25"/>
    <row r="28928" s="42" customFormat="1" x14ac:dyDescent="0.25"/>
    <row r="28929" s="42" customFormat="1" x14ac:dyDescent="0.25"/>
    <row r="28930" s="42" customFormat="1" x14ac:dyDescent="0.25"/>
    <row r="28931" s="42" customFormat="1" x14ac:dyDescent="0.25"/>
    <row r="28932" s="42" customFormat="1" x14ac:dyDescent="0.25"/>
    <row r="28933" s="42" customFormat="1" x14ac:dyDescent="0.25"/>
    <row r="28934" s="42" customFormat="1" x14ac:dyDescent="0.25"/>
    <row r="28935" s="42" customFormat="1" x14ac:dyDescent="0.25"/>
    <row r="28936" s="42" customFormat="1" x14ac:dyDescent="0.25"/>
    <row r="28937" s="42" customFormat="1" x14ac:dyDescent="0.25"/>
    <row r="28938" s="42" customFormat="1" x14ac:dyDescent="0.25"/>
    <row r="28939" s="42" customFormat="1" x14ac:dyDescent="0.25"/>
    <row r="28940" s="42" customFormat="1" x14ac:dyDescent="0.25"/>
    <row r="28941" s="42" customFormat="1" x14ac:dyDescent="0.25"/>
    <row r="28942" s="42" customFormat="1" x14ac:dyDescent="0.25"/>
    <row r="28943" s="42" customFormat="1" x14ac:dyDescent="0.25"/>
    <row r="28944" s="42" customFormat="1" x14ac:dyDescent="0.25"/>
    <row r="28945" s="42" customFormat="1" x14ac:dyDescent="0.25"/>
    <row r="28946" s="42" customFormat="1" x14ac:dyDescent="0.25"/>
    <row r="28947" s="42" customFormat="1" x14ac:dyDescent="0.25"/>
    <row r="28948" s="42" customFormat="1" x14ac:dyDescent="0.25"/>
    <row r="28949" s="42" customFormat="1" x14ac:dyDescent="0.25"/>
    <row r="28950" s="42" customFormat="1" x14ac:dyDescent="0.25"/>
    <row r="28951" s="42" customFormat="1" x14ac:dyDescent="0.25"/>
    <row r="28952" s="42" customFormat="1" x14ac:dyDescent="0.25"/>
    <row r="28953" s="42" customFormat="1" x14ac:dyDescent="0.25"/>
    <row r="28954" s="42" customFormat="1" x14ac:dyDescent="0.25"/>
    <row r="28955" s="42" customFormat="1" x14ac:dyDescent="0.25"/>
    <row r="28956" s="42" customFormat="1" x14ac:dyDescent="0.25"/>
    <row r="28957" s="42" customFormat="1" x14ac:dyDescent="0.25"/>
    <row r="28958" s="42" customFormat="1" x14ac:dyDescent="0.25"/>
    <row r="28959" s="42" customFormat="1" x14ac:dyDescent="0.25"/>
    <row r="28960" s="42" customFormat="1" x14ac:dyDescent="0.25"/>
    <row r="28961" s="42" customFormat="1" x14ac:dyDescent="0.25"/>
    <row r="28962" s="42" customFormat="1" x14ac:dyDescent="0.25"/>
    <row r="28963" s="42" customFormat="1" x14ac:dyDescent="0.25"/>
    <row r="28964" s="42" customFormat="1" x14ac:dyDescent="0.25"/>
    <row r="28965" s="42" customFormat="1" x14ac:dyDescent="0.25"/>
    <row r="28966" s="42" customFormat="1" x14ac:dyDescent="0.25"/>
    <row r="28967" s="42" customFormat="1" x14ac:dyDescent="0.25"/>
    <row r="28968" s="42" customFormat="1" x14ac:dyDescent="0.25"/>
    <row r="28969" s="42" customFormat="1" x14ac:dyDescent="0.25"/>
    <row r="28970" s="42" customFormat="1" x14ac:dyDescent="0.25"/>
    <row r="28971" s="42" customFormat="1" x14ac:dyDescent="0.25"/>
    <row r="28972" s="42" customFormat="1" x14ac:dyDescent="0.25"/>
    <row r="28973" s="42" customFormat="1" x14ac:dyDescent="0.25"/>
    <row r="28974" s="42" customFormat="1" x14ac:dyDescent="0.25"/>
    <row r="28975" s="42" customFormat="1" x14ac:dyDescent="0.25"/>
    <row r="28976" s="42" customFormat="1" x14ac:dyDescent="0.25"/>
    <row r="28977" s="42" customFormat="1" x14ac:dyDescent="0.25"/>
    <row r="28978" s="42" customFormat="1" x14ac:dyDescent="0.25"/>
    <row r="28979" s="42" customFormat="1" x14ac:dyDescent="0.25"/>
    <row r="28980" s="42" customFormat="1" x14ac:dyDescent="0.25"/>
    <row r="28981" s="42" customFormat="1" x14ac:dyDescent="0.25"/>
    <row r="28982" s="42" customFormat="1" x14ac:dyDescent="0.25"/>
    <row r="28983" s="42" customFormat="1" x14ac:dyDescent="0.25"/>
    <row r="28984" s="42" customFormat="1" x14ac:dyDescent="0.25"/>
    <row r="28985" s="42" customFormat="1" x14ac:dyDescent="0.25"/>
    <row r="28986" s="42" customFormat="1" x14ac:dyDescent="0.25"/>
    <row r="28987" s="42" customFormat="1" x14ac:dyDescent="0.25"/>
    <row r="28988" s="42" customFormat="1" x14ac:dyDescent="0.25"/>
    <row r="28989" s="42" customFormat="1" x14ac:dyDescent="0.25"/>
    <row r="28990" s="42" customFormat="1" x14ac:dyDescent="0.25"/>
    <row r="28991" s="42" customFormat="1" x14ac:dyDescent="0.25"/>
    <row r="28992" s="42" customFormat="1" x14ac:dyDescent="0.25"/>
    <row r="28993" s="42" customFormat="1" x14ac:dyDescent="0.25"/>
    <row r="28994" s="42" customFormat="1" x14ac:dyDescent="0.25"/>
    <row r="28995" s="42" customFormat="1" x14ac:dyDescent="0.25"/>
    <row r="28996" s="42" customFormat="1" x14ac:dyDescent="0.25"/>
    <row r="28997" s="42" customFormat="1" x14ac:dyDescent="0.25"/>
    <row r="28998" s="42" customFormat="1" x14ac:dyDescent="0.25"/>
    <row r="28999" s="42" customFormat="1" x14ac:dyDescent="0.25"/>
    <row r="29000" s="42" customFormat="1" x14ac:dyDescent="0.25"/>
    <row r="29001" s="42" customFormat="1" x14ac:dyDescent="0.25"/>
    <row r="29002" s="42" customFormat="1" x14ac:dyDescent="0.25"/>
    <row r="29003" s="42" customFormat="1" x14ac:dyDescent="0.25"/>
    <row r="29004" s="42" customFormat="1" x14ac:dyDescent="0.25"/>
    <row r="29005" s="42" customFormat="1" x14ac:dyDescent="0.25"/>
    <row r="29006" s="42" customFormat="1" x14ac:dyDescent="0.25"/>
    <row r="29007" s="42" customFormat="1" x14ac:dyDescent="0.25"/>
    <row r="29008" s="42" customFormat="1" x14ac:dyDescent="0.25"/>
    <row r="29009" s="42" customFormat="1" x14ac:dyDescent="0.25"/>
    <row r="29010" s="42" customFormat="1" x14ac:dyDescent="0.25"/>
    <row r="29011" s="42" customFormat="1" x14ac:dyDescent="0.25"/>
    <row r="29012" s="42" customFormat="1" x14ac:dyDescent="0.25"/>
    <row r="29013" s="42" customFormat="1" x14ac:dyDescent="0.25"/>
    <row r="29014" s="42" customFormat="1" x14ac:dyDescent="0.25"/>
    <row r="29015" s="42" customFormat="1" x14ac:dyDescent="0.25"/>
    <row r="29016" s="42" customFormat="1" x14ac:dyDescent="0.25"/>
    <row r="29017" s="42" customFormat="1" x14ac:dyDescent="0.25"/>
    <row r="29018" s="42" customFormat="1" x14ac:dyDescent="0.25"/>
    <row r="29019" s="42" customFormat="1" x14ac:dyDescent="0.25"/>
    <row r="29020" s="42" customFormat="1" x14ac:dyDescent="0.25"/>
    <row r="29021" s="42" customFormat="1" x14ac:dyDescent="0.25"/>
    <row r="29022" s="42" customFormat="1" x14ac:dyDescent="0.25"/>
    <row r="29023" s="42" customFormat="1" x14ac:dyDescent="0.25"/>
    <row r="29024" s="42" customFormat="1" x14ac:dyDescent="0.25"/>
    <row r="29025" s="42" customFormat="1" x14ac:dyDescent="0.25"/>
    <row r="29026" s="42" customFormat="1" x14ac:dyDescent="0.25"/>
    <row r="29027" s="42" customFormat="1" x14ac:dyDescent="0.25"/>
    <row r="29028" s="42" customFormat="1" x14ac:dyDescent="0.25"/>
    <row r="29029" s="42" customFormat="1" x14ac:dyDescent="0.25"/>
    <row r="29030" s="42" customFormat="1" x14ac:dyDescent="0.25"/>
    <row r="29031" s="42" customFormat="1" x14ac:dyDescent="0.25"/>
    <row r="29032" s="42" customFormat="1" x14ac:dyDescent="0.25"/>
    <row r="29033" s="42" customFormat="1" x14ac:dyDescent="0.25"/>
    <row r="29034" s="42" customFormat="1" x14ac:dyDescent="0.25"/>
    <row r="29035" s="42" customFormat="1" x14ac:dyDescent="0.25"/>
    <row r="29036" s="42" customFormat="1" x14ac:dyDescent="0.25"/>
    <row r="29037" s="42" customFormat="1" x14ac:dyDescent="0.25"/>
    <row r="29038" s="42" customFormat="1" x14ac:dyDescent="0.25"/>
    <row r="29039" s="42" customFormat="1" x14ac:dyDescent="0.25"/>
    <row r="29040" s="42" customFormat="1" x14ac:dyDescent="0.25"/>
    <row r="29041" s="42" customFormat="1" x14ac:dyDescent="0.25"/>
    <row r="29042" s="42" customFormat="1" x14ac:dyDescent="0.25"/>
    <row r="29043" s="42" customFormat="1" x14ac:dyDescent="0.25"/>
    <row r="29044" s="42" customFormat="1" x14ac:dyDescent="0.25"/>
    <row r="29045" s="42" customFormat="1" x14ac:dyDescent="0.25"/>
    <row r="29046" s="42" customFormat="1" x14ac:dyDescent="0.25"/>
    <row r="29047" s="42" customFormat="1" x14ac:dyDescent="0.25"/>
    <row r="29048" s="42" customFormat="1" x14ac:dyDescent="0.25"/>
    <row r="29049" s="42" customFormat="1" x14ac:dyDescent="0.25"/>
    <row r="29050" s="42" customFormat="1" x14ac:dyDescent="0.25"/>
    <row r="29051" s="42" customFormat="1" x14ac:dyDescent="0.25"/>
    <row r="29052" s="42" customFormat="1" x14ac:dyDescent="0.25"/>
    <row r="29053" s="42" customFormat="1" x14ac:dyDescent="0.25"/>
    <row r="29054" s="42" customFormat="1" x14ac:dyDescent="0.25"/>
    <row r="29055" s="42" customFormat="1" x14ac:dyDescent="0.25"/>
    <row r="29056" s="42" customFormat="1" x14ac:dyDescent="0.25"/>
    <row r="29057" s="42" customFormat="1" x14ac:dyDescent="0.25"/>
    <row r="29058" s="42" customFormat="1" x14ac:dyDescent="0.25"/>
    <row r="29059" s="42" customFormat="1" x14ac:dyDescent="0.25"/>
    <row r="29060" s="42" customFormat="1" x14ac:dyDescent="0.25"/>
    <row r="29061" s="42" customFormat="1" x14ac:dyDescent="0.25"/>
    <row r="29062" s="42" customFormat="1" x14ac:dyDescent="0.25"/>
    <row r="29063" s="42" customFormat="1" x14ac:dyDescent="0.25"/>
    <row r="29064" s="42" customFormat="1" x14ac:dyDescent="0.25"/>
    <row r="29065" s="42" customFormat="1" x14ac:dyDescent="0.25"/>
    <row r="29066" s="42" customFormat="1" x14ac:dyDescent="0.25"/>
    <row r="29067" s="42" customFormat="1" x14ac:dyDescent="0.25"/>
    <row r="29068" s="42" customFormat="1" x14ac:dyDescent="0.25"/>
    <row r="29069" s="42" customFormat="1" x14ac:dyDescent="0.25"/>
    <row r="29070" s="42" customFormat="1" x14ac:dyDescent="0.25"/>
    <row r="29071" s="42" customFormat="1" x14ac:dyDescent="0.25"/>
    <row r="29072" s="42" customFormat="1" x14ac:dyDescent="0.25"/>
    <row r="29073" s="42" customFormat="1" x14ac:dyDescent="0.25"/>
    <row r="29074" s="42" customFormat="1" x14ac:dyDescent="0.25"/>
    <row r="29075" s="42" customFormat="1" x14ac:dyDescent="0.25"/>
    <row r="29076" s="42" customFormat="1" x14ac:dyDescent="0.25"/>
    <row r="29077" s="42" customFormat="1" x14ac:dyDescent="0.25"/>
    <row r="29078" s="42" customFormat="1" x14ac:dyDescent="0.25"/>
    <row r="29079" s="42" customFormat="1" x14ac:dyDescent="0.25"/>
    <row r="29080" s="42" customFormat="1" x14ac:dyDescent="0.25"/>
    <row r="29081" s="42" customFormat="1" x14ac:dyDescent="0.25"/>
    <row r="29082" s="42" customFormat="1" x14ac:dyDescent="0.25"/>
    <row r="29083" s="42" customFormat="1" x14ac:dyDescent="0.25"/>
    <row r="29084" s="42" customFormat="1" x14ac:dyDescent="0.25"/>
    <row r="29085" s="42" customFormat="1" x14ac:dyDescent="0.25"/>
    <row r="29086" s="42" customFormat="1" x14ac:dyDescent="0.25"/>
    <row r="29087" s="42" customFormat="1" x14ac:dyDescent="0.25"/>
    <row r="29088" s="42" customFormat="1" x14ac:dyDescent="0.25"/>
    <row r="29089" s="42" customFormat="1" x14ac:dyDescent="0.25"/>
    <row r="29090" s="42" customFormat="1" x14ac:dyDescent="0.25"/>
    <row r="29091" s="42" customFormat="1" x14ac:dyDescent="0.25"/>
    <row r="29092" s="42" customFormat="1" x14ac:dyDescent="0.25"/>
    <row r="29093" s="42" customFormat="1" x14ac:dyDescent="0.25"/>
    <row r="29094" s="42" customFormat="1" x14ac:dyDescent="0.25"/>
    <row r="29095" s="42" customFormat="1" x14ac:dyDescent="0.25"/>
    <row r="29096" s="42" customFormat="1" x14ac:dyDescent="0.25"/>
    <row r="29097" s="42" customFormat="1" x14ac:dyDescent="0.25"/>
    <row r="29098" s="42" customFormat="1" x14ac:dyDescent="0.25"/>
    <row r="29099" s="42" customFormat="1" x14ac:dyDescent="0.25"/>
    <row r="29100" s="42" customFormat="1" x14ac:dyDescent="0.25"/>
    <row r="29101" s="42" customFormat="1" x14ac:dyDescent="0.25"/>
    <row r="29102" s="42" customFormat="1" x14ac:dyDescent="0.25"/>
    <row r="29103" s="42" customFormat="1" x14ac:dyDescent="0.25"/>
    <row r="29104" s="42" customFormat="1" x14ac:dyDescent="0.25"/>
    <row r="29105" s="42" customFormat="1" x14ac:dyDescent="0.25"/>
    <row r="29106" s="42" customFormat="1" x14ac:dyDescent="0.25"/>
    <row r="29107" s="42" customFormat="1" x14ac:dyDescent="0.25"/>
    <row r="29108" s="42" customFormat="1" x14ac:dyDescent="0.25"/>
    <row r="29109" s="42" customFormat="1" x14ac:dyDescent="0.25"/>
    <row r="29110" s="42" customFormat="1" x14ac:dyDescent="0.25"/>
    <row r="29111" s="42" customFormat="1" x14ac:dyDescent="0.25"/>
    <row r="29112" s="42" customFormat="1" x14ac:dyDescent="0.25"/>
    <row r="29113" s="42" customFormat="1" x14ac:dyDescent="0.25"/>
    <row r="29114" s="42" customFormat="1" x14ac:dyDescent="0.25"/>
    <row r="29115" s="42" customFormat="1" x14ac:dyDescent="0.25"/>
    <row r="29116" s="42" customFormat="1" x14ac:dyDescent="0.25"/>
    <row r="29117" s="42" customFormat="1" x14ac:dyDescent="0.25"/>
    <row r="29118" s="42" customFormat="1" x14ac:dyDescent="0.25"/>
    <row r="29119" s="42" customFormat="1" x14ac:dyDescent="0.25"/>
    <row r="29120" s="42" customFormat="1" x14ac:dyDescent="0.25"/>
    <row r="29121" s="42" customFormat="1" x14ac:dyDescent="0.25"/>
    <row r="29122" s="42" customFormat="1" x14ac:dyDescent="0.25"/>
    <row r="29123" s="42" customFormat="1" x14ac:dyDescent="0.25"/>
    <row r="29124" s="42" customFormat="1" x14ac:dyDescent="0.25"/>
    <row r="29125" s="42" customFormat="1" x14ac:dyDescent="0.25"/>
    <row r="29126" s="42" customFormat="1" x14ac:dyDescent="0.25"/>
    <row r="29127" s="42" customFormat="1" x14ac:dyDescent="0.25"/>
    <row r="29128" s="42" customFormat="1" x14ac:dyDescent="0.25"/>
    <row r="29129" s="42" customFormat="1" x14ac:dyDescent="0.25"/>
    <row r="29130" s="42" customFormat="1" x14ac:dyDescent="0.25"/>
    <row r="29131" s="42" customFormat="1" x14ac:dyDescent="0.25"/>
    <row r="29132" s="42" customFormat="1" x14ac:dyDescent="0.25"/>
    <row r="29133" s="42" customFormat="1" x14ac:dyDescent="0.25"/>
    <row r="29134" s="42" customFormat="1" x14ac:dyDescent="0.25"/>
    <row r="29135" s="42" customFormat="1" x14ac:dyDescent="0.25"/>
    <row r="29136" s="42" customFormat="1" x14ac:dyDescent="0.25"/>
    <row r="29137" s="42" customFormat="1" x14ac:dyDescent="0.25"/>
    <row r="29138" s="42" customFormat="1" x14ac:dyDescent="0.25"/>
    <row r="29139" s="42" customFormat="1" x14ac:dyDescent="0.25"/>
    <row r="29140" s="42" customFormat="1" x14ac:dyDescent="0.25"/>
    <row r="29141" s="42" customFormat="1" x14ac:dyDescent="0.25"/>
    <row r="29142" s="42" customFormat="1" x14ac:dyDescent="0.25"/>
    <row r="29143" s="42" customFormat="1" x14ac:dyDescent="0.25"/>
    <row r="29144" s="42" customFormat="1" x14ac:dyDescent="0.25"/>
    <row r="29145" s="42" customFormat="1" x14ac:dyDescent="0.25"/>
    <row r="29146" s="42" customFormat="1" x14ac:dyDescent="0.25"/>
    <row r="29147" s="42" customFormat="1" x14ac:dyDescent="0.25"/>
    <row r="29148" s="42" customFormat="1" x14ac:dyDescent="0.25"/>
    <row r="29149" s="42" customFormat="1" x14ac:dyDescent="0.25"/>
    <row r="29150" s="42" customFormat="1" x14ac:dyDescent="0.25"/>
    <row r="29151" s="42" customFormat="1" x14ac:dyDescent="0.25"/>
    <row r="29152" s="42" customFormat="1" x14ac:dyDescent="0.25"/>
    <row r="29153" s="42" customFormat="1" x14ac:dyDescent="0.25"/>
    <row r="29154" s="42" customFormat="1" x14ac:dyDescent="0.25"/>
    <row r="29155" s="42" customFormat="1" x14ac:dyDescent="0.25"/>
    <row r="29156" s="42" customFormat="1" x14ac:dyDescent="0.25"/>
    <row r="29157" s="42" customFormat="1" x14ac:dyDescent="0.25"/>
    <row r="29158" s="42" customFormat="1" x14ac:dyDescent="0.25"/>
    <row r="29159" s="42" customFormat="1" x14ac:dyDescent="0.25"/>
    <row r="29160" s="42" customFormat="1" x14ac:dyDescent="0.25"/>
    <row r="29161" s="42" customFormat="1" x14ac:dyDescent="0.25"/>
    <row r="29162" s="42" customFormat="1" x14ac:dyDescent="0.25"/>
    <row r="29163" s="42" customFormat="1" x14ac:dyDescent="0.25"/>
    <row r="29164" s="42" customFormat="1" x14ac:dyDescent="0.25"/>
    <row r="29165" s="42" customFormat="1" x14ac:dyDescent="0.25"/>
    <row r="29166" s="42" customFormat="1" x14ac:dyDescent="0.25"/>
    <row r="29167" s="42" customFormat="1" x14ac:dyDescent="0.25"/>
    <row r="29168" s="42" customFormat="1" x14ac:dyDescent="0.25"/>
    <row r="29169" s="42" customFormat="1" x14ac:dyDescent="0.25"/>
    <row r="29170" s="42" customFormat="1" x14ac:dyDescent="0.25"/>
    <row r="29171" s="42" customFormat="1" x14ac:dyDescent="0.25"/>
    <row r="29172" s="42" customFormat="1" x14ac:dyDescent="0.25"/>
    <row r="29173" s="42" customFormat="1" x14ac:dyDescent="0.25"/>
    <row r="29174" s="42" customFormat="1" x14ac:dyDescent="0.25"/>
    <row r="29175" s="42" customFormat="1" x14ac:dyDescent="0.25"/>
    <row r="29176" s="42" customFormat="1" x14ac:dyDescent="0.25"/>
    <row r="29177" s="42" customFormat="1" x14ac:dyDescent="0.25"/>
    <row r="29178" s="42" customFormat="1" x14ac:dyDescent="0.25"/>
    <row r="29179" s="42" customFormat="1" x14ac:dyDescent="0.25"/>
    <row r="29180" s="42" customFormat="1" x14ac:dyDescent="0.25"/>
    <row r="29181" s="42" customFormat="1" x14ac:dyDescent="0.25"/>
    <row r="29182" s="42" customFormat="1" x14ac:dyDescent="0.25"/>
    <row r="29183" s="42" customFormat="1" x14ac:dyDescent="0.25"/>
    <row r="29184" s="42" customFormat="1" x14ac:dyDescent="0.25"/>
    <row r="29185" s="42" customFormat="1" x14ac:dyDescent="0.25"/>
    <row r="29186" s="42" customFormat="1" x14ac:dyDescent="0.25"/>
    <row r="29187" s="42" customFormat="1" x14ac:dyDescent="0.25"/>
    <row r="29188" s="42" customFormat="1" x14ac:dyDescent="0.25"/>
    <row r="29189" s="42" customFormat="1" x14ac:dyDescent="0.25"/>
    <row r="29190" s="42" customFormat="1" x14ac:dyDescent="0.25"/>
    <row r="29191" s="42" customFormat="1" x14ac:dyDescent="0.25"/>
    <row r="29192" s="42" customFormat="1" x14ac:dyDescent="0.25"/>
    <row r="29193" s="42" customFormat="1" x14ac:dyDescent="0.25"/>
    <row r="29194" s="42" customFormat="1" x14ac:dyDescent="0.25"/>
    <row r="29195" s="42" customFormat="1" x14ac:dyDescent="0.25"/>
    <row r="29196" s="42" customFormat="1" x14ac:dyDescent="0.25"/>
    <row r="29197" s="42" customFormat="1" x14ac:dyDescent="0.25"/>
    <row r="29198" s="42" customFormat="1" x14ac:dyDescent="0.25"/>
    <row r="29199" s="42" customFormat="1" x14ac:dyDescent="0.25"/>
    <row r="29200" s="42" customFormat="1" x14ac:dyDescent="0.25"/>
    <row r="29201" s="42" customFormat="1" x14ac:dyDescent="0.25"/>
    <row r="29202" s="42" customFormat="1" x14ac:dyDescent="0.25"/>
    <row r="29203" s="42" customFormat="1" x14ac:dyDescent="0.25"/>
    <row r="29204" s="42" customFormat="1" x14ac:dyDescent="0.25"/>
    <row r="29205" s="42" customFormat="1" x14ac:dyDescent="0.25"/>
    <row r="29206" s="42" customFormat="1" x14ac:dyDescent="0.25"/>
    <row r="29207" s="42" customFormat="1" x14ac:dyDescent="0.25"/>
    <row r="29208" s="42" customFormat="1" x14ac:dyDescent="0.25"/>
    <row r="29209" s="42" customFormat="1" x14ac:dyDescent="0.25"/>
    <row r="29210" s="42" customFormat="1" x14ac:dyDescent="0.25"/>
    <row r="29211" s="42" customFormat="1" x14ac:dyDescent="0.25"/>
    <row r="29212" s="42" customFormat="1" x14ac:dyDescent="0.25"/>
    <row r="29213" s="42" customFormat="1" x14ac:dyDescent="0.25"/>
    <row r="29214" s="42" customFormat="1" x14ac:dyDescent="0.25"/>
    <row r="29215" s="42" customFormat="1" x14ac:dyDescent="0.25"/>
    <row r="29216" s="42" customFormat="1" x14ac:dyDescent="0.25"/>
    <row r="29217" s="42" customFormat="1" x14ac:dyDescent="0.25"/>
    <row r="29218" s="42" customFormat="1" x14ac:dyDescent="0.25"/>
    <row r="29219" s="42" customFormat="1" x14ac:dyDescent="0.25"/>
    <row r="29220" s="42" customFormat="1" x14ac:dyDescent="0.25"/>
    <row r="29221" s="42" customFormat="1" x14ac:dyDescent="0.25"/>
    <row r="29222" s="42" customFormat="1" x14ac:dyDescent="0.25"/>
    <row r="29223" s="42" customFormat="1" x14ac:dyDescent="0.25"/>
    <row r="29224" s="42" customFormat="1" x14ac:dyDescent="0.25"/>
    <row r="29225" s="42" customFormat="1" x14ac:dyDescent="0.25"/>
    <row r="29226" s="42" customFormat="1" x14ac:dyDescent="0.25"/>
    <row r="29227" s="42" customFormat="1" x14ac:dyDescent="0.25"/>
    <row r="29228" s="42" customFormat="1" x14ac:dyDescent="0.25"/>
    <row r="29229" s="42" customFormat="1" x14ac:dyDescent="0.25"/>
    <row r="29230" s="42" customFormat="1" x14ac:dyDescent="0.25"/>
    <row r="29231" s="42" customFormat="1" x14ac:dyDescent="0.25"/>
    <row r="29232" s="42" customFormat="1" x14ac:dyDescent="0.25"/>
    <row r="29233" s="42" customFormat="1" x14ac:dyDescent="0.25"/>
    <row r="29234" s="42" customFormat="1" x14ac:dyDescent="0.25"/>
    <row r="29235" s="42" customFormat="1" x14ac:dyDescent="0.25"/>
    <row r="29236" s="42" customFormat="1" x14ac:dyDescent="0.25"/>
    <row r="29237" s="42" customFormat="1" x14ac:dyDescent="0.25"/>
    <row r="29238" s="42" customFormat="1" x14ac:dyDescent="0.25"/>
    <row r="29239" s="42" customFormat="1" x14ac:dyDescent="0.25"/>
    <row r="29240" s="42" customFormat="1" x14ac:dyDescent="0.25"/>
    <row r="29241" s="42" customFormat="1" x14ac:dyDescent="0.25"/>
    <row r="29242" s="42" customFormat="1" x14ac:dyDescent="0.25"/>
    <row r="29243" s="42" customFormat="1" x14ac:dyDescent="0.25"/>
    <row r="29244" s="42" customFormat="1" x14ac:dyDescent="0.25"/>
    <row r="29245" s="42" customFormat="1" x14ac:dyDescent="0.25"/>
    <row r="29246" s="42" customFormat="1" x14ac:dyDescent="0.25"/>
    <row r="29247" s="42" customFormat="1" x14ac:dyDescent="0.25"/>
    <row r="29248" s="42" customFormat="1" x14ac:dyDescent="0.25"/>
    <row r="29249" s="42" customFormat="1" x14ac:dyDescent="0.25"/>
    <row r="29250" s="42" customFormat="1" x14ac:dyDescent="0.25"/>
    <row r="29251" s="42" customFormat="1" x14ac:dyDescent="0.25"/>
    <row r="29252" s="42" customFormat="1" x14ac:dyDescent="0.25"/>
    <row r="29253" s="42" customFormat="1" x14ac:dyDescent="0.25"/>
    <row r="29254" s="42" customFormat="1" x14ac:dyDescent="0.25"/>
    <row r="29255" s="42" customFormat="1" x14ac:dyDescent="0.25"/>
    <row r="29256" s="42" customFormat="1" x14ac:dyDescent="0.25"/>
    <row r="29257" s="42" customFormat="1" x14ac:dyDescent="0.25"/>
    <row r="29258" s="42" customFormat="1" x14ac:dyDescent="0.25"/>
    <row r="29259" s="42" customFormat="1" x14ac:dyDescent="0.25"/>
    <row r="29260" s="42" customFormat="1" x14ac:dyDescent="0.25"/>
    <row r="29261" s="42" customFormat="1" x14ac:dyDescent="0.25"/>
    <row r="29262" s="42" customFormat="1" x14ac:dyDescent="0.25"/>
    <row r="29263" s="42" customFormat="1" x14ac:dyDescent="0.25"/>
    <row r="29264" s="42" customFormat="1" x14ac:dyDescent="0.25"/>
    <row r="29265" s="42" customFormat="1" x14ac:dyDescent="0.25"/>
    <row r="29266" s="42" customFormat="1" x14ac:dyDescent="0.25"/>
    <row r="29267" s="42" customFormat="1" x14ac:dyDescent="0.25"/>
    <row r="29268" s="42" customFormat="1" x14ac:dyDescent="0.25"/>
    <row r="29269" s="42" customFormat="1" x14ac:dyDescent="0.25"/>
    <row r="29270" s="42" customFormat="1" x14ac:dyDescent="0.25"/>
    <row r="29271" s="42" customFormat="1" x14ac:dyDescent="0.25"/>
    <row r="29272" s="42" customFormat="1" x14ac:dyDescent="0.25"/>
    <row r="29273" s="42" customFormat="1" x14ac:dyDescent="0.25"/>
    <row r="29274" s="42" customFormat="1" x14ac:dyDescent="0.25"/>
    <row r="29275" s="42" customFormat="1" x14ac:dyDescent="0.25"/>
    <row r="29276" s="42" customFormat="1" x14ac:dyDescent="0.25"/>
    <row r="29277" s="42" customFormat="1" x14ac:dyDescent="0.25"/>
    <row r="29278" s="42" customFormat="1" x14ac:dyDescent="0.25"/>
    <row r="29279" s="42" customFormat="1" x14ac:dyDescent="0.25"/>
    <row r="29280" s="42" customFormat="1" x14ac:dyDescent="0.25"/>
    <row r="29281" s="42" customFormat="1" x14ac:dyDescent="0.25"/>
    <row r="29282" s="42" customFormat="1" x14ac:dyDescent="0.25"/>
    <row r="29283" s="42" customFormat="1" x14ac:dyDescent="0.25"/>
    <row r="29284" s="42" customFormat="1" x14ac:dyDescent="0.25"/>
    <row r="29285" s="42" customFormat="1" x14ac:dyDescent="0.25"/>
    <row r="29286" s="42" customFormat="1" x14ac:dyDescent="0.25"/>
    <row r="29287" s="42" customFormat="1" x14ac:dyDescent="0.25"/>
    <row r="29288" s="42" customFormat="1" x14ac:dyDescent="0.25"/>
    <row r="29289" s="42" customFormat="1" x14ac:dyDescent="0.25"/>
    <row r="29290" s="42" customFormat="1" x14ac:dyDescent="0.25"/>
    <row r="29291" s="42" customFormat="1" x14ac:dyDescent="0.25"/>
    <row r="29292" s="42" customFormat="1" x14ac:dyDescent="0.25"/>
    <row r="29293" s="42" customFormat="1" x14ac:dyDescent="0.25"/>
    <row r="29294" s="42" customFormat="1" x14ac:dyDescent="0.25"/>
    <row r="29295" s="42" customFormat="1" x14ac:dyDescent="0.25"/>
    <row r="29296" s="42" customFormat="1" x14ac:dyDescent="0.25"/>
    <row r="29297" s="42" customFormat="1" x14ac:dyDescent="0.25"/>
    <row r="29298" s="42" customFormat="1" x14ac:dyDescent="0.25"/>
    <row r="29299" s="42" customFormat="1" x14ac:dyDescent="0.25"/>
    <row r="29300" s="42" customFormat="1" x14ac:dyDescent="0.25"/>
    <row r="29301" s="42" customFormat="1" x14ac:dyDescent="0.25"/>
    <row r="29302" s="42" customFormat="1" x14ac:dyDescent="0.25"/>
    <row r="29303" s="42" customFormat="1" x14ac:dyDescent="0.25"/>
    <row r="29304" s="42" customFormat="1" x14ac:dyDescent="0.25"/>
    <row r="29305" s="42" customFormat="1" x14ac:dyDescent="0.25"/>
    <row r="29306" s="42" customFormat="1" x14ac:dyDescent="0.25"/>
    <row r="29307" s="42" customFormat="1" x14ac:dyDescent="0.25"/>
    <row r="29308" s="42" customFormat="1" x14ac:dyDescent="0.25"/>
    <row r="29309" s="42" customFormat="1" x14ac:dyDescent="0.25"/>
    <row r="29310" s="42" customFormat="1" x14ac:dyDescent="0.25"/>
    <row r="29311" s="42" customFormat="1" x14ac:dyDescent="0.25"/>
    <row r="29312" s="42" customFormat="1" x14ac:dyDescent="0.25"/>
    <row r="29313" s="42" customFormat="1" x14ac:dyDescent="0.25"/>
    <row r="29314" s="42" customFormat="1" x14ac:dyDescent="0.25"/>
    <row r="29315" s="42" customFormat="1" x14ac:dyDescent="0.25"/>
    <row r="29316" s="42" customFormat="1" x14ac:dyDescent="0.25"/>
    <row r="29317" s="42" customFormat="1" x14ac:dyDescent="0.25"/>
    <row r="29318" s="42" customFormat="1" x14ac:dyDescent="0.25"/>
    <row r="29319" s="42" customFormat="1" x14ac:dyDescent="0.25"/>
    <row r="29320" s="42" customFormat="1" x14ac:dyDescent="0.25"/>
    <row r="29321" s="42" customFormat="1" x14ac:dyDescent="0.25"/>
    <row r="29322" s="42" customFormat="1" x14ac:dyDescent="0.25"/>
    <row r="29323" s="42" customFormat="1" x14ac:dyDescent="0.25"/>
    <row r="29324" s="42" customFormat="1" x14ac:dyDescent="0.25"/>
    <row r="29325" s="42" customFormat="1" x14ac:dyDescent="0.25"/>
    <row r="29326" s="42" customFormat="1" x14ac:dyDescent="0.25"/>
    <row r="29327" s="42" customFormat="1" x14ac:dyDescent="0.25"/>
    <row r="29328" s="42" customFormat="1" x14ac:dyDescent="0.25"/>
    <row r="29329" s="42" customFormat="1" x14ac:dyDescent="0.25"/>
    <row r="29330" s="42" customFormat="1" x14ac:dyDescent="0.25"/>
    <row r="29331" s="42" customFormat="1" x14ac:dyDescent="0.25"/>
    <row r="29332" s="42" customFormat="1" x14ac:dyDescent="0.25"/>
    <row r="29333" s="42" customFormat="1" x14ac:dyDescent="0.25"/>
    <row r="29334" s="42" customFormat="1" x14ac:dyDescent="0.25"/>
    <row r="29335" s="42" customFormat="1" x14ac:dyDescent="0.25"/>
    <row r="29336" s="42" customFormat="1" x14ac:dyDescent="0.25"/>
    <row r="29337" s="42" customFormat="1" x14ac:dyDescent="0.25"/>
    <row r="29338" s="42" customFormat="1" x14ac:dyDescent="0.25"/>
    <row r="29339" s="42" customFormat="1" x14ac:dyDescent="0.25"/>
    <row r="29340" s="42" customFormat="1" x14ac:dyDescent="0.25"/>
    <row r="29341" s="42" customFormat="1" x14ac:dyDescent="0.25"/>
    <row r="29342" s="42" customFormat="1" x14ac:dyDescent="0.25"/>
    <row r="29343" s="42" customFormat="1" x14ac:dyDescent="0.25"/>
    <row r="29344" s="42" customFormat="1" x14ac:dyDescent="0.25"/>
    <row r="29345" s="42" customFormat="1" x14ac:dyDescent="0.25"/>
    <row r="29346" s="42" customFormat="1" x14ac:dyDescent="0.25"/>
    <row r="29347" s="42" customFormat="1" x14ac:dyDescent="0.25"/>
    <row r="29348" s="42" customFormat="1" x14ac:dyDescent="0.25"/>
    <row r="29349" s="42" customFormat="1" x14ac:dyDescent="0.25"/>
    <row r="29350" s="42" customFormat="1" x14ac:dyDescent="0.25"/>
    <row r="29351" s="42" customFormat="1" x14ac:dyDescent="0.25"/>
    <row r="29352" s="42" customFormat="1" x14ac:dyDescent="0.25"/>
    <row r="29353" s="42" customFormat="1" x14ac:dyDescent="0.25"/>
    <row r="29354" s="42" customFormat="1" x14ac:dyDescent="0.25"/>
    <row r="29355" s="42" customFormat="1" x14ac:dyDescent="0.25"/>
    <row r="29356" s="42" customFormat="1" x14ac:dyDescent="0.25"/>
    <row r="29357" s="42" customFormat="1" x14ac:dyDescent="0.25"/>
    <row r="29358" s="42" customFormat="1" x14ac:dyDescent="0.25"/>
    <row r="29359" s="42" customFormat="1" x14ac:dyDescent="0.25"/>
    <row r="29360" s="42" customFormat="1" x14ac:dyDescent="0.25"/>
    <row r="29361" s="42" customFormat="1" x14ac:dyDescent="0.25"/>
    <row r="29362" s="42" customFormat="1" x14ac:dyDescent="0.25"/>
    <row r="29363" s="42" customFormat="1" x14ac:dyDescent="0.25"/>
    <row r="29364" s="42" customFormat="1" x14ac:dyDescent="0.25"/>
    <row r="29365" s="42" customFormat="1" x14ac:dyDescent="0.25"/>
    <row r="29366" s="42" customFormat="1" x14ac:dyDescent="0.25"/>
    <row r="29367" s="42" customFormat="1" x14ac:dyDescent="0.25"/>
    <row r="29368" s="42" customFormat="1" x14ac:dyDescent="0.25"/>
    <row r="29369" s="42" customFormat="1" x14ac:dyDescent="0.25"/>
    <row r="29370" s="42" customFormat="1" x14ac:dyDescent="0.25"/>
    <row r="29371" s="42" customFormat="1" x14ac:dyDescent="0.25"/>
    <row r="29372" s="42" customFormat="1" x14ac:dyDescent="0.25"/>
    <row r="29373" s="42" customFormat="1" x14ac:dyDescent="0.25"/>
    <row r="29374" s="42" customFormat="1" x14ac:dyDescent="0.25"/>
    <row r="29375" s="42" customFormat="1" x14ac:dyDescent="0.25"/>
    <row r="29376" s="42" customFormat="1" x14ac:dyDescent="0.25"/>
    <row r="29377" s="42" customFormat="1" x14ac:dyDescent="0.25"/>
    <row r="29378" s="42" customFormat="1" x14ac:dyDescent="0.25"/>
    <row r="29379" s="42" customFormat="1" x14ac:dyDescent="0.25"/>
    <row r="29380" s="42" customFormat="1" x14ac:dyDescent="0.25"/>
    <row r="29381" s="42" customFormat="1" x14ac:dyDescent="0.25"/>
    <row r="29382" s="42" customFormat="1" x14ac:dyDescent="0.25"/>
    <row r="29383" s="42" customFormat="1" x14ac:dyDescent="0.25"/>
    <row r="29384" s="42" customFormat="1" x14ac:dyDescent="0.25"/>
    <row r="29385" s="42" customFormat="1" x14ac:dyDescent="0.25"/>
    <row r="29386" s="42" customFormat="1" x14ac:dyDescent="0.25"/>
    <row r="29387" s="42" customFormat="1" x14ac:dyDescent="0.25"/>
    <row r="29388" s="42" customFormat="1" x14ac:dyDescent="0.25"/>
    <row r="29389" s="42" customFormat="1" x14ac:dyDescent="0.25"/>
    <row r="29390" s="42" customFormat="1" x14ac:dyDescent="0.25"/>
    <row r="29391" s="42" customFormat="1" x14ac:dyDescent="0.25"/>
    <row r="29392" s="42" customFormat="1" x14ac:dyDescent="0.25"/>
    <row r="29393" s="42" customFormat="1" x14ac:dyDescent="0.25"/>
    <row r="29394" s="42" customFormat="1" x14ac:dyDescent="0.25"/>
    <row r="29395" s="42" customFormat="1" x14ac:dyDescent="0.25"/>
    <row r="29396" s="42" customFormat="1" x14ac:dyDescent="0.25"/>
    <row r="29397" s="42" customFormat="1" x14ac:dyDescent="0.25"/>
    <row r="29398" s="42" customFormat="1" x14ac:dyDescent="0.25"/>
    <row r="29399" s="42" customFormat="1" x14ac:dyDescent="0.25"/>
    <row r="29400" s="42" customFormat="1" x14ac:dyDescent="0.25"/>
    <row r="29401" s="42" customFormat="1" x14ac:dyDescent="0.25"/>
    <row r="29402" s="42" customFormat="1" x14ac:dyDescent="0.25"/>
    <row r="29403" s="42" customFormat="1" x14ac:dyDescent="0.25"/>
    <row r="29404" s="42" customFormat="1" x14ac:dyDescent="0.25"/>
    <row r="29405" s="42" customFormat="1" x14ac:dyDescent="0.25"/>
    <row r="29406" s="42" customFormat="1" x14ac:dyDescent="0.25"/>
    <row r="29407" s="42" customFormat="1" x14ac:dyDescent="0.25"/>
    <row r="29408" s="42" customFormat="1" x14ac:dyDescent="0.25"/>
    <row r="29409" s="42" customFormat="1" x14ac:dyDescent="0.25"/>
    <row r="29410" s="42" customFormat="1" x14ac:dyDescent="0.25"/>
    <row r="29411" s="42" customFormat="1" x14ac:dyDescent="0.25"/>
    <row r="29412" s="42" customFormat="1" x14ac:dyDescent="0.25"/>
    <row r="29413" s="42" customFormat="1" x14ac:dyDescent="0.25"/>
    <row r="29414" s="42" customFormat="1" x14ac:dyDescent="0.25"/>
    <row r="29415" s="42" customFormat="1" x14ac:dyDescent="0.25"/>
    <row r="29416" s="42" customFormat="1" x14ac:dyDescent="0.25"/>
    <row r="29417" s="42" customFormat="1" x14ac:dyDescent="0.25"/>
    <row r="29418" s="42" customFormat="1" x14ac:dyDescent="0.25"/>
    <row r="29419" s="42" customFormat="1" x14ac:dyDescent="0.25"/>
    <row r="29420" s="42" customFormat="1" x14ac:dyDescent="0.25"/>
    <row r="29421" s="42" customFormat="1" x14ac:dyDescent="0.25"/>
    <row r="29422" s="42" customFormat="1" x14ac:dyDescent="0.25"/>
    <row r="29423" s="42" customFormat="1" x14ac:dyDescent="0.25"/>
    <row r="29424" s="42" customFormat="1" x14ac:dyDescent="0.25"/>
    <row r="29425" s="42" customFormat="1" x14ac:dyDescent="0.25"/>
    <row r="29426" s="42" customFormat="1" x14ac:dyDescent="0.25"/>
    <row r="29427" s="42" customFormat="1" x14ac:dyDescent="0.25"/>
    <row r="29428" s="42" customFormat="1" x14ac:dyDescent="0.25"/>
    <row r="29429" s="42" customFormat="1" x14ac:dyDescent="0.25"/>
    <row r="29430" s="42" customFormat="1" x14ac:dyDescent="0.25"/>
    <row r="29431" s="42" customFormat="1" x14ac:dyDescent="0.25"/>
    <row r="29432" s="42" customFormat="1" x14ac:dyDescent="0.25"/>
    <row r="29433" s="42" customFormat="1" x14ac:dyDescent="0.25"/>
    <row r="29434" s="42" customFormat="1" x14ac:dyDescent="0.25"/>
    <row r="29435" s="42" customFormat="1" x14ac:dyDescent="0.25"/>
    <row r="29436" s="42" customFormat="1" x14ac:dyDescent="0.25"/>
    <row r="29437" s="42" customFormat="1" x14ac:dyDescent="0.25"/>
    <row r="29438" s="42" customFormat="1" x14ac:dyDescent="0.25"/>
    <row r="29439" s="42" customFormat="1" x14ac:dyDescent="0.25"/>
    <row r="29440" s="42" customFormat="1" x14ac:dyDescent="0.25"/>
    <row r="29441" s="42" customFormat="1" x14ac:dyDescent="0.25"/>
    <row r="29442" s="42" customFormat="1" x14ac:dyDescent="0.25"/>
    <row r="29443" s="42" customFormat="1" x14ac:dyDescent="0.25"/>
    <row r="29444" s="42" customFormat="1" x14ac:dyDescent="0.25"/>
    <row r="29445" s="42" customFormat="1" x14ac:dyDescent="0.25"/>
    <row r="29446" s="42" customFormat="1" x14ac:dyDescent="0.25"/>
    <row r="29447" s="42" customFormat="1" x14ac:dyDescent="0.25"/>
    <row r="29448" s="42" customFormat="1" x14ac:dyDescent="0.25"/>
    <row r="29449" s="42" customFormat="1" x14ac:dyDescent="0.25"/>
    <row r="29450" s="42" customFormat="1" x14ac:dyDescent="0.25"/>
    <row r="29451" s="42" customFormat="1" x14ac:dyDescent="0.25"/>
    <row r="29452" s="42" customFormat="1" x14ac:dyDescent="0.25"/>
    <row r="29453" s="42" customFormat="1" x14ac:dyDescent="0.25"/>
    <row r="29454" s="42" customFormat="1" x14ac:dyDescent="0.25"/>
    <row r="29455" s="42" customFormat="1" x14ac:dyDescent="0.25"/>
    <row r="29456" s="42" customFormat="1" x14ac:dyDescent="0.25"/>
    <row r="29457" s="42" customFormat="1" x14ac:dyDescent="0.25"/>
    <row r="29458" s="42" customFormat="1" x14ac:dyDescent="0.25"/>
    <row r="29459" s="42" customFormat="1" x14ac:dyDescent="0.25"/>
    <row r="29460" s="42" customFormat="1" x14ac:dyDescent="0.25"/>
    <row r="29461" s="42" customFormat="1" x14ac:dyDescent="0.25"/>
    <row r="29462" s="42" customFormat="1" x14ac:dyDescent="0.25"/>
    <row r="29463" s="42" customFormat="1" x14ac:dyDescent="0.25"/>
    <row r="29464" s="42" customFormat="1" x14ac:dyDescent="0.25"/>
    <row r="29465" s="42" customFormat="1" x14ac:dyDescent="0.25"/>
    <row r="29466" s="42" customFormat="1" x14ac:dyDescent="0.25"/>
    <row r="29467" s="42" customFormat="1" x14ac:dyDescent="0.25"/>
    <row r="29468" s="42" customFormat="1" x14ac:dyDescent="0.25"/>
    <row r="29469" s="42" customFormat="1" x14ac:dyDescent="0.25"/>
    <row r="29470" s="42" customFormat="1" x14ac:dyDescent="0.25"/>
    <row r="29471" s="42" customFormat="1" x14ac:dyDescent="0.25"/>
    <row r="29472" s="42" customFormat="1" x14ac:dyDescent="0.25"/>
    <row r="29473" s="42" customFormat="1" x14ac:dyDescent="0.25"/>
    <row r="29474" s="42" customFormat="1" x14ac:dyDescent="0.25"/>
    <row r="29475" s="42" customFormat="1" x14ac:dyDescent="0.25"/>
    <row r="29476" s="42" customFormat="1" x14ac:dyDescent="0.25"/>
    <row r="29477" s="42" customFormat="1" x14ac:dyDescent="0.25"/>
    <row r="29478" s="42" customFormat="1" x14ac:dyDescent="0.25"/>
    <row r="29479" s="42" customFormat="1" x14ac:dyDescent="0.25"/>
    <row r="29480" s="42" customFormat="1" x14ac:dyDescent="0.25"/>
    <row r="29481" s="42" customFormat="1" x14ac:dyDescent="0.25"/>
    <row r="29482" s="42" customFormat="1" x14ac:dyDescent="0.25"/>
    <row r="29483" s="42" customFormat="1" x14ac:dyDescent="0.25"/>
    <row r="29484" s="42" customFormat="1" x14ac:dyDescent="0.25"/>
    <row r="29485" s="42" customFormat="1" x14ac:dyDescent="0.25"/>
    <row r="29486" s="42" customFormat="1" x14ac:dyDescent="0.25"/>
    <row r="29487" s="42" customFormat="1" x14ac:dyDescent="0.25"/>
    <row r="29488" s="42" customFormat="1" x14ac:dyDescent="0.25"/>
    <row r="29489" s="42" customFormat="1" x14ac:dyDescent="0.25"/>
    <row r="29490" s="42" customFormat="1" x14ac:dyDescent="0.25"/>
    <row r="29491" s="42" customFormat="1" x14ac:dyDescent="0.25"/>
    <row r="29492" s="42" customFormat="1" x14ac:dyDescent="0.25"/>
    <row r="29493" s="42" customFormat="1" x14ac:dyDescent="0.25"/>
    <row r="29494" s="42" customFormat="1" x14ac:dyDescent="0.25"/>
    <row r="29495" s="42" customFormat="1" x14ac:dyDescent="0.25"/>
    <row r="29496" s="42" customFormat="1" x14ac:dyDescent="0.25"/>
    <row r="29497" s="42" customFormat="1" x14ac:dyDescent="0.25"/>
    <row r="29498" s="42" customFormat="1" x14ac:dyDescent="0.25"/>
    <row r="29499" s="42" customFormat="1" x14ac:dyDescent="0.25"/>
    <row r="29500" s="42" customFormat="1" x14ac:dyDescent="0.25"/>
    <row r="29501" s="42" customFormat="1" x14ac:dyDescent="0.25"/>
    <row r="29502" s="42" customFormat="1" x14ac:dyDescent="0.25"/>
    <row r="29503" s="42" customFormat="1" x14ac:dyDescent="0.25"/>
    <row r="29504" s="42" customFormat="1" x14ac:dyDescent="0.25"/>
    <row r="29505" s="42" customFormat="1" x14ac:dyDescent="0.25"/>
    <row r="29506" s="42" customFormat="1" x14ac:dyDescent="0.25"/>
    <row r="29507" s="42" customFormat="1" x14ac:dyDescent="0.25"/>
    <row r="29508" s="42" customFormat="1" x14ac:dyDescent="0.25"/>
    <row r="29509" s="42" customFormat="1" x14ac:dyDescent="0.25"/>
    <row r="29510" s="42" customFormat="1" x14ac:dyDescent="0.25"/>
    <row r="29511" s="42" customFormat="1" x14ac:dyDescent="0.25"/>
    <row r="29512" s="42" customFormat="1" x14ac:dyDescent="0.25"/>
    <row r="29513" s="42" customFormat="1" x14ac:dyDescent="0.25"/>
    <row r="29514" s="42" customFormat="1" x14ac:dyDescent="0.25"/>
    <row r="29515" s="42" customFormat="1" x14ac:dyDescent="0.25"/>
    <row r="29516" s="42" customFormat="1" x14ac:dyDescent="0.25"/>
    <row r="29517" s="42" customFormat="1" x14ac:dyDescent="0.25"/>
    <row r="29518" s="42" customFormat="1" x14ac:dyDescent="0.25"/>
    <row r="29519" s="42" customFormat="1" x14ac:dyDescent="0.25"/>
    <row r="29520" s="42" customFormat="1" x14ac:dyDescent="0.25"/>
    <row r="29521" s="42" customFormat="1" x14ac:dyDescent="0.25"/>
    <row r="29522" s="42" customFormat="1" x14ac:dyDescent="0.25"/>
    <row r="29523" s="42" customFormat="1" x14ac:dyDescent="0.25"/>
    <row r="29524" s="42" customFormat="1" x14ac:dyDescent="0.25"/>
    <row r="29525" s="42" customFormat="1" x14ac:dyDescent="0.25"/>
    <row r="29526" s="42" customFormat="1" x14ac:dyDescent="0.25"/>
    <row r="29527" s="42" customFormat="1" x14ac:dyDescent="0.25"/>
    <row r="29528" s="42" customFormat="1" x14ac:dyDescent="0.25"/>
    <row r="29529" s="42" customFormat="1" x14ac:dyDescent="0.25"/>
    <row r="29530" s="42" customFormat="1" x14ac:dyDescent="0.25"/>
    <row r="29531" s="42" customFormat="1" x14ac:dyDescent="0.25"/>
    <row r="29532" s="42" customFormat="1" x14ac:dyDescent="0.25"/>
    <row r="29533" s="42" customFormat="1" x14ac:dyDescent="0.25"/>
    <row r="29534" s="42" customFormat="1" x14ac:dyDescent="0.25"/>
    <row r="29535" s="42" customFormat="1" x14ac:dyDescent="0.25"/>
    <row r="29536" s="42" customFormat="1" x14ac:dyDescent="0.25"/>
    <row r="29537" s="42" customFormat="1" x14ac:dyDescent="0.25"/>
    <row r="29538" s="42" customFormat="1" x14ac:dyDescent="0.25"/>
    <row r="29539" s="42" customFormat="1" x14ac:dyDescent="0.25"/>
    <row r="29540" s="42" customFormat="1" x14ac:dyDescent="0.25"/>
    <row r="29541" s="42" customFormat="1" x14ac:dyDescent="0.25"/>
    <row r="29542" s="42" customFormat="1" x14ac:dyDescent="0.25"/>
    <row r="29543" s="42" customFormat="1" x14ac:dyDescent="0.25"/>
    <row r="29544" s="42" customFormat="1" x14ac:dyDescent="0.25"/>
    <row r="29545" s="42" customFormat="1" x14ac:dyDescent="0.25"/>
    <row r="29546" s="42" customFormat="1" x14ac:dyDescent="0.25"/>
    <row r="29547" s="42" customFormat="1" x14ac:dyDescent="0.25"/>
    <row r="29548" s="42" customFormat="1" x14ac:dyDescent="0.25"/>
    <row r="29549" s="42" customFormat="1" x14ac:dyDescent="0.25"/>
    <row r="29550" s="42" customFormat="1" x14ac:dyDescent="0.25"/>
    <row r="29551" s="42" customFormat="1" x14ac:dyDescent="0.25"/>
    <row r="29552" s="42" customFormat="1" x14ac:dyDescent="0.25"/>
    <row r="29553" s="42" customFormat="1" x14ac:dyDescent="0.25"/>
    <row r="29554" s="42" customFormat="1" x14ac:dyDescent="0.25"/>
    <row r="29555" s="42" customFormat="1" x14ac:dyDescent="0.25"/>
    <row r="29556" s="42" customFormat="1" x14ac:dyDescent="0.25"/>
    <row r="29557" s="42" customFormat="1" x14ac:dyDescent="0.25"/>
    <row r="29558" s="42" customFormat="1" x14ac:dyDescent="0.25"/>
    <row r="29559" s="42" customFormat="1" x14ac:dyDescent="0.25"/>
    <row r="29560" s="42" customFormat="1" x14ac:dyDescent="0.25"/>
    <row r="29561" s="42" customFormat="1" x14ac:dyDescent="0.25"/>
    <row r="29562" s="42" customFormat="1" x14ac:dyDescent="0.25"/>
    <row r="29563" s="42" customFormat="1" x14ac:dyDescent="0.25"/>
    <row r="29564" s="42" customFormat="1" x14ac:dyDescent="0.25"/>
    <row r="29565" s="42" customFormat="1" x14ac:dyDescent="0.25"/>
    <row r="29566" s="42" customFormat="1" x14ac:dyDescent="0.25"/>
    <row r="29567" s="42" customFormat="1" x14ac:dyDescent="0.25"/>
    <row r="29568" s="42" customFormat="1" x14ac:dyDescent="0.25"/>
    <row r="29569" s="42" customFormat="1" x14ac:dyDescent="0.25"/>
    <row r="29570" s="42" customFormat="1" x14ac:dyDescent="0.25"/>
    <row r="29571" s="42" customFormat="1" x14ac:dyDescent="0.25"/>
    <row r="29572" s="42" customFormat="1" x14ac:dyDescent="0.25"/>
    <row r="29573" s="42" customFormat="1" x14ac:dyDescent="0.25"/>
    <row r="29574" s="42" customFormat="1" x14ac:dyDescent="0.25"/>
    <row r="29575" s="42" customFormat="1" x14ac:dyDescent="0.25"/>
    <row r="29576" s="42" customFormat="1" x14ac:dyDescent="0.25"/>
    <row r="29577" s="42" customFormat="1" x14ac:dyDescent="0.25"/>
    <row r="29578" s="42" customFormat="1" x14ac:dyDescent="0.25"/>
    <row r="29579" s="42" customFormat="1" x14ac:dyDescent="0.25"/>
    <row r="29580" s="42" customFormat="1" x14ac:dyDescent="0.25"/>
    <row r="29581" s="42" customFormat="1" x14ac:dyDescent="0.25"/>
    <row r="29582" s="42" customFormat="1" x14ac:dyDescent="0.25"/>
    <row r="29583" s="42" customFormat="1" x14ac:dyDescent="0.25"/>
    <row r="29584" s="42" customFormat="1" x14ac:dyDescent="0.25"/>
    <row r="29585" s="42" customFormat="1" x14ac:dyDescent="0.25"/>
    <row r="29586" s="42" customFormat="1" x14ac:dyDescent="0.25"/>
    <row r="29587" s="42" customFormat="1" x14ac:dyDescent="0.25"/>
    <row r="29588" s="42" customFormat="1" x14ac:dyDescent="0.25"/>
    <row r="29589" s="42" customFormat="1" x14ac:dyDescent="0.25"/>
    <row r="29590" s="42" customFormat="1" x14ac:dyDescent="0.25"/>
    <row r="29591" s="42" customFormat="1" x14ac:dyDescent="0.25"/>
    <row r="29592" s="42" customFormat="1" x14ac:dyDescent="0.25"/>
    <row r="29593" s="42" customFormat="1" x14ac:dyDescent="0.25"/>
    <row r="29594" s="42" customFormat="1" x14ac:dyDescent="0.25"/>
    <row r="29595" s="42" customFormat="1" x14ac:dyDescent="0.25"/>
    <row r="29596" s="42" customFormat="1" x14ac:dyDescent="0.25"/>
    <row r="29597" s="42" customFormat="1" x14ac:dyDescent="0.25"/>
    <row r="29598" s="42" customFormat="1" x14ac:dyDescent="0.25"/>
    <row r="29599" s="42" customFormat="1" x14ac:dyDescent="0.25"/>
    <row r="29600" s="42" customFormat="1" x14ac:dyDescent="0.25"/>
    <row r="29601" s="42" customFormat="1" x14ac:dyDescent="0.25"/>
    <row r="29602" s="42" customFormat="1" x14ac:dyDescent="0.25"/>
    <row r="29603" s="42" customFormat="1" x14ac:dyDescent="0.25"/>
    <row r="29604" s="42" customFormat="1" x14ac:dyDescent="0.25"/>
    <row r="29605" s="42" customFormat="1" x14ac:dyDescent="0.25"/>
    <row r="29606" s="42" customFormat="1" x14ac:dyDescent="0.25"/>
    <row r="29607" s="42" customFormat="1" x14ac:dyDescent="0.25"/>
    <row r="29608" s="42" customFormat="1" x14ac:dyDescent="0.25"/>
    <row r="29609" s="42" customFormat="1" x14ac:dyDescent="0.25"/>
    <row r="29610" s="42" customFormat="1" x14ac:dyDescent="0.25"/>
    <row r="29611" s="42" customFormat="1" x14ac:dyDescent="0.25"/>
    <row r="29612" s="42" customFormat="1" x14ac:dyDescent="0.25"/>
    <row r="29613" s="42" customFormat="1" x14ac:dyDescent="0.25"/>
    <row r="29614" s="42" customFormat="1" x14ac:dyDescent="0.25"/>
    <row r="29615" s="42" customFormat="1" x14ac:dyDescent="0.25"/>
    <row r="29616" s="42" customFormat="1" x14ac:dyDescent="0.25"/>
    <row r="29617" s="42" customFormat="1" x14ac:dyDescent="0.25"/>
    <row r="29618" s="42" customFormat="1" x14ac:dyDescent="0.25"/>
    <row r="29619" s="42" customFormat="1" x14ac:dyDescent="0.25"/>
    <row r="29620" s="42" customFormat="1" x14ac:dyDescent="0.25"/>
    <row r="29621" s="42" customFormat="1" x14ac:dyDescent="0.25"/>
    <row r="29622" s="42" customFormat="1" x14ac:dyDescent="0.25"/>
    <row r="29623" s="42" customFormat="1" x14ac:dyDescent="0.25"/>
    <row r="29624" s="42" customFormat="1" x14ac:dyDescent="0.25"/>
    <row r="29625" s="42" customFormat="1" x14ac:dyDescent="0.25"/>
    <row r="29626" s="42" customFormat="1" x14ac:dyDescent="0.25"/>
    <row r="29627" s="42" customFormat="1" x14ac:dyDescent="0.25"/>
    <row r="29628" s="42" customFormat="1" x14ac:dyDescent="0.25"/>
    <row r="29629" s="42" customFormat="1" x14ac:dyDescent="0.25"/>
    <row r="29630" s="42" customFormat="1" x14ac:dyDescent="0.25"/>
    <row r="29631" s="42" customFormat="1" x14ac:dyDescent="0.25"/>
    <row r="29632" s="42" customFormat="1" x14ac:dyDescent="0.25"/>
    <row r="29633" s="42" customFormat="1" x14ac:dyDescent="0.25"/>
    <row r="29634" s="42" customFormat="1" x14ac:dyDescent="0.25"/>
    <row r="29635" s="42" customFormat="1" x14ac:dyDescent="0.25"/>
    <row r="29636" s="42" customFormat="1" x14ac:dyDescent="0.25"/>
    <row r="29637" s="42" customFormat="1" x14ac:dyDescent="0.25"/>
    <row r="29638" s="42" customFormat="1" x14ac:dyDescent="0.25"/>
    <row r="29639" s="42" customFormat="1" x14ac:dyDescent="0.25"/>
    <row r="29640" s="42" customFormat="1" x14ac:dyDescent="0.25"/>
    <row r="29641" s="42" customFormat="1" x14ac:dyDescent="0.25"/>
    <row r="29642" s="42" customFormat="1" x14ac:dyDescent="0.25"/>
    <row r="29643" s="42" customFormat="1" x14ac:dyDescent="0.25"/>
    <row r="29644" s="42" customFormat="1" x14ac:dyDescent="0.25"/>
    <row r="29645" s="42" customFormat="1" x14ac:dyDescent="0.25"/>
    <row r="29646" s="42" customFormat="1" x14ac:dyDescent="0.25"/>
    <row r="29647" s="42" customFormat="1" x14ac:dyDescent="0.25"/>
    <row r="29648" s="42" customFormat="1" x14ac:dyDescent="0.25"/>
    <row r="29649" s="42" customFormat="1" x14ac:dyDescent="0.25"/>
    <row r="29650" s="42" customFormat="1" x14ac:dyDescent="0.25"/>
    <row r="29651" s="42" customFormat="1" x14ac:dyDescent="0.25"/>
    <row r="29652" s="42" customFormat="1" x14ac:dyDescent="0.25"/>
    <row r="29653" s="42" customFormat="1" x14ac:dyDescent="0.25"/>
    <row r="29654" s="42" customFormat="1" x14ac:dyDescent="0.25"/>
    <row r="29655" s="42" customFormat="1" x14ac:dyDescent="0.25"/>
    <row r="29656" s="42" customFormat="1" x14ac:dyDescent="0.25"/>
    <row r="29657" s="42" customFormat="1" x14ac:dyDescent="0.25"/>
    <row r="29658" s="42" customFormat="1" x14ac:dyDescent="0.25"/>
    <row r="29659" s="42" customFormat="1" x14ac:dyDescent="0.25"/>
    <row r="29660" s="42" customFormat="1" x14ac:dyDescent="0.25"/>
    <row r="29661" s="42" customFormat="1" x14ac:dyDescent="0.25"/>
    <row r="29662" s="42" customFormat="1" x14ac:dyDescent="0.25"/>
    <row r="29663" s="42" customFormat="1" x14ac:dyDescent="0.25"/>
    <row r="29664" s="42" customFormat="1" x14ac:dyDescent="0.25"/>
    <row r="29665" s="42" customFormat="1" x14ac:dyDescent="0.25"/>
    <row r="29666" s="42" customFormat="1" x14ac:dyDescent="0.25"/>
    <row r="29667" s="42" customFormat="1" x14ac:dyDescent="0.25"/>
    <row r="29668" s="42" customFormat="1" x14ac:dyDescent="0.25"/>
    <row r="29669" s="42" customFormat="1" x14ac:dyDescent="0.25"/>
    <row r="29670" s="42" customFormat="1" x14ac:dyDescent="0.25"/>
    <row r="29671" s="42" customFormat="1" x14ac:dyDescent="0.25"/>
    <row r="29672" s="42" customFormat="1" x14ac:dyDescent="0.25"/>
    <row r="29673" s="42" customFormat="1" x14ac:dyDescent="0.25"/>
    <row r="29674" s="42" customFormat="1" x14ac:dyDescent="0.25"/>
    <row r="29675" s="42" customFormat="1" x14ac:dyDescent="0.25"/>
    <row r="29676" s="42" customFormat="1" x14ac:dyDescent="0.25"/>
    <row r="29677" s="42" customFormat="1" x14ac:dyDescent="0.25"/>
    <row r="29678" s="42" customFormat="1" x14ac:dyDescent="0.25"/>
    <row r="29679" s="42" customFormat="1" x14ac:dyDescent="0.25"/>
    <row r="29680" s="42" customFormat="1" x14ac:dyDescent="0.25"/>
    <row r="29681" s="42" customFormat="1" x14ac:dyDescent="0.25"/>
    <row r="29682" s="42" customFormat="1" x14ac:dyDescent="0.25"/>
    <row r="29683" s="42" customFormat="1" x14ac:dyDescent="0.25"/>
    <row r="29684" s="42" customFormat="1" x14ac:dyDescent="0.25"/>
    <row r="29685" s="42" customFormat="1" x14ac:dyDescent="0.25"/>
    <row r="29686" s="42" customFormat="1" x14ac:dyDescent="0.25"/>
    <row r="29687" s="42" customFormat="1" x14ac:dyDescent="0.25"/>
    <row r="29688" s="42" customFormat="1" x14ac:dyDescent="0.25"/>
    <row r="29689" s="42" customFormat="1" x14ac:dyDescent="0.25"/>
    <row r="29690" s="42" customFormat="1" x14ac:dyDescent="0.25"/>
    <row r="29691" s="42" customFormat="1" x14ac:dyDescent="0.25"/>
    <row r="29692" s="42" customFormat="1" x14ac:dyDescent="0.25"/>
    <row r="29693" s="42" customFormat="1" x14ac:dyDescent="0.25"/>
    <row r="29694" s="42" customFormat="1" x14ac:dyDescent="0.25"/>
    <row r="29695" s="42" customFormat="1" x14ac:dyDescent="0.25"/>
    <row r="29696" s="42" customFormat="1" x14ac:dyDescent="0.25"/>
    <row r="29697" s="42" customFormat="1" x14ac:dyDescent="0.25"/>
    <row r="29698" s="42" customFormat="1" x14ac:dyDescent="0.25"/>
    <row r="29699" s="42" customFormat="1" x14ac:dyDescent="0.25"/>
    <row r="29700" s="42" customFormat="1" x14ac:dyDescent="0.25"/>
    <row r="29701" s="42" customFormat="1" x14ac:dyDescent="0.25"/>
    <row r="29702" s="42" customFormat="1" x14ac:dyDescent="0.25"/>
    <row r="29703" s="42" customFormat="1" x14ac:dyDescent="0.25"/>
    <row r="29704" s="42" customFormat="1" x14ac:dyDescent="0.25"/>
    <row r="29705" s="42" customFormat="1" x14ac:dyDescent="0.25"/>
    <row r="29706" s="42" customFormat="1" x14ac:dyDescent="0.25"/>
    <row r="29707" s="42" customFormat="1" x14ac:dyDescent="0.25"/>
    <row r="29708" s="42" customFormat="1" x14ac:dyDescent="0.25"/>
    <row r="29709" s="42" customFormat="1" x14ac:dyDescent="0.25"/>
    <row r="29710" s="42" customFormat="1" x14ac:dyDescent="0.25"/>
    <row r="29711" s="42" customFormat="1" x14ac:dyDescent="0.25"/>
    <row r="29712" s="42" customFormat="1" x14ac:dyDescent="0.25"/>
    <row r="29713" s="42" customFormat="1" x14ac:dyDescent="0.25"/>
    <row r="29714" s="42" customFormat="1" x14ac:dyDescent="0.25"/>
    <row r="29715" s="42" customFormat="1" x14ac:dyDescent="0.25"/>
    <row r="29716" s="42" customFormat="1" x14ac:dyDescent="0.25"/>
    <row r="29717" s="42" customFormat="1" x14ac:dyDescent="0.25"/>
    <row r="29718" s="42" customFormat="1" x14ac:dyDescent="0.25"/>
    <row r="29719" s="42" customFormat="1" x14ac:dyDescent="0.25"/>
    <row r="29720" s="42" customFormat="1" x14ac:dyDescent="0.25"/>
    <row r="29721" s="42" customFormat="1" x14ac:dyDescent="0.25"/>
    <row r="29722" s="42" customFormat="1" x14ac:dyDescent="0.25"/>
    <row r="29723" s="42" customFormat="1" x14ac:dyDescent="0.25"/>
    <row r="29724" s="42" customFormat="1" x14ac:dyDescent="0.25"/>
    <row r="29725" s="42" customFormat="1" x14ac:dyDescent="0.25"/>
    <row r="29726" s="42" customFormat="1" x14ac:dyDescent="0.25"/>
    <row r="29727" s="42" customFormat="1" x14ac:dyDescent="0.25"/>
    <row r="29728" s="42" customFormat="1" x14ac:dyDescent="0.25"/>
    <row r="29729" s="42" customFormat="1" x14ac:dyDescent="0.25"/>
    <row r="29730" s="42" customFormat="1" x14ac:dyDescent="0.25"/>
    <row r="29731" s="42" customFormat="1" x14ac:dyDescent="0.25"/>
    <row r="29732" s="42" customFormat="1" x14ac:dyDescent="0.25"/>
    <row r="29733" s="42" customFormat="1" x14ac:dyDescent="0.25"/>
    <row r="29734" s="42" customFormat="1" x14ac:dyDescent="0.25"/>
    <row r="29735" s="42" customFormat="1" x14ac:dyDescent="0.25"/>
    <row r="29736" s="42" customFormat="1" x14ac:dyDescent="0.25"/>
    <row r="29737" s="42" customFormat="1" x14ac:dyDescent="0.25"/>
    <row r="29738" s="42" customFormat="1" x14ac:dyDescent="0.25"/>
    <row r="29739" s="42" customFormat="1" x14ac:dyDescent="0.25"/>
    <row r="29740" s="42" customFormat="1" x14ac:dyDescent="0.25"/>
    <row r="29741" s="42" customFormat="1" x14ac:dyDescent="0.25"/>
    <row r="29742" s="42" customFormat="1" x14ac:dyDescent="0.25"/>
    <row r="29743" s="42" customFormat="1" x14ac:dyDescent="0.25"/>
    <row r="29744" s="42" customFormat="1" x14ac:dyDescent="0.25"/>
    <row r="29745" s="42" customFormat="1" x14ac:dyDescent="0.25"/>
    <row r="29746" s="42" customFormat="1" x14ac:dyDescent="0.25"/>
    <row r="29747" s="42" customFormat="1" x14ac:dyDescent="0.25"/>
    <row r="29748" s="42" customFormat="1" x14ac:dyDescent="0.25"/>
    <row r="29749" s="42" customFormat="1" x14ac:dyDescent="0.25"/>
    <row r="29750" s="42" customFormat="1" x14ac:dyDescent="0.25"/>
    <row r="29751" s="42" customFormat="1" x14ac:dyDescent="0.25"/>
    <row r="29752" s="42" customFormat="1" x14ac:dyDescent="0.25"/>
    <row r="29753" s="42" customFormat="1" x14ac:dyDescent="0.25"/>
    <row r="29754" s="42" customFormat="1" x14ac:dyDescent="0.25"/>
    <row r="29755" s="42" customFormat="1" x14ac:dyDescent="0.25"/>
    <row r="29756" s="42" customFormat="1" x14ac:dyDescent="0.25"/>
    <row r="29757" s="42" customFormat="1" x14ac:dyDescent="0.25"/>
    <row r="29758" s="42" customFormat="1" x14ac:dyDescent="0.25"/>
    <row r="29759" s="42" customFormat="1" x14ac:dyDescent="0.25"/>
    <row r="29760" s="42" customFormat="1" x14ac:dyDescent="0.25"/>
    <row r="29761" s="42" customFormat="1" x14ac:dyDescent="0.25"/>
    <row r="29762" s="42" customFormat="1" x14ac:dyDescent="0.25"/>
    <row r="29763" s="42" customFormat="1" x14ac:dyDescent="0.25"/>
    <row r="29764" s="42" customFormat="1" x14ac:dyDescent="0.25"/>
    <row r="29765" s="42" customFormat="1" x14ac:dyDescent="0.25"/>
    <row r="29766" s="42" customFormat="1" x14ac:dyDescent="0.25"/>
    <row r="29767" s="42" customFormat="1" x14ac:dyDescent="0.25"/>
    <row r="29768" s="42" customFormat="1" x14ac:dyDescent="0.25"/>
    <row r="29769" s="42" customFormat="1" x14ac:dyDescent="0.25"/>
    <row r="29770" s="42" customFormat="1" x14ac:dyDescent="0.25"/>
    <row r="29771" s="42" customFormat="1" x14ac:dyDescent="0.25"/>
    <row r="29772" s="42" customFormat="1" x14ac:dyDescent="0.25"/>
    <row r="29773" s="42" customFormat="1" x14ac:dyDescent="0.25"/>
    <row r="29774" s="42" customFormat="1" x14ac:dyDescent="0.25"/>
    <row r="29775" s="42" customFormat="1" x14ac:dyDescent="0.25"/>
    <row r="29776" s="42" customFormat="1" x14ac:dyDescent="0.25"/>
    <row r="29777" s="42" customFormat="1" x14ac:dyDescent="0.25"/>
    <row r="29778" s="42" customFormat="1" x14ac:dyDescent="0.25"/>
    <row r="29779" s="42" customFormat="1" x14ac:dyDescent="0.25"/>
    <row r="29780" s="42" customFormat="1" x14ac:dyDescent="0.25"/>
    <row r="29781" s="42" customFormat="1" x14ac:dyDescent="0.25"/>
    <row r="29782" s="42" customFormat="1" x14ac:dyDescent="0.25"/>
    <row r="29783" s="42" customFormat="1" x14ac:dyDescent="0.25"/>
    <row r="29784" s="42" customFormat="1" x14ac:dyDescent="0.25"/>
    <row r="29785" s="42" customFormat="1" x14ac:dyDescent="0.25"/>
    <row r="29786" s="42" customFormat="1" x14ac:dyDescent="0.25"/>
    <row r="29787" s="42" customFormat="1" x14ac:dyDescent="0.25"/>
    <row r="29788" s="42" customFormat="1" x14ac:dyDescent="0.25"/>
    <row r="29789" s="42" customFormat="1" x14ac:dyDescent="0.25"/>
    <row r="29790" s="42" customFormat="1" x14ac:dyDescent="0.25"/>
    <row r="29791" s="42" customFormat="1" x14ac:dyDescent="0.25"/>
    <row r="29792" s="42" customFormat="1" x14ac:dyDescent="0.25"/>
    <row r="29793" s="42" customFormat="1" x14ac:dyDescent="0.25"/>
    <row r="29794" s="42" customFormat="1" x14ac:dyDescent="0.25"/>
    <row r="29795" s="42" customFormat="1" x14ac:dyDescent="0.25"/>
    <row r="29796" s="42" customFormat="1" x14ac:dyDescent="0.25"/>
    <row r="29797" s="42" customFormat="1" x14ac:dyDescent="0.25"/>
    <row r="29798" s="42" customFormat="1" x14ac:dyDescent="0.25"/>
    <row r="29799" s="42" customFormat="1" x14ac:dyDescent="0.25"/>
    <row r="29800" s="42" customFormat="1" x14ac:dyDescent="0.25"/>
    <row r="29801" s="42" customFormat="1" x14ac:dyDescent="0.25"/>
    <row r="29802" s="42" customFormat="1" x14ac:dyDescent="0.25"/>
    <row r="29803" s="42" customFormat="1" x14ac:dyDescent="0.25"/>
    <row r="29804" s="42" customFormat="1" x14ac:dyDescent="0.25"/>
    <row r="29805" s="42" customFormat="1" x14ac:dyDescent="0.25"/>
    <row r="29806" s="42" customFormat="1" x14ac:dyDescent="0.25"/>
    <row r="29807" s="42" customFormat="1" x14ac:dyDescent="0.25"/>
    <row r="29808" s="42" customFormat="1" x14ac:dyDescent="0.25"/>
    <row r="29809" s="42" customFormat="1" x14ac:dyDescent="0.25"/>
    <row r="29810" s="42" customFormat="1" x14ac:dyDescent="0.25"/>
    <row r="29811" s="42" customFormat="1" x14ac:dyDescent="0.25"/>
    <row r="29812" s="42" customFormat="1" x14ac:dyDescent="0.25"/>
    <row r="29813" s="42" customFormat="1" x14ac:dyDescent="0.25"/>
    <row r="29814" s="42" customFormat="1" x14ac:dyDescent="0.25"/>
    <row r="29815" s="42" customFormat="1" x14ac:dyDescent="0.25"/>
    <row r="29816" s="42" customFormat="1" x14ac:dyDescent="0.25"/>
    <row r="29817" s="42" customFormat="1" x14ac:dyDescent="0.25"/>
    <row r="29818" s="42" customFormat="1" x14ac:dyDescent="0.25"/>
    <row r="29819" s="42" customFormat="1" x14ac:dyDescent="0.25"/>
    <row r="29820" s="42" customFormat="1" x14ac:dyDescent="0.25"/>
    <row r="29821" s="42" customFormat="1" x14ac:dyDescent="0.25"/>
    <row r="29822" s="42" customFormat="1" x14ac:dyDescent="0.25"/>
    <row r="29823" s="42" customFormat="1" x14ac:dyDescent="0.25"/>
    <row r="29824" s="42" customFormat="1" x14ac:dyDescent="0.25"/>
    <row r="29825" s="42" customFormat="1" x14ac:dyDescent="0.25"/>
    <row r="29826" s="42" customFormat="1" x14ac:dyDescent="0.25"/>
    <row r="29827" s="42" customFormat="1" x14ac:dyDescent="0.25"/>
    <row r="29828" s="42" customFormat="1" x14ac:dyDescent="0.25"/>
    <row r="29829" s="42" customFormat="1" x14ac:dyDescent="0.25"/>
    <row r="29830" s="42" customFormat="1" x14ac:dyDescent="0.25"/>
    <row r="29831" s="42" customFormat="1" x14ac:dyDescent="0.25"/>
    <row r="29832" s="42" customFormat="1" x14ac:dyDescent="0.25"/>
    <row r="29833" s="42" customFormat="1" x14ac:dyDescent="0.25"/>
    <row r="29834" s="42" customFormat="1" x14ac:dyDescent="0.25"/>
    <row r="29835" s="42" customFormat="1" x14ac:dyDescent="0.25"/>
    <row r="29836" s="42" customFormat="1" x14ac:dyDescent="0.25"/>
    <row r="29837" s="42" customFormat="1" x14ac:dyDescent="0.25"/>
    <row r="29838" s="42" customFormat="1" x14ac:dyDescent="0.25"/>
    <row r="29839" s="42" customFormat="1" x14ac:dyDescent="0.25"/>
    <row r="29840" s="42" customFormat="1" x14ac:dyDescent="0.25"/>
    <row r="29841" s="42" customFormat="1" x14ac:dyDescent="0.25"/>
    <row r="29842" s="42" customFormat="1" x14ac:dyDescent="0.25"/>
    <row r="29843" s="42" customFormat="1" x14ac:dyDescent="0.25"/>
    <row r="29844" s="42" customFormat="1" x14ac:dyDescent="0.25"/>
    <row r="29845" s="42" customFormat="1" x14ac:dyDescent="0.25"/>
    <row r="29846" s="42" customFormat="1" x14ac:dyDescent="0.25"/>
    <row r="29847" s="42" customFormat="1" x14ac:dyDescent="0.25"/>
    <row r="29848" s="42" customFormat="1" x14ac:dyDescent="0.25"/>
    <row r="29849" s="42" customFormat="1" x14ac:dyDescent="0.25"/>
    <row r="29850" s="42" customFormat="1" x14ac:dyDescent="0.25"/>
    <row r="29851" s="42" customFormat="1" x14ac:dyDescent="0.25"/>
    <row r="29852" s="42" customFormat="1" x14ac:dyDescent="0.25"/>
    <row r="29853" s="42" customFormat="1" x14ac:dyDescent="0.25"/>
    <row r="29854" s="42" customFormat="1" x14ac:dyDescent="0.25"/>
    <row r="29855" s="42" customFormat="1" x14ac:dyDescent="0.25"/>
    <row r="29856" s="42" customFormat="1" x14ac:dyDescent="0.25"/>
    <row r="29857" s="42" customFormat="1" x14ac:dyDescent="0.25"/>
    <row r="29858" s="42" customFormat="1" x14ac:dyDescent="0.25"/>
    <row r="29859" s="42" customFormat="1" x14ac:dyDescent="0.25"/>
    <row r="29860" s="42" customFormat="1" x14ac:dyDescent="0.25"/>
    <row r="29861" s="42" customFormat="1" x14ac:dyDescent="0.25"/>
    <row r="29862" s="42" customFormat="1" x14ac:dyDescent="0.25"/>
    <row r="29863" s="42" customFormat="1" x14ac:dyDescent="0.25"/>
    <row r="29864" s="42" customFormat="1" x14ac:dyDescent="0.25"/>
    <row r="29865" s="42" customFormat="1" x14ac:dyDescent="0.25"/>
    <row r="29866" s="42" customFormat="1" x14ac:dyDescent="0.25"/>
    <row r="29867" s="42" customFormat="1" x14ac:dyDescent="0.25"/>
    <row r="29868" s="42" customFormat="1" x14ac:dyDescent="0.25"/>
    <row r="29869" s="42" customFormat="1" x14ac:dyDescent="0.25"/>
    <row r="29870" s="42" customFormat="1" x14ac:dyDescent="0.25"/>
    <row r="29871" s="42" customFormat="1" x14ac:dyDescent="0.25"/>
    <row r="29872" s="42" customFormat="1" x14ac:dyDescent="0.25"/>
    <row r="29873" s="42" customFormat="1" x14ac:dyDescent="0.25"/>
    <row r="29874" s="42" customFormat="1" x14ac:dyDescent="0.25"/>
    <row r="29875" s="42" customFormat="1" x14ac:dyDescent="0.25"/>
    <row r="29876" s="42" customFormat="1" x14ac:dyDescent="0.25"/>
    <row r="29877" s="42" customFormat="1" x14ac:dyDescent="0.25"/>
    <row r="29878" s="42" customFormat="1" x14ac:dyDescent="0.25"/>
    <row r="29879" s="42" customFormat="1" x14ac:dyDescent="0.25"/>
    <row r="29880" s="42" customFormat="1" x14ac:dyDescent="0.25"/>
    <row r="29881" s="42" customFormat="1" x14ac:dyDescent="0.25"/>
    <row r="29882" s="42" customFormat="1" x14ac:dyDescent="0.25"/>
    <row r="29883" s="42" customFormat="1" x14ac:dyDescent="0.25"/>
    <row r="29884" s="42" customFormat="1" x14ac:dyDescent="0.25"/>
    <row r="29885" s="42" customFormat="1" x14ac:dyDescent="0.25"/>
    <row r="29886" s="42" customFormat="1" x14ac:dyDescent="0.25"/>
    <row r="29887" s="42" customFormat="1" x14ac:dyDescent="0.25"/>
    <row r="29888" s="42" customFormat="1" x14ac:dyDescent="0.25"/>
    <row r="29889" s="42" customFormat="1" x14ac:dyDescent="0.25"/>
    <row r="29890" s="42" customFormat="1" x14ac:dyDescent="0.25"/>
    <row r="29891" s="42" customFormat="1" x14ac:dyDescent="0.25"/>
    <row r="29892" s="42" customFormat="1" x14ac:dyDescent="0.25"/>
    <row r="29893" s="42" customFormat="1" x14ac:dyDescent="0.25"/>
    <row r="29894" s="42" customFormat="1" x14ac:dyDescent="0.25"/>
    <row r="29895" s="42" customFormat="1" x14ac:dyDescent="0.25"/>
    <row r="29896" s="42" customFormat="1" x14ac:dyDescent="0.25"/>
    <row r="29897" s="42" customFormat="1" x14ac:dyDescent="0.25"/>
    <row r="29898" s="42" customFormat="1" x14ac:dyDescent="0.25"/>
    <row r="29899" s="42" customFormat="1" x14ac:dyDescent="0.25"/>
    <row r="29900" s="42" customFormat="1" x14ac:dyDescent="0.25"/>
    <row r="29901" s="42" customFormat="1" x14ac:dyDescent="0.25"/>
    <row r="29902" s="42" customFormat="1" x14ac:dyDescent="0.25"/>
    <row r="29903" s="42" customFormat="1" x14ac:dyDescent="0.25"/>
    <row r="29904" s="42" customFormat="1" x14ac:dyDescent="0.25"/>
    <row r="29905" s="42" customFormat="1" x14ac:dyDescent="0.25"/>
    <row r="29906" s="42" customFormat="1" x14ac:dyDescent="0.25"/>
    <row r="29907" s="42" customFormat="1" x14ac:dyDescent="0.25"/>
    <row r="29908" s="42" customFormat="1" x14ac:dyDescent="0.25"/>
    <row r="29909" s="42" customFormat="1" x14ac:dyDescent="0.25"/>
    <row r="29910" s="42" customFormat="1" x14ac:dyDescent="0.25"/>
    <row r="29911" s="42" customFormat="1" x14ac:dyDescent="0.25"/>
    <row r="29912" s="42" customFormat="1" x14ac:dyDescent="0.25"/>
    <row r="29913" s="42" customFormat="1" x14ac:dyDescent="0.25"/>
    <row r="29914" s="42" customFormat="1" x14ac:dyDescent="0.25"/>
    <row r="29915" s="42" customFormat="1" x14ac:dyDescent="0.25"/>
    <row r="29916" s="42" customFormat="1" x14ac:dyDescent="0.25"/>
    <row r="29917" s="42" customFormat="1" x14ac:dyDescent="0.25"/>
    <row r="29918" s="42" customFormat="1" x14ac:dyDescent="0.25"/>
    <row r="29919" s="42" customFormat="1" x14ac:dyDescent="0.25"/>
    <row r="29920" s="42" customFormat="1" x14ac:dyDescent="0.25"/>
    <row r="29921" s="42" customFormat="1" x14ac:dyDescent="0.25"/>
    <row r="29922" s="42" customFormat="1" x14ac:dyDescent="0.25"/>
    <row r="29923" s="42" customFormat="1" x14ac:dyDescent="0.25"/>
    <row r="29924" s="42" customFormat="1" x14ac:dyDescent="0.25"/>
    <row r="29925" s="42" customFormat="1" x14ac:dyDescent="0.25"/>
    <row r="29926" s="42" customFormat="1" x14ac:dyDescent="0.25"/>
    <row r="29927" s="42" customFormat="1" x14ac:dyDescent="0.25"/>
    <row r="29928" s="42" customFormat="1" x14ac:dyDescent="0.25"/>
    <row r="29929" s="42" customFormat="1" x14ac:dyDescent="0.25"/>
    <row r="29930" s="42" customFormat="1" x14ac:dyDescent="0.25"/>
    <row r="29931" s="42" customFormat="1" x14ac:dyDescent="0.25"/>
    <row r="29932" s="42" customFormat="1" x14ac:dyDescent="0.25"/>
    <row r="29933" s="42" customFormat="1" x14ac:dyDescent="0.25"/>
    <row r="29934" s="42" customFormat="1" x14ac:dyDescent="0.25"/>
    <row r="29935" s="42" customFormat="1" x14ac:dyDescent="0.25"/>
    <row r="29936" s="42" customFormat="1" x14ac:dyDescent="0.25"/>
    <row r="29937" s="42" customFormat="1" x14ac:dyDescent="0.25"/>
    <row r="29938" s="42" customFormat="1" x14ac:dyDescent="0.25"/>
    <row r="29939" s="42" customFormat="1" x14ac:dyDescent="0.25"/>
    <row r="29940" s="42" customFormat="1" x14ac:dyDescent="0.25"/>
    <row r="29941" s="42" customFormat="1" x14ac:dyDescent="0.25"/>
    <row r="29942" s="42" customFormat="1" x14ac:dyDescent="0.25"/>
    <row r="29943" s="42" customFormat="1" x14ac:dyDescent="0.25"/>
    <row r="29944" s="42" customFormat="1" x14ac:dyDescent="0.25"/>
    <row r="29945" s="42" customFormat="1" x14ac:dyDescent="0.25"/>
    <row r="29946" s="42" customFormat="1" x14ac:dyDescent="0.25"/>
    <row r="29947" s="42" customFormat="1" x14ac:dyDescent="0.25"/>
    <row r="29948" s="42" customFormat="1" x14ac:dyDescent="0.25"/>
    <row r="29949" s="42" customFormat="1" x14ac:dyDescent="0.25"/>
    <row r="29950" s="42" customFormat="1" x14ac:dyDescent="0.25"/>
    <row r="29951" s="42" customFormat="1" x14ac:dyDescent="0.25"/>
    <row r="29952" s="42" customFormat="1" x14ac:dyDescent="0.25"/>
    <row r="29953" s="42" customFormat="1" x14ac:dyDescent="0.25"/>
    <row r="29954" s="42" customFormat="1" x14ac:dyDescent="0.25"/>
    <row r="29955" s="42" customFormat="1" x14ac:dyDescent="0.25"/>
    <row r="29956" s="42" customFormat="1" x14ac:dyDescent="0.25"/>
    <row r="29957" s="42" customFormat="1" x14ac:dyDescent="0.25"/>
    <row r="29958" s="42" customFormat="1" x14ac:dyDescent="0.25"/>
    <row r="29959" s="42" customFormat="1" x14ac:dyDescent="0.25"/>
    <row r="29960" s="42" customFormat="1" x14ac:dyDescent="0.25"/>
    <row r="29961" s="42" customFormat="1" x14ac:dyDescent="0.25"/>
    <row r="29962" s="42" customFormat="1" x14ac:dyDescent="0.25"/>
    <row r="29963" s="42" customFormat="1" x14ac:dyDescent="0.25"/>
    <row r="29964" s="42" customFormat="1" x14ac:dyDescent="0.25"/>
    <row r="29965" s="42" customFormat="1" x14ac:dyDescent="0.25"/>
    <row r="29966" s="42" customFormat="1" x14ac:dyDescent="0.25"/>
    <row r="29967" s="42" customFormat="1" x14ac:dyDescent="0.25"/>
    <row r="29968" s="42" customFormat="1" x14ac:dyDescent="0.25"/>
    <row r="29969" s="42" customFormat="1" x14ac:dyDescent="0.25"/>
    <row r="29970" s="42" customFormat="1" x14ac:dyDescent="0.25"/>
    <row r="29971" s="42" customFormat="1" x14ac:dyDescent="0.25"/>
    <row r="29972" s="42" customFormat="1" x14ac:dyDescent="0.25"/>
    <row r="29973" s="42" customFormat="1" x14ac:dyDescent="0.25"/>
    <row r="29974" s="42" customFormat="1" x14ac:dyDescent="0.25"/>
    <row r="29975" s="42" customFormat="1" x14ac:dyDescent="0.25"/>
    <row r="29976" s="42" customFormat="1" x14ac:dyDescent="0.25"/>
    <row r="29977" s="42" customFormat="1" x14ac:dyDescent="0.25"/>
    <row r="29978" s="42" customFormat="1" x14ac:dyDescent="0.25"/>
    <row r="29979" s="42" customFormat="1" x14ac:dyDescent="0.25"/>
    <row r="29980" s="42" customFormat="1" x14ac:dyDescent="0.25"/>
    <row r="29981" s="42" customFormat="1" x14ac:dyDescent="0.25"/>
    <row r="29982" s="42" customFormat="1" x14ac:dyDescent="0.25"/>
    <row r="29983" s="42" customFormat="1" x14ac:dyDescent="0.25"/>
    <row r="29984" s="42" customFormat="1" x14ac:dyDescent="0.25"/>
    <row r="29985" s="42" customFormat="1" x14ac:dyDescent="0.25"/>
    <row r="29986" s="42" customFormat="1" x14ac:dyDescent="0.25"/>
    <row r="29987" s="42" customFormat="1" x14ac:dyDescent="0.25"/>
    <row r="29988" s="42" customFormat="1" x14ac:dyDescent="0.25"/>
    <row r="29989" s="42" customFormat="1" x14ac:dyDescent="0.25"/>
    <row r="29990" s="42" customFormat="1" x14ac:dyDescent="0.25"/>
    <row r="29991" s="42" customFormat="1" x14ac:dyDescent="0.25"/>
    <row r="29992" s="42" customFormat="1" x14ac:dyDescent="0.25"/>
    <row r="29993" s="42" customFormat="1" x14ac:dyDescent="0.25"/>
    <row r="29994" s="42" customFormat="1" x14ac:dyDescent="0.25"/>
    <row r="29995" s="42" customFormat="1" x14ac:dyDescent="0.25"/>
    <row r="29996" s="42" customFormat="1" x14ac:dyDescent="0.25"/>
    <row r="29997" s="42" customFormat="1" x14ac:dyDescent="0.25"/>
    <row r="29998" s="42" customFormat="1" x14ac:dyDescent="0.25"/>
    <row r="29999" s="42" customFormat="1" x14ac:dyDescent="0.25"/>
    <row r="30000" s="42" customFormat="1" x14ac:dyDescent="0.25"/>
    <row r="30001" s="42" customFormat="1" x14ac:dyDescent="0.25"/>
    <row r="30002" s="42" customFormat="1" x14ac:dyDescent="0.25"/>
    <row r="30003" s="42" customFormat="1" x14ac:dyDescent="0.25"/>
    <row r="30004" s="42" customFormat="1" x14ac:dyDescent="0.25"/>
    <row r="30005" s="42" customFormat="1" x14ac:dyDescent="0.25"/>
    <row r="30006" s="42" customFormat="1" x14ac:dyDescent="0.25"/>
    <row r="30007" s="42" customFormat="1" x14ac:dyDescent="0.25"/>
    <row r="30008" s="42" customFormat="1" x14ac:dyDescent="0.25"/>
    <row r="30009" s="42" customFormat="1" x14ac:dyDescent="0.25"/>
    <row r="30010" s="42" customFormat="1" x14ac:dyDescent="0.25"/>
    <row r="30011" s="42" customFormat="1" x14ac:dyDescent="0.25"/>
    <row r="30012" s="42" customFormat="1" x14ac:dyDescent="0.25"/>
    <row r="30013" s="42" customFormat="1" x14ac:dyDescent="0.25"/>
    <row r="30014" s="42" customFormat="1" x14ac:dyDescent="0.25"/>
    <row r="30015" s="42" customFormat="1" x14ac:dyDescent="0.25"/>
    <row r="30016" s="42" customFormat="1" x14ac:dyDescent="0.25"/>
    <row r="30017" s="42" customFormat="1" x14ac:dyDescent="0.25"/>
    <row r="30018" s="42" customFormat="1" x14ac:dyDescent="0.25"/>
    <row r="30019" s="42" customFormat="1" x14ac:dyDescent="0.25"/>
    <row r="30020" s="42" customFormat="1" x14ac:dyDescent="0.25"/>
    <row r="30021" s="42" customFormat="1" x14ac:dyDescent="0.25"/>
    <row r="30022" s="42" customFormat="1" x14ac:dyDescent="0.25"/>
    <row r="30023" s="42" customFormat="1" x14ac:dyDescent="0.25"/>
    <row r="30024" s="42" customFormat="1" x14ac:dyDescent="0.25"/>
    <row r="30025" s="42" customFormat="1" x14ac:dyDescent="0.25"/>
    <row r="30026" s="42" customFormat="1" x14ac:dyDescent="0.25"/>
    <row r="30027" s="42" customFormat="1" x14ac:dyDescent="0.25"/>
    <row r="30028" s="42" customFormat="1" x14ac:dyDescent="0.25"/>
    <row r="30029" s="42" customFormat="1" x14ac:dyDescent="0.25"/>
    <row r="30030" s="42" customFormat="1" x14ac:dyDescent="0.25"/>
    <row r="30031" s="42" customFormat="1" x14ac:dyDescent="0.25"/>
    <row r="30032" s="42" customFormat="1" x14ac:dyDescent="0.25"/>
    <row r="30033" s="42" customFormat="1" x14ac:dyDescent="0.25"/>
    <row r="30034" s="42" customFormat="1" x14ac:dyDescent="0.25"/>
    <row r="30035" s="42" customFormat="1" x14ac:dyDescent="0.25"/>
    <row r="30036" s="42" customFormat="1" x14ac:dyDescent="0.25"/>
    <row r="30037" s="42" customFormat="1" x14ac:dyDescent="0.25"/>
    <row r="30038" s="42" customFormat="1" x14ac:dyDescent="0.25"/>
    <row r="30039" s="42" customFormat="1" x14ac:dyDescent="0.25"/>
    <row r="30040" s="42" customFormat="1" x14ac:dyDescent="0.25"/>
    <row r="30041" s="42" customFormat="1" x14ac:dyDescent="0.25"/>
    <row r="30042" s="42" customFormat="1" x14ac:dyDescent="0.25"/>
    <row r="30043" s="42" customFormat="1" x14ac:dyDescent="0.25"/>
    <row r="30044" s="42" customFormat="1" x14ac:dyDescent="0.25"/>
    <row r="30045" s="42" customFormat="1" x14ac:dyDescent="0.25"/>
    <row r="30046" s="42" customFormat="1" x14ac:dyDescent="0.25"/>
    <row r="30047" s="42" customFormat="1" x14ac:dyDescent="0.25"/>
    <row r="30048" s="42" customFormat="1" x14ac:dyDescent="0.25"/>
    <row r="30049" s="42" customFormat="1" x14ac:dyDescent="0.25"/>
    <row r="30050" s="42" customFormat="1" x14ac:dyDescent="0.25"/>
    <row r="30051" s="42" customFormat="1" x14ac:dyDescent="0.25"/>
    <row r="30052" s="42" customFormat="1" x14ac:dyDescent="0.25"/>
    <row r="30053" s="42" customFormat="1" x14ac:dyDescent="0.25"/>
    <row r="30054" s="42" customFormat="1" x14ac:dyDescent="0.25"/>
    <row r="30055" s="42" customFormat="1" x14ac:dyDescent="0.25"/>
    <row r="30056" s="42" customFormat="1" x14ac:dyDescent="0.25"/>
    <row r="30057" s="42" customFormat="1" x14ac:dyDescent="0.25"/>
    <row r="30058" s="42" customFormat="1" x14ac:dyDescent="0.25"/>
    <row r="30059" s="42" customFormat="1" x14ac:dyDescent="0.25"/>
    <row r="30060" s="42" customFormat="1" x14ac:dyDescent="0.25"/>
    <row r="30061" s="42" customFormat="1" x14ac:dyDescent="0.25"/>
    <row r="30062" s="42" customFormat="1" x14ac:dyDescent="0.25"/>
    <row r="30063" s="42" customFormat="1" x14ac:dyDescent="0.25"/>
    <row r="30064" s="42" customFormat="1" x14ac:dyDescent="0.25"/>
    <row r="30065" s="42" customFormat="1" x14ac:dyDescent="0.25"/>
    <row r="30066" s="42" customFormat="1" x14ac:dyDescent="0.25"/>
    <row r="30067" s="42" customFormat="1" x14ac:dyDescent="0.25"/>
    <row r="30068" s="42" customFormat="1" x14ac:dyDescent="0.25"/>
    <row r="30069" s="42" customFormat="1" x14ac:dyDescent="0.25"/>
    <row r="30070" s="42" customFormat="1" x14ac:dyDescent="0.25"/>
    <row r="30071" s="42" customFormat="1" x14ac:dyDescent="0.25"/>
    <row r="30072" s="42" customFormat="1" x14ac:dyDescent="0.25"/>
    <row r="30073" s="42" customFormat="1" x14ac:dyDescent="0.25"/>
    <row r="30074" s="42" customFormat="1" x14ac:dyDescent="0.25"/>
    <row r="30075" s="42" customFormat="1" x14ac:dyDescent="0.25"/>
    <row r="30076" s="42" customFormat="1" x14ac:dyDescent="0.25"/>
    <row r="30077" s="42" customFormat="1" x14ac:dyDescent="0.25"/>
    <row r="30078" s="42" customFormat="1" x14ac:dyDescent="0.25"/>
    <row r="30079" s="42" customFormat="1" x14ac:dyDescent="0.25"/>
    <row r="30080" s="42" customFormat="1" x14ac:dyDescent="0.25"/>
    <row r="30081" s="42" customFormat="1" x14ac:dyDescent="0.25"/>
    <row r="30082" s="42" customFormat="1" x14ac:dyDescent="0.25"/>
    <row r="30083" s="42" customFormat="1" x14ac:dyDescent="0.25"/>
    <row r="30084" s="42" customFormat="1" x14ac:dyDescent="0.25"/>
    <row r="30085" s="42" customFormat="1" x14ac:dyDescent="0.25"/>
    <row r="30086" s="42" customFormat="1" x14ac:dyDescent="0.25"/>
    <row r="30087" s="42" customFormat="1" x14ac:dyDescent="0.25"/>
    <row r="30088" s="42" customFormat="1" x14ac:dyDescent="0.25"/>
    <row r="30089" s="42" customFormat="1" x14ac:dyDescent="0.25"/>
    <row r="30090" s="42" customFormat="1" x14ac:dyDescent="0.25"/>
    <row r="30091" s="42" customFormat="1" x14ac:dyDescent="0.25"/>
    <row r="30092" s="42" customFormat="1" x14ac:dyDescent="0.25"/>
    <row r="30093" s="42" customFormat="1" x14ac:dyDescent="0.25"/>
    <row r="30094" s="42" customFormat="1" x14ac:dyDescent="0.25"/>
    <row r="30095" s="42" customFormat="1" x14ac:dyDescent="0.25"/>
    <row r="30096" s="42" customFormat="1" x14ac:dyDescent="0.25"/>
    <row r="30097" s="42" customFormat="1" x14ac:dyDescent="0.25"/>
    <row r="30098" s="42" customFormat="1" x14ac:dyDescent="0.25"/>
    <row r="30099" s="42" customFormat="1" x14ac:dyDescent="0.25"/>
    <row r="30100" s="42" customFormat="1" x14ac:dyDescent="0.25"/>
    <row r="30101" s="42" customFormat="1" x14ac:dyDescent="0.25"/>
    <row r="30102" s="42" customFormat="1" x14ac:dyDescent="0.25"/>
    <row r="30103" s="42" customFormat="1" x14ac:dyDescent="0.25"/>
    <row r="30104" s="42" customFormat="1" x14ac:dyDescent="0.25"/>
    <row r="30105" s="42" customFormat="1" x14ac:dyDescent="0.25"/>
    <row r="30106" s="42" customFormat="1" x14ac:dyDescent="0.25"/>
    <row r="30107" s="42" customFormat="1" x14ac:dyDescent="0.25"/>
    <row r="30108" s="42" customFormat="1" x14ac:dyDescent="0.25"/>
    <row r="30109" s="42" customFormat="1" x14ac:dyDescent="0.25"/>
    <row r="30110" s="42" customFormat="1" x14ac:dyDescent="0.25"/>
    <row r="30111" s="42" customFormat="1" x14ac:dyDescent="0.25"/>
    <row r="30112" s="42" customFormat="1" x14ac:dyDescent="0.25"/>
    <row r="30113" s="42" customFormat="1" x14ac:dyDescent="0.25"/>
    <row r="30114" s="42" customFormat="1" x14ac:dyDescent="0.25"/>
    <row r="30115" s="42" customFormat="1" x14ac:dyDescent="0.25"/>
    <row r="30116" s="42" customFormat="1" x14ac:dyDescent="0.25"/>
    <row r="30117" s="42" customFormat="1" x14ac:dyDescent="0.25"/>
    <row r="30118" s="42" customFormat="1" x14ac:dyDescent="0.25"/>
    <row r="30119" s="42" customFormat="1" x14ac:dyDescent="0.25"/>
    <row r="30120" s="42" customFormat="1" x14ac:dyDescent="0.25"/>
    <row r="30121" s="42" customFormat="1" x14ac:dyDescent="0.25"/>
    <row r="30122" s="42" customFormat="1" x14ac:dyDescent="0.25"/>
    <row r="30123" s="42" customFormat="1" x14ac:dyDescent="0.25"/>
    <row r="30124" s="42" customFormat="1" x14ac:dyDescent="0.25"/>
    <row r="30125" s="42" customFormat="1" x14ac:dyDescent="0.25"/>
    <row r="30126" s="42" customFormat="1" x14ac:dyDescent="0.25"/>
    <row r="30127" s="42" customFormat="1" x14ac:dyDescent="0.25"/>
    <row r="30128" s="42" customFormat="1" x14ac:dyDescent="0.25"/>
    <row r="30129" s="42" customFormat="1" x14ac:dyDescent="0.25"/>
    <row r="30130" s="42" customFormat="1" x14ac:dyDescent="0.25"/>
    <row r="30131" s="42" customFormat="1" x14ac:dyDescent="0.25"/>
    <row r="30132" s="42" customFormat="1" x14ac:dyDescent="0.25"/>
    <row r="30133" s="42" customFormat="1" x14ac:dyDescent="0.25"/>
    <row r="30134" s="42" customFormat="1" x14ac:dyDescent="0.25"/>
    <row r="30135" s="42" customFormat="1" x14ac:dyDescent="0.25"/>
    <row r="30136" s="42" customFormat="1" x14ac:dyDescent="0.25"/>
    <row r="30137" s="42" customFormat="1" x14ac:dyDescent="0.25"/>
    <row r="30138" s="42" customFormat="1" x14ac:dyDescent="0.25"/>
    <row r="30139" s="42" customFormat="1" x14ac:dyDescent="0.25"/>
    <row r="30140" s="42" customFormat="1" x14ac:dyDescent="0.25"/>
    <row r="30141" s="42" customFormat="1" x14ac:dyDescent="0.25"/>
    <row r="30142" s="42" customFormat="1" x14ac:dyDescent="0.25"/>
    <row r="30143" s="42" customFormat="1" x14ac:dyDescent="0.25"/>
    <row r="30144" s="42" customFormat="1" x14ac:dyDescent="0.25"/>
    <row r="30145" s="42" customFormat="1" x14ac:dyDescent="0.25"/>
    <row r="30146" s="42" customFormat="1" x14ac:dyDescent="0.25"/>
    <row r="30147" s="42" customFormat="1" x14ac:dyDescent="0.25"/>
    <row r="30148" s="42" customFormat="1" x14ac:dyDescent="0.25"/>
    <row r="30149" s="42" customFormat="1" x14ac:dyDescent="0.25"/>
    <row r="30150" s="42" customFormat="1" x14ac:dyDescent="0.25"/>
    <row r="30151" s="42" customFormat="1" x14ac:dyDescent="0.25"/>
    <row r="30152" s="42" customFormat="1" x14ac:dyDescent="0.25"/>
    <row r="30153" s="42" customFormat="1" x14ac:dyDescent="0.25"/>
    <row r="30154" s="42" customFormat="1" x14ac:dyDescent="0.25"/>
    <row r="30155" s="42" customFormat="1" x14ac:dyDescent="0.25"/>
    <row r="30156" s="42" customFormat="1" x14ac:dyDescent="0.25"/>
    <row r="30157" s="42" customFormat="1" x14ac:dyDescent="0.25"/>
    <row r="30158" s="42" customFormat="1" x14ac:dyDescent="0.25"/>
    <row r="30159" s="42" customFormat="1" x14ac:dyDescent="0.25"/>
    <row r="30160" s="42" customFormat="1" x14ac:dyDescent="0.25"/>
    <row r="30161" s="42" customFormat="1" x14ac:dyDescent="0.25"/>
    <row r="30162" s="42" customFormat="1" x14ac:dyDescent="0.25"/>
    <row r="30163" s="42" customFormat="1" x14ac:dyDescent="0.25"/>
    <row r="30164" s="42" customFormat="1" x14ac:dyDescent="0.25"/>
    <row r="30165" s="42" customFormat="1" x14ac:dyDescent="0.25"/>
    <row r="30166" s="42" customFormat="1" x14ac:dyDescent="0.25"/>
    <row r="30167" s="42" customFormat="1" x14ac:dyDescent="0.25"/>
    <row r="30168" s="42" customFormat="1" x14ac:dyDescent="0.25"/>
    <row r="30169" s="42" customFormat="1" x14ac:dyDescent="0.25"/>
    <row r="30170" s="42" customFormat="1" x14ac:dyDescent="0.25"/>
    <row r="30171" s="42" customFormat="1" x14ac:dyDescent="0.25"/>
    <row r="30172" s="42" customFormat="1" x14ac:dyDescent="0.25"/>
    <row r="30173" s="42" customFormat="1" x14ac:dyDescent="0.25"/>
    <row r="30174" s="42" customFormat="1" x14ac:dyDescent="0.25"/>
    <row r="30175" s="42" customFormat="1" x14ac:dyDescent="0.25"/>
    <row r="30176" s="42" customFormat="1" x14ac:dyDescent="0.25"/>
    <row r="30177" s="42" customFormat="1" x14ac:dyDescent="0.25"/>
    <row r="30178" s="42" customFormat="1" x14ac:dyDescent="0.25"/>
    <row r="30179" s="42" customFormat="1" x14ac:dyDescent="0.25"/>
    <row r="30180" s="42" customFormat="1" x14ac:dyDescent="0.25"/>
    <row r="30181" s="42" customFormat="1" x14ac:dyDescent="0.25"/>
    <row r="30182" s="42" customFormat="1" x14ac:dyDescent="0.25"/>
    <row r="30183" s="42" customFormat="1" x14ac:dyDescent="0.25"/>
    <row r="30184" s="42" customFormat="1" x14ac:dyDescent="0.25"/>
    <row r="30185" s="42" customFormat="1" x14ac:dyDescent="0.25"/>
    <row r="30186" s="42" customFormat="1" x14ac:dyDescent="0.25"/>
    <row r="30187" s="42" customFormat="1" x14ac:dyDescent="0.25"/>
    <row r="30188" s="42" customFormat="1" x14ac:dyDescent="0.25"/>
    <row r="30189" s="42" customFormat="1" x14ac:dyDescent="0.25"/>
    <row r="30190" s="42" customFormat="1" x14ac:dyDescent="0.25"/>
    <row r="30191" s="42" customFormat="1" x14ac:dyDescent="0.25"/>
    <row r="30192" s="42" customFormat="1" x14ac:dyDescent="0.25"/>
    <row r="30193" s="42" customFormat="1" x14ac:dyDescent="0.25"/>
    <row r="30194" s="42" customFormat="1" x14ac:dyDescent="0.25"/>
    <row r="30195" s="42" customFormat="1" x14ac:dyDescent="0.25"/>
    <row r="30196" s="42" customFormat="1" x14ac:dyDescent="0.25"/>
    <row r="30197" s="42" customFormat="1" x14ac:dyDescent="0.25"/>
    <row r="30198" s="42" customFormat="1" x14ac:dyDescent="0.25"/>
    <row r="30199" s="42" customFormat="1" x14ac:dyDescent="0.25"/>
    <row r="30200" s="42" customFormat="1" x14ac:dyDescent="0.25"/>
    <row r="30201" s="42" customFormat="1" x14ac:dyDescent="0.25"/>
    <row r="30202" s="42" customFormat="1" x14ac:dyDescent="0.25"/>
    <row r="30203" s="42" customFormat="1" x14ac:dyDescent="0.25"/>
    <row r="30204" s="42" customFormat="1" x14ac:dyDescent="0.25"/>
    <row r="30205" s="42" customFormat="1" x14ac:dyDescent="0.25"/>
    <row r="30206" s="42" customFormat="1" x14ac:dyDescent="0.25"/>
    <row r="30207" s="42" customFormat="1" x14ac:dyDescent="0.25"/>
    <row r="30208" s="42" customFormat="1" x14ac:dyDescent="0.25"/>
    <row r="30209" s="42" customFormat="1" x14ac:dyDescent="0.25"/>
    <row r="30210" s="42" customFormat="1" x14ac:dyDescent="0.25"/>
    <row r="30211" s="42" customFormat="1" x14ac:dyDescent="0.25"/>
    <row r="30212" s="42" customFormat="1" x14ac:dyDescent="0.25"/>
    <row r="30213" s="42" customFormat="1" x14ac:dyDescent="0.25"/>
    <row r="30214" s="42" customFormat="1" x14ac:dyDescent="0.25"/>
    <row r="30215" s="42" customFormat="1" x14ac:dyDescent="0.25"/>
    <row r="30216" s="42" customFormat="1" x14ac:dyDescent="0.25"/>
    <row r="30217" s="42" customFormat="1" x14ac:dyDescent="0.25"/>
    <row r="30218" s="42" customFormat="1" x14ac:dyDescent="0.25"/>
    <row r="30219" s="42" customFormat="1" x14ac:dyDescent="0.25"/>
    <row r="30220" s="42" customFormat="1" x14ac:dyDescent="0.25"/>
    <row r="30221" s="42" customFormat="1" x14ac:dyDescent="0.25"/>
    <row r="30222" s="42" customFormat="1" x14ac:dyDescent="0.25"/>
    <row r="30223" s="42" customFormat="1" x14ac:dyDescent="0.25"/>
    <row r="30224" s="42" customFormat="1" x14ac:dyDescent="0.25"/>
    <row r="30225" s="42" customFormat="1" x14ac:dyDescent="0.25"/>
    <row r="30226" s="42" customFormat="1" x14ac:dyDescent="0.25"/>
    <row r="30227" s="42" customFormat="1" x14ac:dyDescent="0.25"/>
    <row r="30228" s="42" customFormat="1" x14ac:dyDescent="0.25"/>
    <row r="30229" s="42" customFormat="1" x14ac:dyDescent="0.25"/>
    <row r="30230" s="42" customFormat="1" x14ac:dyDescent="0.25"/>
    <row r="30231" s="42" customFormat="1" x14ac:dyDescent="0.25"/>
    <row r="30232" s="42" customFormat="1" x14ac:dyDescent="0.25"/>
    <row r="30233" s="42" customFormat="1" x14ac:dyDescent="0.25"/>
    <row r="30234" s="42" customFormat="1" x14ac:dyDescent="0.25"/>
    <row r="30235" s="42" customFormat="1" x14ac:dyDescent="0.25"/>
    <row r="30236" s="42" customFormat="1" x14ac:dyDescent="0.25"/>
    <row r="30237" s="42" customFormat="1" x14ac:dyDescent="0.25"/>
    <row r="30238" s="42" customFormat="1" x14ac:dyDescent="0.25"/>
    <row r="30239" s="42" customFormat="1" x14ac:dyDescent="0.25"/>
    <row r="30240" s="42" customFormat="1" x14ac:dyDescent="0.25"/>
    <row r="30241" s="42" customFormat="1" x14ac:dyDescent="0.25"/>
    <row r="30242" s="42" customFormat="1" x14ac:dyDescent="0.25"/>
    <row r="30243" s="42" customFormat="1" x14ac:dyDescent="0.25"/>
    <row r="30244" s="42" customFormat="1" x14ac:dyDescent="0.25"/>
    <row r="30245" s="42" customFormat="1" x14ac:dyDescent="0.25"/>
    <row r="30246" s="42" customFormat="1" x14ac:dyDescent="0.25"/>
    <row r="30247" s="42" customFormat="1" x14ac:dyDescent="0.25"/>
    <row r="30248" s="42" customFormat="1" x14ac:dyDescent="0.25"/>
    <row r="30249" s="42" customFormat="1" x14ac:dyDescent="0.25"/>
    <row r="30250" s="42" customFormat="1" x14ac:dyDescent="0.25"/>
    <row r="30251" s="42" customFormat="1" x14ac:dyDescent="0.25"/>
    <row r="30252" s="42" customFormat="1" x14ac:dyDescent="0.25"/>
    <row r="30253" s="42" customFormat="1" x14ac:dyDescent="0.25"/>
    <row r="30254" s="42" customFormat="1" x14ac:dyDescent="0.25"/>
    <row r="30255" s="42" customFormat="1" x14ac:dyDescent="0.25"/>
    <row r="30256" s="42" customFormat="1" x14ac:dyDescent="0.25"/>
    <row r="30257" s="42" customFormat="1" x14ac:dyDescent="0.25"/>
    <row r="30258" s="42" customFormat="1" x14ac:dyDescent="0.25"/>
    <row r="30259" s="42" customFormat="1" x14ac:dyDescent="0.25"/>
    <row r="30260" s="42" customFormat="1" x14ac:dyDescent="0.25"/>
    <row r="30261" s="42" customFormat="1" x14ac:dyDescent="0.25"/>
    <row r="30262" s="42" customFormat="1" x14ac:dyDescent="0.25"/>
    <row r="30263" s="42" customFormat="1" x14ac:dyDescent="0.25"/>
    <row r="30264" s="42" customFormat="1" x14ac:dyDescent="0.25"/>
    <row r="30265" s="42" customFormat="1" x14ac:dyDescent="0.25"/>
    <row r="30266" s="42" customFormat="1" x14ac:dyDescent="0.25"/>
    <row r="30267" s="42" customFormat="1" x14ac:dyDescent="0.25"/>
    <row r="30268" s="42" customFormat="1" x14ac:dyDescent="0.25"/>
    <row r="30269" s="42" customFormat="1" x14ac:dyDescent="0.25"/>
    <row r="30270" s="42" customFormat="1" x14ac:dyDescent="0.25"/>
    <row r="30271" s="42" customFormat="1" x14ac:dyDescent="0.25"/>
    <row r="30272" s="42" customFormat="1" x14ac:dyDescent="0.25"/>
    <row r="30273" s="42" customFormat="1" x14ac:dyDescent="0.25"/>
    <row r="30274" s="42" customFormat="1" x14ac:dyDescent="0.25"/>
    <row r="30275" s="42" customFormat="1" x14ac:dyDescent="0.25"/>
    <row r="30276" s="42" customFormat="1" x14ac:dyDescent="0.25"/>
    <row r="30277" s="42" customFormat="1" x14ac:dyDescent="0.25"/>
    <row r="30278" s="42" customFormat="1" x14ac:dyDescent="0.25"/>
    <row r="30279" s="42" customFormat="1" x14ac:dyDescent="0.25"/>
    <row r="30280" s="42" customFormat="1" x14ac:dyDescent="0.25"/>
    <row r="30281" s="42" customFormat="1" x14ac:dyDescent="0.25"/>
    <row r="30282" s="42" customFormat="1" x14ac:dyDescent="0.25"/>
    <row r="30283" s="42" customFormat="1" x14ac:dyDescent="0.25"/>
    <row r="30284" s="42" customFormat="1" x14ac:dyDescent="0.25"/>
    <row r="30285" s="42" customFormat="1" x14ac:dyDescent="0.25"/>
    <row r="30286" s="42" customFormat="1" x14ac:dyDescent="0.25"/>
    <row r="30287" s="42" customFormat="1" x14ac:dyDescent="0.25"/>
    <row r="30288" s="42" customFormat="1" x14ac:dyDescent="0.25"/>
    <row r="30289" s="42" customFormat="1" x14ac:dyDescent="0.25"/>
    <row r="30290" s="42" customFormat="1" x14ac:dyDescent="0.25"/>
    <row r="30291" s="42" customFormat="1" x14ac:dyDescent="0.25"/>
    <row r="30292" s="42" customFormat="1" x14ac:dyDescent="0.25"/>
    <row r="30293" s="42" customFormat="1" x14ac:dyDescent="0.25"/>
    <row r="30294" s="42" customFormat="1" x14ac:dyDescent="0.25"/>
    <row r="30295" s="42" customFormat="1" x14ac:dyDescent="0.25"/>
    <row r="30296" s="42" customFormat="1" x14ac:dyDescent="0.25"/>
    <row r="30297" s="42" customFormat="1" x14ac:dyDescent="0.25"/>
    <row r="30298" s="42" customFormat="1" x14ac:dyDescent="0.25"/>
    <row r="30299" s="42" customFormat="1" x14ac:dyDescent="0.25"/>
    <row r="30300" s="42" customFormat="1" x14ac:dyDescent="0.25"/>
    <row r="30301" s="42" customFormat="1" x14ac:dyDescent="0.25"/>
    <row r="30302" s="42" customFormat="1" x14ac:dyDescent="0.25"/>
    <row r="30303" s="42" customFormat="1" x14ac:dyDescent="0.25"/>
    <row r="30304" s="42" customFormat="1" x14ac:dyDescent="0.25"/>
    <row r="30305" s="42" customFormat="1" x14ac:dyDescent="0.25"/>
    <row r="30306" s="42" customFormat="1" x14ac:dyDescent="0.25"/>
    <row r="30307" s="42" customFormat="1" x14ac:dyDescent="0.25"/>
    <row r="30308" s="42" customFormat="1" x14ac:dyDescent="0.25"/>
    <row r="30309" s="42" customFormat="1" x14ac:dyDescent="0.25"/>
    <row r="30310" s="42" customFormat="1" x14ac:dyDescent="0.25"/>
    <row r="30311" s="42" customFormat="1" x14ac:dyDescent="0.25"/>
    <row r="30312" s="42" customFormat="1" x14ac:dyDescent="0.25"/>
    <row r="30313" s="42" customFormat="1" x14ac:dyDescent="0.25"/>
    <row r="30314" s="42" customFormat="1" x14ac:dyDescent="0.25"/>
    <row r="30315" s="42" customFormat="1" x14ac:dyDescent="0.25"/>
    <row r="30316" s="42" customFormat="1" x14ac:dyDescent="0.25"/>
    <row r="30317" s="42" customFormat="1" x14ac:dyDescent="0.25"/>
    <row r="30318" s="42" customFormat="1" x14ac:dyDescent="0.25"/>
    <row r="30319" s="42" customFormat="1" x14ac:dyDescent="0.25"/>
    <row r="30320" s="42" customFormat="1" x14ac:dyDescent="0.25"/>
    <row r="30321" s="42" customFormat="1" x14ac:dyDescent="0.25"/>
    <row r="30322" s="42" customFormat="1" x14ac:dyDescent="0.25"/>
    <row r="30323" s="42" customFormat="1" x14ac:dyDescent="0.25"/>
    <row r="30324" s="42" customFormat="1" x14ac:dyDescent="0.25"/>
    <row r="30325" s="42" customFormat="1" x14ac:dyDescent="0.25"/>
    <row r="30326" s="42" customFormat="1" x14ac:dyDescent="0.25"/>
    <row r="30327" s="42" customFormat="1" x14ac:dyDescent="0.25"/>
    <row r="30328" s="42" customFormat="1" x14ac:dyDescent="0.25"/>
    <row r="30329" s="42" customFormat="1" x14ac:dyDescent="0.25"/>
    <row r="30330" s="42" customFormat="1" x14ac:dyDescent="0.25"/>
    <row r="30331" s="42" customFormat="1" x14ac:dyDescent="0.25"/>
    <row r="30332" s="42" customFormat="1" x14ac:dyDescent="0.25"/>
    <row r="30333" s="42" customFormat="1" x14ac:dyDescent="0.25"/>
    <row r="30334" s="42" customFormat="1" x14ac:dyDescent="0.25"/>
    <row r="30335" s="42" customFormat="1" x14ac:dyDescent="0.25"/>
    <row r="30336" s="42" customFormat="1" x14ac:dyDescent="0.25"/>
    <row r="30337" s="42" customFormat="1" x14ac:dyDescent="0.25"/>
    <row r="30338" s="42" customFormat="1" x14ac:dyDescent="0.25"/>
    <row r="30339" s="42" customFormat="1" x14ac:dyDescent="0.25"/>
    <row r="30340" s="42" customFormat="1" x14ac:dyDescent="0.25"/>
    <row r="30341" s="42" customFormat="1" x14ac:dyDescent="0.25"/>
    <row r="30342" s="42" customFormat="1" x14ac:dyDescent="0.25"/>
    <row r="30343" s="42" customFormat="1" x14ac:dyDescent="0.25"/>
    <row r="30344" s="42" customFormat="1" x14ac:dyDescent="0.25"/>
    <row r="30345" s="42" customFormat="1" x14ac:dyDescent="0.25"/>
    <row r="30346" s="42" customFormat="1" x14ac:dyDescent="0.25"/>
    <row r="30347" s="42" customFormat="1" x14ac:dyDescent="0.25"/>
    <row r="30348" s="42" customFormat="1" x14ac:dyDescent="0.25"/>
    <row r="30349" s="42" customFormat="1" x14ac:dyDescent="0.25"/>
    <row r="30350" s="42" customFormat="1" x14ac:dyDescent="0.25"/>
    <row r="30351" s="42" customFormat="1" x14ac:dyDescent="0.25"/>
    <row r="30352" s="42" customFormat="1" x14ac:dyDescent="0.25"/>
    <row r="30353" s="42" customFormat="1" x14ac:dyDescent="0.25"/>
    <row r="30354" s="42" customFormat="1" x14ac:dyDescent="0.25"/>
    <row r="30355" s="42" customFormat="1" x14ac:dyDescent="0.25"/>
    <row r="30356" s="42" customFormat="1" x14ac:dyDescent="0.25"/>
    <row r="30357" s="42" customFormat="1" x14ac:dyDescent="0.25"/>
    <row r="30358" s="42" customFormat="1" x14ac:dyDescent="0.25"/>
    <row r="30359" s="42" customFormat="1" x14ac:dyDescent="0.25"/>
    <row r="30360" s="42" customFormat="1" x14ac:dyDescent="0.25"/>
    <row r="30361" s="42" customFormat="1" x14ac:dyDescent="0.25"/>
    <row r="30362" s="42" customFormat="1" x14ac:dyDescent="0.25"/>
    <row r="30363" s="42" customFormat="1" x14ac:dyDescent="0.25"/>
    <row r="30364" s="42" customFormat="1" x14ac:dyDescent="0.25"/>
    <row r="30365" s="42" customFormat="1" x14ac:dyDescent="0.25"/>
    <row r="30366" s="42" customFormat="1" x14ac:dyDescent="0.25"/>
    <row r="30367" s="42" customFormat="1" x14ac:dyDescent="0.25"/>
    <row r="30368" s="42" customFormat="1" x14ac:dyDescent="0.25"/>
    <row r="30369" s="42" customFormat="1" x14ac:dyDescent="0.25"/>
    <row r="30370" s="42" customFormat="1" x14ac:dyDescent="0.25"/>
    <row r="30371" s="42" customFormat="1" x14ac:dyDescent="0.25"/>
    <row r="30372" s="42" customFormat="1" x14ac:dyDescent="0.25"/>
    <row r="30373" s="42" customFormat="1" x14ac:dyDescent="0.25"/>
    <row r="30374" s="42" customFormat="1" x14ac:dyDescent="0.25"/>
    <row r="30375" s="42" customFormat="1" x14ac:dyDescent="0.25"/>
    <row r="30376" s="42" customFormat="1" x14ac:dyDescent="0.25"/>
    <row r="30377" s="42" customFormat="1" x14ac:dyDescent="0.25"/>
    <row r="30378" s="42" customFormat="1" x14ac:dyDescent="0.25"/>
    <row r="30379" s="42" customFormat="1" x14ac:dyDescent="0.25"/>
    <row r="30380" s="42" customFormat="1" x14ac:dyDescent="0.25"/>
    <row r="30381" s="42" customFormat="1" x14ac:dyDescent="0.25"/>
    <row r="30382" s="42" customFormat="1" x14ac:dyDescent="0.25"/>
    <row r="30383" s="42" customFormat="1" x14ac:dyDescent="0.25"/>
    <row r="30384" s="42" customFormat="1" x14ac:dyDescent="0.25"/>
    <row r="30385" s="42" customFormat="1" x14ac:dyDescent="0.25"/>
    <row r="30386" s="42" customFormat="1" x14ac:dyDescent="0.25"/>
    <row r="30387" s="42" customFormat="1" x14ac:dyDescent="0.25"/>
    <row r="30388" s="42" customFormat="1" x14ac:dyDescent="0.25"/>
    <row r="30389" s="42" customFormat="1" x14ac:dyDescent="0.25"/>
    <row r="30390" s="42" customFormat="1" x14ac:dyDescent="0.25"/>
    <row r="30391" s="42" customFormat="1" x14ac:dyDescent="0.25"/>
    <row r="30392" s="42" customFormat="1" x14ac:dyDescent="0.25"/>
    <row r="30393" s="42" customFormat="1" x14ac:dyDescent="0.25"/>
    <row r="30394" s="42" customFormat="1" x14ac:dyDescent="0.25"/>
    <row r="30395" s="42" customFormat="1" x14ac:dyDescent="0.25"/>
    <row r="30396" s="42" customFormat="1" x14ac:dyDescent="0.25"/>
    <row r="30397" s="42" customFormat="1" x14ac:dyDescent="0.25"/>
    <row r="30398" s="42" customFormat="1" x14ac:dyDescent="0.25"/>
    <row r="30399" s="42" customFormat="1" x14ac:dyDescent="0.25"/>
    <row r="30400" s="42" customFormat="1" x14ac:dyDescent="0.25"/>
    <row r="30401" s="42" customFormat="1" x14ac:dyDescent="0.25"/>
    <row r="30402" s="42" customFormat="1" x14ac:dyDescent="0.25"/>
    <row r="30403" s="42" customFormat="1" x14ac:dyDescent="0.25"/>
    <row r="30404" s="42" customFormat="1" x14ac:dyDescent="0.25"/>
    <row r="30405" s="42" customFormat="1" x14ac:dyDescent="0.25"/>
    <row r="30406" s="42" customFormat="1" x14ac:dyDescent="0.25"/>
    <row r="30407" s="42" customFormat="1" x14ac:dyDescent="0.25"/>
    <row r="30408" s="42" customFormat="1" x14ac:dyDescent="0.25"/>
    <row r="30409" s="42" customFormat="1" x14ac:dyDescent="0.25"/>
    <row r="30410" s="42" customFormat="1" x14ac:dyDescent="0.25"/>
    <row r="30411" s="42" customFormat="1" x14ac:dyDescent="0.25"/>
    <row r="30412" s="42" customFormat="1" x14ac:dyDescent="0.25"/>
    <row r="30413" s="42" customFormat="1" x14ac:dyDescent="0.25"/>
    <row r="30414" s="42" customFormat="1" x14ac:dyDescent="0.25"/>
    <row r="30415" s="42" customFormat="1" x14ac:dyDescent="0.25"/>
    <row r="30416" s="42" customFormat="1" x14ac:dyDescent="0.25"/>
    <row r="30417" s="42" customFormat="1" x14ac:dyDescent="0.25"/>
    <row r="30418" s="42" customFormat="1" x14ac:dyDescent="0.25"/>
    <row r="30419" s="42" customFormat="1" x14ac:dyDescent="0.25"/>
    <row r="30420" s="42" customFormat="1" x14ac:dyDescent="0.25"/>
    <row r="30421" s="42" customFormat="1" x14ac:dyDescent="0.25"/>
    <row r="30422" s="42" customFormat="1" x14ac:dyDescent="0.25"/>
    <row r="30423" s="42" customFormat="1" x14ac:dyDescent="0.25"/>
    <row r="30424" s="42" customFormat="1" x14ac:dyDescent="0.25"/>
    <row r="30425" s="42" customFormat="1" x14ac:dyDescent="0.25"/>
    <row r="30426" s="42" customFormat="1" x14ac:dyDescent="0.25"/>
    <row r="30427" s="42" customFormat="1" x14ac:dyDescent="0.25"/>
    <row r="30428" s="42" customFormat="1" x14ac:dyDescent="0.25"/>
    <row r="30429" s="42" customFormat="1" x14ac:dyDescent="0.25"/>
    <row r="30430" s="42" customFormat="1" x14ac:dyDescent="0.25"/>
    <row r="30431" s="42" customFormat="1" x14ac:dyDescent="0.25"/>
    <row r="30432" s="42" customFormat="1" x14ac:dyDescent="0.25"/>
    <row r="30433" s="42" customFormat="1" x14ac:dyDescent="0.25"/>
    <row r="30434" s="42" customFormat="1" x14ac:dyDescent="0.25"/>
    <row r="30435" s="42" customFormat="1" x14ac:dyDescent="0.25"/>
    <row r="30436" s="42" customFormat="1" x14ac:dyDescent="0.25"/>
    <row r="30437" s="42" customFormat="1" x14ac:dyDescent="0.25"/>
    <row r="30438" s="42" customFormat="1" x14ac:dyDescent="0.25"/>
    <row r="30439" s="42" customFormat="1" x14ac:dyDescent="0.25"/>
    <row r="30440" s="42" customFormat="1" x14ac:dyDescent="0.25"/>
    <row r="30441" s="42" customFormat="1" x14ac:dyDescent="0.25"/>
    <row r="30442" s="42" customFormat="1" x14ac:dyDescent="0.25"/>
    <row r="30443" s="42" customFormat="1" x14ac:dyDescent="0.25"/>
    <row r="30444" s="42" customFormat="1" x14ac:dyDescent="0.25"/>
    <row r="30445" s="42" customFormat="1" x14ac:dyDescent="0.25"/>
    <row r="30446" s="42" customFormat="1" x14ac:dyDescent="0.25"/>
    <row r="30447" s="42" customFormat="1" x14ac:dyDescent="0.25"/>
    <row r="30448" s="42" customFormat="1" x14ac:dyDescent="0.25"/>
    <row r="30449" s="42" customFormat="1" x14ac:dyDescent="0.25"/>
    <row r="30450" s="42" customFormat="1" x14ac:dyDescent="0.25"/>
    <row r="30451" s="42" customFormat="1" x14ac:dyDescent="0.25"/>
    <row r="30452" s="42" customFormat="1" x14ac:dyDescent="0.25"/>
    <row r="30453" s="42" customFormat="1" x14ac:dyDescent="0.25"/>
    <row r="30454" s="42" customFormat="1" x14ac:dyDescent="0.25"/>
    <row r="30455" s="42" customFormat="1" x14ac:dyDescent="0.25"/>
    <row r="30456" s="42" customFormat="1" x14ac:dyDescent="0.25"/>
    <row r="30457" s="42" customFormat="1" x14ac:dyDescent="0.25"/>
    <row r="30458" s="42" customFormat="1" x14ac:dyDescent="0.25"/>
    <row r="30459" s="42" customFormat="1" x14ac:dyDescent="0.25"/>
    <row r="30460" s="42" customFormat="1" x14ac:dyDescent="0.25"/>
    <row r="30461" s="42" customFormat="1" x14ac:dyDescent="0.25"/>
    <row r="30462" s="42" customFormat="1" x14ac:dyDescent="0.25"/>
    <row r="30463" s="42" customFormat="1" x14ac:dyDescent="0.25"/>
    <row r="30464" s="42" customFormat="1" x14ac:dyDescent="0.25"/>
    <row r="30465" s="42" customFormat="1" x14ac:dyDescent="0.25"/>
    <row r="30466" s="42" customFormat="1" x14ac:dyDescent="0.25"/>
    <row r="30467" s="42" customFormat="1" x14ac:dyDescent="0.25"/>
    <row r="30468" s="42" customFormat="1" x14ac:dyDescent="0.25"/>
    <row r="30469" s="42" customFormat="1" x14ac:dyDescent="0.25"/>
    <row r="30470" s="42" customFormat="1" x14ac:dyDescent="0.25"/>
    <row r="30471" s="42" customFormat="1" x14ac:dyDescent="0.25"/>
    <row r="30472" s="42" customFormat="1" x14ac:dyDescent="0.25"/>
    <row r="30473" s="42" customFormat="1" x14ac:dyDescent="0.25"/>
    <row r="30474" s="42" customFormat="1" x14ac:dyDescent="0.25"/>
    <row r="30475" s="42" customFormat="1" x14ac:dyDescent="0.25"/>
    <row r="30476" s="42" customFormat="1" x14ac:dyDescent="0.25"/>
    <row r="30477" s="42" customFormat="1" x14ac:dyDescent="0.25"/>
    <row r="30478" s="42" customFormat="1" x14ac:dyDescent="0.25"/>
    <row r="30479" s="42" customFormat="1" x14ac:dyDescent="0.25"/>
    <row r="30480" s="42" customFormat="1" x14ac:dyDescent="0.25"/>
    <row r="30481" s="42" customFormat="1" x14ac:dyDescent="0.25"/>
    <row r="30482" s="42" customFormat="1" x14ac:dyDescent="0.25"/>
    <row r="30483" s="42" customFormat="1" x14ac:dyDescent="0.25"/>
    <row r="30484" s="42" customFormat="1" x14ac:dyDescent="0.25"/>
    <row r="30485" s="42" customFormat="1" x14ac:dyDescent="0.25"/>
    <row r="30486" s="42" customFormat="1" x14ac:dyDescent="0.25"/>
    <row r="30487" s="42" customFormat="1" x14ac:dyDescent="0.25"/>
    <row r="30488" s="42" customFormat="1" x14ac:dyDescent="0.25"/>
    <row r="30489" s="42" customFormat="1" x14ac:dyDescent="0.25"/>
    <row r="30490" s="42" customFormat="1" x14ac:dyDescent="0.25"/>
    <row r="30491" s="42" customFormat="1" x14ac:dyDescent="0.25"/>
    <row r="30492" s="42" customFormat="1" x14ac:dyDescent="0.25"/>
    <row r="30493" s="42" customFormat="1" x14ac:dyDescent="0.25"/>
    <row r="30494" s="42" customFormat="1" x14ac:dyDescent="0.25"/>
    <row r="30495" s="42" customFormat="1" x14ac:dyDescent="0.25"/>
    <row r="30496" s="42" customFormat="1" x14ac:dyDescent="0.25"/>
    <row r="30497" s="42" customFormat="1" x14ac:dyDescent="0.25"/>
    <row r="30498" s="42" customFormat="1" x14ac:dyDescent="0.25"/>
    <row r="30499" s="42" customFormat="1" x14ac:dyDescent="0.25"/>
    <row r="30500" s="42" customFormat="1" x14ac:dyDescent="0.25"/>
    <row r="30501" s="42" customFormat="1" x14ac:dyDescent="0.25"/>
    <row r="30502" s="42" customFormat="1" x14ac:dyDescent="0.25"/>
    <row r="30503" s="42" customFormat="1" x14ac:dyDescent="0.25"/>
    <row r="30504" s="42" customFormat="1" x14ac:dyDescent="0.25"/>
    <row r="30505" s="42" customFormat="1" x14ac:dyDescent="0.25"/>
    <row r="30506" s="42" customFormat="1" x14ac:dyDescent="0.25"/>
    <row r="30507" s="42" customFormat="1" x14ac:dyDescent="0.25"/>
    <row r="30508" s="42" customFormat="1" x14ac:dyDescent="0.25"/>
    <row r="30509" s="42" customFormat="1" x14ac:dyDescent="0.25"/>
    <row r="30510" s="42" customFormat="1" x14ac:dyDescent="0.25"/>
    <row r="30511" s="42" customFormat="1" x14ac:dyDescent="0.25"/>
    <row r="30512" s="42" customFormat="1" x14ac:dyDescent="0.25"/>
    <row r="30513" s="42" customFormat="1" x14ac:dyDescent="0.25"/>
    <row r="30514" s="42" customFormat="1" x14ac:dyDescent="0.25"/>
    <row r="30515" s="42" customFormat="1" x14ac:dyDescent="0.25"/>
    <row r="30516" s="42" customFormat="1" x14ac:dyDescent="0.25"/>
    <row r="30517" s="42" customFormat="1" x14ac:dyDescent="0.25"/>
    <row r="30518" s="42" customFormat="1" x14ac:dyDescent="0.25"/>
    <row r="30519" s="42" customFormat="1" x14ac:dyDescent="0.25"/>
    <row r="30520" s="42" customFormat="1" x14ac:dyDescent="0.25"/>
    <row r="30521" s="42" customFormat="1" x14ac:dyDescent="0.25"/>
    <row r="30522" s="42" customFormat="1" x14ac:dyDescent="0.25"/>
    <row r="30523" s="42" customFormat="1" x14ac:dyDescent="0.25"/>
    <row r="30524" s="42" customFormat="1" x14ac:dyDescent="0.25"/>
    <row r="30525" s="42" customFormat="1" x14ac:dyDescent="0.25"/>
    <row r="30526" s="42" customFormat="1" x14ac:dyDescent="0.25"/>
    <row r="30527" s="42" customFormat="1" x14ac:dyDescent="0.25"/>
    <row r="30528" s="42" customFormat="1" x14ac:dyDescent="0.25"/>
    <row r="30529" s="42" customFormat="1" x14ac:dyDescent="0.25"/>
    <row r="30530" s="42" customFormat="1" x14ac:dyDescent="0.25"/>
    <row r="30531" s="42" customFormat="1" x14ac:dyDescent="0.25"/>
    <row r="30532" s="42" customFormat="1" x14ac:dyDescent="0.25"/>
    <row r="30533" s="42" customFormat="1" x14ac:dyDescent="0.25"/>
    <row r="30534" s="42" customFormat="1" x14ac:dyDescent="0.25"/>
    <row r="30535" s="42" customFormat="1" x14ac:dyDescent="0.25"/>
    <row r="30536" s="42" customFormat="1" x14ac:dyDescent="0.25"/>
    <row r="30537" s="42" customFormat="1" x14ac:dyDescent="0.25"/>
    <row r="30538" s="42" customFormat="1" x14ac:dyDescent="0.25"/>
    <row r="30539" s="42" customFormat="1" x14ac:dyDescent="0.25"/>
    <row r="30540" s="42" customFormat="1" x14ac:dyDescent="0.25"/>
    <row r="30541" s="42" customFormat="1" x14ac:dyDescent="0.25"/>
    <row r="30542" s="42" customFormat="1" x14ac:dyDescent="0.25"/>
    <row r="30543" s="42" customFormat="1" x14ac:dyDescent="0.25"/>
    <row r="30544" s="42" customFormat="1" x14ac:dyDescent="0.25"/>
    <row r="30545" s="42" customFormat="1" x14ac:dyDescent="0.25"/>
    <row r="30546" s="42" customFormat="1" x14ac:dyDescent="0.25"/>
    <row r="30547" s="42" customFormat="1" x14ac:dyDescent="0.25"/>
    <row r="30548" s="42" customFormat="1" x14ac:dyDescent="0.25"/>
    <row r="30549" s="42" customFormat="1" x14ac:dyDescent="0.25"/>
    <row r="30550" s="42" customFormat="1" x14ac:dyDescent="0.25"/>
    <row r="30551" s="42" customFormat="1" x14ac:dyDescent="0.25"/>
    <row r="30552" s="42" customFormat="1" x14ac:dyDescent="0.25"/>
    <row r="30553" s="42" customFormat="1" x14ac:dyDescent="0.25"/>
    <row r="30554" s="42" customFormat="1" x14ac:dyDescent="0.25"/>
    <row r="30555" s="42" customFormat="1" x14ac:dyDescent="0.25"/>
    <row r="30556" s="42" customFormat="1" x14ac:dyDescent="0.25"/>
    <row r="30557" s="42" customFormat="1" x14ac:dyDescent="0.25"/>
    <row r="30558" s="42" customFormat="1" x14ac:dyDescent="0.25"/>
    <row r="30559" s="42" customFormat="1" x14ac:dyDescent="0.25"/>
    <row r="30560" s="42" customFormat="1" x14ac:dyDescent="0.25"/>
    <row r="30561" s="42" customFormat="1" x14ac:dyDescent="0.25"/>
    <row r="30562" s="42" customFormat="1" x14ac:dyDescent="0.25"/>
    <row r="30563" s="42" customFormat="1" x14ac:dyDescent="0.25"/>
    <row r="30564" s="42" customFormat="1" x14ac:dyDescent="0.25"/>
    <row r="30565" s="42" customFormat="1" x14ac:dyDescent="0.25"/>
    <row r="30566" s="42" customFormat="1" x14ac:dyDescent="0.25"/>
    <row r="30567" s="42" customFormat="1" x14ac:dyDescent="0.25"/>
    <row r="30568" s="42" customFormat="1" x14ac:dyDescent="0.25"/>
    <row r="30569" s="42" customFormat="1" x14ac:dyDescent="0.25"/>
    <row r="30570" s="42" customFormat="1" x14ac:dyDescent="0.25"/>
    <row r="30571" s="42" customFormat="1" x14ac:dyDescent="0.25"/>
    <row r="30572" s="42" customFormat="1" x14ac:dyDescent="0.25"/>
    <row r="30573" s="42" customFormat="1" x14ac:dyDescent="0.25"/>
    <row r="30574" s="42" customFormat="1" x14ac:dyDescent="0.25"/>
    <row r="30575" s="42" customFormat="1" x14ac:dyDescent="0.25"/>
    <row r="30576" s="42" customFormat="1" x14ac:dyDescent="0.25"/>
    <row r="30577" s="42" customFormat="1" x14ac:dyDescent="0.25"/>
    <row r="30578" s="42" customFormat="1" x14ac:dyDescent="0.25"/>
    <row r="30579" s="42" customFormat="1" x14ac:dyDescent="0.25"/>
    <row r="30580" s="42" customFormat="1" x14ac:dyDescent="0.25"/>
    <row r="30581" s="42" customFormat="1" x14ac:dyDescent="0.25"/>
    <row r="30582" s="42" customFormat="1" x14ac:dyDescent="0.25"/>
    <row r="30583" s="42" customFormat="1" x14ac:dyDescent="0.25"/>
    <row r="30584" s="42" customFormat="1" x14ac:dyDescent="0.25"/>
    <row r="30585" s="42" customFormat="1" x14ac:dyDescent="0.25"/>
    <row r="30586" s="42" customFormat="1" x14ac:dyDescent="0.25"/>
    <row r="30587" s="42" customFormat="1" x14ac:dyDescent="0.25"/>
    <row r="30588" s="42" customFormat="1" x14ac:dyDescent="0.25"/>
    <row r="30589" s="42" customFormat="1" x14ac:dyDescent="0.25"/>
    <row r="30590" s="42" customFormat="1" x14ac:dyDescent="0.25"/>
    <row r="30591" s="42" customFormat="1" x14ac:dyDescent="0.25"/>
    <row r="30592" s="42" customFormat="1" x14ac:dyDescent="0.25"/>
    <row r="30593" s="42" customFormat="1" x14ac:dyDescent="0.25"/>
    <row r="30594" s="42" customFormat="1" x14ac:dyDescent="0.25"/>
    <row r="30595" s="42" customFormat="1" x14ac:dyDescent="0.25"/>
    <row r="30596" s="42" customFormat="1" x14ac:dyDescent="0.25"/>
    <row r="30597" s="42" customFormat="1" x14ac:dyDescent="0.25"/>
    <row r="30598" s="42" customFormat="1" x14ac:dyDescent="0.25"/>
    <row r="30599" s="42" customFormat="1" x14ac:dyDescent="0.25"/>
    <row r="30600" s="42" customFormat="1" x14ac:dyDescent="0.25"/>
    <row r="30601" s="42" customFormat="1" x14ac:dyDescent="0.25"/>
    <row r="30602" s="42" customFormat="1" x14ac:dyDescent="0.25"/>
    <row r="30603" s="42" customFormat="1" x14ac:dyDescent="0.25"/>
    <row r="30604" s="42" customFormat="1" x14ac:dyDescent="0.25"/>
    <row r="30605" s="42" customFormat="1" x14ac:dyDescent="0.25"/>
    <row r="30606" s="42" customFormat="1" x14ac:dyDescent="0.25"/>
    <row r="30607" s="42" customFormat="1" x14ac:dyDescent="0.25"/>
    <row r="30608" s="42" customFormat="1" x14ac:dyDescent="0.25"/>
    <row r="30609" s="42" customFormat="1" x14ac:dyDescent="0.25"/>
    <row r="30610" s="42" customFormat="1" x14ac:dyDescent="0.25"/>
    <row r="30611" s="42" customFormat="1" x14ac:dyDescent="0.25"/>
    <row r="30612" s="42" customFormat="1" x14ac:dyDescent="0.25"/>
    <row r="30613" s="42" customFormat="1" x14ac:dyDescent="0.25"/>
    <row r="30614" s="42" customFormat="1" x14ac:dyDescent="0.25"/>
    <row r="30615" s="42" customFormat="1" x14ac:dyDescent="0.25"/>
    <row r="30616" s="42" customFormat="1" x14ac:dyDescent="0.25"/>
    <row r="30617" s="42" customFormat="1" x14ac:dyDescent="0.25"/>
    <row r="30618" s="42" customFormat="1" x14ac:dyDescent="0.25"/>
    <row r="30619" s="42" customFormat="1" x14ac:dyDescent="0.25"/>
    <row r="30620" s="42" customFormat="1" x14ac:dyDescent="0.25"/>
    <row r="30621" s="42" customFormat="1" x14ac:dyDescent="0.25"/>
    <row r="30622" s="42" customFormat="1" x14ac:dyDescent="0.25"/>
    <row r="30623" s="42" customFormat="1" x14ac:dyDescent="0.25"/>
    <row r="30624" s="42" customFormat="1" x14ac:dyDescent="0.25"/>
    <row r="30625" s="42" customFormat="1" x14ac:dyDescent="0.25"/>
    <row r="30626" s="42" customFormat="1" x14ac:dyDescent="0.25"/>
    <row r="30627" s="42" customFormat="1" x14ac:dyDescent="0.25"/>
    <row r="30628" s="42" customFormat="1" x14ac:dyDescent="0.25"/>
    <row r="30629" s="42" customFormat="1" x14ac:dyDescent="0.25"/>
    <row r="30630" s="42" customFormat="1" x14ac:dyDescent="0.25"/>
    <row r="30631" s="42" customFormat="1" x14ac:dyDescent="0.25"/>
    <row r="30632" s="42" customFormat="1" x14ac:dyDescent="0.25"/>
    <row r="30633" s="42" customFormat="1" x14ac:dyDescent="0.25"/>
    <row r="30634" s="42" customFormat="1" x14ac:dyDescent="0.25"/>
    <row r="30635" s="42" customFormat="1" x14ac:dyDescent="0.25"/>
    <row r="30636" s="42" customFormat="1" x14ac:dyDescent="0.25"/>
    <row r="30637" s="42" customFormat="1" x14ac:dyDescent="0.25"/>
    <row r="30638" s="42" customFormat="1" x14ac:dyDescent="0.25"/>
    <row r="30639" s="42" customFormat="1" x14ac:dyDescent="0.25"/>
    <row r="30640" s="42" customFormat="1" x14ac:dyDescent="0.25"/>
    <row r="30641" s="42" customFormat="1" x14ac:dyDescent="0.25"/>
    <row r="30642" s="42" customFormat="1" x14ac:dyDescent="0.25"/>
    <row r="30643" s="42" customFormat="1" x14ac:dyDescent="0.25"/>
    <row r="30644" s="42" customFormat="1" x14ac:dyDescent="0.25"/>
    <row r="30645" s="42" customFormat="1" x14ac:dyDescent="0.25"/>
    <row r="30646" s="42" customFormat="1" x14ac:dyDescent="0.25"/>
    <row r="30647" s="42" customFormat="1" x14ac:dyDescent="0.25"/>
    <row r="30648" s="42" customFormat="1" x14ac:dyDescent="0.25"/>
    <row r="30649" s="42" customFormat="1" x14ac:dyDescent="0.25"/>
    <row r="30650" s="42" customFormat="1" x14ac:dyDescent="0.25"/>
    <row r="30651" s="42" customFormat="1" x14ac:dyDescent="0.25"/>
    <row r="30652" s="42" customFormat="1" x14ac:dyDescent="0.25"/>
    <row r="30653" s="42" customFormat="1" x14ac:dyDescent="0.25"/>
    <row r="30654" s="42" customFormat="1" x14ac:dyDescent="0.25"/>
    <row r="30655" s="42" customFormat="1" x14ac:dyDescent="0.25"/>
    <row r="30656" s="42" customFormat="1" x14ac:dyDescent="0.25"/>
    <row r="30657" s="42" customFormat="1" x14ac:dyDescent="0.25"/>
    <row r="30658" s="42" customFormat="1" x14ac:dyDescent="0.25"/>
    <row r="30659" s="42" customFormat="1" x14ac:dyDescent="0.25"/>
    <row r="30660" s="42" customFormat="1" x14ac:dyDescent="0.25"/>
    <row r="30661" s="42" customFormat="1" x14ac:dyDescent="0.25"/>
    <row r="30662" s="42" customFormat="1" x14ac:dyDescent="0.25"/>
    <row r="30663" s="42" customFormat="1" x14ac:dyDescent="0.25"/>
    <row r="30664" s="42" customFormat="1" x14ac:dyDescent="0.25"/>
    <row r="30665" s="42" customFormat="1" x14ac:dyDescent="0.25"/>
    <row r="30666" s="42" customFormat="1" x14ac:dyDescent="0.25"/>
    <row r="30667" s="42" customFormat="1" x14ac:dyDescent="0.25"/>
    <row r="30668" s="42" customFormat="1" x14ac:dyDescent="0.25"/>
    <row r="30669" s="42" customFormat="1" x14ac:dyDescent="0.25"/>
    <row r="30670" s="42" customFormat="1" x14ac:dyDescent="0.25"/>
    <row r="30671" s="42" customFormat="1" x14ac:dyDescent="0.25"/>
    <row r="30672" s="42" customFormat="1" x14ac:dyDescent="0.25"/>
    <row r="30673" s="42" customFormat="1" x14ac:dyDescent="0.25"/>
    <row r="30674" s="42" customFormat="1" x14ac:dyDescent="0.25"/>
    <row r="30675" s="42" customFormat="1" x14ac:dyDescent="0.25"/>
    <row r="30676" s="42" customFormat="1" x14ac:dyDescent="0.25"/>
    <row r="30677" s="42" customFormat="1" x14ac:dyDescent="0.25"/>
    <row r="30678" s="42" customFormat="1" x14ac:dyDescent="0.25"/>
    <row r="30679" s="42" customFormat="1" x14ac:dyDescent="0.25"/>
    <row r="30680" s="42" customFormat="1" x14ac:dyDescent="0.25"/>
    <row r="30681" s="42" customFormat="1" x14ac:dyDescent="0.25"/>
    <row r="30682" s="42" customFormat="1" x14ac:dyDescent="0.25"/>
    <row r="30683" s="42" customFormat="1" x14ac:dyDescent="0.25"/>
    <row r="30684" s="42" customFormat="1" x14ac:dyDescent="0.25"/>
    <row r="30685" s="42" customFormat="1" x14ac:dyDescent="0.25"/>
    <row r="30686" s="42" customFormat="1" x14ac:dyDescent="0.25"/>
    <row r="30687" s="42" customFormat="1" x14ac:dyDescent="0.25"/>
    <row r="30688" s="42" customFormat="1" x14ac:dyDescent="0.25"/>
    <row r="30689" s="42" customFormat="1" x14ac:dyDescent="0.25"/>
    <row r="30690" s="42" customFormat="1" x14ac:dyDescent="0.25"/>
    <row r="30691" s="42" customFormat="1" x14ac:dyDescent="0.25"/>
    <row r="30692" s="42" customFormat="1" x14ac:dyDescent="0.25"/>
    <row r="30693" s="42" customFormat="1" x14ac:dyDescent="0.25"/>
    <row r="30694" s="42" customFormat="1" x14ac:dyDescent="0.25"/>
    <row r="30695" s="42" customFormat="1" x14ac:dyDescent="0.25"/>
    <row r="30696" s="42" customFormat="1" x14ac:dyDescent="0.25"/>
    <row r="30697" s="42" customFormat="1" x14ac:dyDescent="0.25"/>
    <row r="30698" s="42" customFormat="1" x14ac:dyDescent="0.25"/>
    <row r="30699" s="42" customFormat="1" x14ac:dyDescent="0.25"/>
    <row r="30700" s="42" customFormat="1" x14ac:dyDescent="0.25"/>
    <row r="30701" s="42" customFormat="1" x14ac:dyDescent="0.25"/>
    <row r="30702" s="42" customFormat="1" x14ac:dyDescent="0.25"/>
    <row r="30703" s="42" customFormat="1" x14ac:dyDescent="0.25"/>
    <row r="30704" s="42" customFormat="1" x14ac:dyDescent="0.25"/>
    <row r="30705" s="42" customFormat="1" x14ac:dyDescent="0.25"/>
    <row r="30706" s="42" customFormat="1" x14ac:dyDescent="0.25"/>
    <row r="30707" s="42" customFormat="1" x14ac:dyDescent="0.25"/>
    <row r="30708" s="42" customFormat="1" x14ac:dyDescent="0.25"/>
    <row r="30709" s="42" customFormat="1" x14ac:dyDescent="0.25"/>
    <row r="30710" s="42" customFormat="1" x14ac:dyDescent="0.25"/>
    <row r="30711" s="42" customFormat="1" x14ac:dyDescent="0.25"/>
    <row r="30712" s="42" customFormat="1" x14ac:dyDescent="0.25"/>
    <row r="30713" s="42" customFormat="1" x14ac:dyDescent="0.25"/>
    <row r="30714" s="42" customFormat="1" x14ac:dyDescent="0.25"/>
    <row r="30715" s="42" customFormat="1" x14ac:dyDescent="0.25"/>
    <row r="30716" s="42" customFormat="1" x14ac:dyDescent="0.25"/>
    <row r="30717" s="42" customFormat="1" x14ac:dyDescent="0.25"/>
    <row r="30718" s="42" customFormat="1" x14ac:dyDescent="0.25"/>
    <row r="30719" s="42" customFormat="1" x14ac:dyDescent="0.25"/>
    <row r="30720" s="42" customFormat="1" x14ac:dyDescent="0.25"/>
    <row r="30721" s="42" customFormat="1" x14ac:dyDescent="0.25"/>
    <row r="30722" s="42" customFormat="1" x14ac:dyDescent="0.25"/>
    <row r="30723" s="42" customFormat="1" x14ac:dyDescent="0.25"/>
    <row r="30724" s="42" customFormat="1" x14ac:dyDescent="0.25"/>
    <row r="30725" s="42" customFormat="1" x14ac:dyDescent="0.25"/>
    <row r="30726" s="42" customFormat="1" x14ac:dyDescent="0.25"/>
    <row r="30727" s="42" customFormat="1" x14ac:dyDescent="0.25"/>
    <row r="30728" s="42" customFormat="1" x14ac:dyDescent="0.25"/>
    <row r="30729" s="42" customFormat="1" x14ac:dyDescent="0.25"/>
    <row r="30730" s="42" customFormat="1" x14ac:dyDescent="0.25"/>
    <row r="30731" s="42" customFormat="1" x14ac:dyDescent="0.25"/>
    <row r="30732" s="42" customFormat="1" x14ac:dyDescent="0.25"/>
    <row r="30733" s="42" customFormat="1" x14ac:dyDescent="0.25"/>
    <row r="30734" s="42" customFormat="1" x14ac:dyDescent="0.25"/>
    <row r="30735" s="42" customFormat="1" x14ac:dyDescent="0.25"/>
    <row r="30736" s="42" customFormat="1" x14ac:dyDescent="0.25"/>
    <row r="30737" s="42" customFormat="1" x14ac:dyDescent="0.25"/>
    <row r="30738" s="42" customFormat="1" x14ac:dyDescent="0.25"/>
    <row r="30739" s="42" customFormat="1" x14ac:dyDescent="0.25"/>
    <row r="30740" s="42" customFormat="1" x14ac:dyDescent="0.25"/>
    <row r="30741" s="42" customFormat="1" x14ac:dyDescent="0.25"/>
    <row r="30742" s="42" customFormat="1" x14ac:dyDescent="0.25"/>
    <row r="30743" s="42" customFormat="1" x14ac:dyDescent="0.25"/>
    <row r="30744" s="42" customFormat="1" x14ac:dyDescent="0.25"/>
    <row r="30745" s="42" customFormat="1" x14ac:dyDescent="0.25"/>
    <row r="30746" s="42" customFormat="1" x14ac:dyDescent="0.25"/>
    <row r="30747" s="42" customFormat="1" x14ac:dyDescent="0.25"/>
    <row r="30748" s="42" customFormat="1" x14ac:dyDescent="0.25"/>
    <row r="30749" s="42" customFormat="1" x14ac:dyDescent="0.25"/>
    <row r="30750" s="42" customFormat="1" x14ac:dyDescent="0.25"/>
    <row r="30751" s="42" customFormat="1" x14ac:dyDescent="0.25"/>
    <row r="30752" s="42" customFormat="1" x14ac:dyDescent="0.25"/>
    <row r="30753" s="42" customFormat="1" x14ac:dyDescent="0.25"/>
    <row r="30754" s="42" customFormat="1" x14ac:dyDescent="0.25"/>
    <row r="30755" s="42" customFormat="1" x14ac:dyDescent="0.25"/>
    <row r="30756" s="42" customFormat="1" x14ac:dyDescent="0.25"/>
    <row r="30757" s="42" customFormat="1" x14ac:dyDescent="0.25"/>
    <row r="30758" s="42" customFormat="1" x14ac:dyDescent="0.25"/>
    <row r="30759" s="42" customFormat="1" x14ac:dyDescent="0.25"/>
    <row r="30760" s="42" customFormat="1" x14ac:dyDescent="0.25"/>
    <row r="30761" s="42" customFormat="1" x14ac:dyDescent="0.25"/>
    <row r="30762" s="42" customFormat="1" x14ac:dyDescent="0.25"/>
    <row r="30763" s="42" customFormat="1" x14ac:dyDescent="0.25"/>
    <row r="30764" s="42" customFormat="1" x14ac:dyDescent="0.25"/>
    <row r="30765" s="42" customFormat="1" x14ac:dyDescent="0.25"/>
    <row r="30766" s="42" customFormat="1" x14ac:dyDescent="0.25"/>
    <row r="30767" s="42" customFormat="1" x14ac:dyDescent="0.25"/>
    <row r="30768" s="42" customFormat="1" x14ac:dyDescent="0.25"/>
    <row r="30769" s="42" customFormat="1" x14ac:dyDescent="0.25"/>
    <row r="30770" s="42" customFormat="1" x14ac:dyDescent="0.25"/>
    <row r="30771" s="42" customFormat="1" x14ac:dyDescent="0.25"/>
    <row r="30772" s="42" customFormat="1" x14ac:dyDescent="0.25"/>
    <row r="30773" s="42" customFormat="1" x14ac:dyDescent="0.25"/>
    <row r="30774" s="42" customFormat="1" x14ac:dyDescent="0.25"/>
    <row r="30775" s="42" customFormat="1" x14ac:dyDescent="0.25"/>
    <row r="30776" s="42" customFormat="1" x14ac:dyDescent="0.25"/>
    <row r="30777" s="42" customFormat="1" x14ac:dyDescent="0.25"/>
    <row r="30778" s="42" customFormat="1" x14ac:dyDescent="0.25"/>
    <row r="30779" s="42" customFormat="1" x14ac:dyDescent="0.25"/>
    <row r="30780" s="42" customFormat="1" x14ac:dyDescent="0.25"/>
    <row r="30781" s="42" customFormat="1" x14ac:dyDescent="0.25"/>
    <row r="30782" s="42" customFormat="1" x14ac:dyDescent="0.25"/>
    <row r="30783" s="42" customFormat="1" x14ac:dyDescent="0.25"/>
    <row r="30784" s="42" customFormat="1" x14ac:dyDescent="0.25"/>
    <row r="30785" s="42" customFormat="1" x14ac:dyDescent="0.25"/>
    <row r="30786" s="42" customFormat="1" x14ac:dyDescent="0.25"/>
    <row r="30787" s="42" customFormat="1" x14ac:dyDescent="0.25"/>
    <row r="30788" s="42" customFormat="1" x14ac:dyDescent="0.25"/>
    <row r="30789" s="42" customFormat="1" x14ac:dyDescent="0.25"/>
    <row r="30790" s="42" customFormat="1" x14ac:dyDescent="0.25"/>
    <row r="30791" s="42" customFormat="1" x14ac:dyDescent="0.25"/>
    <row r="30792" s="42" customFormat="1" x14ac:dyDescent="0.25"/>
    <row r="30793" s="42" customFormat="1" x14ac:dyDescent="0.25"/>
    <row r="30794" s="42" customFormat="1" x14ac:dyDescent="0.25"/>
    <row r="30795" s="42" customFormat="1" x14ac:dyDescent="0.25"/>
    <row r="30796" s="42" customFormat="1" x14ac:dyDescent="0.25"/>
    <row r="30797" s="42" customFormat="1" x14ac:dyDescent="0.25"/>
    <row r="30798" s="42" customFormat="1" x14ac:dyDescent="0.25"/>
    <row r="30799" s="42" customFormat="1" x14ac:dyDescent="0.25"/>
    <row r="30800" s="42" customFormat="1" x14ac:dyDescent="0.25"/>
    <row r="30801" s="42" customFormat="1" x14ac:dyDescent="0.25"/>
    <row r="30802" s="42" customFormat="1" x14ac:dyDescent="0.25"/>
    <row r="30803" s="42" customFormat="1" x14ac:dyDescent="0.25"/>
    <row r="30804" s="42" customFormat="1" x14ac:dyDescent="0.25"/>
    <row r="30805" s="42" customFormat="1" x14ac:dyDescent="0.25"/>
    <row r="30806" s="42" customFormat="1" x14ac:dyDescent="0.25"/>
    <row r="30807" s="42" customFormat="1" x14ac:dyDescent="0.25"/>
    <row r="30808" s="42" customFormat="1" x14ac:dyDescent="0.25"/>
    <row r="30809" s="42" customFormat="1" x14ac:dyDescent="0.25"/>
    <row r="30810" s="42" customFormat="1" x14ac:dyDescent="0.25"/>
    <row r="30811" s="42" customFormat="1" x14ac:dyDescent="0.25"/>
    <row r="30812" s="42" customFormat="1" x14ac:dyDescent="0.25"/>
    <row r="30813" s="42" customFormat="1" x14ac:dyDescent="0.25"/>
    <row r="30814" s="42" customFormat="1" x14ac:dyDescent="0.25"/>
    <row r="30815" s="42" customFormat="1" x14ac:dyDescent="0.25"/>
    <row r="30816" s="42" customFormat="1" x14ac:dyDescent="0.25"/>
    <row r="30817" s="42" customFormat="1" x14ac:dyDescent="0.25"/>
    <row r="30818" s="42" customFormat="1" x14ac:dyDescent="0.25"/>
    <row r="30819" s="42" customFormat="1" x14ac:dyDescent="0.25"/>
    <row r="30820" s="42" customFormat="1" x14ac:dyDescent="0.25"/>
    <row r="30821" s="42" customFormat="1" x14ac:dyDescent="0.25"/>
    <row r="30822" s="42" customFormat="1" x14ac:dyDescent="0.25"/>
    <row r="30823" s="42" customFormat="1" x14ac:dyDescent="0.25"/>
    <row r="30824" s="42" customFormat="1" x14ac:dyDescent="0.25"/>
    <row r="30825" s="42" customFormat="1" x14ac:dyDescent="0.25"/>
    <row r="30826" s="42" customFormat="1" x14ac:dyDescent="0.25"/>
    <row r="30827" s="42" customFormat="1" x14ac:dyDescent="0.25"/>
    <row r="30828" s="42" customFormat="1" x14ac:dyDescent="0.25"/>
    <row r="30829" s="42" customFormat="1" x14ac:dyDescent="0.25"/>
    <row r="30830" s="42" customFormat="1" x14ac:dyDescent="0.25"/>
    <row r="30831" s="42" customFormat="1" x14ac:dyDescent="0.25"/>
    <row r="30832" s="42" customFormat="1" x14ac:dyDescent="0.25"/>
    <row r="30833" s="42" customFormat="1" x14ac:dyDescent="0.25"/>
    <row r="30834" s="42" customFormat="1" x14ac:dyDescent="0.25"/>
    <row r="30835" s="42" customFormat="1" x14ac:dyDescent="0.25"/>
    <row r="30836" s="42" customFormat="1" x14ac:dyDescent="0.25"/>
    <row r="30837" s="42" customFormat="1" x14ac:dyDescent="0.25"/>
    <row r="30838" s="42" customFormat="1" x14ac:dyDescent="0.25"/>
    <row r="30839" s="42" customFormat="1" x14ac:dyDescent="0.25"/>
    <row r="30840" s="42" customFormat="1" x14ac:dyDescent="0.25"/>
    <row r="30841" s="42" customFormat="1" x14ac:dyDescent="0.25"/>
    <row r="30842" s="42" customFormat="1" x14ac:dyDescent="0.25"/>
    <row r="30843" s="42" customFormat="1" x14ac:dyDescent="0.25"/>
    <row r="30844" s="42" customFormat="1" x14ac:dyDescent="0.25"/>
    <row r="30845" s="42" customFormat="1" x14ac:dyDescent="0.25"/>
    <row r="30846" s="42" customFormat="1" x14ac:dyDescent="0.25"/>
    <row r="30847" s="42" customFormat="1" x14ac:dyDescent="0.25"/>
    <row r="30848" s="42" customFormat="1" x14ac:dyDescent="0.25"/>
    <row r="30849" s="42" customFormat="1" x14ac:dyDescent="0.25"/>
    <row r="30850" s="42" customFormat="1" x14ac:dyDescent="0.25"/>
    <row r="30851" s="42" customFormat="1" x14ac:dyDescent="0.25"/>
    <row r="30852" s="42" customFormat="1" x14ac:dyDescent="0.25"/>
    <row r="30853" s="42" customFormat="1" x14ac:dyDescent="0.25"/>
    <row r="30854" s="42" customFormat="1" x14ac:dyDescent="0.25"/>
    <row r="30855" s="42" customFormat="1" x14ac:dyDescent="0.25"/>
    <row r="30856" s="42" customFormat="1" x14ac:dyDescent="0.25"/>
    <row r="30857" s="42" customFormat="1" x14ac:dyDescent="0.25"/>
    <row r="30858" s="42" customFormat="1" x14ac:dyDescent="0.25"/>
    <row r="30859" s="42" customFormat="1" x14ac:dyDescent="0.25"/>
    <row r="30860" s="42" customFormat="1" x14ac:dyDescent="0.25"/>
    <row r="30861" s="42" customFormat="1" x14ac:dyDescent="0.25"/>
    <row r="30862" s="42" customFormat="1" x14ac:dyDescent="0.25"/>
    <row r="30863" s="42" customFormat="1" x14ac:dyDescent="0.25"/>
    <row r="30864" s="42" customFormat="1" x14ac:dyDescent="0.25"/>
    <row r="30865" s="42" customFormat="1" x14ac:dyDescent="0.25"/>
    <row r="30866" s="42" customFormat="1" x14ac:dyDescent="0.25"/>
    <row r="30867" s="42" customFormat="1" x14ac:dyDescent="0.25"/>
    <row r="30868" s="42" customFormat="1" x14ac:dyDescent="0.25"/>
    <row r="30869" s="42" customFormat="1" x14ac:dyDescent="0.25"/>
    <row r="30870" s="42" customFormat="1" x14ac:dyDescent="0.25"/>
    <row r="30871" s="42" customFormat="1" x14ac:dyDescent="0.25"/>
    <row r="30872" s="42" customFormat="1" x14ac:dyDescent="0.25"/>
    <row r="30873" s="42" customFormat="1" x14ac:dyDescent="0.25"/>
    <row r="30874" s="42" customFormat="1" x14ac:dyDescent="0.25"/>
    <row r="30875" s="42" customFormat="1" x14ac:dyDescent="0.25"/>
    <row r="30876" s="42" customFormat="1" x14ac:dyDescent="0.25"/>
    <row r="30877" s="42" customFormat="1" x14ac:dyDescent="0.25"/>
    <row r="30878" s="42" customFormat="1" x14ac:dyDescent="0.25"/>
    <row r="30879" s="42" customFormat="1" x14ac:dyDescent="0.25"/>
    <row r="30880" s="42" customFormat="1" x14ac:dyDescent="0.25"/>
    <row r="30881" s="42" customFormat="1" x14ac:dyDescent="0.25"/>
    <row r="30882" s="42" customFormat="1" x14ac:dyDescent="0.25"/>
    <row r="30883" s="42" customFormat="1" x14ac:dyDescent="0.25"/>
    <row r="30884" s="42" customFormat="1" x14ac:dyDescent="0.25"/>
    <row r="30885" s="42" customFormat="1" x14ac:dyDescent="0.25"/>
    <row r="30886" s="42" customFormat="1" x14ac:dyDescent="0.25"/>
    <row r="30887" s="42" customFormat="1" x14ac:dyDescent="0.25"/>
    <row r="30888" s="42" customFormat="1" x14ac:dyDescent="0.25"/>
    <row r="30889" s="42" customFormat="1" x14ac:dyDescent="0.25"/>
    <row r="30890" s="42" customFormat="1" x14ac:dyDescent="0.25"/>
    <row r="30891" s="42" customFormat="1" x14ac:dyDescent="0.25"/>
    <row r="30892" s="42" customFormat="1" x14ac:dyDescent="0.25"/>
    <row r="30893" s="42" customFormat="1" x14ac:dyDescent="0.25"/>
    <row r="30894" s="42" customFormat="1" x14ac:dyDescent="0.25"/>
    <row r="30895" s="42" customFormat="1" x14ac:dyDescent="0.25"/>
    <row r="30896" s="42" customFormat="1" x14ac:dyDescent="0.25"/>
    <row r="30897" s="42" customFormat="1" x14ac:dyDescent="0.25"/>
    <row r="30898" s="42" customFormat="1" x14ac:dyDescent="0.25"/>
    <row r="30899" s="42" customFormat="1" x14ac:dyDescent="0.25"/>
    <row r="30900" s="42" customFormat="1" x14ac:dyDescent="0.25"/>
    <row r="30901" s="42" customFormat="1" x14ac:dyDescent="0.25"/>
    <row r="30902" s="42" customFormat="1" x14ac:dyDescent="0.25"/>
    <row r="30903" s="42" customFormat="1" x14ac:dyDescent="0.25"/>
    <row r="30904" s="42" customFormat="1" x14ac:dyDescent="0.25"/>
    <row r="30905" s="42" customFormat="1" x14ac:dyDescent="0.25"/>
    <row r="30906" s="42" customFormat="1" x14ac:dyDescent="0.25"/>
    <row r="30907" s="42" customFormat="1" x14ac:dyDescent="0.25"/>
    <row r="30908" s="42" customFormat="1" x14ac:dyDescent="0.25"/>
    <row r="30909" s="42" customFormat="1" x14ac:dyDescent="0.25"/>
    <row r="30910" s="42" customFormat="1" x14ac:dyDescent="0.25"/>
    <row r="30911" s="42" customFormat="1" x14ac:dyDescent="0.25"/>
    <row r="30912" s="42" customFormat="1" x14ac:dyDescent="0.25"/>
    <row r="30913" s="42" customFormat="1" x14ac:dyDescent="0.25"/>
    <row r="30914" s="42" customFormat="1" x14ac:dyDescent="0.25"/>
    <row r="30915" s="42" customFormat="1" x14ac:dyDescent="0.25"/>
    <row r="30916" s="42" customFormat="1" x14ac:dyDescent="0.25"/>
    <row r="30917" s="42" customFormat="1" x14ac:dyDescent="0.25"/>
    <row r="30918" s="42" customFormat="1" x14ac:dyDescent="0.25"/>
    <row r="30919" s="42" customFormat="1" x14ac:dyDescent="0.25"/>
    <row r="30920" s="42" customFormat="1" x14ac:dyDescent="0.25"/>
    <row r="30921" s="42" customFormat="1" x14ac:dyDescent="0.25"/>
    <row r="30922" s="42" customFormat="1" x14ac:dyDescent="0.25"/>
    <row r="30923" s="42" customFormat="1" x14ac:dyDescent="0.25"/>
    <row r="30924" s="42" customFormat="1" x14ac:dyDescent="0.25"/>
    <row r="30925" s="42" customFormat="1" x14ac:dyDescent="0.25"/>
    <row r="30926" s="42" customFormat="1" x14ac:dyDescent="0.25"/>
    <row r="30927" s="42" customFormat="1" x14ac:dyDescent="0.25"/>
    <row r="30928" s="42" customFormat="1" x14ac:dyDescent="0.25"/>
    <row r="30929" s="42" customFormat="1" x14ac:dyDescent="0.25"/>
    <row r="30930" s="42" customFormat="1" x14ac:dyDescent="0.25"/>
    <row r="30931" s="42" customFormat="1" x14ac:dyDescent="0.25"/>
    <row r="30932" s="42" customFormat="1" x14ac:dyDescent="0.25"/>
    <row r="30933" s="42" customFormat="1" x14ac:dyDescent="0.25"/>
    <row r="30934" s="42" customFormat="1" x14ac:dyDescent="0.25"/>
    <row r="30935" s="42" customFormat="1" x14ac:dyDescent="0.25"/>
    <row r="30936" s="42" customFormat="1" x14ac:dyDescent="0.25"/>
    <row r="30937" s="42" customFormat="1" x14ac:dyDescent="0.25"/>
    <row r="30938" s="42" customFormat="1" x14ac:dyDescent="0.25"/>
    <row r="30939" s="42" customFormat="1" x14ac:dyDescent="0.25"/>
    <row r="30940" s="42" customFormat="1" x14ac:dyDescent="0.25"/>
    <row r="30941" s="42" customFormat="1" x14ac:dyDescent="0.25"/>
    <row r="30942" s="42" customFormat="1" x14ac:dyDescent="0.25"/>
    <row r="30943" s="42" customFormat="1" x14ac:dyDescent="0.25"/>
    <row r="30944" s="42" customFormat="1" x14ac:dyDescent="0.25"/>
    <row r="30945" s="42" customFormat="1" x14ac:dyDescent="0.25"/>
    <row r="30946" s="42" customFormat="1" x14ac:dyDescent="0.25"/>
    <row r="30947" s="42" customFormat="1" x14ac:dyDescent="0.25"/>
    <row r="30948" s="42" customFormat="1" x14ac:dyDescent="0.25"/>
    <row r="30949" s="42" customFormat="1" x14ac:dyDescent="0.25"/>
    <row r="30950" s="42" customFormat="1" x14ac:dyDescent="0.25"/>
    <row r="30951" s="42" customFormat="1" x14ac:dyDescent="0.25"/>
    <row r="30952" s="42" customFormat="1" x14ac:dyDescent="0.25"/>
    <row r="30953" s="42" customFormat="1" x14ac:dyDescent="0.25"/>
    <row r="30954" s="42" customFormat="1" x14ac:dyDescent="0.25"/>
    <row r="30955" s="42" customFormat="1" x14ac:dyDescent="0.25"/>
    <row r="30956" s="42" customFormat="1" x14ac:dyDescent="0.25"/>
    <row r="30957" s="42" customFormat="1" x14ac:dyDescent="0.25"/>
    <row r="30958" s="42" customFormat="1" x14ac:dyDescent="0.25"/>
    <row r="30959" s="42" customFormat="1" x14ac:dyDescent="0.25"/>
    <row r="30960" s="42" customFormat="1" x14ac:dyDescent="0.25"/>
    <row r="30961" s="42" customFormat="1" x14ac:dyDescent="0.25"/>
    <row r="30962" s="42" customFormat="1" x14ac:dyDescent="0.25"/>
    <row r="30963" s="42" customFormat="1" x14ac:dyDescent="0.25"/>
    <row r="30964" s="42" customFormat="1" x14ac:dyDescent="0.25"/>
    <row r="30965" s="42" customFormat="1" x14ac:dyDescent="0.25"/>
    <row r="30966" s="42" customFormat="1" x14ac:dyDescent="0.25"/>
    <row r="30967" s="42" customFormat="1" x14ac:dyDescent="0.25"/>
    <row r="30968" s="42" customFormat="1" x14ac:dyDescent="0.25"/>
    <row r="30969" s="42" customFormat="1" x14ac:dyDescent="0.25"/>
    <row r="30970" s="42" customFormat="1" x14ac:dyDescent="0.25"/>
    <row r="30971" s="42" customFormat="1" x14ac:dyDescent="0.25"/>
    <row r="30972" s="42" customFormat="1" x14ac:dyDescent="0.25"/>
    <row r="30973" s="42" customFormat="1" x14ac:dyDescent="0.25"/>
    <row r="30974" s="42" customFormat="1" x14ac:dyDescent="0.25"/>
    <row r="30975" s="42" customFormat="1" x14ac:dyDescent="0.25"/>
    <row r="30976" s="42" customFormat="1" x14ac:dyDescent="0.25"/>
    <row r="30977" s="42" customFormat="1" x14ac:dyDescent="0.25"/>
    <row r="30978" s="42" customFormat="1" x14ac:dyDescent="0.25"/>
    <row r="30979" s="42" customFormat="1" x14ac:dyDescent="0.25"/>
    <row r="30980" s="42" customFormat="1" x14ac:dyDescent="0.25"/>
    <row r="30981" s="42" customFormat="1" x14ac:dyDescent="0.25"/>
    <row r="30982" s="42" customFormat="1" x14ac:dyDescent="0.25"/>
    <row r="30983" s="42" customFormat="1" x14ac:dyDescent="0.25"/>
    <row r="30984" s="42" customFormat="1" x14ac:dyDescent="0.25"/>
    <row r="30985" s="42" customFormat="1" x14ac:dyDescent="0.25"/>
    <row r="30986" s="42" customFormat="1" x14ac:dyDescent="0.25"/>
    <row r="30987" s="42" customFormat="1" x14ac:dyDescent="0.25"/>
    <row r="30988" s="42" customFormat="1" x14ac:dyDescent="0.25"/>
    <row r="30989" s="42" customFormat="1" x14ac:dyDescent="0.25"/>
    <row r="30990" s="42" customFormat="1" x14ac:dyDescent="0.25"/>
    <row r="30991" s="42" customFormat="1" x14ac:dyDescent="0.25"/>
    <row r="30992" s="42" customFormat="1" x14ac:dyDescent="0.25"/>
    <row r="30993" s="42" customFormat="1" x14ac:dyDescent="0.25"/>
    <row r="30994" s="42" customFormat="1" x14ac:dyDescent="0.25"/>
    <row r="30995" s="42" customFormat="1" x14ac:dyDescent="0.25"/>
    <row r="30996" s="42" customFormat="1" x14ac:dyDescent="0.25"/>
    <row r="30997" s="42" customFormat="1" x14ac:dyDescent="0.25"/>
    <row r="30998" s="42" customFormat="1" x14ac:dyDescent="0.25"/>
    <row r="30999" s="42" customFormat="1" x14ac:dyDescent="0.25"/>
    <row r="31000" s="42" customFormat="1" x14ac:dyDescent="0.25"/>
    <row r="31001" s="42" customFormat="1" x14ac:dyDescent="0.25"/>
    <row r="31002" s="42" customFormat="1" x14ac:dyDescent="0.25"/>
    <row r="31003" s="42" customFormat="1" x14ac:dyDescent="0.25"/>
    <row r="31004" s="42" customFormat="1" x14ac:dyDescent="0.25"/>
    <row r="31005" s="42" customFormat="1" x14ac:dyDescent="0.25"/>
    <row r="31006" s="42" customFormat="1" x14ac:dyDescent="0.25"/>
    <row r="31007" s="42" customFormat="1" x14ac:dyDescent="0.25"/>
    <row r="31008" s="42" customFormat="1" x14ac:dyDescent="0.25"/>
    <row r="31009" s="42" customFormat="1" x14ac:dyDescent="0.25"/>
    <row r="31010" s="42" customFormat="1" x14ac:dyDescent="0.25"/>
    <row r="31011" s="42" customFormat="1" x14ac:dyDescent="0.25"/>
    <row r="31012" s="42" customFormat="1" x14ac:dyDescent="0.25"/>
    <row r="31013" s="42" customFormat="1" x14ac:dyDescent="0.25"/>
    <row r="31014" s="42" customFormat="1" x14ac:dyDescent="0.25"/>
    <row r="31015" s="42" customFormat="1" x14ac:dyDescent="0.25"/>
    <row r="31016" s="42" customFormat="1" x14ac:dyDescent="0.25"/>
    <row r="31017" s="42" customFormat="1" x14ac:dyDescent="0.25"/>
    <row r="31018" s="42" customFormat="1" x14ac:dyDescent="0.25"/>
    <row r="31019" s="42" customFormat="1" x14ac:dyDescent="0.25"/>
    <row r="31020" s="42" customFormat="1" x14ac:dyDescent="0.25"/>
    <row r="31021" s="42" customFormat="1" x14ac:dyDescent="0.25"/>
    <row r="31022" s="42" customFormat="1" x14ac:dyDescent="0.25"/>
    <row r="31023" s="42" customFormat="1" x14ac:dyDescent="0.25"/>
    <row r="31024" s="42" customFormat="1" x14ac:dyDescent="0.25"/>
    <row r="31025" s="42" customFormat="1" x14ac:dyDescent="0.25"/>
    <row r="31026" s="42" customFormat="1" x14ac:dyDescent="0.25"/>
    <row r="31027" s="42" customFormat="1" x14ac:dyDescent="0.25"/>
    <row r="31028" s="42" customFormat="1" x14ac:dyDescent="0.25"/>
    <row r="31029" s="42" customFormat="1" x14ac:dyDescent="0.25"/>
    <row r="31030" s="42" customFormat="1" x14ac:dyDescent="0.25"/>
    <row r="31031" s="42" customFormat="1" x14ac:dyDescent="0.25"/>
    <row r="31032" s="42" customFormat="1" x14ac:dyDescent="0.25"/>
    <row r="31033" s="42" customFormat="1" x14ac:dyDescent="0.25"/>
    <row r="31034" s="42" customFormat="1" x14ac:dyDescent="0.25"/>
    <row r="31035" s="42" customFormat="1" x14ac:dyDescent="0.25"/>
    <row r="31036" s="42" customFormat="1" x14ac:dyDescent="0.25"/>
    <row r="31037" s="42" customFormat="1" x14ac:dyDescent="0.25"/>
    <row r="31038" s="42" customFormat="1" x14ac:dyDescent="0.25"/>
    <row r="31039" s="42" customFormat="1" x14ac:dyDescent="0.25"/>
    <row r="31040" s="42" customFormat="1" x14ac:dyDescent="0.25"/>
    <row r="31041" s="42" customFormat="1" x14ac:dyDescent="0.25"/>
    <row r="31042" s="42" customFormat="1" x14ac:dyDescent="0.25"/>
    <row r="31043" s="42" customFormat="1" x14ac:dyDescent="0.25"/>
    <row r="31044" s="42" customFormat="1" x14ac:dyDescent="0.25"/>
    <row r="31045" s="42" customFormat="1" x14ac:dyDescent="0.25"/>
    <row r="31046" s="42" customFormat="1" x14ac:dyDescent="0.25"/>
    <row r="31047" s="42" customFormat="1" x14ac:dyDescent="0.25"/>
    <row r="31048" s="42" customFormat="1" x14ac:dyDescent="0.25"/>
    <row r="31049" s="42" customFormat="1" x14ac:dyDescent="0.25"/>
    <row r="31050" s="42" customFormat="1" x14ac:dyDescent="0.25"/>
    <row r="31051" s="42" customFormat="1" x14ac:dyDescent="0.25"/>
    <row r="31052" s="42" customFormat="1" x14ac:dyDescent="0.25"/>
    <row r="31053" s="42" customFormat="1" x14ac:dyDescent="0.25"/>
    <row r="31054" s="42" customFormat="1" x14ac:dyDescent="0.25"/>
    <row r="31055" s="42" customFormat="1" x14ac:dyDescent="0.25"/>
    <row r="31056" s="42" customFormat="1" x14ac:dyDescent="0.25"/>
    <row r="31057" s="42" customFormat="1" x14ac:dyDescent="0.25"/>
    <row r="31058" s="42" customFormat="1" x14ac:dyDescent="0.25"/>
    <row r="31059" s="42" customFormat="1" x14ac:dyDescent="0.25"/>
    <row r="31060" s="42" customFormat="1" x14ac:dyDescent="0.25"/>
    <row r="31061" s="42" customFormat="1" x14ac:dyDescent="0.25"/>
    <row r="31062" s="42" customFormat="1" x14ac:dyDescent="0.25"/>
    <row r="31063" s="42" customFormat="1" x14ac:dyDescent="0.25"/>
    <row r="31064" s="42" customFormat="1" x14ac:dyDescent="0.25"/>
    <row r="31065" s="42" customFormat="1" x14ac:dyDescent="0.25"/>
    <row r="31066" s="42" customFormat="1" x14ac:dyDescent="0.25"/>
    <row r="31067" s="42" customFormat="1" x14ac:dyDescent="0.25"/>
    <row r="31068" s="42" customFormat="1" x14ac:dyDescent="0.25"/>
    <row r="31069" s="42" customFormat="1" x14ac:dyDescent="0.25"/>
    <row r="31070" s="42" customFormat="1" x14ac:dyDescent="0.25"/>
    <row r="31071" s="42" customFormat="1" x14ac:dyDescent="0.25"/>
    <row r="31072" s="42" customFormat="1" x14ac:dyDescent="0.25"/>
    <row r="31073" s="42" customFormat="1" x14ac:dyDescent="0.25"/>
    <row r="31074" s="42" customFormat="1" x14ac:dyDescent="0.25"/>
    <row r="31075" s="42" customFormat="1" x14ac:dyDescent="0.25"/>
    <row r="31076" s="42" customFormat="1" x14ac:dyDescent="0.25"/>
    <row r="31077" s="42" customFormat="1" x14ac:dyDescent="0.25"/>
    <row r="31078" s="42" customFormat="1" x14ac:dyDescent="0.25"/>
    <row r="31079" s="42" customFormat="1" x14ac:dyDescent="0.25"/>
    <row r="31080" s="42" customFormat="1" x14ac:dyDescent="0.25"/>
    <row r="31081" s="42" customFormat="1" x14ac:dyDescent="0.25"/>
    <row r="31082" s="42" customFormat="1" x14ac:dyDescent="0.25"/>
    <row r="31083" s="42" customFormat="1" x14ac:dyDescent="0.25"/>
    <row r="31084" s="42" customFormat="1" x14ac:dyDescent="0.25"/>
    <row r="31085" s="42" customFormat="1" x14ac:dyDescent="0.25"/>
    <row r="31086" s="42" customFormat="1" x14ac:dyDescent="0.25"/>
    <row r="31087" s="42" customFormat="1" x14ac:dyDescent="0.25"/>
    <row r="31088" s="42" customFormat="1" x14ac:dyDescent="0.25"/>
    <row r="31089" s="42" customFormat="1" x14ac:dyDescent="0.25"/>
    <row r="31090" s="42" customFormat="1" x14ac:dyDescent="0.25"/>
    <row r="31091" s="42" customFormat="1" x14ac:dyDescent="0.25"/>
    <row r="31092" s="42" customFormat="1" x14ac:dyDescent="0.25"/>
    <row r="31093" s="42" customFormat="1" x14ac:dyDescent="0.25"/>
    <row r="31094" s="42" customFormat="1" x14ac:dyDescent="0.25"/>
    <row r="31095" s="42" customFormat="1" x14ac:dyDescent="0.25"/>
    <row r="31096" s="42" customFormat="1" x14ac:dyDescent="0.25"/>
    <row r="31097" s="42" customFormat="1" x14ac:dyDescent="0.25"/>
    <row r="31098" s="42" customFormat="1" x14ac:dyDescent="0.25"/>
    <row r="31099" s="42" customFormat="1" x14ac:dyDescent="0.25"/>
    <row r="31100" s="42" customFormat="1" x14ac:dyDescent="0.25"/>
    <row r="31101" s="42" customFormat="1" x14ac:dyDescent="0.25"/>
    <row r="31102" s="42" customFormat="1" x14ac:dyDescent="0.25"/>
    <row r="31103" s="42" customFormat="1" x14ac:dyDescent="0.25"/>
    <row r="31104" s="42" customFormat="1" x14ac:dyDescent="0.25"/>
    <row r="31105" s="42" customFormat="1" x14ac:dyDescent="0.25"/>
    <row r="31106" s="42" customFormat="1" x14ac:dyDescent="0.25"/>
    <row r="31107" s="42" customFormat="1" x14ac:dyDescent="0.25"/>
    <row r="31108" s="42" customFormat="1" x14ac:dyDescent="0.25"/>
    <row r="31109" s="42" customFormat="1" x14ac:dyDescent="0.25"/>
    <row r="31110" s="42" customFormat="1" x14ac:dyDescent="0.25"/>
    <row r="31111" s="42" customFormat="1" x14ac:dyDescent="0.25"/>
    <row r="31112" s="42" customFormat="1" x14ac:dyDescent="0.25"/>
    <row r="31113" s="42" customFormat="1" x14ac:dyDescent="0.25"/>
    <row r="31114" s="42" customFormat="1" x14ac:dyDescent="0.25"/>
    <row r="31115" s="42" customFormat="1" x14ac:dyDescent="0.25"/>
    <row r="31116" s="42" customFormat="1" x14ac:dyDescent="0.25"/>
    <row r="31117" s="42" customFormat="1" x14ac:dyDescent="0.25"/>
    <row r="31118" s="42" customFormat="1" x14ac:dyDescent="0.25"/>
    <row r="31119" s="42" customFormat="1" x14ac:dyDescent="0.25"/>
    <row r="31120" s="42" customFormat="1" x14ac:dyDescent="0.25"/>
    <row r="31121" s="42" customFormat="1" x14ac:dyDescent="0.25"/>
    <row r="31122" s="42" customFormat="1" x14ac:dyDescent="0.25"/>
    <row r="31123" s="42" customFormat="1" x14ac:dyDescent="0.25"/>
    <row r="31124" s="42" customFormat="1" x14ac:dyDescent="0.25"/>
    <row r="31125" s="42" customFormat="1" x14ac:dyDescent="0.25"/>
    <row r="31126" s="42" customFormat="1" x14ac:dyDescent="0.25"/>
    <row r="31127" s="42" customFormat="1" x14ac:dyDescent="0.25"/>
    <row r="31128" s="42" customFormat="1" x14ac:dyDescent="0.25"/>
    <row r="31129" s="42" customFormat="1" x14ac:dyDescent="0.25"/>
    <row r="31130" s="42" customFormat="1" x14ac:dyDescent="0.25"/>
    <row r="31131" s="42" customFormat="1" x14ac:dyDescent="0.25"/>
    <row r="31132" s="42" customFormat="1" x14ac:dyDescent="0.25"/>
    <row r="31133" s="42" customFormat="1" x14ac:dyDescent="0.25"/>
    <row r="31134" s="42" customFormat="1" x14ac:dyDescent="0.25"/>
    <row r="31135" s="42" customFormat="1" x14ac:dyDescent="0.25"/>
    <row r="31136" s="42" customFormat="1" x14ac:dyDescent="0.25"/>
    <row r="31137" s="42" customFormat="1" x14ac:dyDescent="0.25"/>
    <row r="31138" s="42" customFormat="1" x14ac:dyDescent="0.25"/>
    <row r="31139" s="42" customFormat="1" x14ac:dyDescent="0.25"/>
    <row r="31140" s="42" customFormat="1" x14ac:dyDescent="0.25"/>
    <row r="31141" s="42" customFormat="1" x14ac:dyDescent="0.25"/>
    <row r="31142" s="42" customFormat="1" x14ac:dyDescent="0.25"/>
    <row r="31143" s="42" customFormat="1" x14ac:dyDescent="0.25"/>
    <row r="31144" s="42" customFormat="1" x14ac:dyDescent="0.25"/>
    <row r="31145" s="42" customFormat="1" x14ac:dyDescent="0.25"/>
    <row r="31146" s="42" customFormat="1" x14ac:dyDescent="0.25"/>
    <row r="31147" s="42" customFormat="1" x14ac:dyDescent="0.25"/>
    <row r="31148" s="42" customFormat="1" x14ac:dyDescent="0.25"/>
    <row r="31149" s="42" customFormat="1" x14ac:dyDescent="0.25"/>
    <row r="31150" s="42" customFormat="1" x14ac:dyDescent="0.25"/>
    <row r="31151" s="42" customFormat="1" x14ac:dyDescent="0.25"/>
    <row r="31152" s="42" customFormat="1" x14ac:dyDescent="0.25"/>
    <row r="31153" s="42" customFormat="1" x14ac:dyDescent="0.25"/>
    <row r="31154" s="42" customFormat="1" x14ac:dyDescent="0.25"/>
    <row r="31155" s="42" customFormat="1" x14ac:dyDescent="0.25"/>
    <row r="31156" s="42" customFormat="1" x14ac:dyDescent="0.25"/>
    <row r="31157" s="42" customFormat="1" x14ac:dyDescent="0.25"/>
    <row r="31158" s="42" customFormat="1" x14ac:dyDescent="0.25"/>
    <row r="31159" s="42" customFormat="1" x14ac:dyDescent="0.25"/>
    <row r="31160" s="42" customFormat="1" x14ac:dyDescent="0.25"/>
    <row r="31161" s="42" customFormat="1" x14ac:dyDescent="0.25"/>
    <row r="31162" s="42" customFormat="1" x14ac:dyDescent="0.25"/>
    <row r="31163" s="42" customFormat="1" x14ac:dyDescent="0.25"/>
    <row r="31164" s="42" customFormat="1" x14ac:dyDescent="0.25"/>
    <row r="31165" s="42" customFormat="1" x14ac:dyDescent="0.25"/>
    <row r="31166" s="42" customFormat="1" x14ac:dyDescent="0.25"/>
    <row r="31167" s="42" customFormat="1" x14ac:dyDescent="0.25"/>
    <row r="31168" s="42" customFormat="1" x14ac:dyDescent="0.25"/>
    <row r="31169" s="42" customFormat="1" x14ac:dyDescent="0.25"/>
    <row r="31170" s="42" customFormat="1" x14ac:dyDescent="0.25"/>
    <row r="31171" s="42" customFormat="1" x14ac:dyDescent="0.25"/>
    <row r="31172" s="42" customFormat="1" x14ac:dyDescent="0.25"/>
    <row r="31173" s="42" customFormat="1" x14ac:dyDescent="0.25"/>
    <row r="31174" s="42" customFormat="1" x14ac:dyDescent="0.25"/>
    <row r="31175" s="42" customFormat="1" x14ac:dyDescent="0.25"/>
    <row r="31176" s="42" customFormat="1" x14ac:dyDescent="0.25"/>
    <row r="31177" s="42" customFormat="1" x14ac:dyDescent="0.25"/>
    <row r="31178" s="42" customFormat="1" x14ac:dyDescent="0.25"/>
    <row r="31179" s="42" customFormat="1" x14ac:dyDescent="0.25"/>
    <row r="31180" s="42" customFormat="1" x14ac:dyDescent="0.25"/>
    <row r="31181" s="42" customFormat="1" x14ac:dyDescent="0.25"/>
    <row r="31182" s="42" customFormat="1" x14ac:dyDescent="0.25"/>
    <row r="31183" s="42" customFormat="1" x14ac:dyDescent="0.25"/>
    <row r="31184" s="42" customFormat="1" x14ac:dyDescent="0.25"/>
    <row r="31185" s="42" customFormat="1" x14ac:dyDescent="0.25"/>
    <row r="31186" s="42" customFormat="1" x14ac:dyDescent="0.25"/>
    <row r="31187" s="42" customFormat="1" x14ac:dyDescent="0.25"/>
    <row r="31188" s="42" customFormat="1" x14ac:dyDescent="0.25"/>
    <row r="31189" s="42" customFormat="1" x14ac:dyDescent="0.25"/>
    <row r="31190" s="42" customFormat="1" x14ac:dyDescent="0.25"/>
    <row r="31191" s="42" customFormat="1" x14ac:dyDescent="0.25"/>
    <row r="31192" s="42" customFormat="1" x14ac:dyDescent="0.25"/>
    <row r="31193" s="42" customFormat="1" x14ac:dyDescent="0.25"/>
    <row r="31194" s="42" customFormat="1" x14ac:dyDescent="0.25"/>
    <row r="31195" s="42" customFormat="1" x14ac:dyDescent="0.25"/>
    <row r="31196" s="42" customFormat="1" x14ac:dyDescent="0.25"/>
    <row r="31197" s="42" customFormat="1" x14ac:dyDescent="0.25"/>
    <row r="31198" s="42" customFormat="1" x14ac:dyDescent="0.25"/>
    <row r="31199" s="42" customFormat="1" x14ac:dyDescent="0.25"/>
    <row r="31200" s="42" customFormat="1" x14ac:dyDescent="0.25"/>
    <row r="31201" s="42" customFormat="1" x14ac:dyDescent="0.25"/>
    <row r="31202" s="42" customFormat="1" x14ac:dyDescent="0.25"/>
    <row r="31203" s="42" customFormat="1" x14ac:dyDescent="0.25"/>
    <row r="31204" s="42" customFormat="1" x14ac:dyDescent="0.25"/>
    <row r="31205" s="42" customFormat="1" x14ac:dyDescent="0.25"/>
    <row r="31206" s="42" customFormat="1" x14ac:dyDescent="0.25"/>
    <row r="31207" s="42" customFormat="1" x14ac:dyDescent="0.25"/>
    <row r="31208" s="42" customFormat="1" x14ac:dyDescent="0.25"/>
    <row r="31209" s="42" customFormat="1" x14ac:dyDescent="0.25"/>
    <row r="31210" s="42" customFormat="1" x14ac:dyDescent="0.25"/>
    <row r="31211" s="42" customFormat="1" x14ac:dyDescent="0.25"/>
    <row r="31212" s="42" customFormat="1" x14ac:dyDescent="0.25"/>
    <row r="31213" s="42" customFormat="1" x14ac:dyDescent="0.25"/>
    <row r="31214" s="42" customFormat="1" x14ac:dyDescent="0.25"/>
    <row r="31215" s="42" customFormat="1" x14ac:dyDescent="0.25"/>
    <row r="31216" s="42" customFormat="1" x14ac:dyDescent="0.25"/>
    <row r="31217" s="42" customFormat="1" x14ac:dyDescent="0.25"/>
    <row r="31218" s="42" customFormat="1" x14ac:dyDescent="0.25"/>
    <row r="31219" s="42" customFormat="1" x14ac:dyDescent="0.25"/>
    <row r="31220" s="42" customFormat="1" x14ac:dyDescent="0.25"/>
    <row r="31221" s="42" customFormat="1" x14ac:dyDescent="0.25"/>
    <row r="31222" s="42" customFormat="1" x14ac:dyDescent="0.25"/>
    <row r="31223" s="42" customFormat="1" x14ac:dyDescent="0.25"/>
    <row r="31224" s="42" customFormat="1" x14ac:dyDescent="0.25"/>
    <row r="31225" s="42" customFormat="1" x14ac:dyDescent="0.25"/>
    <row r="31226" s="42" customFormat="1" x14ac:dyDescent="0.25"/>
    <row r="31227" s="42" customFormat="1" x14ac:dyDescent="0.25"/>
    <row r="31228" s="42" customFormat="1" x14ac:dyDescent="0.25"/>
    <row r="31229" s="42" customFormat="1" x14ac:dyDescent="0.25"/>
    <row r="31230" s="42" customFormat="1" x14ac:dyDescent="0.25"/>
    <row r="31231" s="42" customFormat="1" x14ac:dyDescent="0.25"/>
    <row r="31232" s="42" customFormat="1" x14ac:dyDescent="0.25"/>
    <row r="31233" s="42" customFormat="1" x14ac:dyDescent="0.25"/>
    <row r="31234" s="42" customFormat="1" x14ac:dyDescent="0.25"/>
    <row r="31235" s="42" customFormat="1" x14ac:dyDescent="0.25"/>
    <row r="31236" s="42" customFormat="1" x14ac:dyDescent="0.25"/>
    <row r="31237" s="42" customFormat="1" x14ac:dyDescent="0.25"/>
    <row r="31238" s="42" customFormat="1" x14ac:dyDescent="0.25"/>
    <row r="31239" s="42" customFormat="1" x14ac:dyDescent="0.25"/>
    <row r="31240" s="42" customFormat="1" x14ac:dyDescent="0.25"/>
    <row r="31241" s="42" customFormat="1" x14ac:dyDescent="0.25"/>
    <row r="31242" s="42" customFormat="1" x14ac:dyDescent="0.25"/>
    <row r="31243" s="42" customFormat="1" x14ac:dyDescent="0.25"/>
    <row r="31244" s="42" customFormat="1" x14ac:dyDescent="0.25"/>
    <row r="31245" s="42" customFormat="1" x14ac:dyDescent="0.25"/>
    <row r="31246" s="42" customFormat="1" x14ac:dyDescent="0.25"/>
    <row r="31247" s="42" customFormat="1" x14ac:dyDescent="0.25"/>
    <row r="31248" s="42" customFormat="1" x14ac:dyDescent="0.25"/>
    <row r="31249" s="42" customFormat="1" x14ac:dyDescent="0.25"/>
    <row r="31250" s="42" customFormat="1" x14ac:dyDescent="0.25"/>
    <row r="31251" s="42" customFormat="1" x14ac:dyDescent="0.25"/>
    <row r="31252" s="42" customFormat="1" x14ac:dyDescent="0.25"/>
    <row r="31253" s="42" customFormat="1" x14ac:dyDescent="0.25"/>
    <row r="31254" s="42" customFormat="1" x14ac:dyDescent="0.25"/>
    <row r="31255" s="42" customFormat="1" x14ac:dyDescent="0.25"/>
    <row r="31256" s="42" customFormat="1" x14ac:dyDescent="0.25"/>
    <row r="31257" s="42" customFormat="1" x14ac:dyDescent="0.25"/>
    <row r="31258" s="42" customFormat="1" x14ac:dyDescent="0.25"/>
    <row r="31259" s="42" customFormat="1" x14ac:dyDescent="0.25"/>
    <row r="31260" s="42" customFormat="1" x14ac:dyDescent="0.25"/>
    <row r="31261" s="42" customFormat="1" x14ac:dyDescent="0.25"/>
    <row r="31262" s="42" customFormat="1" x14ac:dyDescent="0.25"/>
    <row r="31263" s="42" customFormat="1" x14ac:dyDescent="0.25"/>
    <row r="31264" s="42" customFormat="1" x14ac:dyDescent="0.25"/>
    <row r="31265" s="42" customFormat="1" x14ac:dyDescent="0.25"/>
    <row r="31266" s="42" customFormat="1" x14ac:dyDescent="0.25"/>
    <row r="31267" s="42" customFormat="1" x14ac:dyDescent="0.25"/>
    <row r="31268" s="42" customFormat="1" x14ac:dyDescent="0.25"/>
    <row r="31269" s="42" customFormat="1" x14ac:dyDescent="0.25"/>
    <row r="31270" s="42" customFormat="1" x14ac:dyDescent="0.25"/>
    <row r="31271" s="42" customFormat="1" x14ac:dyDescent="0.25"/>
    <row r="31272" s="42" customFormat="1" x14ac:dyDescent="0.25"/>
    <row r="31273" s="42" customFormat="1" x14ac:dyDescent="0.25"/>
    <row r="31274" s="42" customFormat="1" x14ac:dyDescent="0.25"/>
    <row r="31275" s="42" customFormat="1" x14ac:dyDescent="0.25"/>
    <row r="31276" s="42" customFormat="1" x14ac:dyDescent="0.25"/>
    <row r="31277" s="42" customFormat="1" x14ac:dyDescent="0.25"/>
    <row r="31278" s="42" customFormat="1" x14ac:dyDescent="0.25"/>
    <row r="31279" s="42" customFormat="1" x14ac:dyDescent="0.25"/>
    <row r="31280" s="42" customFormat="1" x14ac:dyDescent="0.25"/>
    <row r="31281" s="42" customFormat="1" x14ac:dyDescent="0.25"/>
    <row r="31282" s="42" customFormat="1" x14ac:dyDescent="0.25"/>
    <row r="31283" s="42" customFormat="1" x14ac:dyDescent="0.25"/>
    <row r="31284" s="42" customFormat="1" x14ac:dyDescent="0.25"/>
    <row r="31285" s="42" customFormat="1" x14ac:dyDescent="0.25"/>
    <row r="31286" s="42" customFormat="1" x14ac:dyDescent="0.25"/>
    <row r="31287" s="42" customFormat="1" x14ac:dyDescent="0.25"/>
    <row r="31288" s="42" customFormat="1" x14ac:dyDescent="0.25"/>
    <row r="31289" s="42" customFormat="1" x14ac:dyDescent="0.25"/>
    <row r="31290" s="42" customFormat="1" x14ac:dyDescent="0.25"/>
    <row r="31291" s="42" customFormat="1" x14ac:dyDescent="0.25"/>
    <row r="31292" s="42" customFormat="1" x14ac:dyDescent="0.25"/>
    <row r="31293" s="42" customFormat="1" x14ac:dyDescent="0.25"/>
    <row r="31294" s="42" customFormat="1" x14ac:dyDescent="0.25"/>
    <row r="31295" s="42" customFormat="1" x14ac:dyDescent="0.25"/>
    <row r="31296" s="42" customFormat="1" x14ac:dyDescent="0.25"/>
    <row r="31297" s="42" customFormat="1" x14ac:dyDescent="0.25"/>
    <row r="31298" s="42" customFormat="1" x14ac:dyDescent="0.25"/>
    <row r="31299" s="42" customFormat="1" x14ac:dyDescent="0.25"/>
    <row r="31300" s="42" customFormat="1" x14ac:dyDescent="0.25"/>
    <row r="31301" s="42" customFormat="1" x14ac:dyDescent="0.25"/>
    <row r="31302" s="42" customFormat="1" x14ac:dyDescent="0.25"/>
    <row r="31303" s="42" customFormat="1" x14ac:dyDescent="0.25"/>
    <row r="31304" s="42" customFormat="1" x14ac:dyDescent="0.25"/>
    <row r="31305" s="42" customFormat="1" x14ac:dyDescent="0.25"/>
    <row r="31306" s="42" customFormat="1" x14ac:dyDescent="0.25"/>
    <row r="31307" s="42" customFormat="1" x14ac:dyDescent="0.25"/>
    <row r="31308" s="42" customFormat="1" x14ac:dyDescent="0.25"/>
    <row r="31309" s="42" customFormat="1" x14ac:dyDescent="0.25"/>
    <row r="31310" s="42" customFormat="1" x14ac:dyDescent="0.25"/>
    <row r="31311" s="42" customFormat="1" x14ac:dyDescent="0.25"/>
    <row r="31312" s="42" customFormat="1" x14ac:dyDescent="0.25"/>
    <row r="31313" s="42" customFormat="1" x14ac:dyDescent="0.25"/>
    <row r="31314" s="42" customFormat="1" x14ac:dyDescent="0.25"/>
    <row r="31315" s="42" customFormat="1" x14ac:dyDescent="0.25"/>
    <row r="31316" s="42" customFormat="1" x14ac:dyDescent="0.25"/>
    <row r="31317" s="42" customFormat="1" x14ac:dyDescent="0.25"/>
    <row r="31318" s="42" customFormat="1" x14ac:dyDescent="0.25"/>
    <row r="31319" s="42" customFormat="1" x14ac:dyDescent="0.25"/>
    <row r="31320" s="42" customFormat="1" x14ac:dyDescent="0.25"/>
    <row r="31321" s="42" customFormat="1" x14ac:dyDescent="0.25"/>
    <row r="31322" s="42" customFormat="1" x14ac:dyDescent="0.25"/>
    <row r="31323" s="42" customFormat="1" x14ac:dyDescent="0.25"/>
    <row r="31324" s="42" customFormat="1" x14ac:dyDescent="0.25"/>
    <row r="31325" s="42" customFormat="1" x14ac:dyDescent="0.25"/>
    <row r="31326" s="42" customFormat="1" x14ac:dyDescent="0.25"/>
    <row r="31327" s="42" customFormat="1" x14ac:dyDescent="0.25"/>
    <row r="31328" s="42" customFormat="1" x14ac:dyDescent="0.25"/>
    <row r="31329" s="42" customFormat="1" x14ac:dyDescent="0.25"/>
    <row r="31330" s="42" customFormat="1" x14ac:dyDescent="0.25"/>
    <row r="31331" s="42" customFormat="1" x14ac:dyDescent="0.25"/>
    <row r="31332" s="42" customFormat="1" x14ac:dyDescent="0.25"/>
    <row r="31333" s="42" customFormat="1" x14ac:dyDescent="0.25"/>
    <row r="31334" s="42" customFormat="1" x14ac:dyDescent="0.25"/>
    <row r="31335" s="42" customFormat="1" x14ac:dyDescent="0.25"/>
    <row r="31336" s="42" customFormat="1" x14ac:dyDescent="0.25"/>
    <row r="31337" s="42" customFormat="1" x14ac:dyDescent="0.25"/>
    <row r="31338" s="42" customFormat="1" x14ac:dyDescent="0.25"/>
    <row r="31339" s="42" customFormat="1" x14ac:dyDescent="0.25"/>
    <row r="31340" s="42" customFormat="1" x14ac:dyDescent="0.25"/>
    <row r="31341" s="42" customFormat="1" x14ac:dyDescent="0.25"/>
    <row r="31342" s="42" customFormat="1" x14ac:dyDescent="0.25"/>
    <row r="31343" s="42" customFormat="1" x14ac:dyDescent="0.25"/>
    <row r="31344" s="42" customFormat="1" x14ac:dyDescent="0.25"/>
    <row r="31345" s="42" customFormat="1" x14ac:dyDescent="0.25"/>
    <row r="31346" s="42" customFormat="1" x14ac:dyDescent="0.25"/>
    <row r="31347" s="42" customFormat="1" x14ac:dyDescent="0.25"/>
    <row r="31348" s="42" customFormat="1" x14ac:dyDescent="0.25"/>
    <row r="31349" s="42" customFormat="1" x14ac:dyDescent="0.25"/>
    <row r="31350" s="42" customFormat="1" x14ac:dyDescent="0.25"/>
    <row r="31351" s="42" customFormat="1" x14ac:dyDescent="0.25"/>
    <row r="31352" s="42" customFormat="1" x14ac:dyDescent="0.25"/>
    <row r="31353" s="42" customFormat="1" x14ac:dyDescent="0.25"/>
    <row r="31354" s="42" customFormat="1" x14ac:dyDescent="0.25"/>
    <row r="31355" s="42" customFormat="1" x14ac:dyDescent="0.25"/>
    <row r="31356" s="42" customFormat="1" x14ac:dyDescent="0.25"/>
    <row r="31357" s="42" customFormat="1" x14ac:dyDescent="0.25"/>
    <row r="31358" s="42" customFormat="1" x14ac:dyDescent="0.25"/>
    <row r="31359" s="42" customFormat="1" x14ac:dyDescent="0.25"/>
    <row r="31360" s="42" customFormat="1" x14ac:dyDescent="0.25"/>
    <row r="31361" s="42" customFormat="1" x14ac:dyDescent="0.25"/>
    <row r="31362" s="42" customFormat="1" x14ac:dyDescent="0.25"/>
    <row r="31363" s="42" customFormat="1" x14ac:dyDescent="0.25"/>
    <row r="31364" s="42" customFormat="1" x14ac:dyDescent="0.25"/>
    <row r="31365" s="42" customFormat="1" x14ac:dyDescent="0.25"/>
    <row r="31366" s="42" customFormat="1" x14ac:dyDescent="0.25"/>
    <row r="31367" s="42" customFormat="1" x14ac:dyDescent="0.25"/>
    <row r="31368" s="42" customFormat="1" x14ac:dyDescent="0.25"/>
    <row r="31369" s="42" customFormat="1" x14ac:dyDescent="0.25"/>
    <row r="31370" s="42" customFormat="1" x14ac:dyDescent="0.25"/>
    <row r="31371" s="42" customFormat="1" x14ac:dyDescent="0.25"/>
    <row r="31372" s="42" customFormat="1" x14ac:dyDescent="0.25"/>
    <row r="31373" s="42" customFormat="1" x14ac:dyDescent="0.25"/>
    <row r="31374" s="42" customFormat="1" x14ac:dyDescent="0.25"/>
    <row r="31375" s="42" customFormat="1" x14ac:dyDescent="0.25"/>
    <row r="31376" s="42" customFormat="1" x14ac:dyDescent="0.25"/>
    <row r="31377" s="42" customFormat="1" x14ac:dyDescent="0.25"/>
    <row r="31378" s="42" customFormat="1" x14ac:dyDescent="0.25"/>
    <row r="31379" s="42" customFormat="1" x14ac:dyDescent="0.25"/>
    <row r="31380" s="42" customFormat="1" x14ac:dyDescent="0.25"/>
    <row r="31381" s="42" customFormat="1" x14ac:dyDescent="0.25"/>
    <row r="31382" s="42" customFormat="1" x14ac:dyDescent="0.25"/>
    <row r="31383" s="42" customFormat="1" x14ac:dyDescent="0.25"/>
    <row r="31384" s="42" customFormat="1" x14ac:dyDescent="0.25"/>
    <row r="31385" s="42" customFormat="1" x14ac:dyDescent="0.25"/>
    <row r="31386" s="42" customFormat="1" x14ac:dyDescent="0.25"/>
    <row r="31387" s="42" customFormat="1" x14ac:dyDescent="0.25"/>
    <row r="31388" s="42" customFormat="1" x14ac:dyDescent="0.25"/>
    <row r="31389" s="42" customFormat="1" x14ac:dyDescent="0.25"/>
    <row r="31390" s="42" customFormat="1" x14ac:dyDescent="0.25"/>
    <row r="31391" s="42" customFormat="1" x14ac:dyDescent="0.25"/>
    <row r="31392" s="42" customFormat="1" x14ac:dyDescent="0.25"/>
    <row r="31393" s="42" customFormat="1" x14ac:dyDescent="0.25"/>
    <row r="31394" s="42" customFormat="1" x14ac:dyDescent="0.25"/>
    <row r="31395" s="42" customFormat="1" x14ac:dyDescent="0.25"/>
    <row r="31396" s="42" customFormat="1" x14ac:dyDescent="0.25"/>
    <row r="31397" s="42" customFormat="1" x14ac:dyDescent="0.25"/>
    <row r="31398" s="42" customFormat="1" x14ac:dyDescent="0.25"/>
    <row r="31399" s="42" customFormat="1" x14ac:dyDescent="0.25"/>
    <row r="31400" s="42" customFormat="1" x14ac:dyDescent="0.25"/>
    <row r="31401" s="42" customFormat="1" x14ac:dyDescent="0.25"/>
    <row r="31402" s="42" customFormat="1" x14ac:dyDescent="0.25"/>
    <row r="31403" s="42" customFormat="1" x14ac:dyDescent="0.25"/>
    <row r="31404" s="42" customFormat="1" x14ac:dyDescent="0.25"/>
    <row r="31405" s="42" customFormat="1" x14ac:dyDescent="0.25"/>
    <row r="31406" s="42" customFormat="1" x14ac:dyDescent="0.25"/>
    <row r="31407" s="42" customFormat="1" x14ac:dyDescent="0.25"/>
    <row r="31408" s="42" customFormat="1" x14ac:dyDescent="0.25"/>
    <row r="31409" s="42" customFormat="1" x14ac:dyDescent="0.25"/>
    <row r="31410" s="42" customFormat="1" x14ac:dyDescent="0.25"/>
    <row r="31411" s="42" customFormat="1" x14ac:dyDescent="0.25"/>
    <row r="31412" s="42" customFormat="1" x14ac:dyDescent="0.25"/>
    <row r="31413" s="42" customFormat="1" x14ac:dyDescent="0.25"/>
    <row r="31414" s="42" customFormat="1" x14ac:dyDescent="0.25"/>
    <row r="31415" s="42" customFormat="1" x14ac:dyDescent="0.25"/>
    <row r="31416" s="42" customFormat="1" x14ac:dyDescent="0.25"/>
    <row r="31417" s="42" customFormat="1" x14ac:dyDescent="0.25"/>
    <row r="31418" s="42" customFormat="1" x14ac:dyDescent="0.25"/>
    <row r="31419" s="42" customFormat="1" x14ac:dyDescent="0.25"/>
    <row r="31420" s="42" customFormat="1" x14ac:dyDescent="0.25"/>
    <row r="31421" s="42" customFormat="1" x14ac:dyDescent="0.25"/>
    <row r="31422" s="42" customFormat="1" x14ac:dyDescent="0.25"/>
    <row r="31423" s="42" customFormat="1" x14ac:dyDescent="0.25"/>
    <row r="31424" s="42" customFormat="1" x14ac:dyDescent="0.25"/>
    <row r="31425" s="42" customFormat="1" x14ac:dyDescent="0.25"/>
    <row r="31426" s="42" customFormat="1" x14ac:dyDescent="0.25"/>
    <row r="31427" s="42" customFormat="1" x14ac:dyDescent="0.25"/>
    <row r="31428" s="42" customFormat="1" x14ac:dyDescent="0.25"/>
    <row r="31429" s="42" customFormat="1" x14ac:dyDescent="0.25"/>
    <row r="31430" s="42" customFormat="1" x14ac:dyDescent="0.25"/>
    <row r="31431" s="42" customFormat="1" x14ac:dyDescent="0.25"/>
    <row r="31432" s="42" customFormat="1" x14ac:dyDescent="0.25"/>
    <row r="31433" s="42" customFormat="1" x14ac:dyDescent="0.25"/>
    <row r="31434" s="42" customFormat="1" x14ac:dyDescent="0.25"/>
    <row r="31435" s="42" customFormat="1" x14ac:dyDescent="0.25"/>
    <row r="31436" s="42" customFormat="1" x14ac:dyDescent="0.25"/>
    <row r="31437" s="42" customFormat="1" x14ac:dyDescent="0.25"/>
    <row r="31438" s="42" customFormat="1" x14ac:dyDescent="0.25"/>
    <row r="31439" s="42" customFormat="1" x14ac:dyDescent="0.25"/>
    <row r="31440" s="42" customFormat="1" x14ac:dyDescent="0.25"/>
    <row r="31441" s="42" customFormat="1" x14ac:dyDescent="0.25"/>
    <row r="31442" s="42" customFormat="1" x14ac:dyDescent="0.25"/>
    <row r="31443" s="42" customFormat="1" x14ac:dyDescent="0.25"/>
    <row r="31444" s="42" customFormat="1" x14ac:dyDescent="0.25"/>
    <row r="31445" s="42" customFormat="1" x14ac:dyDescent="0.25"/>
    <row r="31446" s="42" customFormat="1" x14ac:dyDescent="0.25"/>
    <row r="31447" s="42" customFormat="1" x14ac:dyDescent="0.25"/>
    <row r="31448" s="42" customFormat="1" x14ac:dyDescent="0.25"/>
    <row r="31449" s="42" customFormat="1" x14ac:dyDescent="0.25"/>
    <row r="31450" s="42" customFormat="1" x14ac:dyDescent="0.25"/>
    <row r="31451" s="42" customFormat="1" x14ac:dyDescent="0.25"/>
    <row r="31452" s="42" customFormat="1" x14ac:dyDescent="0.25"/>
    <row r="31453" s="42" customFormat="1" x14ac:dyDescent="0.25"/>
    <row r="31454" s="42" customFormat="1" x14ac:dyDescent="0.25"/>
    <row r="31455" s="42" customFormat="1" x14ac:dyDescent="0.25"/>
    <row r="31456" s="42" customFormat="1" x14ac:dyDescent="0.25"/>
    <row r="31457" s="42" customFormat="1" x14ac:dyDescent="0.25"/>
    <row r="31458" s="42" customFormat="1" x14ac:dyDescent="0.25"/>
    <row r="31459" s="42" customFormat="1" x14ac:dyDescent="0.25"/>
    <row r="31460" s="42" customFormat="1" x14ac:dyDescent="0.25"/>
    <row r="31461" s="42" customFormat="1" x14ac:dyDescent="0.25"/>
    <row r="31462" s="42" customFormat="1" x14ac:dyDescent="0.25"/>
    <row r="31463" s="42" customFormat="1" x14ac:dyDescent="0.25"/>
    <row r="31464" s="42" customFormat="1" x14ac:dyDescent="0.25"/>
    <row r="31465" s="42" customFormat="1" x14ac:dyDescent="0.25"/>
    <row r="31466" s="42" customFormat="1" x14ac:dyDescent="0.25"/>
    <row r="31467" s="42" customFormat="1" x14ac:dyDescent="0.25"/>
    <row r="31468" s="42" customFormat="1" x14ac:dyDescent="0.25"/>
    <row r="31469" s="42" customFormat="1" x14ac:dyDescent="0.25"/>
    <row r="31470" s="42" customFormat="1" x14ac:dyDescent="0.25"/>
    <row r="31471" s="42" customFormat="1" x14ac:dyDescent="0.25"/>
    <row r="31472" s="42" customFormat="1" x14ac:dyDescent="0.25"/>
    <row r="31473" s="42" customFormat="1" x14ac:dyDescent="0.25"/>
    <row r="31474" s="42" customFormat="1" x14ac:dyDescent="0.25"/>
    <row r="31475" s="42" customFormat="1" x14ac:dyDescent="0.25"/>
    <row r="31476" s="42" customFormat="1" x14ac:dyDescent="0.25"/>
    <row r="31477" s="42" customFormat="1" x14ac:dyDescent="0.25"/>
    <row r="31478" s="42" customFormat="1" x14ac:dyDescent="0.25"/>
    <row r="31479" s="42" customFormat="1" x14ac:dyDescent="0.25"/>
    <row r="31480" s="42" customFormat="1" x14ac:dyDescent="0.25"/>
    <row r="31481" s="42" customFormat="1" x14ac:dyDescent="0.25"/>
    <row r="31482" s="42" customFormat="1" x14ac:dyDescent="0.25"/>
    <row r="31483" s="42" customFormat="1" x14ac:dyDescent="0.25"/>
    <row r="31484" s="42" customFormat="1" x14ac:dyDescent="0.25"/>
    <row r="31485" s="42" customFormat="1" x14ac:dyDescent="0.25"/>
    <row r="31486" s="42" customFormat="1" x14ac:dyDescent="0.25"/>
    <row r="31487" s="42" customFormat="1" x14ac:dyDescent="0.25"/>
    <row r="31488" s="42" customFormat="1" x14ac:dyDescent="0.25"/>
    <row r="31489" s="42" customFormat="1" x14ac:dyDescent="0.25"/>
    <row r="31490" s="42" customFormat="1" x14ac:dyDescent="0.25"/>
    <row r="31491" s="42" customFormat="1" x14ac:dyDescent="0.25"/>
    <row r="31492" s="42" customFormat="1" x14ac:dyDescent="0.25"/>
    <row r="31493" s="42" customFormat="1" x14ac:dyDescent="0.25"/>
    <row r="31494" s="42" customFormat="1" x14ac:dyDescent="0.25"/>
    <row r="31495" s="42" customFormat="1" x14ac:dyDescent="0.25"/>
    <row r="31496" s="42" customFormat="1" x14ac:dyDescent="0.25"/>
    <row r="31497" s="42" customFormat="1" x14ac:dyDescent="0.25"/>
    <row r="31498" s="42" customFormat="1" x14ac:dyDescent="0.25"/>
    <row r="31499" s="42" customFormat="1" x14ac:dyDescent="0.25"/>
    <row r="31500" s="42" customFormat="1" x14ac:dyDescent="0.25"/>
    <row r="31501" s="42" customFormat="1" x14ac:dyDescent="0.25"/>
    <row r="31502" s="42" customFormat="1" x14ac:dyDescent="0.25"/>
    <row r="31503" s="42" customFormat="1" x14ac:dyDescent="0.25"/>
    <row r="31504" s="42" customFormat="1" x14ac:dyDescent="0.25"/>
    <row r="31505" s="42" customFormat="1" x14ac:dyDescent="0.25"/>
    <row r="31506" s="42" customFormat="1" x14ac:dyDescent="0.25"/>
    <row r="31507" s="42" customFormat="1" x14ac:dyDescent="0.25"/>
    <row r="31508" s="42" customFormat="1" x14ac:dyDescent="0.25"/>
    <row r="31509" s="42" customFormat="1" x14ac:dyDescent="0.25"/>
    <row r="31510" s="42" customFormat="1" x14ac:dyDescent="0.25"/>
    <row r="31511" s="42" customFormat="1" x14ac:dyDescent="0.25"/>
    <row r="31512" s="42" customFormat="1" x14ac:dyDescent="0.25"/>
    <row r="31513" s="42" customFormat="1" x14ac:dyDescent="0.25"/>
    <row r="31514" s="42" customFormat="1" x14ac:dyDescent="0.25"/>
    <row r="31515" s="42" customFormat="1" x14ac:dyDescent="0.25"/>
    <row r="31516" s="42" customFormat="1" x14ac:dyDescent="0.25"/>
    <row r="31517" s="42" customFormat="1" x14ac:dyDescent="0.25"/>
    <row r="31518" s="42" customFormat="1" x14ac:dyDescent="0.25"/>
    <row r="31519" s="42" customFormat="1" x14ac:dyDescent="0.25"/>
    <row r="31520" s="42" customFormat="1" x14ac:dyDescent="0.25"/>
    <row r="31521" s="42" customFormat="1" x14ac:dyDescent="0.25"/>
    <row r="31522" s="42" customFormat="1" x14ac:dyDescent="0.25"/>
    <row r="31523" s="42" customFormat="1" x14ac:dyDescent="0.25"/>
    <row r="31524" s="42" customFormat="1" x14ac:dyDescent="0.25"/>
    <row r="31525" s="42" customFormat="1" x14ac:dyDescent="0.25"/>
    <row r="31526" s="42" customFormat="1" x14ac:dyDescent="0.25"/>
    <row r="31527" s="42" customFormat="1" x14ac:dyDescent="0.25"/>
    <row r="31528" s="42" customFormat="1" x14ac:dyDescent="0.25"/>
    <row r="31529" s="42" customFormat="1" x14ac:dyDescent="0.25"/>
    <row r="31530" s="42" customFormat="1" x14ac:dyDescent="0.25"/>
    <row r="31531" s="42" customFormat="1" x14ac:dyDescent="0.25"/>
    <row r="31532" s="42" customFormat="1" x14ac:dyDescent="0.25"/>
    <row r="31533" s="42" customFormat="1" x14ac:dyDescent="0.25"/>
    <row r="31534" s="42" customFormat="1" x14ac:dyDescent="0.25"/>
    <row r="31535" s="42" customFormat="1" x14ac:dyDescent="0.25"/>
    <row r="31536" s="42" customFormat="1" x14ac:dyDescent="0.25"/>
    <row r="31537" s="42" customFormat="1" x14ac:dyDescent="0.25"/>
    <row r="31538" s="42" customFormat="1" x14ac:dyDescent="0.25"/>
    <row r="31539" s="42" customFormat="1" x14ac:dyDescent="0.25"/>
    <row r="31540" s="42" customFormat="1" x14ac:dyDescent="0.25"/>
    <row r="31541" s="42" customFormat="1" x14ac:dyDescent="0.25"/>
    <row r="31542" s="42" customFormat="1" x14ac:dyDescent="0.25"/>
    <row r="31543" s="42" customFormat="1" x14ac:dyDescent="0.25"/>
    <row r="31544" s="42" customFormat="1" x14ac:dyDescent="0.25"/>
    <row r="31545" s="42" customFormat="1" x14ac:dyDescent="0.25"/>
    <row r="31546" s="42" customFormat="1" x14ac:dyDescent="0.25"/>
    <row r="31547" s="42" customFormat="1" x14ac:dyDescent="0.25"/>
    <row r="31548" s="42" customFormat="1" x14ac:dyDescent="0.25"/>
    <row r="31549" s="42" customFormat="1" x14ac:dyDescent="0.25"/>
    <row r="31550" s="42" customFormat="1" x14ac:dyDescent="0.25"/>
    <row r="31551" s="42" customFormat="1" x14ac:dyDescent="0.25"/>
    <row r="31552" s="42" customFormat="1" x14ac:dyDescent="0.25"/>
    <row r="31553" s="42" customFormat="1" x14ac:dyDescent="0.25"/>
    <row r="31554" s="42" customFormat="1" x14ac:dyDescent="0.25"/>
    <row r="31555" s="42" customFormat="1" x14ac:dyDescent="0.25"/>
    <row r="31556" s="42" customFormat="1" x14ac:dyDescent="0.25"/>
    <row r="31557" s="42" customFormat="1" x14ac:dyDescent="0.25"/>
    <row r="31558" s="42" customFormat="1" x14ac:dyDescent="0.25"/>
    <row r="31559" s="42" customFormat="1" x14ac:dyDescent="0.25"/>
    <row r="31560" s="42" customFormat="1" x14ac:dyDescent="0.25"/>
    <row r="31561" s="42" customFormat="1" x14ac:dyDescent="0.25"/>
    <row r="31562" s="42" customFormat="1" x14ac:dyDescent="0.25"/>
    <row r="31563" s="42" customFormat="1" x14ac:dyDescent="0.25"/>
    <row r="31564" s="42" customFormat="1" x14ac:dyDescent="0.25"/>
    <row r="31565" s="42" customFormat="1" x14ac:dyDescent="0.25"/>
    <row r="31566" s="42" customFormat="1" x14ac:dyDescent="0.25"/>
    <row r="31567" s="42" customFormat="1" x14ac:dyDescent="0.25"/>
    <row r="31568" s="42" customFormat="1" x14ac:dyDescent="0.25"/>
    <row r="31569" s="42" customFormat="1" x14ac:dyDescent="0.25"/>
    <row r="31570" s="42" customFormat="1" x14ac:dyDescent="0.25"/>
    <row r="31571" s="42" customFormat="1" x14ac:dyDescent="0.25"/>
    <row r="31572" s="42" customFormat="1" x14ac:dyDescent="0.25"/>
    <row r="31573" s="42" customFormat="1" x14ac:dyDescent="0.25"/>
    <row r="31574" s="42" customFormat="1" x14ac:dyDescent="0.25"/>
    <row r="31575" s="42" customFormat="1" x14ac:dyDescent="0.25"/>
    <row r="31576" s="42" customFormat="1" x14ac:dyDescent="0.25"/>
    <row r="31577" s="42" customFormat="1" x14ac:dyDescent="0.25"/>
    <row r="31578" s="42" customFormat="1" x14ac:dyDescent="0.25"/>
    <row r="31579" s="42" customFormat="1" x14ac:dyDescent="0.25"/>
    <row r="31580" s="42" customFormat="1" x14ac:dyDescent="0.25"/>
    <row r="31581" s="42" customFormat="1" x14ac:dyDescent="0.25"/>
    <row r="31582" s="42" customFormat="1" x14ac:dyDescent="0.25"/>
    <row r="31583" s="42" customFormat="1" x14ac:dyDescent="0.25"/>
    <row r="31584" s="42" customFormat="1" x14ac:dyDescent="0.25"/>
    <row r="31585" s="42" customFormat="1" x14ac:dyDescent="0.25"/>
    <row r="31586" s="42" customFormat="1" x14ac:dyDescent="0.25"/>
    <row r="31587" s="42" customFormat="1" x14ac:dyDescent="0.25"/>
    <row r="31588" s="42" customFormat="1" x14ac:dyDescent="0.25"/>
    <row r="31589" s="42" customFormat="1" x14ac:dyDescent="0.25"/>
    <row r="31590" s="42" customFormat="1" x14ac:dyDescent="0.25"/>
    <row r="31591" s="42" customFormat="1" x14ac:dyDescent="0.25"/>
    <row r="31592" s="42" customFormat="1" x14ac:dyDescent="0.25"/>
    <row r="31593" s="42" customFormat="1" x14ac:dyDescent="0.25"/>
    <row r="31594" s="42" customFormat="1" x14ac:dyDescent="0.25"/>
    <row r="31595" s="42" customFormat="1" x14ac:dyDescent="0.25"/>
    <row r="31596" s="42" customFormat="1" x14ac:dyDescent="0.25"/>
    <row r="31597" s="42" customFormat="1" x14ac:dyDescent="0.25"/>
    <row r="31598" s="42" customFormat="1" x14ac:dyDescent="0.25"/>
    <row r="31599" s="42" customFormat="1" x14ac:dyDescent="0.25"/>
    <row r="31600" s="42" customFormat="1" x14ac:dyDescent="0.25"/>
    <row r="31601" s="42" customFormat="1" x14ac:dyDescent="0.25"/>
    <row r="31602" s="42" customFormat="1" x14ac:dyDescent="0.25"/>
    <row r="31603" s="42" customFormat="1" x14ac:dyDescent="0.25"/>
    <row r="31604" s="42" customFormat="1" x14ac:dyDescent="0.25"/>
    <row r="31605" s="42" customFormat="1" x14ac:dyDescent="0.25"/>
    <row r="31606" s="42" customFormat="1" x14ac:dyDescent="0.25"/>
    <row r="31607" s="42" customFormat="1" x14ac:dyDescent="0.25"/>
    <row r="31608" s="42" customFormat="1" x14ac:dyDescent="0.25"/>
    <row r="31609" s="42" customFormat="1" x14ac:dyDescent="0.25"/>
    <row r="31610" s="42" customFormat="1" x14ac:dyDescent="0.25"/>
    <row r="31611" s="42" customFormat="1" x14ac:dyDescent="0.25"/>
    <row r="31612" s="42" customFormat="1" x14ac:dyDescent="0.25"/>
    <row r="31613" s="42" customFormat="1" x14ac:dyDescent="0.25"/>
    <row r="31614" s="42" customFormat="1" x14ac:dyDescent="0.25"/>
    <row r="31615" s="42" customFormat="1" x14ac:dyDescent="0.25"/>
    <row r="31616" s="42" customFormat="1" x14ac:dyDescent="0.25"/>
    <row r="31617" s="42" customFormat="1" x14ac:dyDescent="0.25"/>
    <row r="31618" s="42" customFormat="1" x14ac:dyDescent="0.25"/>
    <row r="31619" s="42" customFormat="1" x14ac:dyDescent="0.25"/>
    <row r="31620" s="42" customFormat="1" x14ac:dyDescent="0.25"/>
    <row r="31621" s="42" customFormat="1" x14ac:dyDescent="0.25"/>
    <row r="31622" s="42" customFormat="1" x14ac:dyDescent="0.25"/>
    <row r="31623" s="42" customFormat="1" x14ac:dyDescent="0.25"/>
    <row r="31624" s="42" customFormat="1" x14ac:dyDescent="0.25"/>
    <row r="31625" s="42" customFormat="1" x14ac:dyDescent="0.25"/>
    <row r="31626" s="42" customFormat="1" x14ac:dyDescent="0.25"/>
    <row r="31627" s="42" customFormat="1" x14ac:dyDescent="0.25"/>
    <row r="31628" s="42" customFormat="1" x14ac:dyDescent="0.25"/>
    <row r="31629" s="42" customFormat="1" x14ac:dyDescent="0.25"/>
    <row r="31630" s="42" customFormat="1" x14ac:dyDescent="0.25"/>
    <row r="31631" s="42" customFormat="1" x14ac:dyDescent="0.25"/>
    <row r="31632" s="42" customFormat="1" x14ac:dyDescent="0.25"/>
    <row r="31633" s="42" customFormat="1" x14ac:dyDescent="0.25"/>
    <row r="31634" s="42" customFormat="1" x14ac:dyDescent="0.25"/>
    <row r="31635" s="42" customFormat="1" x14ac:dyDescent="0.25"/>
    <row r="31636" s="42" customFormat="1" x14ac:dyDescent="0.25"/>
    <row r="31637" s="42" customFormat="1" x14ac:dyDescent="0.25"/>
    <row r="31638" s="42" customFormat="1" x14ac:dyDescent="0.25"/>
    <row r="31639" s="42" customFormat="1" x14ac:dyDescent="0.25"/>
    <row r="31640" s="42" customFormat="1" x14ac:dyDescent="0.25"/>
    <row r="31641" s="42" customFormat="1" x14ac:dyDescent="0.25"/>
    <row r="31642" s="42" customFormat="1" x14ac:dyDescent="0.25"/>
    <row r="31643" s="42" customFormat="1" x14ac:dyDescent="0.25"/>
    <row r="31644" s="42" customFormat="1" x14ac:dyDescent="0.25"/>
    <row r="31645" s="42" customFormat="1" x14ac:dyDescent="0.25"/>
    <row r="31646" s="42" customFormat="1" x14ac:dyDescent="0.25"/>
    <row r="31647" s="42" customFormat="1" x14ac:dyDescent="0.25"/>
    <row r="31648" s="42" customFormat="1" x14ac:dyDescent="0.25"/>
    <row r="31649" s="42" customFormat="1" x14ac:dyDescent="0.25"/>
    <row r="31650" s="42" customFormat="1" x14ac:dyDescent="0.25"/>
    <row r="31651" s="42" customFormat="1" x14ac:dyDescent="0.25"/>
    <row r="31652" s="42" customFormat="1" x14ac:dyDescent="0.25"/>
    <row r="31653" s="42" customFormat="1" x14ac:dyDescent="0.25"/>
    <row r="31654" s="42" customFormat="1" x14ac:dyDescent="0.25"/>
    <row r="31655" s="42" customFormat="1" x14ac:dyDescent="0.25"/>
    <row r="31656" s="42" customFormat="1" x14ac:dyDescent="0.25"/>
    <row r="31657" s="42" customFormat="1" x14ac:dyDescent="0.25"/>
    <row r="31658" s="42" customFormat="1" x14ac:dyDescent="0.25"/>
    <row r="31659" s="42" customFormat="1" x14ac:dyDescent="0.25"/>
    <row r="31660" s="42" customFormat="1" x14ac:dyDescent="0.25"/>
    <row r="31661" s="42" customFormat="1" x14ac:dyDescent="0.25"/>
    <row r="31662" s="42" customFormat="1" x14ac:dyDescent="0.25"/>
    <row r="31663" s="42" customFormat="1" x14ac:dyDescent="0.25"/>
    <row r="31664" s="42" customFormat="1" x14ac:dyDescent="0.25"/>
    <row r="31665" s="42" customFormat="1" x14ac:dyDescent="0.25"/>
    <row r="31666" s="42" customFormat="1" x14ac:dyDescent="0.25"/>
    <row r="31667" s="42" customFormat="1" x14ac:dyDescent="0.25"/>
    <row r="31668" s="42" customFormat="1" x14ac:dyDescent="0.25"/>
    <row r="31669" s="42" customFormat="1" x14ac:dyDescent="0.25"/>
    <row r="31670" s="42" customFormat="1" x14ac:dyDescent="0.25"/>
    <row r="31671" s="42" customFormat="1" x14ac:dyDescent="0.25"/>
    <row r="31672" s="42" customFormat="1" x14ac:dyDescent="0.25"/>
    <row r="31673" s="42" customFormat="1" x14ac:dyDescent="0.25"/>
    <row r="31674" s="42" customFormat="1" x14ac:dyDescent="0.25"/>
    <row r="31675" s="42" customFormat="1" x14ac:dyDescent="0.25"/>
    <row r="31676" s="42" customFormat="1" x14ac:dyDescent="0.25"/>
    <row r="31677" s="42" customFormat="1" x14ac:dyDescent="0.25"/>
    <row r="31678" s="42" customFormat="1" x14ac:dyDescent="0.25"/>
    <row r="31679" s="42" customFormat="1" x14ac:dyDescent="0.25"/>
    <row r="31680" s="42" customFormat="1" x14ac:dyDescent="0.25"/>
    <row r="31681" s="42" customFormat="1" x14ac:dyDescent="0.25"/>
    <row r="31682" s="42" customFormat="1" x14ac:dyDescent="0.25"/>
    <row r="31683" s="42" customFormat="1" x14ac:dyDescent="0.25"/>
    <row r="31684" s="42" customFormat="1" x14ac:dyDescent="0.25"/>
    <row r="31685" s="42" customFormat="1" x14ac:dyDescent="0.25"/>
    <row r="31686" s="42" customFormat="1" x14ac:dyDescent="0.25"/>
    <row r="31687" s="42" customFormat="1" x14ac:dyDescent="0.25"/>
    <row r="31688" s="42" customFormat="1" x14ac:dyDescent="0.25"/>
    <row r="31689" s="42" customFormat="1" x14ac:dyDescent="0.25"/>
    <row r="31690" s="42" customFormat="1" x14ac:dyDescent="0.25"/>
    <row r="31691" s="42" customFormat="1" x14ac:dyDescent="0.25"/>
    <row r="31692" s="42" customFormat="1" x14ac:dyDescent="0.25"/>
    <row r="31693" s="42" customFormat="1" x14ac:dyDescent="0.25"/>
    <row r="31694" s="42" customFormat="1" x14ac:dyDescent="0.25"/>
    <row r="31695" s="42" customFormat="1" x14ac:dyDescent="0.25"/>
    <row r="31696" s="42" customFormat="1" x14ac:dyDescent="0.25"/>
    <row r="31697" s="42" customFormat="1" x14ac:dyDescent="0.25"/>
    <row r="31698" s="42" customFormat="1" x14ac:dyDescent="0.25"/>
    <row r="31699" s="42" customFormat="1" x14ac:dyDescent="0.25"/>
    <row r="31700" s="42" customFormat="1" x14ac:dyDescent="0.25"/>
    <row r="31701" s="42" customFormat="1" x14ac:dyDescent="0.25"/>
    <row r="31702" s="42" customFormat="1" x14ac:dyDescent="0.25"/>
    <row r="31703" s="42" customFormat="1" x14ac:dyDescent="0.25"/>
    <row r="31704" s="42" customFormat="1" x14ac:dyDescent="0.25"/>
    <row r="31705" s="42" customFormat="1" x14ac:dyDescent="0.25"/>
    <row r="31706" s="42" customFormat="1" x14ac:dyDescent="0.25"/>
    <row r="31707" s="42" customFormat="1" x14ac:dyDescent="0.25"/>
    <row r="31708" s="42" customFormat="1" x14ac:dyDescent="0.25"/>
    <row r="31709" s="42" customFormat="1" x14ac:dyDescent="0.25"/>
    <row r="31710" s="42" customFormat="1" x14ac:dyDescent="0.25"/>
    <row r="31711" s="42" customFormat="1" x14ac:dyDescent="0.25"/>
    <row r="31712" s="42" customFormat="1" x14ac:dyDescent="0.25"/>
    <row r="31713" s="42" customFormat="1" x14ac:dyDescent="0.25"/>
    <row r="31714" s="42" customFormat="1" x14ac:dyDescent="0.25"/>
    <row r="31715" s="42" customFormat="1" x14ac:dyDescent="0.25"/>
    <row r="31716" s="42" customFormat="1" x14ac:dyDescent="0.25"/>
    <row r="31717" s="42" customFormat="1" x14ac:dyDescent="0.25"/>
    <row r="31718" s="42" customFormat="1" x14ac:dyDescent="0.25"/>
    <row r="31719" s="42" customFormat="1" x14ac:dyDescent="0.25"/>
    <row r="31720" s="42" customFormat="1" x14ac:dyDescent="0.25"/>
    <row r="31721" s="42" customFormat="1" x14ac:dyDescent="0.25"/>
    <row r="31722" s="42" customFormat="1" x14ac:dyDescent="0.25"/>
    <row r="31723" s="42" customFormat="1" x14ac:dyDescent="0.25"/>
    <row r="31724" s="42" customFormat="1" x14ac:dyDescent="0.25"/>
    <row r="31725" s="42" customFormat="1" x14ac:dyDescent="0.25"/>
    <row r="31726" s="42" customFormat="1" x14ac:dyDescent="0.25"/>
    <row r="31727" s="42" customFormat="1" x14ac:dyDescent="0.25"/>
    <row r="31728" s="42" customFormat="1" x14ac:dyDescent="0.25"/>
    <row r="31729" s="42" customFormat="1" x14ac:dyDescent="0.25"/>
    <row r="31730" s="42" customFormat="1" x14ac:dyDescent="0.25"/>
    <row r="31731" s="42" customFormat="1" x14ac:dyDescent="0.25"/>
    <row r="31732" s="42" customFormat="1" x14ac:dyDescent="0.25"/>
    <row r="31733" s="42" customFormat="1" x14ac:dyDescent="0.25"/>
    <row r="31734" s="42" customFormat="1" x14ac:dyDescent="0.25"/>
    <row r="31735" s="42" customFormat="1" x14ac:dyDescent="0.25"/>
    <row r="31736" s="42" customFormat="1" x14ac:dyDescent="0.25"/>
    <row r="31737" s="42" customFormat="1" x14ac:dyDescent="0.25"/>
    <row r="31738" s="42" customFormat="1" x14ac:dyDescent="0.25"/>
    <row r="31739" s="42" customFormat="1" x14ac:dyDescent="0.25"/>
    <row r="31740" s="42" customFormat="1" x14ac:dyDescent="0.25"/>
    <row r="31741" s="42" customFormat="1" x14ac:dyDescent="0.25"/>
    <row r="31742" s="42" customFormat="1" x14ac:dyDescent="0.25"/>
    <row r="31743" s="42" customFormat="1" x14ac:dyDescent="0.25"/>
    <row r="31744" s="42" customFormat="1" x14ac:dyDescent="0.25"/>
    <row r="31745" s="42" customFormat="1" x14ac:dyDescent="0.25"/>
    <row r="31746" s="42" customFormat="1" x14ac:dyDescent="0.25"/>
    <row r="31747" s="42" customFormat="1" x14ac:dyDescent="0.25"/>
    <row r="31748" s="42" customFormat="1" x14ac:dyDescent="0.25"/>
    <row r="31749" s="42" customFormat="1" x14ac:dyDescent="0.25"/>
    <row r="31750" s="42" customFormat="1" x14ac:dyDescent="0.25"/>
    <row r="31751" s="42" customFormat="1" x14ac:dyDescent="0.25"/>
    <row r="31752" s="42" customFormat="1" x14ac:dyDescent="0.25"/>
    <row r="31753" s="42" customFormat="1" x14ac:dyDescent="0.25"/>
    <row r="31754" s="42" customFormat="1" x14ac:dyDescent="0.25"/>
    <row r="31755" s="42" customFormat="1" x14ac:dyDescent="0.25"/>
    <row r="31756" s="42" customFormat="1" x14ac:dyDescent="0.25"/>
    <row r="31757" s="42" customFormat="1" x14ac:dyDescent="0.25"/>
    <row r="31758" s="42" customFormat="1" x14ac:dyDescent="0.25"/>
    <row r="31759" s="42" customFormat="1" x14ac:dyDescent="0.25"/>
    <row r="31760" s="42" customFormat="1" x14ac:dyDescent="0.25"/>
    <row r="31761" s="42" customFormat="1" x14ac:dyDescent="0.25"/>
    <row r="31762" s="42" customFormat="1" x14ac:dyDescent="0.25"/>
    <row r="31763" s="42" customFormat="1" x14ac:dyDescent="0.25"/>
    <row r="31764" s="42" customFormat="1" x14ac:dyDescent="0.25"/>
    <row r="31765" s="42" customFormat="1" x14ac:dyDescent="0.25"/>
    <row r="31766" s="42" customFormat="1" x14ac:dyDescent="0.25"/>
    <row r="31767" s="42" customFormat="1" x14ac:dyDescent="0.25"/>
    <row r="31768" s="42" customFormat="1" x14ac:dyDescent="0.25"/>
    <row r="31769" s="42" customFormat="1" x14ac:dyDescent="0.25"/>
    <row r="31770" s="42" customFormat="1" x14ac:dyDescent="0.25"/>
    <row r="31771" s="42" customFormat="1" x14ac:dyDescent="0.25"/>
    <row r="31772" s="42" customFormat="1" x14ac:dyDescent="0.25"/>
    <row r="31773" s="42" customFormat="1" x14ac:dyDescent="0.25"/>
    <row r="31774" s="42" customFormat="1" x14ac:dyDescent="0.25"/>
    <row r="31775" s="42" customFormat="1" x14ac:dyDescent="0.25"/>
    <row r="31776" s="42" customFormat="1" x14ac:dyDescent="0.25"/>
    <row r="31777" s="42" customFormat="1" x14ac:dyDescent="0.25"/>
    <row r="31778" s="42" customFormat="1" x14ac:dyDescent="0.25"/>
    <row r="31779" s="42" customFormat="1" x14ac:dyDescent="0.25"/>
    <row r="31780" s="42" customFormat="1" x14ac:dyDescent="0.25"/>
    <row r="31781" s="42" customFormat="1" x14ac:dyDescent="0.25"/>
    <row r="31782" s="42" customFormat="1" x14ac:dyDescent="0.25"/>
    <row r="31783" s="42" customFormat="1" x14ac:dyDescent="0.25"/>
    <row r="31784" s="42" customFormat="1" x14ac:dyDescent="0.25"/>
    <row r="31785" s="42" customFormat="1" x14ac:dyDescent="0.25"/>
    <row r="31786" s="42" customFormat="1" x14ac:dyDescent="0.25"/>
    <row r="31787" s="42" customFormat="1" x14ac:dyDescent="0.25"/>
    <row r="31788" s="42" customFormat="1" x14ac:dyDescent="0.25"/>
    <row r="31789" s="42" customFormat="1" x14ac:dyDescent="0.25"/>
    <row r="31790" s="42" customFormat="1" x14ac:dyDescent="0.25"/>
    <row r="31791" s="42" customFormat="1" x14ac:dyDescent="0.25"/>
    <row r="31792" s="42" customFormat="1" x14ac:dyDescent="0.25"/>
    <row r="31793" s="42" customFormat="1" x14ac:dyDescent="0.25"/>
    <row r="31794" s="42" customFormat="1" x14ac:dyDescent="0.25"/>
    <row r="31795" s="42" customFormat="1" x14ac:dyDescent="0.25"/>
    <row r="31796" s="42" customFormat="1" x14ac:dyDescent="0.25"/>
    <row r="31797" s="42" customFormat="1" x14ac:dyDescent="0.25"/>
    <row r="31798" s="42" customFormat="1" x14ac:dyDescent="0.25"/>
    <row r="31799" s="42" customFormat="1" x14ac:dyDescent="0.25"/>
    <row r="31800" s="42" customFormat="1" x14ac:dyDescent="0.25"/>
    <row r="31801" s="42" customFormat="1" x14ac:dyDescent="0.25"/>
    <row r="31802" s="42" customFormat="1" x14ac:dyDescent="0.25"/>
    <row r="31803" s="42" customFormat="1" x14ac:dyDescent="0.25"/>
    <row r="31804" s="42" customFormat="1" x14ac:dyDescent="0.25"/>
    <row r="31805" s="42" customFormat="1" x14ac:dyDescent="0.25"/>
    <row r="31806" s="42" customFormat="1" x14ac:dyDescent="0.25"/>
    <row r="31807" s="42" customFormat="1" x14ac:dyDescent="0.25"/>
    <row r="31808" s="42" customFormat="1" x14ac:dyDescent="0.25"/>
    <row r="31809" s="42" customFormat="1" x14ac:dyDescent="0.25"/>
    <row r="31810" s="42" customFormat="1" x14ac:dyDescent="0.25"/>
    <row r="31811" s="42" customFormat="1" x14ac:dyDescent="0.25"/>
    <row r="31812" s="42" customFormat="1" x14ac:dyDescent="0.25"/>
    <row r="31813" s="42" customFormat="1" x14ac:dyDescent="0.25"/>
    <row r="31814" s="42" customFormat="1" x14ac:dyDescent="0.25"/>
    <row r="31815" s="42" customFormat="1" x14ac:dyDescent="0.25"/>
    <row r="31816" s="42" customFormat="1" x14ac:dyDescent="0.25"/>
    <row r="31817" s="42" customFormat="1" x14ac:dyDescent="0.25"/>
    <row r="31818" s="42" customFormat="1" x14ac:dyDescent="0.25"/>
    <row r="31819" s="42" customFormat="1" x14ac:dyDescent="0.25"/>
    <row r="31820" s="42" customFormat="1" x14ac:dyDescent="0.25"/>
    <row r="31821" s="42" customFormat="1" x14ac:dyDescent="0.25"/>
    <row r="31822" s="42" customFormat="1" x14ac:dyDescent="0.25"/>
    <row r="31823" s="42" customFormat="1" x14ac:dyDescent="0.25"/>
    <row r="31824" s="42" customFormat="1" x14ac:dyDescent="0.25"/>
    <row r="31825" s="42" customFormat="1" x14ac:dyDescent="0.25"/>
    <row r="31826" s="42" customFormat="1" x14ac:dyDescent="0.25"/>
    <row r="31827" s="42" customFormat="1" x14ac:dyDescent="0.25"/>
    <row r="31828" s="42" customFormat="1" x14ac:dyDescent="0.25"/>
    <row r="31829" s="42" customFormat="1" x14ac:dyDescent="0.25"/>
    <row r="31830" s="42" customFormat="1" x14ac:dyDescent="0.25"/>
    <row r="31831" s="42" customFormat="1" x14ac:dyDescent="0.25"/>
    <row r="31832" s="42" customFormat="1" x14ac:dyDescent="0.25"/>
    <row r="31833" s="42" customFormat="1" x14ac:dyDescent="0.25"/>
    <row r="31834" s="42" customFormat="1" x14ac:dyDescent="0.25"/>
    <row r="31835" s="42" customFormat="1" x14ac:dyDescent="0.25"/>
    <row r="31836" s="42" customFormat="1" x14ac:dyDescent="0.25"/>
    <row r="31837" s="42" customFormat="1" x14ac:dyDescent="0.25"/>
    <row r="31838" s="42" customFormat="1" x14ac:dyDescent="0.25"/>
    <row r="31839" s="42" customFormat="1" x14ac:dyDescent="0.25"/>
    <row r="31840" s="42" customFormat="1" x14ac:dyDescent="0.25"/>
    <row r="31841" s="42" customFormat="1" x14ac:dyDescent="0.25"/>
    <row r="31842" s="42" customFormat="1" x14ac:dyDescent="0.25"/>
    <row r="31843" s="42" customFormat="1" x14ac:dyDescent="0.25"/>
    <row r="31844" s="42" customFormat="1" x14ac:dyDescent="0.25"/>
    <row r="31845" s="42" customFormat="1" x14ac:dyDescent="0.25"/>
    <row r="31846" s="42" customFormat="1" x14ac:dyDescent="0.25"/>
    <row r="31847" s="42" customFormat="1" x14ac:dyDescent="0.25"/>
    <row r="31848" s="42" customFormat="1" x14ac:dyDescent="0.25"/>
    <row r="31849" s="42" customFormat="1" x14ac:dyDescent="0.25"/>
    <row r="31850" s="42" customFormat="1" x14ac:dyDescent="0.25"/>
    <row r="31851" s="42" customFormat="1" x14ac:dyDescent="0.25"/>
    <row r="31852" s="42" customFormat="1" x14ac:dyDescent="0.25"/>
    <row r="31853" s="42" customFormat="1" x14ac:dyDescent="0.25"/>
    <row r="31854" s="42" customFormat="1" x14ac:dyDescent="0.25"/>
    <row r="31855" s="42" customFormat="1" x14ac:dyDescent="0.25"/>
    <row r="31856" s="42" customFormat="1" x14ac:dyDescent="0.25"/>
    <row r="31857" s="42" customFormat="1" x14ac:dyDescent="0.25"/>
    <row r="31858" s="42" customFormat="1" x14ac:dyDescent="0.25"/>
    <row r="31859" s="42" customFormat="1" x14ac:dyDescent="0.25"/>
    <row r="31860" s="42" customFormat="1" x14ac:dyDescent="0.25"/>
    <row r="31861" s="42" customFormat="1" x14ac:dyDescent="0.25"/>
    <row r="31862" s="42" customFormat="1" x14ac:dyDescent="0.25"/>
    <row r="31863" s="42" customFormat="1" x14ac:dyDescent="0.25"/>
    <row r="31864" s="42" customFormat="1" x14ac:dyDescent="0.25"/>
    <row r="31865" s="42" customFormat="1" x14ac:dyDescent="0.25"/>
    <row r="31866" s="42" customFormat="1" x14ac:dyDescent="0.25"/>
    <row r="31867" s="42" customFormat="1" x14ac:dyDescent="0.25"/>
    <row r="31868" s="42" customFormat="1" x14ac:dyDescent="0.25"/>
    <row r="31869" s="42" customFormat="1" x14ac:dyDescent="0.25"/>
    <row r="31870" s="42" customFormat="1" x14ac:dyDescent="0.25"/>
    <row r="31871" s="42" customFormat="1" x14ac:dyDescent="0.25"/>
    <row r="31872" s="42" customFormat="1" x14ac:dyDescent="0.25"/>
    <row r="31873" s="42" customFormat="1" x14ac:dyDescent="0.25"/>
    <row r="31874" s="42" customFormat="1" x14ac:dyDescent="0.25"/>
    <row r="31875" s="42" customFormat="1" x14ac:dyDescent="0.25"/>
    <row r="31876" s="42" customFormat="1" x14ac:dyDescent="0.25"/>
    <row r="31877" s="42" customFormat="1" x14ac:dyDescent="0.25"/>
    <row r="31878" s="42" customFormat="1" x14ac:dyDescent="0.25"/>
    <row r="31879" s="42" customFormat="1" x14ac:dyDescent="0.25"/>
    <row r="31880" s="42" customFormat="1" x14ac:dyDescent="0.25"/>
    <row r="31881" s="42" customFormat="1" x14ac:dyDescent="0.25"/>
    <row r="31882" s="42" customFormat="1" x14ac:dyDescent="0.25"/>
    <row r="31883" s="42" customFormat="1" x14ac:dyDescent="0.25"/>
    <row r="31884" s="42" customFormat="1" x14ac:dyDescent="0.25"/>
    <row r="31885" s="42" customFormat="1" x14ac:dyDescent="0.25"/>
    <row r="31886" s="42" customFormat="1" x14ac:dyDescent="0.25"/>
    <row r="31887" s="42" customFormat="1" x14ac:dyDescent="0.25"/>
    <row r="31888" s="42" customFormat="1" x14ac:dyDescent="0.25"/>
    <row r="31889" s="42" customFormat="1" x14ac:dyDescent="0.25"/>
    <row r="31890" s="42" customFormat="1" x14ac:dyDescent="0.25"/>
    <row r="31891" s="42" customFormat="1" x14ac:dyDescent="0.25"/>
    <row r="31892" s="42" customFormat="1" x14ac:dyDescent="0.25"/>
    <row r="31893" s="42" customFormat="1" x14ac:dyDescent="0.25"/>
    <row r="31894" s="42" customFormat="1" x14ac:dyDescent="0.25"/>
    <row r="31895" s="42" customFormat="1" x14ac:dyDescent="0.25"/>
    <row r="31896" s="42" customFormat="1" x14ac:dyDescent="0.25"/>
    <row r="31897" s="42" customFormat="1" x14ac:dyDescent="0.25"/>
    <row r="31898" s="42" customFormat="1" x14ac:dyDescent="0.25"/>
    <row r="31899" s="42" customFormat="1" x14ac:dyDescent="0.25"/>
    <row r="31900" s="42" customFormat="1" x14ac:dyDescent="0.25"/>
    <row r="31901" s="42" customFormat="1" x14ac:dyDescent="0.25"/>
    <row r="31902" s="42" customFormat="1" x14ac:dyDescent="0.25"/>
    <row r="31903" s="42" customFormat="1" x14ac:dyDescent="0.25"/>
    <row r="31904" s="42" customFormat="1" x14ac:dyDescent="0.25"/>
    <row r="31905" s="42" customFormat="1" x14ac:dyDescent="0.25"/>
    <row r="31906" s="42" customFormat="1" x14ac:dyDescent="0.25"/>
    <row r="31907" s="42" customFormat="1" x14ac:dyDescent="0.25"/>
    <row r="31908" s="42" customFormat="1" x14ac:dyDescent="0.25"/>
    <row r="31909" s="42" customFormat="1" x14ac:dyDescent="0.25"/>
    <row r="31910" s="42" customFormat="1" x14ac:dyDescent="0.25"/>
    <row r="31911" s="42" customFormat="1" x14ac:dyDescent="0.25"/>
    <row r="31912" s="42" customFormat="1" x14ac:dyDescent="0.25"/>
    <row r="31913" s="42" customFormat="1" x14ac:dyDescent="0.25"/>
    <row r="31914" s="42" customFormat="1" x14ac:dyDescent="0.25"/>
    <row r="31915" s="42" customFormat="1" x14ac:dyDescent="0.25"/>
    <row r="31916" s="42" customFormat="1" x14ac:dyDescent="0.25"/>
    <row r="31917" s="42" customFormat="1" x14ac:dyDescent="0.25"/>
    <row r="31918" s="42" customFormat="1" x14ac:dyDescent="0.25"/>
    <row r="31919" s="42" customFormat="1" x14ac:dyDescent="0.25"/>
    <row r="31920" s="42" customFormat="1" x14ac:dyDescent="0.25"/>
    <row r="31921" s="42" customFormat="1" x14ac:dyDescent="0.25"/>
    <row r="31922" s="42" customFormat="1" x14ac:dyDescent="0.25"/>
    <row r="31923" s="42" customFormat="1" x14ac:dyDescent="0.25"/>
    <row r="31924" s="42" customFormat="1" x14ac:dyDescent="0.25"/>
    <row r="31925" s="42" customFormat="1" x14ac:dyDescent="0.25"/>
    <row r="31926" s="42" customFormat="1" x14ac:dyDescent="0.25"/>
    <row r="31927" s="42" customFormat="1" x14ac:dyDescent="0.25"/>
    <row r="31928" s="42" customFormat="1" x14ac:dyDescent="0.25"/>
    <row r="31929" s="42" customFormat="1" x14ac:dyDescent="0.25"/>
    <row r="31930" s="42" customFormat="1" x14ac:dyDescent="0.25"/>
    <row r="31931" s="42" customFormat="1" x14ac:dyDescent="0.25"/>
    <row r="31932" s="42" customFormat="1" x14ac:dyDescent="0.25"/>
    <row r="31933" s="42" customFormat="1" x14ac:dyDescent="0.25"/>
    <row r="31934" s="42" customFormat="1" x14ac:dyDescent="0.25"/>
    <row r="31935" s="42" customFormat="1" x14ac:dyDescent="0.25"/>
    <row r="31936" s="42" customFormat="1" x14ac:dyDescent="0.25"/>
    <row r="31937" s="42" customFormat="1" x14ac:dyDescent="0.25"/>
    <row r="31938" s="42" customFormat="1" x14ac:dyDescent="0.25"/>
    <row r="31939" s="42" customFormat="1" x14ac:dyDescent="0.25"/>
    <row r="31940" s="42" customFormat="1" x14ac:dyDescent="0.25"/>
    <row r="31941" s="42" customFormat="1" x14ac:dyDescent="0.25"/>
    <row r="31942" s="42" customFormat="1" x14ac:dyDescent="0.25"/>
    <row r="31943" s="42" customFormat="1" x14ac:dyDescent="0.25"/>
    <row r="31944" s="42" customFormat="1" x14ac:dyDescent="0.25"/>
    <row r="31945" s="42" customFormat="1" x14ac:dyDescent="0.25"/>
    <row r="31946" s="42" customFormat="1" x14ac:dyDescent="0.25"/>
    <row r="31947" s="42" customFormat="1" x14ac:dyDescent="0.25"/>
    <row r="31948" s="42" customFormat="1" x14ac:dyDescent="0.25"/>
    <row r="31949" s="42" customFormat="1" x14ac:dyDescent="0.25"/>
    <row r="31950" s="42" customFormat="1" x14ac:dyDescent="0.25"/>
    <row r="31951" s="42" customFormat="1" x14ac:dyDescent="0.25"/>
    <row r="31952" s="42" customFormat="1" x14ac:dyDescent="0.25"/>
    <row r="31953" s="42" customFormat="1" x14ac:dyDescent="0.25"/>
    <row r="31954" s="42" customFormat="1" x14ac:dyDescent="0.25"/>
    <row r="31955" s="42" customFormat="1" x14ac:dyDescent="0.25"/>
    <row r="31956" s="42" customFormat="1" x14ac:dyDescent="0.25"/>
    <row r="31957" s="42" customFormat="1" x14ac:dyDescent="0.25"/>
    <row r="31958" s="42" customFormat="1" x14ac:dyDescent="0.25"/>
    <row r="31959" s="42" customFormat="1" x14ac:dyDescent="0.25"/>
    <row r="31960" s="42" customFormat="1" x14ac:dyDescent="0.25"/>
    <row r="31961" s="42" customFormat="1" x14ac:dyDescent="0.25"/>
    <row r="31962" s="42" customFormat="1" x14ac:dyDescent="0.25"/>
    <row r="31963" s="42" customFormat="1" x14ac:dyDescent="0.25"/>
    <row r="31964" s="42" customFormat="1" x14ac:dyDescent="0.25"/>
    <row r="31965" s="42" customFormat="1" x14ac:dyDescent="0.25"/>
    <row r="31966" s="42" customFormat="1" x14ac:dyDescent="0.25"/>
    <row r="31967" s="42" customFormat="1" x14ac:dyDescent="0.25"/>
    <row r="31968" s="42" customFormat="1" x14ac:dyDescent="0.25"/>
    <row r="31969" s="42" customFormat="1" x14ac:dyDescent="0.25"/>
    <row r="31970" s="42" customFormat="1" x14ac:dyDescent="0.25"/>
    <row r="31971" s="42" customFormat="1" x14ac:dyDescent="0.25"/>
    <row r="31972" s="42" customFormat="1" x14ac:dyDescent="0.25"/>
    <row r="31973" s="42" customFormat="1" x14ac:dyDescent="0.25"/>
    <row r="31974" s="42" customFormat="1" x14ac:dyDescent="0.25"/>
    <row r="31975" s="42" customFormat="1" x14ac:dyDescent="0.25"/>
    <row r="31976" s="42" customFormat="1" x14ac:dyDescent="0.25"/>
    <row r="31977" s="42" customFormat="1" x14ac:dyDescent="0.25"/>
    <row r="31978" s="42" customFormat="1" x14ac:dyDescent="0.25"/>
    <row r="31979" s="42" customFormat="1" x14ac:dyDescent="0.25"/>
    <row r="31980" s="42" customFormat="1" x14ac:dyDescent="0.25"/>
    <row r="31981" s="42" customFormat="1" x14ac:dyDescent="0.25"/>
    <row r="31982" s="42" customFormat="1" x14ac:dyDescent="0.25"/>
    <row r="31983" s="42" customFormat="1" x14ac:dyDescent="0.25"/>
    <row r="31984" s="42" customFormat="1" x14ac:dyDescent="0.25"/>
    <row r="31985" s="42" customFormat="1" x14ac:dyDescent="0.25"/>
    <row r="31986" s="42" customFormat="1" x14ac:dyDescent="0.25"/>
    <row r="31987" s="42" customFormat="1" x14ac:dyDescent="0.25"/>
    <row r="31988" s="42" customFormat="1" x14ac:dyDescent="0.25"/>
    <row r="31989" s="42" customFormat="1" x14ac:dyDescent="0.25"/>
    <row r="31990" s="42" customFormat="1" x14ac:dyDescent="0.25"/>
    <row r="31991" s="42" customFormat="1" x14ac:dyDescent="0.25"/>
    <row r="31992" s="42" customFormat="1" x14ac:dyDescent="0.25"/>
    <row r="31993" s="42" customFormat="1" x14ac:dyDescent="0.25"/>
    <row r="31994" s="42" customFormat="1" x14ac:dyDescent="0.25"/>
    <row r="31995" s="42" customFormat="1" x14ac:dyDescent="0.25"/>
    <row r="31996" s="42" customFormat="1" x14ac:dyDescent="0.25"/>
    <row r="31997" s="42" customFormat="1" x14ac:dyDescent="0.25"/>
    <row r="31998" s="42" customFormat="1" x14ac:dyDescent="0.25"/>
    <row r="31999" s="42" customFormat="1" x14ac:dyDescent="0.25"/>
    <row r="32000" s="42" customFormat="1" x14ac:dyDescent="0.25"/>
    <row r="32001" s="42" customFormat="1" x14ac:dyDescent="0.25"/>
    <row r="32002" s="42" customFormat="1" x14ac:dyDescent="0.25"/>
    <row r="32003" s="42" customFormat="1" x14ac:dyDescent="0.25"/>
    <row r="32004" s="42" customFormat="1" x14ac:dyDescent="0.25"/>
    <row r="32005" s="42" customFormat="1" x14ac:dyDescent="0.25"/>
    <row r="32006" s="42" customFormat="1" x14ac:dyDescent="0.25"/>
    <row r="32007" s="42" customFormat="1" x14ac:dyDescent="0.25"/>
    <row r="32008" s="42" customFormat="1" x14ac:dyDescent="0.25"/>
    <row r="32009" s="42" customFormat="1" x14ac:dyDescent="0.25"/>
    <row r="32010" s="42" customFormat="1" x14ac:dyDescent="0.25"/>
    <row r="32011" s="42" customFormat="1" x14ac:dyDescent="0.25"/>
    <row r="32012" s="42" customFormat="1" x14ac:dyDescent="0.25"/>
    <row r="32013" s="42" customFormat="1" x14ac:dyDescent="0.25"/>
    <row r="32014" s="42" customFormat="1" x14ac:dyDescent="0.25"/>
    <row r="32015" s="42" customFormat="1" x14ac:dyDescent="0.25"/>
    <row r="32016" s="42" customFormat="1" x14ac:dyDescent="0.25"/>
    <row r="32017" s="42" customFormat="1" x14ac:dyDescent="0.25"/>
    <row r="32018" s="42" customFormat="1" x14ac:dyDescent="0.25"/>
    <row r="32019" s="42" customFormat="1" x14ac:dyDescent="0.25"/>
    <row r="32020" s="42" customFormat="1" x14ac:dyDescent="0.25"/>
    <row r="32021" s="42" customFormat="1" x14ac:dyDescent="0.25"/>
    <row r="32022" s="42" customFormat="1" x14ac:dyDescent="0.25"/>
    <row r="32023" s="42" customFormat="1" x14ac:dyDescent="0.25"/>
    <row r="32024" s="42" customFormat="1" x14ac:dyDescent="0.25"/>
    <row r="32025" s="42" customFormat="1" x14ac:dyDescent="0.25"/>
    <row r="32026" s="42" customFormat="1" x14ac:dyDescent="0.25"/>
    <row r="32027" s="42" customFormat="1" x14ac:dyDescent="0.25"/>
    <row r="32028" s="42" customFormat="1" x14ac:dyDescent="0.25"/>
    <row r="32029" s="42" customFormat="1" x14ac:dyDescent="0.25"/>
    <row r="32030" s="42" customFormat="1" x14ac:dyDescent="0.25"/>
    <row r="32031" s="42" customFormat="1" x14ac:dyDescent="0.25"/>
    <row r="32032" s="42" customFormat="1" x14ac:dyDescent="0.25"/>
    <row r="32033" s="42" customFormat="1" x14ac:dyDescent="0.25"/>
    <row r="32034" s="42" customFormat="1" x14ac:dyDescent="0.25"/>
    <row r="32035" s="42" customFormat="1" x14ac:dyDescent="0.25"/>
    <row r="32036" s="42" customFormat="1" x14ac:dyDescent="0.25"/>
    <row r="32037" s="42" customFormat="1" x14ac:dyDescent="0.25"/>
    <row r="32038" s="42" customFormat="1" x14ac:dyDescent="0.25"/>
    <row r="32039" s="42" customFormat="1" x14ac:dyDescent="0.25"/>
    <row r="32040" s="42" customFormat="1" x14ac:dyDescent="0.25"/>
    <row r="32041" s="42" customFormat="1" x14ac:dyDescent="0.25"/>
    <row r="32042" s="42" customFormat="1" x14ac:dyDescent="0.25"/>
    <row r="32043" s="42" customFormat="1" x14ac:dyDescent="0.25"/>
    <row r="32044" s="42" customFormat="1" x14ac:dyDescent="0.25"/>
    <row r="32045" s="42" customFormat="1" x14ac:dyDescent="0.25"/>
    <row r="32046" s="42" customFormat="1" x14ac:dyDescent="0.25"/>
    <row r="32047" s="42" customFormat="1" x14ac:dyDescent="0.25"/>
    <row r="32048" s="42" customFormat="1" x14ac:dyDescent="0.25"/>
    <row r="32049" s="42" customFormat="1" x14ac:dyDescent="0.25"/>
    <row r="32050" s="42" customFormat="1" x14ac:dyDescent="0.25"/>
    <row r="32051" s="42" customFormat="1" x14ac:dyDescent="0.25"/>
    <row r="32052" s="42" customFormat="1" x14ac:dyDescent="0.25"/>
    <row r="32053" s="42" customFormat="1" x14ac:dyDescent="0.25"/>
    <row r="32054" s="42" customFormat="1" x14ac:dyDescent="0.25"/>
    <row r="32055" s="42" customFormat="1" x14ac:dyDescent="0.25"/>
    <row r="32056" s="42" customFormat="1" x14ac:dyDescent="0.25"/>
    <row r="32057" s="42" customFormat="1" x14ac:dyDescent="0.25"/>
    <row r="32058" s="42" customFormat="1" x14ac:dyDescent="0.25"/>
    <row r="32059" s="42" customFormat="1" x14ac:dyDescent="0.25"/>
    <row r="32060" s="42" customFormat="1" x14ac:dyDescent="0.25"/>
    <row r="32061" s="42" customFormat="1" x14ac:dyDescent="0.25"/>
    <row r="32062" s="42" customFormat="1" x14ac:dyDescent="0.25"/>
    <row r="32063" s="42" customFormat="1" x14ac:dyDescent="0.25"/>
    <row r="32064" s="42" customFormat="1" x14ac:dyDescent="0.25"/>
    <row r="32065" s="42" customFormat="1" x14ac:dyDescent="0.25"/>
    <row r="32066" s="42" customFormat="1" x14ac:dyDescent="0.25"/>
    <row r="32067" s="42" customFormat="1" x14ac:dyDescent="0.25"/>
    <row r="32068" s="42" customFormat="1" x14ac:dyDescent="0.25"/>
    <row r="32069" s="42" customFormat="1" x14ac:dyDescent="0.25"/>
    <row r="32070" s="42" customFormat="1" x14ac:dyDescent="0.25"/>
    <row r="32071" s="42" customFormat="1" x14ac:dyDescent="0.25"/>
    <row r="32072" s="42" customFormat="1" x14ac:dyDescent="0.25"/>
    <row r="32073" s="42" customFormat="1" x14ac:dyDescent="0.25"/>
    <row r="32074" s="42" customFormat="1" x14ac:dyDescent="0.25"/>
    <row r="32075" s="42" customFormat="1" x14ac:dyDescent="0.25"/>
    <row r="32076" s="42" customFormat="1" x14ac:dyDescent="0.25"/>
    <row r="32077" s="42" customFormat="1" x14ac:dyDescent="0.25"/>
    <row r="32078" s="42" customFormat="1" x14ac:dyDescent="0.25"/>
    <row r="32079" s="42" customFormat="1" x14ac:dyDescent="0.25"/>
    <row r="32080" s="42" customFormat="1" x14ac:dyDescent="0.25"/>
    <row r="32081" s="42" customFormat="1" x14ac:dyDescent="0.25"/>
    <row r="32082" s="42" customFormat="1" x14ac:dyDescent="0.25"/>
    <row r="32083" s="42" customFormat="1" x14ac:dyDescent="0.25"/>
    <row r="32084" s="42" customFormat="1" x14ac:dyDescent="0.25"/>
    <row r="32085" s="42" customFormat="1" x14ac:dyDescent="0.25"/>
    <row r="32086" s="42" customFormat="1" x14ac:dyDescent="0.25"/>
    <row r="32087" s="42" customFormat="1" x14ac:dyDescent="0.25"/>
    <row r="32088" s="42" customFormat="1" x14ac:dyDescent="0.25"/>
    <row r="32089" s="42" customFormat="1" x14ac:dyDescent="0.25"/>
    <row r="32090" s="42" customFormat="1" x14ac:dyDescent="0.25"/>
    <row r="32091" s="42" customFormat="1" x14ac:dyDescent="0.25"/>
    <row r="32092" s="42" customFormat="1" x14ac:dyDescent="0.25"/>
    <row r="32093" s="42" customFormat="1" x14ac:dyDescent="0.25"/>
    <row r="32094" s="42" customFormat="1" x14ac:dyDescent="0.25"/>
    <row r="32095" s="42" customFormat="1" x14ac:dyDescent="0.25"/>
    <row r="32096" s="42" customFormat="1" x14ac:dyDescent="0.25"/>
    <row r="32097" s="42" customFormat="1" x14ac:dyDescent="0.25"/>
    <row r="32098" s="42" customFormat="1" x14ac:dyDescent="0.25"/>
    <row r="32099" s="42" customFormat="1" x14ac:dyDescent="0.25"/>
    <row r="32100" s="42" customFormat="1" x14ac:dyDescent="0.25"/>
    <row r="32101" s="42" customFormat="1" x14ac:dyDescent="0.25"/>
    <row r="32102" s="42" customFormat="1" x14ac:dyDescent="0.25"/>
    <row r="32103" s="42" customFormat="1" x14ac:dyDescent="0.25"/>
    <row r="32104" s="42" customFormat="1" x14ac:dyDescent="0.25"/>
    <row r="32105" s="42" customFormat="1" x14ac:dyDescent="0.25"/>
    <row r="32106" s="42" customFormat="1" x14ac:dyDescent="0.25"/>
    <row r="32107" s="42" customFormat="1" x14ac:dyDescent="0.25"/>
    <row r="32108" s="42" customFormat="1" x14ac:dyDescent="0.25"/>
    <row r="32109" s="42" customFormat="1" x14ac:dyDescent="0.25"/>
    <row r="32110" s="42" customFormat="1" x14ac:dyDescent="0.25"/>
    <row r="32111" s="42" customFormat="1" x14ac:dyDescent="0.25"/>
    <row r="32112" s="42" customFormat="1" x14ac:dyDescent="0.25"/>
    <row r="32113" s="42" customFormat="1" x14ac:dyDescent="0.25"/>
    <row r="32114" s="42" customFormat="1" x14ac:dyDescent="0.25"/>
    <row r="32115" s="42" customFormat="1" x14ac:dyDescent="0.25"/>
    <row r="32116" s="42" customFormat="1" x14ac:dyDescent="0.25"/>
    <row r="32117" s="42" customFormat="1" x14ac:dyDescent="0.25"/>
    <row r="32118" s="42" customFormat="1" x14ac:dyDescent="0.25"/>
    <row r="32119" s="42" customFormat="1" x14ac:dyDescent="0.25"/>
    <row r="32120" s="42" customFormat="1" x14ac:dyDescent="0.25"/>
    <row r="32121" s="42" customFormat="1" x14ac:dyDescent="0.25"/>
    <row r="32122" s="42" customFormat="1" x14ac:dyDescent="0.25"/>
    <row r="32123" s="42" customFormat="1" x14ac:dyDescent="0.25"/>
    <row r="32124" s="42" customFormat="1" x14ac:dyDescent="0.25"/>
    <row r="32125" s="42" customFormat="1" x14ac:dyDescent="0.25"/>
    <row r="32126" s="42" customFormat="1" x14ac:dyDescent="0.25"/>
    <row r="32127" s="42" customFormat="1" x14ac:dyDescent="0.25"/>
    <row r="32128" s="42" customFormat="1" x14ac:dyDescent="0.25"/>
    <row r="32129" s="42" customFormat="1" x14ac:dyDescent="0.25"/>
    <row r="32130" s="42" customFormat="1" x14ac:dyDescent="0.25"/>
    <row r="32131" s="42" customFormat="1" x14ac:dyDescent="0.25"/>
    <row r="32132" s="42" customFormat="1" x14ac:dyDescent="0.25"/>
    <row r="32133" s="42" customFormat="1" x14ac:dyDescent="0.25"/>
    <row r="32134" s="42" customFormat="1" x14ac:dyDescent="0.25"/>
    <row r="32135" s="42" customFormat="1" x14ac:dyDescent="0.25"/>
    <row r="32136" s="42" customFormat="1" x14ac:dyDescent="0.25"/>
    <row r="32137" s="42" customFormat="1" x14ac:dyDescent="0.25"/>
    <row r="32138" s="42" customFormat="1" x14ac:dyDescent="0.25"/>
    <row r="32139" s="42" customFormat="1" x14ac:dyDescent="0.25"/>
    <row r="32140" s="42" customFormat="1" x14ac:dyDescent="0.25"/>
    <row r="32141" s="42" customFormat="1" x14ac:dyDescent="0.25"/>
    <row r="32142" s="42" customFormat="1" x14ac:dyDescent="0.25"/>
    <row r="32143" s="42" customFormat="1" x14ac:dyDescent="0.25"/>
    <row r="32144" s="42" customFormat="1" x14ac:dyDescent="0.25"/>
    <row r="32145" s="42" customFormat="1" x14ac:dyDescent="0.25"/>
    <row r="32146" s="42" customFormat="1" x14ac:dyDescent="0.25"/>
    <row r="32147" s="42" customFormat="1" x14ac:dyDescent="0.25"/>
    <row r="32148" s="42" customFormat="1" x14ac:dyDescent="0.25"/>
    <row r="32149" s="42" customFormat="1" x14ac:dyDescent="0.25"/>
    <row r="32150" s="42" customFormat="1" x14ac:dyDescent="0.25"/>
    <row r="32151" s="42" customFormat="1" x14ac:dyDescent="0.25"/>
    <row r="32152" s="42" customFormat="1" x14ac:dyDescent="0.25"/>
    <row r="32153" s="42" customFormat="1" x14ac:dyDescent="0.25"/>
    <row r="32154" s="42" customFormat="1" x14ac:dyDescent="0.25"/>
    <row r="32155" s="42" customFormat="1" x14ac:dyDescent="0.25"/>
    <row r="32156" s="42" customFormat="1" x14ac:dyDescent="0.25"/>
    <row r="32157" s="42" customFormat="1" x14ac:dyDescent="0.25"/>
    <row r="32158" s="42" customFormat="1" x14ac:dyDescent="0.25"/>
    <row r="32159" s="42" customFormat="1" x14ac:dyDescent="0.25"/>
    <row r="32160" s="42" customFormat="1" x14ac:dyDescent="0.25"/>
    <row r="32161" s="42" customFormat="1" x14ac:dyDescent="0.25"/>
    <row r="32162" s="42" customFormat="1" x14ac:dyDescent="0.25"/>
    <row r="32163" s="42" customFormat="1" x14ac:dyDescent="0.25"/>
    <row r="32164" s="42" customFormat="1" x14ac:dyDescent="0.25"/>
    <row r="32165" s="42" customFormat="1" x14ac:dyDescent="0.25"/>
    <row r="32166" s="42" customFormat="1" x14ac:dyDescent="0.25"/>
    <row r="32167" s="42" customFormat="1" x14ac:dyDescent="0.25"/>
    <row r="32168" s="42" customFormat="1" x14ac:dyDescent="0.25"/>
    <row r="32169" s="42" customFormat="1" x14ac:dyDescent="0.25"/>
    <row r="32170" s="42" customFormat="1" x14ac:dyDescent="0.25"/>
    <row r="32171" s="42" customFormat="1" x14ac:dyDescent="0.25"/>
    <row r="32172" s="42" customFormat="1" x14ac:dyDescent="0.25"/>
    <row r="32173" s="42" customFormat="1" x14ac:dyDescent="0.25"/>
    <row r="32174" s="42" customFormat="1" x14ac:dyDescent="0.25"/>
    <row r="32175" s="42" customFormat="1" x14ac:dyDescent="0.25"/>
    <row r="32176" s="42" customFormat="1" x14ac:dyDescent="0.25"/>
    <row r="32177" s="42" customFormat="1" x14ac:dyDescent="0.25"/>
    <row r="32178" s="42" customFormat="1" x14ac:dyDescent="0.25"/>
    <row r="32179" s="42" customFormat="1" x14ac:dyDescent="0.25"/>
    <row r="32180" s="42" customFormat="1" x14ac:dyDescent="0.25"/>
    <row r="32181" s="42" customFormat="1" x14ac:dyDescent="0.25"/>
    <row r="32182" s="42" customFormat="1" x14ac:dyDescent="0.25"/>
    <row r="32183" s="42" customFormat="1" x14ac:dyDescent="0.25"/>
    <row r="32184" s="42" customFormat="1" x14ac:dyDescent="0.25"/>
    <row r="32185" s="42" customFormat="1" x14ac:dyDescent="0.25"/>
    <row r="32186" s="42" customFormat="1" x14ac:dyDescent="0.25"/>
    <row r="32187" s="42" customFormat="1" x14ac:dyDescent="0.25"/>
    <row r="32188" s="42" customFormat="1" x14ac:dyDescent="0.25"/>
    <row r="32189" s="42" customFormat="1" x14ac:dyDescent="0.25"/>
    <row r="32190" s="42" customFormat="1" x14ac:dyDescent="0.25"/>
    <row r="32191" s="42" customFormat="1" x14ac:dyDescent="0.25"/>
    <row r="32192" s="42" customFormat="1" x14ac:dyDescent="0.25"/>
    <row r="32193" s="42" customFormat="1" x14ac:dyDescent="0.25"/>
    <row r="32194" s="42" customFormat="1" x14ac:dyDescent="0.25"/>
    <row r="32195" s="42" customFormat="1" x14ac:dyDescent="0.25"/>
    <row r="32196" s="42" customFormat="1" x14ac:dyDescent="0.25"/>
    <row r="32197" s="42" customFormat="1" x14ac:dyDescent="0.25"/>
    <row r="32198" s="42" customFormat="1" x14ac:dyDescent="0.25"/>
    <row r="32199" s="42" customFormat="1" x14ac:dyDescent="0.25"/>
    <row r="32200" s="42" customFormat="1" x14ac:dyDescent="0.25"/>
    <row r="32201" s="42" customFormat="1" x14ac:dyDescent="0.25"/>
    <row r="32202" s="42" customFormat="1" x14ac:dyDescent="0.25"/>
    <row r="32203" s="42" customFormat="1" x14ac:dyDescent="0.25"/>
    <row r="32204" s="42" customFormat="1" x14ac:dyDescent="0.25"/>
    <row r="32205" s="42" customFormat="1" x14ac:dyDescent="0.25"/>
    <row r="32206" s="42" customFormat="1" x14ac:dyDescent="0.25"/>
    <row r="32207" s="42" customFormat="1" x14ac:dyDescent="0.25"/>
    <row r="32208" s="42" customFormat="1" x14ac:dyDescent="0.25"/>
    <row r="32209" s="42" customFormat="1" x14ac:dyDescent="0.25"/>
    <row r="32210" s="42" customFormat="1" x14ac:dyDescent="0.25"/>
    <row r="32211" s="42" customFormat="1" x14ac:dyDescent="0.25"/>
    <row r="32212" s="42" customFormat="1" x14ac:dyDescent="0.25"/>
    <row r="32213" s="42" customFormat="1" x14ac:dyDescent="0.25"/>
    <row r="32214" s="42" customFormat="1" x14ac:dyDescent="0.25"/>
    <row r="32215" s="42" customFormat="1" x14ac:dyDescent="0.25"/>
    <row r="32216" s="42" customFormat="1" x14ac:dyDescent="0.25"/>
    <row r="32217" s="42" customFormat="1" x14ac:dyDescent="0.25"/>
    <row r="32218" s="42" customFormat="1" x14ac:dyDescent="0.25"/>
    <row r="32219" s="42" customFormat="1" x14ac:dyDescent="0.25"/>
    <row r="32220" s="42" customFormat="1" x14ac:dyDescent="0.25"/>
    <row r="32221" s="42" customFormat="1" x14ac:dyDescent="0.25"/>
    <row r="32222" s="42" customFormat="1" x14ac:dyDescent="0.25"/>
    <row r="32223" s="42" customFormat="1" x14ac:dyDescent="0.25"/>
    <row r="32224" s="42" customFormat="1" x14ac:dyDescent="0.25"/>
    <row r="32225" s="42" customFormat="1" x14ac:dyDescent="0.25"/>
    <row r="32226" s="42" customFormat="1" x14ac:dyDescent="0.25"/>
    <row r="32227" s="42" customFormat="1" x14ac:dyDescent="0.25"/>
    <row r="32228" s="42" customFormat="1" x14ac:dyDescent="0.25"/>
    <row r="32229" s="42" customFormat="1" x14ac:dyDescent="0.25"/>
    <row r="32230" s="42" customFormat="1" x14ac:dyDescent="0.25"/>
    <row r="32231" s="42" customFormat="1" x14ac:dyDescent="0.25"/>
    <row r="32232" s="42" customFormat="1" x14ac:dyDescent="0.25"/>
    <row r="32233" s="42" customFormat="1" x14ac:dyDescent="0.25"/>
    <row r="32234" s="42" customFormat="1" x14ac:dyDescent="0.25"/>
    <row r="32235" s="42" customFormat="1" x14ac:dyDescent="0.25"/>
    <row r="32236" s="42" customFormat="1" x14ac:dyDescent="0.25"/>
    <row r="32237" s="42" customFormat="1" x14ac:dyDescent="0.25"/>
    <row r="32238" s="42" customFormat="1" x14ac:dyDescent="0.25"/>
    <row r="32239" s="42" customFormat="1" x14ac:dyDescent="0.25"/>
    <row r="32240" s="42" customFormat="1" x14ac:dyDescent="0.25"/>
    <row r="32241" s="42" customFormat="1" x14ac:dyDescent="0.25"/>
    <row r="32242" s="42" customFormat="1" x14ac:dyDescent="0.25"/>
    <row r="32243" s="42" customFormat="1" x14ac:dyDescent="0.25"/>
    <row r="32244" s="42" customFormat="1" x14ac:dyDescent="0.25"/>
    <row r="32245" s="42" customFormat="1" x14ac:dyDescent="0.25"/>
    <row r="32246" s="42" customFormat="1" x14ac:dyDescent="0.25"/>
    <row r="32247" s="42" customFormat="1" x14ac:dyDescent="0.25"/>
    <row r="32248" s="42" customFormat="1" x14ac:dyDescent="0.25"/>
    <row r="32249" s="42" customFormat="1" x14ac:dyDescent="0.25"/>
    <row r="32250" s="42" customFormat="1" x14ac:dyDescent="0.25"/>
    <row r="32251" s="42" customFormat="1" x14ac:dyDescent="0.25"/>
    <row r="32252" s="42" customFormat="1" x14ac:dyDescent="0.25"/>
    <row r="32253" s="42" customFormat="1" x14ac:dyDescent="0.25"/>
    <row r="32254" s="42" customFormat="1" x14ac:dyDescent="0.25"/>
    <row r="32255" s="42" customFormat="1" x14ac:dyDescent="0.25"/>
    <row r="32256" s="42" customFormat="1" x14ac:dyDescent="0.25"/>
    <row r="32257" s="42" customFormat="1" x14ac:dyDescent="0.25"/>
    <row r="32258" s="42" customFormat="1" x14ac:dyDescent="0.25"/>
    <row r="32259" s="42" customFormat="1" x14ac:dyDescent="0.25"/>
    <row r="32260" s="42" customFormat="1" x14ac:dyDescent="0.25"/>
    <row r="32261" s="42" customFormat="1" x14ac:dyDescent="0.25"/>
    <row r="32262" s="42" customFormat="1" x14ac:dyDescent="0.25"/>
    <row r="32263" s="42" customFormat="1" x14ac:dyDescent="0.25"/>
    <row r="32264" s="42" customFormat="1" x14ac:dyDescent="0.25"/>
    <row r="32265" s="42" customFormat="1" x14ac:dyDescent="0.25"/>
    <row r="32266" s="42" customFormat="1" x14ac:dyDescent="0.25"/>
    <row r="32267" s="42" customFormat="1" x14ac:dyDescent="0.25"/>
    <row r="32268" s="42" customFormat="1" x14ac:dyDescent="0.25"/>
    <row r="32269" s="42" customFormat="1" x14ac:dyDescent="0.25"/>
    <row r="32270" s="42" customFormat="1" x14ac:dyDescent="0.25"/>
    <row r="32271" s="42" customFormat="1" x14ac:dyDescent="0.25"/>
    <row r="32272" s="42" customFormat="1" x14ac:dyDescent="0.25"/>
    <row r="32273" s="42" customFormat="1" x14ac:dyDescent="0.25"/>
    <row r="32274" s="42" customFormat="1" x14ac:dyDescent="0.25"/>
    <row r="32275" s="42" customFormat="1" x14ac:dyDescent="0.25"/>
    <row r="32276" s="42" customFormat="1" x14ac:dyDescent="0.25"/>
    <row r="32277" s="42" customFormat="1" x14ac:dyDescent="0.25"/>
    <row r="32278" s="42" customFormat="1" x14ac:dyDescent="0.25"/>
    <row r="32279" s="42" customFormat="1" x14ac:dyDescent="0.25"/>
    <row r="32280" s="42" customFormat="1" x14ac:dyDescent="0.25"/>
    <row r="32281" s="42" customFormat="1" x14ac:dyDescent="0.25"/>
    <row r="32282" s="42" customFormat="1" x14ac:dyDescent="0.25"/>
    <row r="32283" s="42" customFormat="1" x14ac:dyDescent="0.25"/>
    <row r="32284" s="42" customFormat="1" x14ac:dyDescent="0.25"/>
    <row r="32285" s="42" customFormat="1" x14ac:dyDescent="0.25"/>
    <row r="32286" s="42" customFormat="1" x14ac:dyDescent="0.25"/>
    <row r="32287" s="42" customFormat="1" x14ac:dyDescent="0.25"/>
    <row r="32288" s="42" customFormat="1" x14ac:dyDescent="0.25"/>
    <row r="32289" s="42" customFormat="1" x14ac:dyDescent="0.25"/>
    <row r="32290" s="42" customFormat="1" x14ac:dyDescent="0.25"/>
    <row r="32291" s="42" customFormat="1" x14ac:dyDescent="0.25"/>
    <row r="32292" s="42" customFormat="1" x14ac:dyDescent="0.25"/>
    <row r="32293" s="42" customFormat="1" x14ac:dyDescent="0.25"/>
    <row r="32294" s="42" customFormat="1" x14ac:dyDescent="0.25"/>
    <row r="32295" s="42" customFormat="1" x14ac:dyDescent="0.25"/>
    <row r="32296" s="42" customFormat="1" x14ac:dyDescent="0.25"/>
    <row r="32297" s="42" customFormat="1" x14ac:dyDescent="0.25"/>
    <row r="32298" s="42" customFormat="1" x14ac:dyDescent="0.25"/>
    <row r="32299" s="42" customFormat="1" x14ac:dyDescent="0.25"/>
    <row r="32300" s="42" customFormat="1" x14ac:dyDescent="0.25"/>
    <row r="32301" s="42" customFormat="1" x14ac:dyDescent="0.25"/>
    <row r="32302" s="42" customFormat="1" x14ac:dyDescent="0.25"/>
    <row r="32303" s="42" customFormat="1" x14ac:dyDescent="0.25"/>
    <row r="32304" s="42" customFormat="1" x14ac:dyDescent="0.25"/>
    <row r="32305" s="42" customFormat="1" x14ac:dyDescent="0.25"/>
    <row r="32306" s="42" customFormat="1" x14ac:dyDescent="0.25"/>
    <row r="32307" s="42" customFormat="1" x14ac:dyDescent="0.25"/>
    <row r="32308" s="42" customFormat="1" x14ac:dyDescent="0.25"/>
    <row r="32309" s="42" customFormat="1" x14ac:dyDescent="0.25"/>
    <row r="32310" s="42" customFormat="1" x14ac:dyDescent="0.25"/>
    <row r="32311" s="42" customFormat="1" x14ac:dyDescent="0.25"/>
    <row r="32312" s="42" customFormat="1" x14ac:dyDescent="0.25"/>
    <row r="32313" s="42" customFormat="1" x14ac:dyDescent="0.25"/>
    <row r="32314" s="42" customFormat="1" x14ac:dyDescent="0.25"/>
    <row r="32315" s="42" customFormat="1" x14ac:dyDescent="0.25"/>
    <row r="32316" s="42" customFormat="1" x14ac:dyDescent="0.25"/>
    <row r="32317" s="42" customFormat="1" x14ac:dyDescent="0.25"/>
    <row r="32318" s="42" customFormat="1" x14ac:dyDescent="0.25"/>
    <row r="32319" s="42" customFormat="1" x14ac:dyDescent="0.25"/>
    <row r="32320" s="42" customFormat="1" x14ac:dyDescent="0.25"/>
    <row r="32321" s="42" customFormat="1" x14ac:dyDescent="0.25"/>
    <row r="32322" s="42" customFormat="1" x14ac:dyDescent="0.25"/>
    <row r="32323" s="42" customFormat="1" x14ac:dyDescent="0.25"/>
    <row r="32324" s="42" customFormat="1" x14ac:dyDescent="0.25"/>
    <row r="32325" s="42" customFormat="1" x14ac:dyDescent="0.25"/>
    <row r="32326" s="42" customFormat="1" x14ac:dyDescent="0.25"/>
    <row r="32327" s="42" customFormat="1" x14ac:dyDescent="0.25"/>
    <row r="32328" s="42" customFormat="1" x14ac:dyDescent="0.25"/>
    <row r="32329" s="42" customFormat="1" x14ac:dyDescent="0.25"/>
    <row r="32330" s="42" customFormat="1" x14ac:dyDescent="0.25"/>
    <row r="32331" s="42" customFormat="1" x14ac:dyDescent="0.25"/>
    <row r="32332" s="42" customFormat="1" x14ac:dyDescent="0.25"/>
    <row r="32333" s="42" customFormat="1" x14ac:dyDescent="0.25"/>
    <row r="32334" s="42" customFormat="1" x14ac:dyDescent="0.25"/>
    <row r="32335" s="42" customFormat="1" x14ac:dyDescent="0.25"/>
    <row r="32336" s="42" customFormat="1" x14ac:dyDescent="0.25"/>
    <row r="32337" s="42" customFormat="1" x14ac:dyDescent="0.25"/>
    <row r="32338" s="42" customFormat="1" x14ac:dyDescent="0.25"/>
    <row r="32339" s="42" customFormat="1" x14ac:dyDescent="0.25"/>
    <row r="32340" s="42" customFormat="1" x14ac:dyDescent="0.25"/>
    <row r="32341" s="42" customFormat="1" x14ac:dyDescent="0.25"/>
    <row r="32342" s="42" customFormat="1" x14ac:dyDescent="0.25"/>
    <row r="32343" s="42" customFormat="1" x14ac:dyDescent="0.25"/>
    <row r="32344" s="42" customFormat="1" x14ac:dyDescent="0.25"/>
    <row r="32345" s="42" customFormat="1" x14ac:dyDescent="0.25"/>
    <row r="32346" s="42" customFormat="1" x14ac:dyDescent="0.25"/>
    <row r="32347" s="42" customFormat="1" x14ac:dyDescent="0.25"/>
    <row r="32348" s="42" customFormat="1" x14ac:dyDescent="0.25"/>
    <row r="32349" s="42" customFormat="1" x14ac:dyDescent="0.25"/>
    <row r="32350" s="42" customFormat="1" x14ac:dyDescent="0.25"/>
    <row r="32351" s="42" customFormat="1" x14ac:dyDescent="0.25"/>
    <row r="32352" s="42" customFormat="1" x14ac:dyDescent="0.25"/>
    <row r="32353" s="42" customFormat="1" x14ac:dyDescent="0.25"/>
    <row r="32354" s="42" customFormat="1" x14ac:dyDescent="0.25"/>
    <row r="32355" s="42" customFormat="1" x14ac:dyDescent="0.25"/>
    <row r="32356" s="42" customFormat="1" x14ac:dyDescent="0.25"/>
    <row r="32357" s="42" customFormat="1" x14ac:dyDescent="0.25"/>
    <row r="32358" s="42" customFormat="1" x14ac:dyDescent="0.25"/>
    <row r="32359" s="42" customFormat="1" x14ac:dyDescent="0.25"/>
    <row r="32360" s="42" customFormat="1" x14ac:dyDescent="0.25"/>
    <row r="32361" s="42" customFormat="1" x14ac:dyDescent="0.25"/>
    <row r="32362" s="42" customFormat="1" x14ac:dyDescent="0.25"/>
    <row r="32363" s="42" customFormat="1" x14ac:dyDescent="0.25"/>
    <row r="32364" s="42" customFormat="1" x14ac:dyDescent="0.25"/>
    <row r="32365" s="42" customFormat="1" x14ac:dyDescent="0.25"/>
    <row r="32366" s="42" customFormat="1" x14ac:dyDescent="0.25"/>
    <row r="32367" s="42" customFormat="1" x14ac:dyDescent="0.25"/>
    <row r="32368" s="42" customFormat="1" x14ac:dyDescent="0.25"/>
    <row r="32369" s="42" customFormat="1" x14ac:dyDescent="0.25"/>
    <row r="32370" s="42" customFormat="1" x14ac:dyDescent="0.25"/>
    <row r="32371" s="42" customFormat="1" x14ac:dyDescent="0.25"/>
    <row r="32372" s="42" customFormat="1" x14ac:dyDescent="0.25"/>
    <row r="32373" s="42" customFormat="1" x14ac:dyDescent="0.25"/>
    <row r="32374" s="42" customFormat="1" x14ac:dyDescent="0.25"/>
    <row r="32375" s="42" customFormat="1" x14ac:dyDescent="0.25"/>
    <row r="32376" s="42" customFormat="1" x14ac:dyDescent="0.25"/>
    <row r="32377" s="42" customFormat="1" x14ac:dyDescent="0.25"/>
    <row r="32378" s="42" customFormat="1" x14ac:dyDescent="0.25"/>
    <row r="32379" s="42" customFormat="1" x14ac:dyDescent="0.25"/>
    <row r="32380" s="42" customFormat="1" x14ac:dyDescent="0.25"/>
    <row r="32381" s="42" customFormat="1" x14ac:dyDescent="0.25"/>
    <row r="32382" s="42" customFormat="1" x14ac:dyDescent="0.25"/>
    <row r="32383" s="42" customFormat="1" x14ac:dyDescent="0.25"/>
    <row r="32384" s="42" customFormat="1" x14ac:dyDescent="0.25"/>
    <row r="32385" s="42" customFormat="1" x14ac:dyDescent="0.25"/>
    <row r="32386" s="42" customFormat="1" x14ac:dyDescent="0.25"/>
    <row r="32387" s="42" customFormat="1" x14ac:dyDescent="0.25"/>
    <row r="32388" s="42" customFormat="1" x14ac:dyDescent="0.25"/>
    <row r="32389" s="42" customFormat="1" x14ac:dyDescent="0.25"/>
    <row r="32390" s="42" customFormat="1" x14ac:dyDescent="0.25"/>
    <row r="32391" s="42" customFormat="1" x14ac:dyDescent="0.25"/>
    <row r="32392" s="42" customFormat="1" x14ac:dyDescent="0.25"/>
    <row r="32393" s="42" customFormat="1" x14ac:dyDescent="0.25"/>
    <row r="32394" s="42" customFormat="1" x14ac:dyDescent="0.25"/>
    <row r="32395" s="42" customFormat="1" x14ac:dyDescent="0.25"/>
    <row r="32396" s="42" customFormat="1" x14ac:dyDescent="0.25"/>
    <row r="32397" s="42" customFormat="1" x14ac:dyDescent="0.25"/>
    <row r="32398" s="42" customFormat="1" x14ac:dyDescent="0.25"/>
    <row r="32399" s="42" customFormat="1" x14ac:dyDescent="0.25"/>
    <row r="32400" s="42" customFormat="1" x14ac:dyDescent="0.25"/>
    <row r="32401" s="42" customFormat="1" x14ac:dyDescent="0.25"/>
    <row r="32402" s="42" customFormat="1" x14ac:dyDescent="0.25"/>
    <row r="32403" s="42" customFormat="1" x14ac:dyDescent="0.25"/>
    <row r="32404" s="42" customFormat="1" x14ac:dyDescent="0.25"/>
    <row r="32405" s="42" customFormat="1" x14ac:dyDescent="0.25"/>
    <row r="32406" s="42" customFormat="1" x14ac:dyDescent="0.25"/>
    <row r="32407" s="42" customFormat="1" x14ac:dyDescent="0.25"/>
    <row r="32408" s="42" customFormat="1" x14ac:dyDescent="0.25"/>
    <row r="32409" s="42" customFormat="1" x14ac:dyDescent="0.25"/>
    <row r="32410" s="42" customFormat="1" x14ac:dyDescent="0.25"/>
    <row r="32411" s="42" customFormat="1" x14ac:dyDescent="0.25"/>
    <row r="32412" s="42" customFormat="1" x14ac:dyDescent="0.25"/>
    <row r="32413" s="42" customFormat="1" x14ac:dyDescent="0.25"/>
    <row r="32414" s="42" customFormat="1" x14ac:dyDescent="0.25"/>
    <row r="32415" s="42" customFormat="1" x14ac:dyDescent="0.25"/>
    <row r="32416" s="42" customFormat="1" x14ac:dyDescent="0.25"/>
    <row r="32417" s="42" customFormat="1" x14ac:dyDescent="0.25"/>
    <row r="32418" s="42" customFormat="1" x14ac:dyDescent="0.25"/>
    <row r="32419" s="42" customFormat="1" x14ac:dyDescent="0.25"/>
    <row r="32420" s="42" customFormat="1" x14ac:dyDescent="0.25"/>
    <row r="32421" s="42" customFormat="1" x14ac:dyDescent="0.25"/>
    <row r="32422" s="42" customFormat="1" x14ac:dyDescent="0.25"/>
    <row r="32423" s="42" customFormat="1" x14ac:dyDescent="0.25"/>
    <row r="32424" s="42" customFormat="1" x14ac:dyDescent="0.25"/>
    <row r="32425" s="42" customFormat="1" x14ac:dyDescent="0.25"/>
    <row r="32426" s="42" customFormat="1" x14ac:dyDescent="0.25"/>
    <row r="32427" s="42" customFormat="1" x14ac:dyDescent="0.25"/>
    <row r="32428" s="42" customFormat="1" x14ac:dyDescent="0.25"/>
    <row r="32429" s="42" customFormat="1" x14ac:dyDescent="0.25"/>
    <row r="32430" s="42" customFormat="1" x14ac:dyDescent="0.25"/>
    <row r="32431" s="42" customFormat="1" x14ac:dyDescent="0.25"/>
    <row r="32432" s="42" customFormat="1" x14ac:dyDescent="0.25"/>
    <row r="32433" s="42" customFormat="1" x14ac:dyDescent="0.25"/>
    <row r="32434" s="42" customFormat="1" x14ac:dyDescent="0.25"/>
    <row r="32435" s="42" customFormat="1" x14ac:dyDescent="0.25"/>
    <row r="32436" s="42" customFormat="1" x14ac:dyDescent="0.25"/>
    <row r="32437" s="42" customFormat="1" x14ac:dyDescent="0.25"/>
    <row r="32438" s="42" customFormat="1" x14ac:dyDescent="0.25"/>
    <row r="32439" s="42" customFormat="1" x14ac:dyDescent="0.25"/>
    <row r="32440" s="42" customFormat="1" x14ac:dyDescent="0.25"/>
    <row r="32441" s="42" customFormat="1" x14ac:dyDescent="0.25"/>
    <row r="32442" s="42" customFormat="1" x14ac:dyDescent="0.25"/>
    <row r="32443" s="42" customFormat="1" x14ac:dyDescent="0.25"/>
    <row r="32444" s="42" customFormat="1" x14ac:dyDescent="0.25"/>
    <row r="32445" s="42" customFormat="1" x14ac:dyDescent="0.25"/>
    <row r="32446" s="42" customFormat="1" x14ac:dyDescent="0.25"/>
    <row r="32447" s="42" customFormat="1" x14ac:dyDescent="0.25"/>
    <row r="32448" s="42" customFormat="1" x14ac:dyDescent="0.25"/>
    <row r="32449" s="42" customFormat="1" x14ac:dyDescent="0.25"/>
    <row r="32450" s="42" customFormat="1" x14ac:dyDescent="0.25"/>
    <row r="32451" s="42" customFormat="1" x14ac:dyDescent="0.25"/>
    <row r="32452" s="42" customFormat="1" x14ac:dyDescent="0.25"/>
    <row r="32453" s="42" customFormat="1" x14ac:dyDescent="0.25"/>
    <row r="32454" s="42" customFormat="1" x14ac:dyDescent="0.25"/>
    <row r="32455" s="42" customFormat="1" x14ac:dyDescent="0.25"/>
    <row r="32456" s="42" customFormat="1" x14ac:dyDescent="0.25"/>
    <row r="32457" s="42" customFormat="1" x14ac:dyDescent="0.25"/>
    <row r="32458" s="42" customFormat="1" x14ac:dyDescent="0.25"/>
    <row r="32459" s="42" customFormat="1" x14ac:dyDescent="0.25"/>
    <row r="32460" s="42" customFormat="1" x14ac:dyDescent="0.25"/>
    <row r="32461" s="42" customFormat="1" x14ac:dyDescent="0.25"/>
    <row r="32462" s="42" customFormat="1" x14ac:dyDescent="0.25"/>
    <row r="32463" s="42" customFormat="1" x14ac:dyDescent="0.25"/>
    <row r="32464" s="42" customFormat="1" x14ac:dyDescent="0.25"/>
    <row r="32465" s="42" customFormat="1" x14ac:dyDescent="0.25"/>
    <row r="32466" s="42" customFormat="1" x14ac:dyDescent="0.25"/>
    <row r="32467" s="42" customFormat="1" x14ac:dyDescent="0.25"/>
    <row r="32468" s="42" customFormat="1" x14ac:dyDescent="0.25"/>
    <row r="32469" s="42" customFormat="1" x14ac:dyDescent="0.25"/>
    <row r="32470" s="42" customFormat="1" x14ac:dyDescent="0.25"/>
    <row r="32471" s="42" customFormat="1" x14ac:dyDescent="0.25"/>
    <row r="32472" s="42" customFormat="1" x14ac:dyDescent="0.25"/>
    <row r="32473" s="42" customFormat="1" x14ac:dyDescent="0.25"/>
    <row r="32474" s="42" customFormat="1" x14ac:dyDescent="0.25"/>
    <row r="32475" s="42" customFormat="1" x14ac:dyDescent="0.25"/>
    <row r="32476" s="42" customFormat="1" x14ac:dyDescent="0.25"/>
    <row r="32477" s="42" customFormat="1" x14ac:dyDescent="0.25"/>
    <row r="32478" s="42" customFormat="1" x14ac:dyDescent="0.25"/>
    <row r="32479" s="42" customFormat="1" x14ac:dyDescent="0.25"/>
    <row r="32480" s="42" customFormat="1" x14ac:dyDescent="0.25"/>
    <row r="32481" s="42" customFormat="1" x14ac:dyDescent="0.25"/>
    <row r="32482" s="42" customFormat="1" x14ac:dyDescent="0.25"/>
    <row r="32483" s="42" customFormat="1" x14ac:dyDescent="0.25"/>
    <row r="32484" s="42" customFormat="1" x14ac:dyDescent="0.25"/>
    <row r="32485" s="42" customFormat="1" x14ac:dyDescent="0.25"/>
    <row r="32486" s="42" customFormat="1" x14ac:dyDescent="0.25"/>
    <row r="32487" s="42" customFormat="1" x14ac:dyDescent="0.25"/>
    <row r="32488" s="42" customFormat="1" x14ac:dyDescent="0.25"/>
    <row r="32489" s="42" customFormat="1" x14ac:dyDescent="0.25"/>
    <row r="32490" s="42" customFormat="1" x14ac:dyDescent="0.25"/>
    <row r="32491" s="42" customFormat="1" x14ac:dyDescent="0.25"/>
    <row r="32492" s="42" customFormat="1" x14ac:dyDescent="0.25"/>
    <row r="32493" s="42" customFormat="1" x14ac:dyDescent="0.25"/>
    <row r="32494" s="42" customFormat="1" x14ac:dyDescent="0.25"/>
    <row r="32495" s="42" customFormat="1" x14ac:dyDescent="0.25"/>
    <row r="32496" s="42" customFormat="1" x14ac:dyDescent="0.25"/>
    <row r="32497" s="42" customFormat="1" x14ac:dyDescent="0.25"/>
    <row r="32498" s="42" customFormat="1" x14ac:dyDescent="0.25"/>
    <row r="32499" s="42" customFormat="1" x14ac:dyDescent="0.25"/>
    <row r="32500" s="42" customFormat="1" x14ac:dyDescent="0.25"/>
    <row r="32501" s="42" customFormat="1" x14ac:dyDescent="0.25"/>
    <row r="32502" s="42" customFormat="1" x14ac:dyDescent="0.25"/>
    <row r="32503" s="42" customFormat="1" x14ac:dyDescent="0.25"/>
    <row r="32504" s="42" customFormat="1" x14ac:dyDescent="0.25"/>
    <row r="32505" s="42" customFormat="1" x14ac:dyDescent="0.25"/>
    <row r="32506" s="42" customFormat="1" x14ac:dyDescent="0.25"/>
    <row r="32507" s="42" customFormat="1" x14ac:dyDescent="0.25"/>
    <row r="32508" s="42" customFormat="1" x14ac:dyDescent="0.25"/>
    <row r="32509" s="42" customFormat="1" x14ac:dyDescent="0.25"/>
    <row r="32510" s="42" customFormat="1" x14ac:dyDescent="0.25"/>
    <row r="32511" s="42" customFormat="1" x14ac:dyDescent="0.25"/>
    <row r="32512" s="42" customFormat="1" x14ac:dyDescent="0.25"/>
    <row r="32513" s="42" customFormat="1" x14ac:dyDescent="0.25"/>
    <row r="32514" s="42" customFormat="1" x14ac:dyDescent="0.25"/>
    <row r="32515" s="42" customFormat="1" x14ac:dyDescent="0.25"/>
    <row r="32516" s="42" customFormat="1" x14ac:dyDescent="0.25"/>
    <row r="32517" s="42" customFormat="1" x14ac:dyDescent="0.25"/>
    <row r="32518" s="42" customFormat="1" x14ac:dyDescent="0.25"/>
    <row r="32519" s="42" customFormat="1" x14ac:dyDescent="0.25"/>
    <row r="32520" s="42" customFormat="1" x14ac:dyDescent="0.25"/>
    <row r="32521" s="42" customFormat="1" x14ac:dyDescent="0.25"/>
    <row r="32522" s="42" customFormat="1" x14ac:dyDescent="0.25"/>
    <row r="32523" s="42" customFormat="1" x14ac:dyDescent="0.25"/>
    <row r="32524" s="42" customFormat="1" x14ac:dyDescent="0.25"/>
    <row r="32525" s="42" customFormat="1" x14ac:dyDescent="0.25"/>
    <row r="32526" s="42" customFormat="1" x14ac:dyDescent="0.25"/>
    <row r="32527" s="42" customFormat="1" x14ac:dyDescent="0.25"/>
    <row r="32528" s="42" customFormat="1" x14ac:dyDescent="0.25"/>
    <row r="32529" s="42" customFormat="1" x14ac:dyDescent="0.25"/>
    <row r="32530" s="42" customFormat="1" x14ac:dyDescent="0.25"/>
    <row r="32531" s="42" customFormat="1" x14ac:dyDescent="0.25"/>
    <row r="32532" s="42" customFormat="1" x14ac:dyDescent="0.25"/>
    <row r="32533" s="42" customFormat="1" x14ac:dyDescent="0.25"/>
    <row r="32534" s="42" customFormat="1" x14ac:dyDescent="0.25"/>
    <row r="32535" s="42" customFormat="1" x14ac:dyDescent="0.25"/>
    <row r="32536" s="42" customFormat="1" x14ac:dyDescent="0.25"/>
    <row r="32537" s="42" customFormat="1" x14ac:dyDescent="0.25"/>
    <row r="32538" s="42" customFormat="1" x14ac:dyDescent="0.25"/>
    <row r="32539" s="42" customFormat="1" x14ac:dyDescent="0.25"/>
    <row r="32540" s="42" customFormat="1" x14ac:dyDescent="0.25"/>
    <row r="32541" s="42" customFormat="1" x14ac:dyDescent="0.25"/>
    <row r="32542" s="42" customFormat="1" x14ac:dyDescent="0.25"/>
    <row r="32543" s="42" customFormat="1" x14ac:dyDescent="0.25"/>
    <row r="32544" s="42" customFormat="1" x14ac:dyDescent="0.25"/>
    <row r="32545" s="42" customFormat="1" x14ac:dyDescent="0.25"/>
    <row r="32546" s="42" customFormat="1" x14ac:dyDescent="0.25"/>
    <row r="32547" s="42" customFormat="1" x14ac:dyDescent="0.25"/>
    <row r="32548" s="42" customFormat="1" x14ac:dyDescent="0.25"/>
    <row r="32549" s="42" customFormat="1" x14ac:dyDescent="0.25"/>
    <row r="32550" s="42" customFormat="1" x14ac:dyDescent="0.25"/>
    <row r="32551" s="42" customFormat="1" x14ac:dyDescent="0.25"/>
    <row r="32552" s="42" customFormat="1" x14ac:dyDescent="0.25"/>
    <row r="32553" s="42" customFormat="1" x14ac:dyDescent="0.25"/>
    <row r="32554" s="42" customFormat="1" x14ac:dyDescent="0.25"/>
    <row r="32555" s="42" customFormat="1" x14ac:dyDescent="0.25"/>
    <row r="32556" s="42" customFormat="1" x14ac:dyDescent="0.25"/>
    <row r="32557" s="42" customFormat="1" x14ac:dyDescent="0.25"/>
    <row r="32558" s="42" customFormat="1" x14ac:dyDescent="0.25"/>
    <row r="32559" s="42" customFormat="1" x14ac:dyDescent="0.25"/>
    <row r="32560" s="42" customFormat="1" x14ac:dyDescent="0.25"/>
    <row r="32561" s="42" customFormat="1" x14ac:dyDescent="0.25"/>
    <row r="32562" s="42" customFormat="1" x14ac:dyDescent="0.25"/>
    <row r="32563" s="42" customFormat="1" x14ac:dyDescent="0.25"/>
    <row r="32564" s="42" customFormat="1" x14ac:dyDescent="0.25"/>
    <row r="32565" s="42" customFormat="1" x14ac:dyDescent="0.25"/>
    <row r="32566" s="42" customFormat="1" x14ac:dyDescent="0.25"/>
    <row r="32567" s="42" customFormat="1" x14ac:dyDescent="0.25"/>
    <row r="32568" s="42" customFormat="1" x14ac:dyDescent="0.25"/>
    <row r="32569" s="42" customFormat="1" x14ac:dyDescent="0.25"/>
    <row r="32570" s="42" customFormat="1" x14ac:dyDescent="0.25"/>
    <row r="32571" s="42" customFormat="1" x14ac:dyDescent="0.25"/>
    <row r="32572" s="42" customFormat="1" x14ac:dyDescent="0.25"/>
    <row r="32573" s="42" customFormat="1" x14ac:dyDescent="0.25"/>
    <row r="32574" s="42" customFormat="1" x14ac:dyDescent="0.25"/>
    <row r="32575" s="42" customFormat="1" x14ac:dyDescent="0.25"/>
    <row r="32576" s="42" customFormat="1" x14ac:dyDescent="0.25"/>
    <row r="32577" s="42" customFormat="1" x14ac:dyDescent="0.25"/>
    <row r="32578" s="42" customFormat="1" x14ac:dyDescent="0.25"/>
    <row r="32579" s="42" customFormat="1" x14ac:dyDescent="0.25"/>
    <row r="32580" s="42" customFormat="1" x14ac:dyDescent="0.25"/>
    <row r="32581" s="42" customFormat="1" x14ac:dyDescent="0.25"/>
    <row r="32582" s="42" customFormat="1" x14ac:dyDescent="0.25"/>
    <row r="32583" s="42" customFormat="1" x14ac:dyDescent="0.25"/>
    <row r="32584" s="42" customFormat="1" x14ac:dyDescent="0.25"/>
    <row r="32585" s="42" customFormat="1" x14ac:dyDescent="0.25"/>
    <row r="32586" s="42" customFormat="1" x14ac:dyDescent="0.25"/>
    <row r="32587" s="42" customFormat="1" x14ac:dyDescent="0.25"/>
    <row r="32588" s="42" customFormat="1" x14ac:dyDescent="0.25"/>
    <row r="32589" s="42" customFormat="1" x14ac:dyDescent="0.25"/>
    <row r="32590" s="42" customFormat="1" x14ac:dyDescent="0.25"/>
    <row r="32591" s="42" customFormat="1" x14ac:dyDescent="0.25"/>
    <row r="32592" s="42" customFormat="1" x14ac:dyDescent="0.25"/>
    <row r="32593" s="42" customFormat="1" x14ac:dyDescent="0.25"/>
    <row r="32594" s="42" customFormat="1" x14ac:dyDescent="0.25"/>
    <row r="32595" s="42" customFormat="1" x14ac:dyDescent="0.25"/>
    <row r="32596" s="42" customFormat="1" x14ac:dyDescent="0.25"/>
    <row r="32597" s="42" customFormat="1" x14ac:dyDescent="0.25"/>
    <row r="32598" s="42" customFormat="1" x14ac:dyDescent="0.25"/>
    <row r="32599" s="42" customFormat="1" x14ac:dyDescent="0.25"/>
    <row r="32600" s="42" customFormat="1" x14ac:dyDescent="0.25"/>
    <row r="32601" s="42" customFormat="1" x14ac:dyDescent="0.25"/>
    <row r="32602" s="42" customFormat="1" x14ac:dyDescent="0.25"/>
    <row r="32603" s="42" customFormat="1" x14ac:dyDescent="0.25"/>
    <row r="32604" s="42" customFormat="1" x14ac:dyDescent="0.25"/>
    <row r="32605" s="42" customFormat="1" x14ac:dyDescent="0.25"/>
    <row r="32606" s="42" customFormat="1" x14ac:dyDescent="0.25"/>
    <row r="32607" s="42" customFormat="1" x14ac:dyDescent="0.25"/>
    <row r="32608" s="42" customFormat="1" x14ac:dyDescent="0.25"/>
    <row r="32609" s="42" customFormat="1" x14ac:dyDescent="0.25"/>
    <row r="32610" s="42" customFormat="1" x14ac:dyDescent="0.25"/>
    <row r="32611" s="42" customFormat="1" x14ac:dyDescent="0.25"/>
    <row r="32612" s="42" customFormat="1" x14ac:dyDescent="0.25"/>
    <row r="32613" s="42" customFormat="1" x14ac:dyDescent="0.25"/>
    <row r="32614" s="42" customFormat="1" x14ac:dyDescent="0.25"/>
    <row r="32615" s="42" customFormat="1" x14ac:dyDescent="0.25"/>
    <row r="32616" s="42" customFormat="1" x14ac:dyDescent="0.25"/>
    <row r="32617" s="42" customFormat="1" x14ac:dyDescent="0.25"/>
    <row r="32618" s="42" customFormat="1" x14ac:dyDescent="0.25"/>
    <row r="32619" s="42" customFormat="1" x14ac:dyDescent="0.25"/>
    <row r="32620" s="42" customFormat="1" x14ac:dyDescent="0.25"/>
    <row r="32621" s="42" customFormat="1" x14ac:dyDescent="0.25"/>
    <row r="32622" s="42" customFormat="1" x14ac:dyDescent="0.25"/>
    <row r="32623" s="42" customFormat="1" x14ac:dyDescent="0.25"/>
    <row r="32624" s="42" customFormat="1" x14ac:dyDescent="0.25"/>
    <row r="32625" s="42" customFormat="1" x14ac:dyDescent="0.25"/>
    <row r="32626" s="42" customFormat="1" x14ac:dyDescent="0.25"/>
    <row r="32627" s="42" customFormat="1" x14ac:dyDescent="0.25"/>
    <row r="32628" s="42" customFormat="1" x14ac:dyDescent="0.25"/>
    <row r="32629" s="42" customFormat="1" x14ac:dyDescent="0.25"/>
    <row r="32630" s="42" customFormat="1" x14ac:dyDescent="0.25"/>
    <row r="32631" s="42" customFormat="1" x14ac:dyDescent="0.25"/>
    <row r="32632" s="42" customFormat="1" x14ac:dyDescent="0.25"/>
    <row r="32633" s="42" customFormat="1" x14ac:dyDescent="0.25"/>
    <row r="32634" s="42" customFormat="1" x14ac:dyDescent="0.25"/>
    <row r="32635" s="42" customFormat="1" x14ac:dyDescent="0.25"/>
    <row r="32636" s="42" customFormat="1" x14ac:dyDescent="0.25"/>
    <row r="32637" s="42" customFormat="1" x14ac:dyDescent="0.25"/>
    <row r="32638" s="42" customFormat="1" x14ac:dyDescent="0.25"/>
    <row r="32639" s="42" customFormat="1" x14ac:dyDescent="0.25"/>
    <row r="32640" s="42" customFormat="1" x14ac:dyDescent="0.25"/>
    <row r="32641" s="42" customFormat="1" x14ac:dyDescent="0.25"/>
    <row r="32642" s="42" customFormat="1" x14ac:dyDescent="0.25"/>
    <row r="32643" s="42" customFormat="1" x14ac:dyDescent="0.25"/>
    <row r="32644" s="42" customFormat="1" x14ac:dyDescent="0.25"/>
    <row r="32645" s="42" customFormat="1" x14ac:dyDescent="0.25"/>
    <row r="32646" s="42" customFormat="1" x14ac:dyDescent="0.25"/>
    <row r="32647" s="42" customFormat="1" x14ac:dyDescent="0.25"/>
    <row r="32648" s="42" customFormat="1" x14ac:dyDescent="0.25"/>
    <row r="32649" s="42" customFormat="1" x14ac:dyDescent="0.25"/>
    <row r="32650" s="42" customFormat="1" x14ac:dyDescent="0.25"/>
    <row r="32651" s="42" customFormat="1" x14ac:dyDescent="0.25"/>
    <row r="32652" s="42" customFormat="1" x14ac:dyDescent="0.25"/>
    <row r="32653" s="42" customFormat="1" x14ac:dyDescent="0.25"/>
    <row r="32654" s="42" customFormat="1" x14ac:dyDescent="0.25"/>
    <row r="32655" s="42" customFormat="1" x14ac:dyDescent="0.25"/>
    <row r="32656" s="42" customFormat="1" x14ac:dyDescent="0.25"/>
    <row r="32657" s="42" customFormat="1" x14ac:dyDescent="0.25"/>
    <row r="32658" s="42" customFormat="1" x14ac:dyDescent="0.25"/>
    <row r="32659" s="42" customFormat="1" x14ac:dyDescent="0.25"/>
    <row r="32660" s="42" customFormat="1" x14ac:dyDescent="0.25"/>
    <row r="32661" s="42" customFormat="1" x14ac:dyDescent="0.25"/>
    <row r="32662" s="42" customFormat="1" x14ac:dyDescent="0.25"/>
    <row r="32663" s="42" customFormat="1" x14ac:dyDescent="0.25"/>
    <row r="32664" s="42" customFormat="1" x14ac:dyDescent="0.25"/>
    <row r="32665" s="42" customFormat="1" x14ac:dyDescent="0.25"/>
    <row r="32666" s="42" customFormat="1" x14ac:dyDescent="0.25"/>
    <row r="32667" s="42" customFormat="1" x14ac:dyDescent="0.25"/>
    <row r="32668" s="42" customFormat="1" x14ac:dyDescent="0.25"/>
    <row r="32669" s="42" customFormat="1" x14ac:dyDescent="0.25"/>
    <row r="32670" s="42" customFormat="1" x14ac:dyDescent="0.25"/>
    <row r="32671" s="42" customFormat="1" x14ac:dyDescent="0.25"/>
    <row r="32672" s="42" customFormat="1" x14ac:dyDescent="0.25"/>
    <row r="32673" s="42" customFormat="1" x14ac:dyDescent="0.25"/>
    <row r="32674" s="42" customFormat="1" x14ac:dyDescent="0.25"/>
    <row r="32675" s="42" customFormat="1" x14ac:dyDescent="0.25"/>
    <row r="32676" s="42" customFormat="1" x14ac:dyDescent="0.25"/>
    <row r="32677" s="42" customFormat="1" x14ac:dyDescent="0.25"/>
    <row r="32678" s="42" customFormat="1" x14ac:dyDescent="0.25"/>
    <row r="32679" s="42" customFormat="1" x14ac:dyDescent="0.25"/>
    <row r="32680" s="42" customFormat="1" x14ac:dyDescent="0.25"/>
    <row r="32681" s="42" customFormat="1" x14ac:dyDescent="0.25"/>
    <row r="32682" s="42" customFormat="1" x14ac:dyDescent="0.25"/>
    <row r="32683" s="42" customFormat="1" x14ac:dyDescent="0.25"/>
    <row r="32684" s="42" customFormat="1" x14ac:dyDescent="0.25"/>
    <row r="32685" s="42" customFormat="1" x14ac:dyDescent="0.25"/>
    <row r="32686" s="42" customFormat="1" x14ac:dyDescent="0.25"/>
    <row r="32687" s="42" customFormat="1" x14ac:dyDescent="0.25"/>
    <row r="32688" s="42" customFormat="1" x14ac:dyDescent="0.25"/>
    <row r="32689" s="42" customFormat="1" x14ac:dyDescent="0.25"/>
    <row r="32690" s="42" customFormat="1" x14ac:dyDescent="0.25"/>
    <row r="32691" s="42" customFormat="1" x14ac:dyDescent="0.25"/>
    <row r="32692" s="42" customFormat="1" x14ac:dyDescent="0.25"/>
    <row r="32693" s="42" customFormat="1" x14ac:dyDescent="0.25"/>
    <row r="32694" s="42" customFormat="1" x14ac:dyDescent="0.25"/>
    <row r="32695" s="42" customFormat="1" x14ac:dyDescent="0.25"/>
    <row r="32696" s="42" customFormat="1" x14ac:dyDescent="0.25"/>
    <row r="32697" s="42" customFormat="1" x14ac:dyDescent="0.25"/>
    <row r="32698" s="42" customFormat="1" x14ac:dyDescent="0.25"/>
    <row r="32699" s="42" customFormat="1" x14ac:dyDescent="0.25"/>
    <row r="32700" s="42" customFormat="1" x14ac:dyDescent="0.25"/>
    <row r="32701" s="42" customFormat="1" x14ac:dyDescent="0.25"/>
    <row r="32702" s="42" customFormat="1" x14ac:dyDescent="0.25"/>
    <row r="32703" s="42" customFormat="1" x14ac:dyDescent="0.25"/>
    <row r="32704" s="42" customFormat="1" x14ac:dyDescent="0.25"/>
    <row r="32705" s="42" customFormat="1" x14ac:dyDescent="0.25"/>
    <row r="32706" s="42" customFormat="1" x14ac:dyDescent="0.25"/>
    <row r="32707" s="42" customFormat="1" x14ac:dyDescent="0.25"/>
    <row r="32708" s="42" customFormat="1" x14ac:dyDescent="0.25"/>
    <row r="32709" s="42" customFormat="1" x14ac:dyDescent="0.25"/>
    <row r="32710" s="42" customFormat="1" x14ac:dyDescent="0.25"/>
    <row r="32711" s="42" customFormat="1" x14ac:dyDescent="0.25"/>
    <row r="32712" s="42" customFormat="1" x14ac:dyDescent="0.25"/>
    <row r="32713" s="42" customFormat="1" x14ac:dyDescent="0.25"/>
    <row r="32714" s="42" customFormat="1" x14ac:dyDescent="0.25"/>
    <row r="32715" s="42" customFormat="1" x14ac:dyDescent="0.25"/>
    <row r="32716" s="42" customFormat="1" x14ac:dyDescent="0.25"/>
    <row r="32717" s="42" customFormat="1" x14ac:dyDescent="0.25"/>
    <row r="32718" s="42" customFormat="1" x14ac:dyDescent="0.25"/>
    <row r="32719" s="42" customFormat="1" x14ac:dyDescent="0.25"/>
    <row r="32720" s="42" customFormat="1" x14ac:dyDescent="0.25"/>
    <row r="32721" s="42" customFormat="1" x14ac:dyDescent="0.25"/>
    <row r="32722" s="42" customFormat="1" x14ac:dyDescent="0.25"/>
    <row r="32723" s="42" customFormat="1" x14ac:dyDescent="0.25"/>
    <row r="32724" s="42" customFormat="1" x14ac:dyDescent="0.25"/>
    <row r="32725" s="42" customFormat="1" x14ac:dyDescent="0.25"/>
    <row r="32726" s="42" customFormat="1" x14ac:dyDescent="0.25"/>
    <row r="32727" s="42" customFormat="1" x14ac:dyDescent="0.25"/>
    <row r="32728" s="42" customFormat="1" x14ac:dyDescent="0.25"/>
    <row r="32729" s="42" customFormat="1" x14ac:dyDescent="0.25"/>
    <row r="32730" s="42" customFormat="1" x14ac:dyDescent="0.25"/>
    <row r="32731" s="42" customFormat="1" x14ac:dyDescent="0.25"/>
    <row r="32732" s="42" customFormat="1" x14ac:dyDescent="0.25"/>
    <row r="32733" s="42" customFormat="1" x14ac:dyDescent="0.25"/>
    <row r="32734" s="42" customFormat="1" x14ac:dyDescent="0.25"/>
    <row r="32735" s="42" customFormat="1" x14ac:dyDescent="0.25"/>
    <row r="32736" s="42" customFormat="1" x14ac:dyDescent="0.25"/>
    <row r="32737" s="42" customFormat="1" x14ac:dyDescent="0.25"/>
    <row r="32738" s="42" customFormat="1" x14ac:dyDescent="0.25"/>
    <row r="32739" s="42" customFormat="1" x14ac:dyDescent="0.25"/>
    <row r="32740" s="42" customFormat="1" x14ac:dyDescent="0.25"/>
    <row r="32741" s="42" customFormat="1" x14ac:dyDescent="0.25"/>
    <row r="32742" s="42" customFormat="1" x14ac:dyDescent="0.25"/>
    <row r="32743" s="42" customFormat="1" x14ac:dyDescent="0.25"/>
    <row r="32744" s="42" customFormat="1" x14ac:dyDescent="0.25"/>
    <row r="32745" s="42" customFormat="1" x14ac:dyDescent="0.25"/>
    <row r="32746" s="42" customFormat="1" x14ac:dyDescent="0.25"/>
    <row r="32747" s="42" customFormat="1" x14ac:dyDescent="0.25"/>
    <row r="32748" s="42" customFormat="1" x14ac:dyDescent="0.25"/>
    <row r="32749" s="42" customFormat="1" x14ac:dyDescent="0.25"/>
    <row r="32750" s="42" customFormat="1" x14ac:dyDescent="0.25"/>
    <row r="32751" s="42" customFormat="1" x14ac:dyDescent="0.25"/>
    <row r="32752" s="42" customFormat="1" x14ac:dyDescent="0.25"/>
    <row r="32753" s="42" customFormat="1" x14ac:dyDescent="0.25"/>
    <row r="32754" s="42" customFormat="1" x14ac:dyDescent="0.25"/>
    <row r="32755" s="42" customFormat="1" x14ac:dyDescent="0.25"/>
    <row r="32756" s="42" customFormat="1" x14ac:dyDescent="0.25"/>
    <row r="32757" s="42" customFormat="1" x14ac:dyDescent="0.25"/>
    <row r="32758" s="42" customFormat="1" x14ac:dyDescent="0.25"/>
    <row r="32759" s="42" customFormat="1" x14ac:dyDescent="0.25"/>
    <row r="32760" s="42" customFormat="1" x14ac:dyDescent="0.25"/>
    <row r="32761" s="42" customFormat="1" x14ac:dyDescent="0.25"/>
    <row r="32762" s="42" customFormat="1" x14ac:dyDescent="0.25"/>
    <row r="32763" s="42" customFormat="1" x14ac:dyDescent="0.25"/>
    <row r="32764" s="42" customFormat="1" x14ac:dyDescent="0.25"/>
    <row r="32765" s="42" customFormat="1" x14ac:dyDescent="0.25"/>
    <row r="32766" s="42" customFormat="1" x14ac:dyDescent="0.25"/>
    <row r="32767" s="42" customFormat="1" x14ac:dyDescent="0.25"/>
    <row r="32768" s="42" customFormat="1" x14ac:dyDescent="0.25"/>
    <row r="32769" s="42" customFormat="1" x14ac:dyDescent="0.25"/>
    <row r="32770" s="42" customFormat="1" x14ac:dyDescent="0.25"/>
    <row r="32771" s="42" customFormat="1" x14ac:dyDescent="0.25"/>
    <row r="32772" s="42" customFormat="1" x14ac:dyDescent="0.25"/>
    <row r="32773" s="42" customFormat="1" x14ac:dyDescent="0.25"/>
    <row r="32774" s="42" customFormat="1" x14ac:dyDescent="0.25"/>
    <row r="32775" s="42" customFormat="1" x14ac:dyDescent="0.25"/>
    <row r="32776" s="42" customFormat="1" x14ac:dyDescent="0.25"/>
    <row r="32777" s="42" customFormat="1" x14ac:dyDescent="0.25"/>
    <row r="32778" s="42" customFormat="1" x14ac:dyDescent="0.25"/>
    <row r="32779" s="42" customFormat="1" x14ac:dyDescent="0.25"/>
    <row r="32780" s="42" customFormat="1" x14ac:dyDescent="0.25"/>
    <row r="32781" s="42" customFormat="1" x14ac:dyDescent="0.25"/>
    <row r="32782" s="42" customFormat="1" x14ac:dyDescent="0.25"/>
    <row r="32783" s="42" customFormat="1" x14ac:dyDescent="0.25"/>
    <row r="32784" s="42" customFormat="1" x14ac:dyDescent="0.25"/>
    <row r="32785" s="42" customFormat="1" x14ac:dyDescent="0.25"/>
    <row r="32786" s="42" customFormat="1" x14ac:dyDescent="0.25"/>
    <row r="32787" s="42" customFormat="1" x14ac:dyDescent="0.25"/>
    <row r="32788" s="42" customFormat="1" x14ac:dyDescent="0.25"/>
    <row r="32789" s="42" customFormat="1" x14ac:dyDescent="0.25"/>
    <row r="32790" s="42" customFormat="1" x14ac:dyDescent="0.25"/>
    <row r="32791" s="42" customFormat="1" x14ac:dyDescent="0.25"/>
    <row r="32792" s="42" customFormat="1" x14ac:dyDescent="0.25"/>
    <row r="32793" s="42" customFormat="1" x14ac:dyDescent="0.25"/>
    <row r="32794" s="42" customFormat="1" x14ac:dyDescent="0.25"/>
    <row r="32795" s="42" customFormat="1" x14ac:dyDescent="0.25"/>
    <row r="32796" s="42" customFormat="1" x14ac:dyDescent="0.25"/>
    <row r="32797" s="42" customFormat="1" x14ac:dyDescent="0.25"/>
    <row r="32798" s="42" customFormat="1" x14ac:dyDescent="0.25"/>
    <row r="32799" s="42" customFormat="1" x14ac:dyDescent="0.25"/>
    <row r="32800" s="42" customFormat="1" x14ac:dyDescent="0.25"/>
    <row r="32801" s="42" customFormat="1" x14ac:dyDescent="0.25"/>
    <row r="32802" s="42" customFormat="1" x14ac:dyDescent="0.25"/>
    <row r="32803" s="42" customFormat="1" x14ac:dyDescent="0.25"/>
    <row r="32804" s="42" customFormat="1" x14ac:dyDescent="0.25"/>
    <row r="32805" s="42" customFormat="1" x14ac:dyDescent="0.25"/>
    <row r="32806" s="42" customFormat="1" x14ac:dyDescent="0.25"/>
    <row r="32807" s="42" customFormat="1" x14ac:dyDescent="0.25"/>
    <row r="32808" s="42" customFormat="1" x14ac:dyDescent="0.25"/>
    <row r="32809" s="42" customFormat="1" x14ac:dyDescent="0.25"/>
    <row r="32810" s="42" customFormat="1" x14ac:dyDescent="0.25"/>
    <row r="32811" s="42" customFormat="1" x14ac:dyDescent="0.25"/>
    <row r="32812" s="42" customFormat="1" x14ac:dyDescent="0.25"/>
    <row r="32813" s="42" customFormat="1" x14ac:dyDescent="0.25"/>
    <row r="32814" s="42" customFormat="1" x14ac:dyDescent="0.25"/>
    <row r="32815" s="42" customFormat="1" x14ac:dyDescent="0.25"/>
    <row r="32816" s="42" customFormat="1" x14ac:dyDescent="0.25"/>
    <row r="32817" s="42" customFormat="1" x14ac:dyDescent="0.25"/>
    <row r="32818" s="42" customFormat="1" x14ac:dyDescent="0.25"/>
    <row r="32819" s="42" customFormat="1" x14ac:dyDescent="0.25"/>
    <row r="32820" s="42" customFormat="1" x14ac:dyDescent="0.25"/>
    <row r="32821" s="42" customFormat="1" x14ac:dyDescent="0.25"/>
    <row r="32822" s="42" customFormat="1" x14ac:dyDescent="0.25"/>
    <row r="32823" s="42" customFormat="1" x14ac:dyDescent="0.25"/>
    <row r="32824" s="42" customFormat="1" x14ac:dyDescent="0.25"/>
    <row r="32825" s="42" customFormat="1" x14ac:dyDescent="0.25"/>
    <row r="32826" s="42" customFormat="1" x14ac:dyDescent="0.25"/>
    <row r="32827" s="42" customFormat="1" x14ac:dyDescent="0.25"/>
    <row r="32828" s="42" customFormat="1" x14ac:dyDescent="0.25"/>
    <row r="32829" s="42" customFormat="1" x14ac:dyDescent="0.25"/>
    <row r="32830" s="42" customFormat="1" x14ac:dyDescent="0.25"/>
    <row r="32831" s="42" customFormat="1" x14ac:dyDescent="0.25"/>
    <row r="32832" s="42" customFormat="1" x14ac:dyDescent="0.25"/>
    <row r="32833" s="42" customFormat="1" x14ac:dyDescent="0.25"/>
    <row r="32834" s="42" customFormat="1" x14ac:dyDescent="0.25"/>
    <row r="32835" s="42" customFormat="1" x14ac:dyDescent="0.25"/>
    <row r="32836" s="42" customFormat="1" x14ac:dyDescent="0.25"/>
    <row r="32837" s="42" customFormat="1" x14ac:dyDescent="0.25"/>
    <row r="32838" s="42" customFormat="1" x14ac:dyDescent="0.25"/>
    <row r="32839" s="42" customFormat="1" x14ac:dyDescent="0.25"/>
    <row r="32840" s="42" customFormat="1" x14ac:dyDescent="0.25"/>
    <row r="32841" s="42" customFormat="1" x14ac:dyDescent="0.25"/>
    <row r="32842" s="42" customFormat="1" x14ac:dyDescent="0.25"/>
    <row r="32843" s="42" customFormat="1" x14ac:dyDescent="0.25"/>
    <row r="32844" s="42" customFormat="1" x14ac:dyDescent="0.25"/>
    <row r="32845" s="42" customFormat="1" x14ac:dyDescent="0.25"/>
    <row r="32846" s="42" customFormat="1" x14ac:dyDescent="0.25"/>
    <row r="32847" s="42" customFormat="1" x14ac:dyDescent="0.25"/>
    <row r="32848" s="42" customFormat="1" x14ac:dyDescent="0.25"/>
    <row r="32849" s="42" customFormat="1" x14ac:dyDescent="0.25"/>
    <row r="32850" s="42" customFormat="1" x14ac:dyDescent="0.25"/>
    <row r="32851" s="42" customFormat="1" x14ac:dyDescent="0.25"/>
    <row r="32852" s="42" customFormat="1" x14ac:dyDescent="0.25"/>
    <row r="32853" s="42" customFormat="1" x14ac:dyDescent="0.25"/>
    <row r="32854" s="42" customFormat="1" x14ac:dyDescent="0.25"/>
    <row r="32855" s="42" customFormat="1" x14ac:dyDescent="0.25"/>
    <row r="32856" s="42" customFormat="1" x14ac:dyDescent="0.25"/>
    <row r="32857" s="42" customFormat="1" x14ac:dyDescent="0.25"/>
    <row r="32858" s="42" customFormat="1" x14ac:dyDescent="0.25"/>
    <row r="32859" s="42" customFormat="1" x14ac:dyDescent="0.25"/>
    <row r="32860" s="42" customFormat="1" x14ac:dyDescent="0.25"/>
    <row r="32861" s="42" customFormat="1" x14ac:dyDescent="0.25"/>
    <row r="32862" s="42" customFormat="1" x14ac:dyDescent="0.25"/>
    <row r="32863" s="42" customFormat="1" x14ac:dyDescent="0.25"/>
    <row r="32864" s="42" customFormat="1" x14ac:dyDescent="0.25"/>
    <row r="32865" s="42" customFormat="1" x14ac:dyDescent="0.25"/>
    <row r="32866" s="42" customFormat="1" x14ac:dyDescent="0.25"/>
    <row r="32867" s="42" customFormat="1" x14ac:dyDescent="0.25"/>
    <row r="32868" s="42" customFormat="1" x14ac:dyDescent="0.25"/>
    <row r="32869" s="42" customFormat="1" x14ac:dyDescent="0.25"/>
    <row r="32870" s="42" customFormat="1" x14ac:dyDescent="0.25"/>
    <row r="32871" s="42" customFormat="1" x14ac:dyDescent="0.25"/>
    <row r="32872" s="42" customFormat="1" x14ac:dyDescent="0.25"/>
    <row r="32873" s="42" customFormat="1" x14ac:dyDescent="0.25"/>
    <row r="32874" s="42" customFormat="1" x14ac:dyDescent="0.25"/>
    <row r="32875" s="42" customFormat="1" x14ac:dyDescent="0.25"/>
    <row r="32876" s="42" customFormat="1" x14ac:dyDescent="0.25"/>
    <row r="32877" s="42" customFormat="1" x14ac:dyDescent="0.25"/>
    <row r="32878" s="42" customFormat="1" x14ac:dyDescent="0.25"/>
    <row r="32879" s="42" customFormat="1" x14ac:dyDescent="0.25"/>
    <row r="32880" s="42" customFormat="1" x14ac:dyDescent="0.25"/>
    <row r="32881" s="42" customFormat="1" x14ac:dyDescent="0.25"/>
    <row r="32882" s="42" customFormat="1" x14ac:dyDescent="0.25"/>
    <row r="32883" s="42" customFormat="1" x14ac:dyDescent="0.25"/>
    <row r="32884" s="42" customFormat="1" x14ac:dyDescent="0.25"/>
    <row r="32885" s="42" customFormat="1" x14ac:dyDescent="0.25"/>
    <row r="32886" s="42" customFormat="1" x14ac:dyDescent="0.25"/>
    <row r="32887" s="42" customFormat="1" x14ac:dyDescent="0.25"/>
    <row r="32888" s="42" customFormat="1" x14ac:dyDescent="0.25"/>
    <row r="32889" s="42" customFormat="1" x14ac:dyDescent="0.25"/>
    <row r="32890" s="42" customFormat="1" x14ac:dyDescent="0.25"/>
    <row r="32891" s="42" customFormat="1" x14ac:dyDescent="0.25"/>
    <row r="32892" s="42" customFormat="1" x14ac:dyDescent="0.25"/>
    <row r="32893" s="42" customFormat="1" x14ac:dyDescent="0.25"/>
    <row r="32894" s="42" customFormat="1" x14ac:dyDescent="0.25"/>
    <row r="32895" s="42" customFormat="1" x14ac:dyDescent="0.25"/>
    <row r="32896" s="42" customFormat="1" x14ac:dyDescent="0.25"/>
    <row r="32897" s="42" customFormat="1" x14ac:dyDescent="0.25"/>
    <row r="32898" s="42" customFormat="1" x14ac:dyDescent="0.25"/>
    <row r="32899" s="42" customFormat="1" x14ac:dyDescent="0.25"/>
    <row r="32900" s="42" customFormat="1" x14ac:dyDescent="0.25"/>
    <row r="32901" s="42" customFormat="1" x14ac:dyDescent="0.25"/>
    <row r="32902" s="42" customFormat="1" x14ac:dyDescent="0.25"/>
    <row r="32903" s="42" customFormat="1" x14ac:dyDescent="0.25"/>
    <row r="32904" s="42" customFormat="1" x14ac:dyDescent="0.25"/>
    <row r="32905" s="42" customFormat="1" x14ac:dyDescent="0.25"/>
    <row r="32906" s="42" customFormat="1" x14ac:dyDescent="0.25"/>
    <row r="32907" s="42" customFormat="1" x14ac:dyDescent="0.25"/>
    <row r="32908" s="42" customFormat="1" x14ac:dyDescent="0.25"/>
    <row r="32909" s="42" customFormat="1" x14ac:dyDescent="0.25"/>
    <row r="32910" s="42" customFormat="1" x14ac:dyDescent="0.25"/>
    <row r="32911" s="42" customFormat="1" x14ac:dyDescent="0.25"/>
    <row r="32912" s="42" customFormat="1" x14ac:dyDescent="0.25"/>
    <row r="32913" s="42" customFormat="1" x14ac:dyDescent="0.25"/>
    <row r="32914" s="42" customFormat="1" x14ac:dyDescent="0.25"/>
    <row r="32915" s="42" customFormat="1" x14ac:dyDescent="0.25"/>
    <row r="32916" s="42" customFormat="1" x14ac:dyDescent="0.25"/>
    <row r="32917" s="42" customFormat="1" x14ac:dyDescent="0.25"/>
    <row r="32918" s="42" customFormat="1" x14ac:dyDescent="0.25"/>
    <row r="32919" s="42" customFormat="1" x14ac:dyDescent="0.25"/>
    <row r="32920" s="42" customFormat="1" x14ac:dyDescent="0.25"/>
    <row r="32921" s="42" customFormat="1" x14ac:dyDescent="0.25"/>
    <row r="32922" s="42" customFormat="1" x14ac:dyDescent="0.25"/>
    <row r="32923" s="42" customFormat="1" x14ac:dyDescent="0.25"/>
    <row r="32924" s="42" customFormat="1" x14ac:dyDescent="0.25"/>
    <row r="32925" s="42" customFormat="1" x14ac:dyDescent="0.25"/>
    <row r="32926" s="42" customFormat="1" x14ac:dyDescent="0.25"/>
    <row r="32927" s="42" customFormat="1" x14ac:dyDescent="0.25"/>
    <row r="32928" s="42" customFormat="1" x14ac:dyDescent="0.25"/>
    <row r="32929" s="42" customFormat="1" x14ac:dyDescent="0.25"/>
    <row r="32930" s="42" customFormat="1" x14ac:dyDescent="0.25"/>
    <row r="32931" s="42" customFormat="1" x14ac:dyDescent="0.25"/>
    <row r="32932" s="42" customFormat="1" x14ac:dyDescent="0.25"/>
    <row r="32933" s="42" customFormat="1" x14ac:dyDescent="0.25"/>
    <row r="32934" s="42" customFormat="1" x14ac:dyDescent="0.25"/>
    <row r="32935" s="42" customFormat="1" x14ac:dyDescent="0.25"/>
    <row r="32936" s="42" customFormat="1" x14ac:dyDescent="0.25"/>
    <row r="32937" s="42" customFormat="1" x14ac:dyDescent="0.25"/>
    <row r="32938" s="42" customFormat="1" x14ac:dyDescent="0.25"/>
    <row r="32939" s="42" customFormat="1" x14ac:dyDescent="0.25"/>
    <row r="32940" s="42" customFormat="1" x14ac:dyDescent="0.25"/>
    <row r="32941" s="42" customFormat="1" x14ac:dyDescent="0.25"/>
    <row r="32942" s="42" customFormat="1" x14ac:dyDescent="0.25"/>
    <row r="32943" s="42" customFormat="1" x14ac:dyDescent="0.25"/>
    <row r="32944" s="42" customFormat="1" x14ac:dyDescent="0.25"/>
    <row r="32945" s="42" customFormat="1" x14ac:dyDescent="0.25"/>
    <row r="32946" s="42" customFormat="1" x14ac:dyDescent="0.25"/>
    <row r="32947" s="42" customFormat="1" x14ac:dyDescent="0.25"/>
    <row r="32948" s="42" customFormat="1" x14ac:dyDescent="0.25"/>
    <row r="32949" s="42" customFormat="1" x14ac:dyDescent="0.25"/>
    <row r="32950" s="42" customFormat="1" x14ac:dyDescent="0.25"/>
    <row r="32951" s="42" customFormat="1" x14ac:dyDescent="0.25"/>
    <row r="32952" s="42" customFormat="1" x14ac:dyDescent="0.25"/>
    <row r="32953" s="42" customFormat="1" x14ac:dyDescent="0.25"/>
    <row r="32954" s="42" customFormat="1" x14ac:dyDescent="0.25"/>
    <row r="32955" s="42" customFormat="1" x14ac:dyDescent="0.25"/>
    <row r="32956" s="42" customFormat="1" x14ac:dyDescent="0.25"/>
    <row r="32957" s="42" customFormat="1" x14ac:dyDescent="0.25"/>
    <row r="32958" s="42" customFormat="1" x14ac:dyDescent="0.25"/>
    <row r="32959" s="42" customFormat="1" x14ac:dyDescent="0.25"/>
    <row r="32960" s="42" customFormat="1" x14ac:dyDescent="0.25"/>
    <row r="32961" s="42" customFormat="1" x14ac:dyDescent="0.25"/>
    <row r="32962" s="42" customFormat="1" x14ac:dyDescent="0.25"/>
    <row r="32963" s="42" customFormat="1" x14ac:dyDescent="0.25"/>
    <row r="32964" s="42" customFormat="1" x14ac:dyDescent="0.25"/>
    <row r="32965" s="42" customFormat="1" x14ac:dyDescent="0.25"/>
    <row r="32966" s="42" customFormat="1" x14ac:dyDescent="0.25"/>
    <row r="32967" s="42" customFormat="1" x14ac:dyDescent="0.25"/>
    <row r="32968" s="42" customFormat="1" x14ac:dyDescent="0.25"/>
    <row r="32969" s="42" customFormat="1" x14ac:dyDescent="0.25"/>
    <row r="32970" s="42" customFormat="1" x14ac:dyDescent="0.25"/>
    <row r="32971" s="42" customFormat="1" x14ac:dyDescent="0.25"/>
    <row r="32972" s="42" customFormat="1" x14ac:dyDescent="0.25"/>
    <row r="32973" s="42" customFormat="1" x14ac:dyDescent="0.25"/>
    <row r="32974" s="42" customFormat="1" x14ac:dyDescent="0.25"/>
    <row r="32975" s="42" customFormat="1" x14ac:dyDescent="0.25"/>
    <row r="32976" s="42" customFormat="1" x14ac:dyDescent="0.25"/>
    <row r="32977" s="42" customFormat="1" x14ac:dyDescent="0.25"/>
    <row r="32978" s="42" customFormat="1" x14ac:dyDescent="0.25"/>
    <row r="32979" s="42" customFormat="1" x14ac:dyDescent="0.25"/>
    <row r="32980" s="42" customFormat="1" x14ac:dyDescent="0.25"/>
    <row r="32981" s="42" customFormat="1" x14ac:dyDescent="0.25"/>
    <row r="32982" s="42" customFormat="1" x14ac:dyDescent="0.25"/>
    <row r="32983" s="42" customFormat="1" x14ac:dyDescent="0.25"/>
    <row r="32984" s="42" customFormat="1" x14ac:dyDescent="0.25"/>
    <row r="32985" s="42" customFormat="1" x14ac:dyDescent="0.25"/>
    <row r="32986" s="42" customFormat="1" x14ac:dyDescent="0.25"/>
    <row r="32987" s="42" customFormat="1" x14ac:dyDescent="0.25"/>
    <row r="32988" s="42" customFormat="1" x14ac:dyDescent="0.25"/>
    <row r="32989" s="42" customFormat="1" x14ac:dyDescent="0.25"/>
    <row r="32990" s="42" customFormat="1" x14ac:dyDescent="0.25"/>
    <row r="32991" s="42" customFormat="1" x14ac:dyDescent="0.25"/>
    <row r="32992" s="42" customFormat="1" x14ac:dyDescent="0.25"/>
    <row r="32993" s="42" customFormat="1" x14ac:dyDescent="0.25"/>
    <row r="32994" s="42" customFormat="1" x14ac:dyDescent="0.25"/>
    <row r="32995" s="42" customFormat="1" x14ac:dyDescent="0.25"/>
    <row r="32996" s="42" customFormat="1" x14ac:dyDescent="0.25"/>
    <row r="32997" s="42" customFormat="1" x14ac:dyDescent="0.25"/>
    <row r="32998" s="42" customFormat="1" x14ac:dyDescent="0.25"/>
    <row r="32999" s="42" customFormat="1" x14ac:dyDescent="0.25"/>
    <row r="33000" s="42" customFormat="1" x14ac:dyDescent="0.25"/>
    <row r="33001" s="42" customFormat="1" x14ac:dyDescent="0.25"/>
    <row r="33002" s="42" customFormat="1" x14ac:dyDescent="0.25"/>
    <row r="33003" s="42" customFormat="1" x14ac:dyDescent="0.25"/>
    <row r="33004" s="42" customFormat="1" x14ac:dyDescent="0.25"/>
    <row r="33005" s="42" customFormat="1" x14ac:dyDescent="0.25"/>
    <row r="33006" s="42" customFormat="1" x14ac:dyDescent="0.25"/>
    <row r="33007" s="42" customFormat="1" x14ac:dyDescent="0.25"/>
    <row r="33008" s="42" customFormat="1" x14ac:dyDescent="0.25"/>
    <row r="33009" s="42" customFormat="1" x14ac:dyDescent="0.25"/>
    <row r="33010" s="42" customFormat="1" x14ac:dyDescent="0.25"/>
    <row r="33011" s="42" customFormat="1" x14ac:dyDescent="0.25"/>
    <row r="33012" s="42" customFormat="1" x14ac:dyDescent="0.25"/>
    <row r="33013" s="42" customFormat="1" x14ac:dyDescent="0.25"/>
    <row r="33014" s="42" customFormat="1" x14ac:dyDescent="0.25"/>
    <row r="33015" s="42" customFormat="1" x14ac:dyDescent="0.25"/>
    <row r="33016" s="42" customFormat="1" x14ac:dyDescent="0.25"/>
    <row r="33017" s="42" customFormat="1" x14ac:dyDescent="0.25"/>
    <row r="33018" s="42" customFormat="1" x14ac:dyDescent="0.25"/>
    <row r="33019" s="42" customFormat="1" x14ac:dyDescent="0.25"/>
    <row r="33020" s="42" customFormat="1" x14ac:dyDescent="0.25"/>
    <row r="33021" s="42" customFormat="1" x14ac:dyDescent="0.25"/>
    <row r="33022" s="42" customFormat="1" x14ac:dyDescent="0.25"/>
    <row r="33023" s="42" customFormat="1" x14ac:dyDescent="0.25"/>
    <row r="33024" s="42" customFormat="1" x14ac:dyDescent="0.25"/>
    <row r="33025" s="42" customFormat="1" x14ac:dyDescent="0.25"/>
    <row r="33026" s="42" customFormat="1" x14ac:dyDescent="0.25"/>
    <row r="33027" s="42" customFormat="1" x14ac:dyDescent="0.25"/>
    <row r="33028" s="42" customFormat="1" x14ac:dyDescent="0.25"/>
    <row r="33029" s="42" customFormat="1" x14ac:dyDescent="0.25"/>
    <row r="33030" s="42" customFormat="1" x14ac:dyDescent="0.25"/>
    <row r="33031" s="42" customFormat="1" x14ac:dyDescent="0.25"/>
    <row r="33032" s="42" customFormat="1" x14ac:dyDescent="0.25"/>
    <row r="33033" s="42" customFormat="1" x14ac:dyDescent="0.25"/>
    <row r="33034" s="42" customFormat="1" x14ac:dyDescent="0.25"/>
    <row r="33035" s="42" customFormat="1" x14ac:dyDescent="0.25"/>
    <row r="33036" s="42" customFormat="1" x14ac:dyDescent="0.25"/>
    <row r="33037" s="42" customFormat="1" x14ac:dyDescent="0.25"/>
    <row r="33038" s="42" customFormat="1" x14ac:dyDescent="0.25"/>
    <row r="33039" s="42" customFormat="1" x14ac:dyDescent="0.25"/>
    <row r="33040" s="42" customFormat="1" x14ac:dyDescent="0.25"/>
    <row r="33041" s="42" customFormat="1" x14ac:dyDescent="0.25"/>
    <row r="33042" s="42" customFormat="1" x14ac:dyDescent="0.25"/>
    <row r="33043" s="42" customFormat="1" x14ac:dyDescent="0.25"/>
    <row r="33044" s="42" customFormat="1" x14ac:dyDescent="0.25"/>
    <row r="33045" s="42" customFormat="1" x14ac:dyDescent="0.25"/>
    <row r="33046" s="42" customFormat="1" x14ac:dyDescent="0.25"/>
    <row r="33047" s="42" customFormat="1" x14ac:dyDescent="0.25"/>
    <row r="33048" s="42" customFormat="1" x14ac:dyDescent="0.25"/>
    <row r="33049" s="42" customFormat="1" x14ac:dyDescent="0.25"/>
    <row r="33050" s="42" customFormat="1" x14ac:dyDescent="0.25"/>
    <row r="33051" s="42" customFormat="1" x14ac:dyDescent="0.25"/>
    <row r="33052" s="42" customFormat="1" x14ac:dyDescent="0.25"/>
    <row r="33053" s="42" customFormat="1" x14ac:dyDescent="0.25"/>
    <row r="33054" s="42" customFormat="1" x14ac:dyDescent="0.25"/>
    <row r="33055" s="42" customFormat="1" x14ac:dyDescent="0.25"/>
    <row r="33056" s="42" customFormat="1" x14ac:dyDescent="0.25"/>
    <row r="33057" s="42" customFormat="1" x14ac:dyDescent="0.25"/>
    <row r="33058" s="42" customFormat="1" x14ac:dyDescent="0.25"/>
    <row r="33059" s="42" customFormat="1" x14ac:dyDescent="0.25"/>
    <row r="33060" s="42" customFormat="1" x14ac:dyDescent="0.25"/>
    <row r="33061" s="42" customFormat="1" x14ac:dyDescent="0.25"/>
    <row r="33062" s="42" customFormat="1" x14ac:dyDescent="0.25"/>
    <row r="33063" s="42" customFormat="1" x14ac:dyDescent="0.25"/>
    <row r="33064" s="42" customFormat="1" x14ac:dyDescent="0.25"/>
    <row r="33065" s="42" customFormat="1" x14ac:dyDescent="0.25"/>
    <row r="33066" s="42" customFormat="1" x14ac:dyDescent="0.25"/>
    <row r="33067" s="42" customFormat="1" x14ac:dyDescent="0.25"/>
    <row r="33068" s="42" customFormat="1" x14ac:dyDescent="0.25"/>
    <row r="33069" s="42" customFormat="1" x14ac:dyDescent="0.25"/>
    <row r="33070" s="42" customFormat="1" x14ac:dyDescent="0.25"/>
    <row r="33071" s="42" customFormat="1" x14ac:dyDescent="0.25"/>
    <row r="33072" s="42" customFormat="1" x14ac:dyDescent="0.25"/>
    <row r="33073" s="42" customFormat="1" x14ac:dyDescent="0.25"/>
    <row r="33074" s="42" customFormat="1" x14ac:dyDescent="0.25"/>
    <row r="33075" s="42" customFormat="1" x14ac:dyDescent="0.25"/>
    <row r="33076" s="42" customFormat="1" x14ac:dyDescent="0.25"/>
    <row r="33077" s="42" customFormat="1" x14ac:dyDescent="0.25"/>
    <row r="33078" s="42" customFormat="1" x14ac:dyDescent="0.25"/>
    <row r="33079" s="42" customFormat="1" x14ac:dyDescent="0.25"/>
    <row r="33080" s="42" customFormat="1" x14ac:dyDescent="0.25"/>
    <row r="33081" s="42" customFormat="1" x14ac:dyDescent="0.25"/>
    <row r="33082" s="42" customFormat="1" x14ac:dyDescent="0.25"/>
    <row r="33083" s="42" customFormat="1" x14ac:dyDescent="0.25"/>
    <row r="33084" s="42" customFormat="1" x14ac:dyDescent="0.25"/>
    <row r="33085" s="42" customFormat="1" x14ac:dyDescent="0.25"/>
    <row r="33086" s="42" customFormat="1" x14ac:dyDescent="0.25"/>
    <row r="33087" s="42" customFormat="1" x14ac:dyDescent="0.25"/>
    <row r="33088" s="42" customFormat="1" x14ac:dyDescent="0.25"/>
    <row r="33089" s="42" customFormat="1" x14ac:dyDescent="0.25"/>
    <row r="33090" s="42" customFormat="1" x14ac:dyDescent="0.25"/>
    <row r="33091" s="42" customFormat="1" x14ac:dyDescent="0.25"/>
    <row r="33092" s="42" customFormat="1" x14ac:dyDescent="0.25"/>
    <row r="33093" s="42" customFormat="1" x14ac:dyDescent="0.25"/>
    <row r="33094" s="42" customFormat="1" x14ac:dyDescent="0.25"/>
    <row r="33095" s="42" customFormat="1" x14ac:dyDescent="0.25"/>
    <row r="33096" s="42" customFormat="1" x14ac:dyDescent="0.25"/>
    <row r="33097" s="42" customFormat="1" x14ac:dyDescent="0.25"/>
    <row r="33098" s="42" customFormat="1" x14ac:dyDescent="0.25"/>
    <row r="33099" s="42" customFormat="1" x14ac:dyDescent="0.25"/>
    <row r="33100" s="42" customFormat="1" x14ac:dyDescent="0.25"/>
    <row r="33101" s="42" customFormat="1" x14ac:dyDescent="0.25"/>
    <row r="33102" s="42" customFormat="1" x14ac:dyDescent="0.25"/>
    <row r="33103" s="42" customFormat="1" x14ac:dyDescent="0.25"/>
    <row r="33104" s="42" customFormat="1" x14ac:dyDescent="0.25"/>
    <row r="33105" s="42" customFormat="1" x14ac:dyDescent="0.25"/>
    <row r="33106" s="42" customFormat="1" x14ac:dyDescent="0.25"/>
    <row r="33107" s="42" customFormat="1" x14ac:dyDescent="0.25"/>
    <row r="33108" s="42" customFormat="1" x14ac:dyDescent="0.25"/>
    <row r="33109" s="42" customFormat="1" x14ac:dyDescent="0.25"/>
    <row r="33110" s="42" customFormat="1" x14ac:dyDescent="0.25"/>
    <row r="33111" s="42" customFormat="1" x14ac:dyDescent="0.25"/>
    <row r="33112" s="42" customFormat="1" x14ac:dyDescent="0.25"/>
    <row r="33113" s="42" customFormat="1" x14ac:dyDescent="0.25"/>
    <row r="33114" s="42" customFormat="1" x14ac:dyDescent="0.25"/>
    <row r="33115" s="42" customFormat="1" x14ac:dyDescent="0.25"/>
    <row r="33116" s="42" customFormat="1" x14ac:dyDescent="0.25"/>
    <row r="33117" s="42" customFormat="1" x14ac:dyDescent="0.25"/>
    <row r="33118" s="42" customFormat="1" x14ac:dyDescent="0.25"/>
    <row r="33119" s="42" customFormat="1" x14ac:dyDescent="0.25"/>
    <row r="33120" s="42" customFormat="1" x14ac:dyDescent="0.25"/>
    <row r="33121" s="42" customFormat="1" x14ac:dyDescent="0.25"/>
    <row r="33122" s="42" customFormat="1" x14ac:dyDescent="0.25"/>
    <row r="33123" s="42" customFormat="1" x14ac:dyDescent="0.25"/>
    <row r="33124" s="42" customFormat="1" x14ac:dyDescent="0.25"/>
    <row r="33125" s="42" customFormat="1" x14ac:dyDescent="0.25"/>
    <row r="33126" s="42" customFormat="1" x14ac:dyDescent="0.25"/>
    <row r="33127" s="42" customFormat="1" x14ac:dyDescent="0.25"/>
    <row r="33128" s="42" customFormat="1" x14ac:dyDescent="0.25"/>
    <row r="33129" s="42" customFormat="1" x14ac:dyDescent="0.25"/>
    <row r="33130" s="42" customFormat="1" x14ac:dyDescent="0.25"/>
    <row r="33131" s="42" customFormat="1" x14ac:dyDescent="0.25"/>
    <row r="33132" s="42" customFormat="1" x14ac:dyDescent="0.25"/>
    <row r="33133" s="42" customFormat="1" x14ac:dyDescent="0.25"/>
    <row r="33134" s="42" customFormat="1" x14ac:dyDescent="0.25"/>
    <row r="33135" s="42" customFormat="1" x14ac:dyDescent="0.25"/>
    <row r="33136" s="42" customFormat="1" x14ac:dyDescent="0.25"/>
    <row r="33137" s="42" customFormat="1" x14ac:dyDescent="0.25"/>
    <row r="33138" s="42" customFormat="1" x14ac:dyDescent="0.25"/>
    <row r="33139" s="42" customFormat="1" x14ac:dyDescent="0.25"/>
    <row r="33140" s="42" customFormat="1" x14ac:dyDescent="0.25"/>
    <row r="33141" s="42" customFormat="1" x14ac:dyDescent="0.25"/>
    <row r="33142" s="42" customFormat="1" x14ac:dyDescent="0.25"/>
    <row r="33143" s="42" customFormat="1" x14ac:dyDescent="0.25"/>
    <row r="33144" s="42" customFormat="1" x14ac:dyDescent="0.25"/>
    <row r="33145" s="42" customFormat="1" x14ac:dyDescent="0.25"/>
    <row r="33146" s="42" customFormat="1" x14ac:dyDescent="0.25"/>
    <row r="33147" s="42" customFormat="1" x14ac:dyDescent="0.25"/>
    <row r="33148" s="42" customFormat="1" x14ac:dyDescent="0.25"/>
    <row r="33149" s="42" customFormat="1" x14ac:dyDescent="0.25"/>
    <row r="33150" s="42" customFormat="1" x14ac:dyDescent="0.25"/>
    <row r="33151" s="42" customFormat="1" x14ac:dyDescent="0.25"/>
    <row r="33152" s="42" customFormat="1" x14ac:dyDescent="0.25"/>
    <row r="33153" s="42" customFormat="1" x14ac:dyDescent="0.25"/>
    <row r="33154" s="42" customFormat="1" x14ac:dyDescent="0.25"/>
    <row r="33155" s="42" customFormat="1" x14ac:dyDescent="0.25"/>
    <row r="33156" s="42" customFormat="1" x14ac:dyDescent="0.25"/>
    <row r="33157" s="42" customFormat="1" x14ac:dyDescent="0.25"/>
    <row r="33158" s="42" customFormat="1" x14ac:dyDescent="0.25"/>
    <row r="33159" s="42" customFormat="1" x14ac:dyDescent="0.25"/>
    <row r="33160" s="42" customFormat="1" x14ac:dyDescent="0.25"/>
    <row r="33161" s="42" customFormat="1" x14ac:dyDescent="0.25"/>
    <row r="33162" s="42" customFormat="1" x14ac:dyDescent="0.25"/>
    <row r="33163" s="42" customFormat="1" x14ac:dyDescent="0.25"/>
    <row r="33164" s="42" customFormat="1" x14ac:dyDescent="0.25"/>
    <row r="33165" s="42" customFormat="1" x14ac:dyDescent="0.25"/>
    <row r="33166" s="42" customFormat="1" x14ac:dyDescent="0.25"/>
    <row r="33167" s="42" customFormat="1" x14ac:dyDescent="0.25"/>
    <row r="33168" s="42" customFormat="1" x14ac:dyDescent="0.25"/>
    <row r="33169" s="42" customFormat="1" x14ac:dyDescent="0.25"/>
    <row r="33170" s="42" customFormat="1" x14ac:dyDescent="0.25"/>
    <row r="33171" s="42" customFormat="1" x14ac:dyDescent="0.25"/>
    <row r="33172" s="42" customFormat="1" x14ac:dyDescent="0.25"/>
    <row r="33173" s="42" customFormat="1" x14ac:dyDescent="0.25"/>
    <row r="33174" s="42" customFormat="1" x14ac:dyDescent="0.25"/>
    <row r="33175" s="42" customFormat="1" x14ac:dyDescent="0.25"/>
    <row r="33176" s="42" customFormat="1" x14ac:dyDescent="0.25"/>
    <row r="33177" s="42" customFormat="1" x14ac:dyDescent="0.25"/>
    <row r="33178" s="42" customFormat="1" x14ac:dyDescent="0.25"/>
    <row r="33179" s="42" customFormat="1" x14ac:dyDescent="0.25"/>
    <row r="33180" s="42" customFormat="1" x14ac:dyDescent="0.25"/>
    <row r="33181" s="42" customFormat="1" x14ac:dyDescent="0.25"/>
    <row r="33182" s="42" customFormat="1" x14ac:dyDescent="0.25"/>
    <row r="33183" s="42" customFormat="1" x14ac:dyDescent="0.25"/>
    <row r="33184" s="42" customFormat="1" x14ac:dyDescent="0.25"/>
    <row r="33185" s="42" customFormat="1" x14ac:dyDescent="0.25"/>
    <row r="33186" s="42" customFormat="1" x14ac:dyDescent="0.25"/>
    <row r="33187" s="42" customFormat="1" x14ac:dyDescent="0.25"/>
    <row r="33188" s="42" customFormat="1" x14ac:dyDescent="0.25"/>
    <row r="33189" s="42" customFormat="1" x14ac:dyDescent="0.25"/>
    <row r="33190" s="42" customFormat="1" x14ac:dyDescent="0.25"/>
    <row r="33191" s="42" customFormat="1" x14ac:dyDescent="0.25"/>
    <row r="33192" s="42" customFormat="1" x14ac:dyDescent="0.25"/>
    <row r="33193" s="42" customFormat="1" x14ac:dyDescent="0.25"/>
    <row r="33194" s="42" customFormat="1" x14ac:dyDescent="0.25"/>
    <row r="33195" s="42" customFormat="1" x14ac:dyDescent="0.25"/>
    <row r="33196" s="42" customFormat="1" x14ac:dyDescent="0.25"/>
    <row r="33197" s="42" customFormat="1" x14ac:dyDescent="0.25"/>
    <row r="33198" s="42" customFormat="1" x14ac:dyDescent="0.25"/>
    <row r="33199" s="42" customFormat="1" x14ac:dyDescent="0.25"/>
    <row r="33200" s="42" customFormat="1" x14ac:dyDescent="0.25"/>
    <row r="33201" s="42" customFormat="1" x14ac:dyDescent="0.25"/>
    <row r="33202" s="42" customFormat="1" x14ac:dyDescent="0.25"/>
    <row r="33203" s="42" customFormat="1" x14ac:dyDescent="0.25"/>
    <row r="33204" s="42" customFormat="1" x14ac:dyDescent="0.25"/>
    <row r="33205" s="42" customFormat="1" x14ac:dyDescent="0.25"/>
    <row r="33206" s="42" customFormat="1" x14ac:dyDescent="0.25"/>
    <row r="33207" s="42" customFormat="1" x14ac:dyDescent="0.25"/>
    <row r="33208" s="42" customFormat="1" x14ac:dyDescent="0.25"/>
    <row r="33209" s="42" customFormat="1" x14ac:dyDescent="0.25"/>
    <row r="33210" s="42" customFormat="1" x14ac:dyDescent="0.25"/>
    <row r="33211" s="42" customFormat="1" x14ac:dyDescent="0.25"/>
    <row r="33212" s="42" customFormat="1" x14ac:dyDescent="0.25"/>
    <row r="33213" s="42" customFormat="1" x14ac:dyDescent="0.25"/>
    <row r="33214" s="42" customFormat="1" x14ac:dyDescent="0.25"/>
    <row r="33215" s="42" customFormat="1" x14ac:dyDescent="0.25"/>
    <row r="33216" s="42" customFormat="1" x14ac:dyDescent="0.25"/>
    <row r="33217" s="42" customFormat="1" x14ac:dyDescent="0.25"/>
    <row r="33218" s="42" customFormat="1" x14ac:dyDescent="0.25"/>
    <row r="33219" s="42" customFormat="1" x14ac:dyDescent="0.25"/>
    <row r="33220" s="42" customFormat="1" x14ac:dyDescent="0.25"/>
    <row r="33221" s="42" customFormat="1" x14ac:dyDescent="0.25"/>
    <row r="33222" s="42" customFormat="1" x14ac:dyDescent="0.25"/>
    <row r="33223" s="42" customFormat="1" x14ac:dyDescent="0.25"/>
    <row r="33224" s="42" customFormat="1" x14ac:dyDescent="0.25"/>
    <row r="33225" s="42" customFormat="1" x14ac:dyDescent="0.25"/>
    <row r="33226" s="42" customFormat="1" x14ac:dyDescent="0.25"/>
    <row r="33227" s="42" customFormat="1" x14ac:dyDescent="0.25"/>
    <row r="33228" s="42" customFormat="1" x14ac:dyDescent="0.25"/>
    <row r="33229" s="42" customFormat="1" x14ac:dyDescent="0.25"/>
    <row r="33230" s="42" customFormat="1" x14ac:dyDescent="0.25"/>
    <row r="33231" s="42" customFormat="1" x14ac:dyDescent="0.25"/>
    <row r="33232" s="42" customFormat="1" x14ac:dyDescent="0.25"/>
    <row r="33233" s="42" customFormat="1" x14ac:dyDescent="0.25"/>
    <row r="33234" s="42" customFormat="1" x14ac:dyDescent="0.25"/>
    <row r="33235" s="42" customFormat="1" x14ac:dyDescent="0.25"/>
    <row r="33236" s="42" customFormat="1" x14ac:dyDescent="0.25"/>
    <row r="33237" s="42" customFormat="1" x14ac:dyDescent="0.25"/>
    <row r="33238" s="42" customFormat="1" x14ac:dyDescent="0.25"/>
    <row r="33239" s="42" customFormat="1" x14ac:dyDescent="0.25"/>
    <row r="33240" s="42" customFormat="1" x14ac:dyDescent="0.25"/>
    <row r="33241" s="42" customFormat="1" x14ac:dyDescent="0.25"/>
    <row r="33242" s="42" customFormat="1" x14ac:dyDescent="0.25"/>
    <row r="33243" s="42" customFormat="1" x14ac:dyDescent="0.25"/>
    <row r="33244" s="42" customFormat="1" x14ac:dyDescent="0.25"/>
    <row r="33245" s="42" customFormat="1" x14ac:dyDescent="0.25"/>
    <row r="33246" s="42" customFormat="1" x14ac:dyDescent="0.25"/>
    <row r="33247" s="42" customFormat="1" x14ac:dyDescent="0.25"/>
    <row r="33248" s="42" customFormat="1" x14ac:dyDescent="0.25"/>
    <row r="33249" s="42" customFormat="1" x14ac:dyDescent="0.25"/>
    <row r="33250" s="42" customFormat="1" x14ac:dyDescent="0.25"/>
    <row r="33251" s="42" customFormat="1" x14ac:dyDescent="0.25"/>
    <row r="33252" s="42" customFormat="1" x14ac:dyDescent="0.25"/>
    <row r="33253" s="42" customFormat="1" x14ac:dyDescent="0.25"/>
    <row r="33254" s="42" customFormat="1" x14ac:dyDescent="0.25"/>
    <row r="33255" s="42" customFormat="1" x14ac:dyDescent="0.25"/>
    <row r="33256" s="42" customFormat="1" x14ac:dyDescent="0.25"/>
    <row r="33257" s="42" customFormat="1" x14ac:dyDescent="0.25"/>
    <row r="33258" s="42" customFormat="1" x14ac:dyDescent="0.25"/>
    <row r="33259" s="42" customFormat="1" x14ac:dyDescent="0.25"/>
    <row r="33260" s="42" customFormat="1" x14ac:dyDescent="0.25"/>
    <row r="33261" s="42" customFormat="1" x14ac:dyDescent="0.25"/>
    <row r="33262" s="42" customFormat="1" x14ac:dyDescent="0.25"/>
    <row r="33263" s="42" customFormat="1" x14ac:dyDescent="0.25"/>
    <row r="33264" s="42" customFormat="1" x14ac:dyDescent="0.25"/>
    <row r="33265" s="42" customFormat="1" x14ac:dyDescent="0.25"/>
    <row r="33266" s="42" customFormat="1" x14ac:dyDescent="0.25"/>
    <row r="33267" s="42" customFormat="1" x14ac:dyDescent="0.25"/>
    <row r="33268" s="42" customFormat="1" x14ac:dyDescent="0.25"/>
    <row r="33269" s="42" customFormat="1" x14ac:dyDescent="0.25"/>
    <row r="33270" s="42" customFormat="1" x14ac:dyDescent="0.25"/>
    <row r="33271" s="42" customFormat="1" x14ac:dyDescent="0.25"/>
    <row r="33272" s="42" customFormat="1" x14ac:dyDescent="0.25"/>
    <row r="33273" s="42" customFormat="1" x14ac:dyDescent="0.25"/>
    <row r="33274" s="42" customFormat="1" x14ac:dyDescent="0.25"/>
    <row r="33275" s="42" customFormat="1" x14ac:dyDescent="0.25"/>
    <row r="33276" s="42" customFormat="1" x14ac:dyDescent="0.25"/>
    <row r="33277" s="42" customFormat="1" x14ac:dyDescent="0.25"/>
    <row r="33278" s="42" customFormat="1" x14ac:dyDescent="0.25"/>
    <row r="33279" s="42" customFormat="1" x14ac:dyDescent="0.25"/>
    <row r="33280" s="42" customFormat="1" x14ac:dyDescent="0.25"/>
    <row r="33281" s="42" customFormat="1" x14ac:dyDescent="0.25"/>
    <row r="33282" s="42" customFormat="1" x14ac:dyDescent="0.25"/>
    <row r="33283" s="42" customFormat="1" x14ac:dyDescent="0.25"/>
    <row r="33284" s="42" customFormat="1" x14ac:dyDescent="0.25"/>
    <row r="33285" s="42" customFormat="1" x14ac:dyDescent="0.25"/>
    <row r="33286" s="42" customFormat="1" x14ac:dyDescent="0.25"/>
    <row r="33287" s="42" customFormat="1" x14ac:dyDescent="0.25"/>
    <row r="33288" s="42" customFormat="1" x14ac:dyDescent="0.25"/>
    <row r="33289" s="42" customFormat="1" x14ac:dyDescent="0.25"/>
    <row r="33290" s="42" customFormat="1" x14ac:dyDescent="0.25"/>
    <row r="33291" s="42" customFormat="1" x14ac:dyDescent="0.25"/>
    <row r="33292" s="42" customFormat="1" x14ac:dyDescent="0.25"/>
    <row r="33293" s="42" customFormat="1" x14ac:dyDescent="0.25"/>
    <row r="33294" s="42" customFormat="1" x14ac:dyDescent="0.25"/>
    <row r="33295" s="42" customFormat="1" x14ac:dyDescent="0.25"/>
    <row r="33296" s="42" customFormat="1" x14ac:dyDescent="0.25"/>
    <row r="33297" s="42" customFormat="1" x14ac:dyDescent="0.25"/>
    <row r="33298" s="42" customFormat="1" x14ac:dyDescent="0.25"/>
    <row r="33299" s="42" customFormat="1" x14ac:dyDescent="0.25"/>
    <row r="33300" s="42" customFormat="1" x14ac:dyDescent="0.25"/>
    <row r="33301" s="42" customFormat="1" x14ac:dyDescent="0.25"/>
    <row r="33302" s="42" customFormat="1" x14ac:dyDescent="0.25"/>
    <row r="33303" s="42" customFormat="1" x14ac:dyDescent="0.25"/>
    <row r="33304" s="42" customFormat="1" x14ac:dyDescent="0.25"/>
    <row r="33305" s="42" customFormat="1" x14ac:dyDescent="0.25"/>
    <row r="33306" s="42" customFormat="1" x14ac:dyDescent="0.25"/>
    <row r="33307" s="42" customFormat="1" x14ac:dyDescent="0.25"/>
    <row r="33308" s="42" customFormat="1" x14ac:dyDescent="0.25"/>
    <row r="33309" s="42" customFormat="1" x14ac:dyDescent="0.25"/>
    <row r="33310" s="42" customFormat="1" x14ac:dyDescent="0.25"/>
    <row r="33311" s="42" customFormat="1" x14ac:dyDescent="0.25"/>
    <row r="33312" s="42" customFormat="1" x14ac:dyDescent="0.25"/>
    <row r="33313" s="42" customFormat="1" x14ac:dyDescent="0.25"/>
    <row r="33314" s="42" customFormat="1" x14ac:dyDescent="0.25"/>
    <row r="33315" s="42" customFormat="1" x14ac:dyDescent="0.25"/>
    <row r="33316" s="42" customFormat="1" x14ac:dyDescent="0.25"/>
    <row r="33317" s="42" customFormat="1" x14ac:dyDescent="0.25"/>
    <row r="33318" s="42" customFormat="1" x14ac:dyDescent="0.25"/>
    <row r="33319" s="42" customFormat="1" x14ac:dyDescent="0.25"/>
    <row r="33320" s="42" customFormat="1" x14ac:dyDescent="0.25"/>
    <row r="33321" s="42" customFormat="1" x14ac:dyDescent="0.25"/>
    <row r="33322" s="42" customFormat="1" x14ac:dyDescent="0.25"/>
    <row r="33323" s="42" customFormat="1" x14ac:dyDescent="0.25"/>
    <row r="33324" s="42" customFormat="1" x14ac:dyDescent="0.25"/>
    <row r="33325" s="42" customFormat="1" x14ac:dyDescent="0.25"/>
    <row r="33326" s="42" customFormat="1" x14ac:dyDescent="0.25"/>
    <row r="33327" s="42" customFormat="1" x14ac:dyDescent="0.25"/>
    <row r="33328" s="42" customFormat="1" x14ac:dyDescent="0.25"/>
    <row r="33329" s="42" customFormat="1" x14ac:dyDescent="0.25"/>
    <row r="33330" s="42" customFormat="1" x14ac:dyDescent="0.25"/>
    <row r="33331" s="42" customFormat="1" x14ac:dyDescent="0.25"/>
    <row r="33332" s="42" customFormat="1" x14ac:dyDescent="0.25"/>
    <row r="33333" s="42" customFormat="1" x14ac:dyDescent="0.25"/>
    <row r="33334" s="42" customFormat="1" x14ac:dyDescent="0.25"/>
    <row r="33335" s="42" customFormat="1" x14ac:dyDescent="0.25"/>
    <row r="33336" s="42" customFormat="1" x14ac:dyDescent="0.25"/>
    <row r="33337" s="42" customFormat="1" x14ac:dyDescent="0.25"/>
    <row r="33338" s="42" customFormat="1" x14ac:dyDescent="0.25"/>
    <row r="33339" s="42" customFormat="1" x14ac:dyDescent="0.25"/>
    <row r="33340" s="42" customFormat="1" x14ac:dyDescent="0.25"/>
    <row r="33341" s="42" customFormat="1" x14ac:dyDescent="0.25"/>
    <row r="33342" s="42" customFormat="1" x14ac:dyDescent="0.25"/>
    <row r="33343" s="42" customFormat="1" x14ac:dyDescent="0.25"/>
    <row r="33344" s="42" customFormat="1" x14ac:dyDescent="0.25"/>
    <row r="33345" s="42" customFormat="1" x14ac:dyDescent="0.25"/>
    <row r="33346" s="42" customFormat="1" x14ac:dyDescent="0.25"/>
    <row r="33347" s="42" customFormat="1" x14ac:dyDescent="0.25"/>
    <row r="33348" s="42" customFormat="1" x14ac:dyDescent="0.25"/>
    <row r="33349" s="42" customFormat="1" x14ac:dyDescent="0.25"/>
    <row r="33350" s="42" customFormat="1" x14ac:dyDescent="0.25"/>
    <row r="33351" s="42" customFormat="1" x14ac:dyDescent="0.25"/>
    <row r="33352" s="42" customFormat="1" x14ac:dyDescent="0.25"/>
    <row r="33353" s="42" customFormat="1" x14ac:dyDescent="0.25"/>
    <row r="33354" s="42" customFormat="1" x14ac:dyDescent="0.25"/>
    <row r="33355" s="42" customFormat="1" x14ac:dyDescent="0.25"/>
    <row r="33356" s="42" customFormat="1" x14ac:dyDescent="0.25"/>
    <row r="33357" s="42" customFormat="1" x14ac:dyDescent="0.25"/>
    <row r="33358" s="42" customFormat="1" x14ac:dyDescent="0.25"/>
    <row r="33359" s="42" customFormat="1" x14ac:dyDescent="0.25"/>
    <row r="33360" s="42" customFormat="1" x14ac:dyDescent="0.25"/>
    <row r="33361" s="42" customFormat="1" x14ac:dyDescent="0.25"/>
    <row r="33362" s="42" customFormat="1" x14ac:dyDescent="0.25"/>
    <row r="33363" s="42" customFormat="1" x14ac:dyDescent="0.25"/>
    <row r="33364" s="42" customFormat="1" x14ac:dyDescent="0.25"/>
    <row r="33365" s="42" customFormat="1" x14ac:dyDescent="0.25"/>
    <row r="33366" s="42" customFormat="1" x14ac:dyDescent="0.25"/>
    <row r="33367" s="42" customFormat="1" x14ac:dyDescent="0.25"/>
    <row r="33368" s="42" customFormat="1" x14ac:dyDescent="0.25"/>
    <row r="33369" s="42" customFormat="1" x14ac:dyDescent="0.25"/>
    <row r="33370" s="42" customFormat="1" x14ac:dyDescent="0.25"/>
    <row r="33371" s="42" customFormat="1" x14ac:dyDescent="0.25"/>
    <row r="33372" s="42" customFormat="1" x14ac:dyDescent="0.25"/>
    <row r="33373" s="42" customFormat="1" x14ac:dyDescent="0.25"/>
    <row r="33374" s="42" customFormat="1" x14ac:dyDescent="0.25"/>
    <row r="33375" s="42" customFormat="1" x14ac:dyDescent="0.25"/>
    <row r="33376" s="42" customFormat="1" x14ac:dyDescent="0.25"/>
    <row r="33377" s="42" customFormat="1" x14ac:dyDescent="0.25"/>
    <row r="33378" s="42" customFormat="1" x14ac:dyDescent="0.25"/>
    <row r="33379" s="42" customFormat="1" x14ac:dyDescent="0.25"/>
    <row r="33380" s="42" customFormat="1" x14ac:dyDescent="0.25"/>
    <row r="33381" s="42" customFormat="1" x14ac:dyDescent="0.25"/>
    <row r="33382" s="42" customFormat="1" x14ac:dyDescent="0.25"/>
    <row r="33383" s="42" customFormat="1" x14ac:dyDescent="0.25"/>
    <row r="33384" s="42" customFormat="1" x14ac:dyDescent="0.25"/>
    <row r="33385" s="42" customFormat="1" x14ac:dyDescent="0.25"/>
    <row r="33386" s="42" customFormat="1" x14ac:dyDescent="0.25"/>
    <row r="33387" s="42" customFormat="1" x14ac:dyDescent="0.25"/>
    <row r="33388" s="42" customFormat="1" x14ac:dyDescent="0.25"/>
    <row r="33389" s="42" customFormat="1" x14ac:dyDescent="0.25"/>
    <row r="33390" s="42" customFormat="1" x14ac:dyDescent="0.25"/>
    <row r="33391" s="42" customFormat="1" x14ac:dyDescent="0.25"/>
    <row r="33392" s="42" customFormat="1" x14ac:dyDescent="0.25"/>
    <row r="33393" s="42" customFormat="1" x14ac:dyDescent="0.25"/>
    <row r="33394" s="42" customFormat="1" x14ac:dyDescent="0.25"/>
    <row r="33395" s="42" customFormat="1" x14ac:dyDescent="0.25"/>
    <row r="33396" s="42" customFormat="1" x14ac:dyDescent="0.25"/>
    <row r="33397" s="42" customFormat="1" x14ac:dyDescent="0.25"/>
    <row r="33398" s="42" customFormat="1" x14ac:dyDescent="0.25"/>
    <row r="33399" s="42" customFormat="1" x14ac:dyDescent="0.25"/>
    <row r="33400" s="42" customFormat="1" x14ac:dyDescent="0.25"/>
    <row r="33401" s="42" customFormat="1" x14ac:dyDescent="0.25"/>
    <row r="33402" s="42" customFormat="1" x14ac:dyDescent="0.25"/>
    <row r="33403" s="42" customFormat="1" x14ac:dyDescent="0.25"/>
    <row r="33404" s="42" customFormat="1" x14ac:dyDescent="0.25"/>
    <row r="33405" s="42" customFormat="1" x14ac:dyDescent="0.25"/>
    <row r="33406" s="42" customFormat="1" x14ac:dyDescent="0.25"/>
    <row r="33407" s="42" customFormat="1" x14ac:dyDescent="0.25"/>
    <row r="33408" s="42" customFormat="1" x14ac:dyDescent="0.25"/>
    <row r="33409" s="42" customFormat="1" x14ac:dyDescent="0.25"/>
    <row r="33410" s="42" customFormat="1" x14ac:dyDescent="0.25"/>
    <row r="33411" s="42" customFormat="1" x14ac:dyDescent="0.25"/>
    <row r="33412" s="42" customFormat="1" x14ac:dyDescent="0.25"/>
    <row r="33413" s="42" customFormat="1" x14ac:dyDescent="0.25"/>
    <row r="33414" s="42" customFormat="1" x14ac:dyDescent="0.25"/>
    <row r="33415" s="42" customFormat="1" x14ac:dyDescent="0.25"/>
    <row r="33416" s="42" customFormat="1" x14ac:dyDescent="0.25"/>
    <row r="33417" s="42" customFormat="1" x14ac:dyDescent="0.25"/>
    <row r="33418" s="42" customFormat="1" x14ac:dyDescent="0.25"/>
    <row r="33419" s="42" customFormat="1" x14ac:dyDescent="0.25"/>
    <row r="33420" s="42" customFormat="1" x14ac:dyDescent="0.25"/>
    <row r="33421" s="42" customFormat="1" x14ac:dyDescent="0.25"/>
    <row r="33422" s="42" customFormat="1" x14ac:dyDescent="0.25"/>
    <row r="33423" s="42" customFormat="1" x14ac:dyDescent="0.25"/>
    <row r="33424" s="42" customFormat="1" x14ac:dyDescent="0.25"/>
    <row r="33425" s="42" customFormat="1" x14ac:dyDescent="0.25"/>
    <row r="33426" s="42" customFormat="1" x14ac:dyDescent="0.25"/>
    <row r="33427" s="42" customFormat="1" x14ac:dyDescent="0.25"/>
    <row r="33428" s="42" customFormat="1" x14ac:dyDescent="0.25"/>
    <row r="33429" s="42" customFormat="1" x14ac:dyDescent="0.25"/>
    <row r="33430" s="42" customFormat="1" x14ac:dyDescent="0.25"/>
    <row r="33431" s="42" customFormat="1" x14ac:dyDescent="0.25"/>
    <row r="33432" s="42" customFormat="1" x14ac:dyDescent="0.25"/>
    <row r="33433" s="42" customFormat="1" x14ac:dyDescent="0.25"/>
    <row r="33434" s="42" customFormat="1" x14ac:dyDescent="0.25"/>
    <row r="33435" s="42" customFormat="1" x14ac:dyDescent="0.25"/>
    <row r="33436" s="42" customFormat="1" x14ac:dyDescent="0.25"/>
    <row r="33437" s="42" customFormat="1" x14ac:dyDescent="0.25"/>
    <row r="33438" s="42" customFormat="1" x14ac:dyDescent="0.25"/>
    <row r="33439" s="42" customFormat="1" x14ac:dyDescent="0.25"/>
    <row r="33440" s="42" customFormat="1" x14ac:dyDescent="0.25"/>
    <row r="33441" s="42" customFormat="1" x14ac:dyDescent="0.25"/>
    <row r="33442" s="42" customFormat="1" x14ac:dyDescent="0.25"/>
    <row r="33443" s="42" customFormat="1" x14ac:dyDescent="0.25"/>
    <row r="33444" s="42" customFormat="1" x14ac:dyDescent="0.25"/>
    <row r="33445" s="42" customFormat="1" x14ac:dyDescent="0.25"/>
    <row r="33446" s="42" customFormat="1" x14ac:dyDescent="0.25"/>
    <row r="33447" s="42" customFormat="1" x14ac:dyDescent="0.25"/>
    <row r="33448" s="42" customFormat="1" x14ac:dyDescent="0.25"/>
    <row r="33449" s="42" customFormat="1" x14ac:dyDescent="0.25"/>
    <row r="33450" s="42" customFormat="1" x14ac:dyDescent="0.25"/>
    <row r="33451" s="42" customFormat="1" x14ac:dyDescent="0.25"/>
    <row r="33452" s="42" customFormat="1" x14ac:dyDescent="0.25"/>
    <row r="33453" s="42" customFormat="1" x14ac:dyDescent="0.25"/>
    <row r="33454" s="42" customFormat="1" x14ac:dyDescent="0.25"/>
    <row r="33455" s="42" customFormat="1" x14ac:dyDescent="0.25"/>
    <row r="33456" s="42" customFormat="1" x14ac:dyDescent="0.25"/>
    <row r="33457" s="42" customFormat="1" x14ac:dyDescent="0.25"/>
    <row r="33458" s="42" customFormat="1" x14ac:dyDescent="0.25"/>
    <row r="33459" s="42" customFormat="1" x14ac:dyDescent="0.25"/>
    <row r="33460" s="42" customFormat="1" x14ac:dyDescent="0.25"/>
    <row r="33461" s="42" customFormat="1" x14ac:dyDescent="0.25"/>
    <row r="33462" s="42" customFormat="1" x14ac:dyDescent="0.25"/>
    <row r="33463" s="42" customFormat="1" x14ac:dyDescent="0.25"/>
    <row r="33464" s="42" customFormat="1" x14ac:dyDescent="0.25"/>
    <row r="33465" s="42" customFormat="1" x14ac:dyDescent="0.25"/>
    <row r="33466" s="42" customFormat="1" x14ac:dyDescent="0.25"/>
    <row r="33467" s="42" customFormat="1" x14ac:dyDescent="0.25"/>
    <row r="33468" s="42" customFormat="1" x14ac:dyDescent="0.25"/>
    <row r="33469" s="42" customFormat="1" x14ac:dyDescent="0.25"/>
    <row r="33470" s="42" customFormat="1" x14ac:dyDescent="0.25"/>
    <row r="33471" s="42" customFormat="1" x14ac:dyDescent="0.25"/>
    <row r="33472" s="42" customFormat="1" x14ac:dyDescent="0.25"/>
    <row r="33473" s="42" customFormat="1" x14ac:dyDescent="0.25"/>
    <row r="33474" s="42" customFormat="1" x14ac:dyDescent="0.25"/>
    <row r="33475" s="42" customFormat="1" x14ac:dyDescent="0.25"/>
    <row r="33476" s="42" customFormat="1" x14ac:dyDescent="0.25"/>
    <row r="33477" s="42" customFormat="1" x14ac:dyDescent="0.25"/>
    <row r="33478" s="42" customFormat="1" x14ac:dyDescent="0.25"/>
    <row r="33479" s="42" customFormat="1" x14ac:dyDescent="0.25"/>
    <row r="33480" s="42" customFormat="1" x14ac:dyDescent="0.25"/>
    <row r="33481" s="42" customFormat="1" x14ac:dyDescent="0.25"/>
    <row r="33482" s="42" customFormat="1" x14ac:dyDescent="0.25"/>
    <row r="33483" s="42" customFormat="1" x14ac:dyDescent="0.25"/>
    <row r="33484" s="42" customFormat="1" x14ac:dyDescent="0.25"/>
    <row r="33485" s="42" customFormat="1" x14ac:dyDescent="0.25"/>
    <row r="33486" s="42" customFormat="1" x14ac:dyDescent="0.25"/>
    <row r="33487" s="42" customFormat="1" x14ac:dyDescent="0.25"/>
    <row r="33488" s="42" customFormat="1" x14ac:dyDescent="0.25"/>
    <row r="33489" s="42" customFormat="1" x14ac:dyDescent="0.25"/>
    <row r="33490" s="42" customFormat="1" x14ac:dyDescent="0.25"/>
    <row r="33491" s="42" customFormat="1" x14ac:dyDescent="0.25"/>
    <row r="33492" s="42" customFormat="1" x14ac:dyDescent="0.25"/>
    <row r="33493" s="42" customFormat="1" x14ac:dyDescent="0.25"/>
    <row r="33494" s="42" customFormat="1" x14ac:dyDescent="0.25"/>
    <row r="33495" s="42" customFormat="1" x14ac:dyDescent="0.25"/>
    <row r="33496" s="42" customFormat="1" x14ac:dyDescent="0.25"/>
    <row r="33497" s="42" customFormat="1" x14ac:dyDescent="0.25"/>
    <row r="33498" s="42" customFormat="1" x14ac:dyDescent="0.25"/>
    <row r="33499" s="42" customFormat="1" x14ac:dyDescent="0.25"/>
    <row r="33500" s="42" customFormat="1" x14ac:dyDescent="0.25"/>
    <row r="33501" s="42" customFormat="1" x14ac:dyDescent="0.25"/>
    <row r="33502" s="42" customFormat="1" x14ac:dyDescent="0.25"/>
    <row r="33503" s="42" customFormat="1" x14ac:dyDescent="0.25"/>
    <row r="33504" s="42" customFormat="1" x14ac:dyDescent="0.25"/>
    <row r="33505" s="42" customFormat="1" x14ac:dyDescent="0.25"/>
    <row r="33506" s="42" customFormat="1" x14ac:dyDescent="0.25"/>
    <row r="33507" s="42" customFormat="1" x14ac:dyDescent="0.25"/>
    <row r="33508" s="42" customFormat="1" x14ac:dyDescent="0.25"/>
    <row r="33509" s="42" customFormat="1" x14ac:dyDescent="0.25"/>
    <row r="33510" s="42" customFormat="1" x14ac:dyDescent="0.25"/>
    <row r="33511" s="42" customFormat="1" x14ac:dyDescent="0.25"/>
    <row r="33512" s="42" customFormat="1" x14ac:dyDescent="0.25"/>
    <row r="33513" s="42" customFormat="1" x14ac:dyDescent="0.25"/>
    <row r="33514" s="42" customFormat="1" x14ac:dyDescent="0.25"/>
    <row r="33515" s="42" customFormat="1" x14ac:dyDescent="0.25"/>
    <row r="33516" s="42" customFormat="1" x14ac:dyDescent="0.25"/>
    <row r="33517" s="42" customFormat="1" x14ac:dyDescent="0.25"/>
    <row r="33518" s="42" customFormat="1" x14ac:dyDescent="0.25"/>
    <row r="33519" s="42" customFormat="1" x14ac:dyDescent="0.25"/>
    <row r="33520" s="42" customFormat="1" x14ac:dyDescent="0.25"/>
    <row r="33521" s="42" customFormat="1" x14ac:dyDescent="0.25"/>
    <row r="33522" s="42" customFormat="1" x14ac:dyDescent="0.25"/>
    <row r="33523" s="42" customFormat="1" x14ac:dyDescent="0.25"/>
    <row r="33524" s="42" customFormat="1" x14ac:dyDescent="0.25"/>
    <row r="33525" s="42" customFormat="1" x14ac:dyDescent="0.25"/>
    <row r="33526" s="42" customFormat="1" x14ac:dyDescent="0.25"/>
    <row r="33527" s="42" customFormat="1" x14ac:dyDescent="0.25"/>
    <row r="33528" s="42" customFormat="1" x14ac:dyDescent="0.25"/>
    <row r="33529" s="42" customFormat="1" x14ac:dyDescent="0.25"/>
    <row r="33530" s="42" customFormat="1" x14ac:dyDescent="0.25"/>
    <row r="33531" s="42" customFormat="1" x14ac:dyDescent="0.25"/>
    <row r="33532" s="42" customFormat="1" x14ac:dyDescent="0.25"/>
    <row r="33533" s="42" customFormat="1" x14ac:dyDescent="0.25"/>
    <row r="33534" s="42" customFormat="1" x14ac:dyDescent="0.25"/>
    <row r="33535" s="42" customFormat="1" x14ac:dyDescent="0.25"/>
    <row r="33536" s="42" customFormat="1" x14ac:dyDescent="0.25"/>
    <row r="33537" s="42" customFormat="1" x14ac:dyDescent="0.25"/>
    <row r="33538" s="42" customFormat="1" x14ac:dyDescent="0.25"/>
    <row r="33539" s="42" customFormat="1" x14ac:dyDescent="0.25"/>
    <row r="33540" s="42" customFormat="1" x14ac:dyDescent="0.25"/>
    <row r="33541" s="42" customFormat="1" x14ac:dyDescent="0.25"/>
    <row r="33542" s="42" customFormat="1" x14ac:dyDescent="0.25"/>
    <row r="33543" s="42" customFormat="1" x14ac:dyDescent="0.25"/>
    <row r="33544" s="42" customFormat="1" x14ac:dyDescent="0.25"/>
    <row r="33545" s="42" customFormat="1" x14ac:dyDescent="0.25"/>
    <row r="33546" s="42" customFormat="1" x14ac:dyDescent="0.25"/>
    <row r="33547" s="42" customFormat="1" x14ac:dyDescent="0.25"/>
    <row r="33548" s="42" customFormat="1" x14ac:dyDescent="0.25"/>
    <row r="33549" s="42" customFormat="1" x14ac:dyDescent="0.25"/>
    <row r="33550" s="42" customFormat="1" x14ac:dyDescent="0.25"/>
    <row r="33551" s="42" customFormat="1" x14ac:dyDescent="0.25"/>
    <row r="33552" s="42" customFormat="1" x14ac:dyDescent="0.25"/>
    <row r="33553" s="42" customFormat="1" x14ac:dyDescent="0.25"/>
    <row r="33554" s="42" customFormat="1" x14ac:dyDescent="0.25"/>
    <row r="33555" s="42" customFormat="1" x14ac:dyDescent="0.25"/>
    <row r="33556" s="42" customFormat="1" x14ac:dyDescent="0.25"/>
    <row r="33557" s="42" customFormat="1" x14ac:dyDescent="0.25"/>
    <row r="33558" s="42" customFormat="1" x14ac:dyDescent="0.25"/>
    <row r="33559" s="42" customFormat="1" x14ac:dyDescent="0.25"/>
    <row r="33560" s="42" customFormat="1" x14ac:dyDescent="0.25"/>
    <row r="33561" s="42" customFormat="1" x14ac:dyDescent="0.25"/>
    <row r="33562" s="42" customFormat="1" x14ac:dyDescent="0.25"/>
    <row r="33563" s="42" customFormat="1" x14ac:dyDescent="0.25"/>
    <row r="33564" s="42" customFormat="1" x14ac:dyDescent="0.25"/>
    <row r="33565" s="42" customFormat="1" x14ac:dyDescent="0.25"/>
    <row r="33566" s="42" customFormat="1" x14ac:dyDescent="0.25"/>
    <row r="33567" s="42" customFormat="1" x14ac:dyDescent="0.25"/>
    <row r="33568" s="42" customFormat="1" x14ac:dyDescent="0.25"/>
    <row r="33569" s="42" customFormat="1" x14ac:dyDescent="0.25"/>
    <row r="33570" s="42" customFormat="1" x14ac:dyDescent="0.25"/>
    <row r="33571" s="42" customFormat="1" x14ac:dyDescent="0.25"/>
    <row r="33572" s="42" customFormat="1" x14ac:dyDescent="0.25"/>
    <row r="33573" s="42" customFormat="1" x14ac:dyDescent="0.25"/>
    <row r="33574" s="42" customFormat="1" x14ac:dyDescent="0.25"/>
    <row r="33575" s="42" customFormat="1" x14ac:dyDescent="0.25"/>
    <row r="33576" s="42" customFormat="1" x14ac:dyDescent="0.25"/>
    <row r="33577" s="42" customFormat="1" x14ac:dyDescent="0.25"/>
    <row r="33578" s="42" customFormat="1" x14ac:dyDescent="0.25"/>
    <row r="33579" s="42" customFormat="1" x14ac:dyDescent="0.25"/>
    <row r="33580" s="42" customFormat="1" x14ac:dyDescent="0.25"/>
    <row r="33581" s="42" customFormat="1" x14ac:dyDescent="0.25"/>
    <row r="33582" s="42" customFormat="1" x14ac:dyDescent="0.25"/>
    <row r="33583" s="42" customFormat="1" x14ac:dyDescent="0.25"/>
    <row r="33584" s="42" customFormat="1" x14ac:dyDescent="0.25"/>
    <row r="33585" s="42" customFormat="1" x14ac:dyDescent="0.25"/>
    <row r="33586" s="42" customFormat="1" x14ac:dyDescent="0.25"/>
    <row r="33587" s="42" customFormat="1" x14ac:dyDescent="0.25"/>
    <row r="33588" s="42" customFormat="1" x14ac:dyDescent="0.25"/>
    <row r="33589" s="42" customFormat="1" x14ac:dyDescent="0.25"/>
    <row r="33590" s="42" customFormat="1" x14ac:dyDescent="0.25"/>
    <row r="33591" s="42" customFormat="1" x14ac:dyDescent="0.25"/>
    <row r="33592" s="42" customFormat="1" x14ac:dyDescent="0.25"/>
    <row r="33593" s="42" customFormat="1" x14ac:dyDescent="0.25"/>
    <row r="33594" s="42" customFormat="1" x14ac:dyDescent="0.25"/>
    <row r="33595" s="42" customFormat="1" x14ac:dyDescent="0.25"/>
    <row r="33596" s="42" customFormat="1" x14ac:dyDescent="0.25"/>
    <row r="33597" s="42" customFormat="1" x14ac:dyDescent="0.25"/>
    <row r="33598" s="42" customFormat="1" x14ac:dyDescent="0.25"/>
    <row r="33599" s="42" customFormat="1" x14ac:dyDescent="0.25"/>
    <row r="33600" s="42" customFormat="1" x14ac:dyDescent="0.25"/>
    <row r="33601" s="42" customFormat="1" x14ac:dyDescent="0.25"/>
    <row r="33602" s="42" customFormat="1" x14ac:dyDescent="0.25"/>
    <row r="33603" s="42" customFormat="1" x14ac:dyDescent="0.25"/>
    <row r="33604" s="42" customFormat="1" x14ac:dyDescent="0.25"/>
    <row r="33605" s="42" customFormat="1" x14ac:dyDescent="0.25"/>
    <row r="33606" s="42" customFormat="1" x14ac:dyDescent="0.25"/>
    <row r="33607" s="42" customFormat="1" x14ac:dyDescent="0.25"/>
    <row r="33608" s="42" customFormat="1" x14ac:dyDescent="0.25"/>
    <row r="33609" s="42" customFormat="1" x14ac:dyDescent="0.25"/>
    <row r="33610" s="42" customFormat="1" x14ac:dyDescent="0.25"/>
    <row r="33611" s="42" customFormat="1" x14ac:dyDescent="0.25"/>
    <row r="33612" s="42" customFormat="1" x14ac:dyDescent="0.25"/>
    <row r="33613" s="42" customFormat="1" x14ac:dyDescent="0.25"/>
    <row r="33614" s="42" customFormat="1" x14ac:dyDescent="0.25"/>
    <row r="33615" s="42" customFormat="1" x14ac:dyDescent="0.25"/>
    <row r="33616" s="42" customFormat="1" x14ac:dyDescent="0.25"/>
    <row r="33617" s="42" customFormat="1" x14ac:dyDescent="0.25"/>
    <row r="33618" s="42" customFormat="1" x14ac:dyDescent="0.25"/>
    <row r="33619" s="42" customFormat="1" x14ac:dyDescent="0.25"/>
    <row r="33620" s="42" customFormat="1" x14ac:dyDescent="0.25"/>
    <row r="33621" s="42" customFormat="1" x14ac:dyDescent="0.25"/>
    <row r="33622" s="42" customFormat="1" x14ac:dyDescent="0.25"/>
    <row r="33623" s="42" customFormat="1" x14ac:dyDescent="0.25"/>
    <row r="33624" s="42" customFormat="1" x14ac:dyDescent="0.25"/>
    <row r="33625" s="42" customFormat="1" x14ac:dyDescent="0.25"/>
    <row r="33626" s="42" customFormat="1" x14ac:dyDescent="0.25"/>
    <row r="33627" s="42" customFormat="1" x14ac:dyDescent="0.25"/>
    <row r="33628" s="42" customFormat="1" x14ac:dyDescent="0.25"/>
    <row r="33629" s="42" customFormat="1" x14ac:dyDescent="0.25"/>
    <row r="33630" s="42" customFormat="1" x14ac:dyDescent="0.25"/>
    <row r="33631" s="42" customFormat="1" x14ac:dyDescent="0.25"/>
    <row r="33632" s="42" customFormat="1" x14ac:dyDescent="0.25"/>
    <row r="33633" s="42" customFormat="1" x14ac:dyDescent="0.25"/>
    <row r="33634" s="42" customFormat="1" x14ac:dyDescent="0.25"/>
    <row r="33635" s="42" customFormat="1" x14ac:dyDescent="0.25"/>
    <row r="33636" s="42" customFormat="1" x14ac:dyDescent="0.25"/>
    <row r="33637" s="42" customFormat="1" x14ac:dyDescent="0.25"/>
    <row r="33638" s="42" customFormat="1" x14ac:dyDescent="0.25"/>
    <row r="33639" s="42" customFormat="1" x14ac:dyDescent="0.25"/>
    <row r="33640" s="42" customFormat="1" x14ac:dyDescent="0.25"/>
    <row r="33641" s="42" customFormat="1" x14ac:dyDescent="0.25"/>
    <row r="33642" s="42" customFormat="1" x14ac:dyDescent="0.25"/>
    <row r="33643" s="42" customFormat="1" x14ac:dyDescent="0.25"/>
    <row r="33644" s="42" customFormat="1" x14ac:dyDescent="0.25"/>
    <row r="33645" s="42" customFormat="1" x14ac:dyDescent="0.25"/>
    <row r="33646" s="42" customFormat="1" x14ac:dyDescent="0.25"/>
    <row r="33647" s="42" customFormat="1" x14ac:dyDescent="0.25"/>
    <row r="33648" s="42" customFormat="1" x14ac:dyDescent="0.25"/>
    <row r="33649" s="42" customFormat="1" x14ac:dyDescent="0.25"/>
    <row r="33650" s="42" customFormat="1" x14ac:dyDescent="0.25"/>
    <row r="33651" s="42" customFormat="1" x14ac:dyDescent="0.25"/>
    <row r="33652" s="42" customFormat="1" x14ac:dyDescent="0.25"/>
    <row r="33653" s="42" customFormat="1" x14ac:dyDescent="0.25"/>
    <row r="33654" s="42" customFormat="1" x14ac:dyDescent="0.25"/>
    <row r="33655" s="42" customFormat="1" x14ac:dyDescent="0.25"/>
    <row r="33656" s="42" customFormat="1" x14ac:dyDescent="0.25"/>
    <row r="33657" s="42" customFormat="1" x14ac:dyDescent="0.25"/>
    <row r="33658" s="42" customFormat="1" x14ac:dyDescent="0.25"/>
    <row r="33659" s="42" customFormat="1" x14ac:dyDescent="0.25"/>
    <row r="33660" s="42" customFormat="1" x14ac:dyDescent="0.25"/>
    <row r="33661" s="42" customFormat="1" x14ac:dyDescent="0.25"/>
    <row r="33662" s="42" customFormat="1" x14ac:dyDescent="0.25"/>
    <row r="33663" s="42" customFormat="1" x14ac:dyDescent="0.25"/>
    <row r="33664" s="42" customFormat="1" x14ac:dyDescent="0.25"/>
    <row r="33665" s="42" customFormat="1" x14ac:dyDescent="0.25"/>
    <row r="33666" s="42" customFormat="1" x14ac:dyDescent="0.25"/>
    <row r="33667" s="42" customFormat="1" x14ac:dyDescent="0.25"/>
    <row r="33668" s="42" customFormat="1" x14ac:dyDescent="0.25"/>
    <row r="33669" s="42" customFormat="1" x14ac:dyDescent="0.25"/>
    <row r="33670" s="42" customFormat="1" x14ac:dyDescent="0.25"/>
    <row r="33671" s="42" customFormat="1" x14ac:dyDescent="0.25"/>
    <row r="33672" s="42" customFormat="1" x14ac:dyDescent="0.25"/>
    <row r="33673" s="42" customFormat="1" x14ac:dyDescent="0.25"/>
    <row r="33674" s="42" customFormat="1" x14ac:dyDescent="0.25"/>
    <row r="33675" s="42" customFormat="1" x14ac:dyDescent="0.25"/>
    <row r="33676" s="42" customFormat="1" x14ac:dyDescent="0.25"/>
    <row r="33677" s="42" customFormat="1" x14ac:dyDescent="0.25"/>
    <row r="33678" s="42" customFormat="1" x14ac:dyDescent="0.25"/>
    <row r="33679" s="42" customFormat="1" x14ac:dyDescent="0.25"/>
    <row r="33680" s="42" customFormat="1" x14ac:dyDescent="0.25"/>
    <row r="33681" s="42" customFormat="1" x14ac:dyDescent="0.25"/>
    <row r="33682" s="42" customFormat="1" x14ac:dyDescent="0.25"/>
    <row r="33683" s="42" customFormat="1" x14ac:dyDescent="0.25"/>
    <row r="33684" s="42" customFormat="1" x14ac:dyDescent="0.25"/>
    <row r="33685" s="42" customFormat="1" x14ac:dyDescent="0.25"/>
    <row r="33686" s="42" customFormat="1" x14ac:dyDescent="0.25"/>
    <row r="33687" s="42" customFormat="1" x14ac:dyDescent="0.25"/>
    <row r="33688" s="42" customFormat="1" x14ac:dyDescent="0.25"/>
    <row r="33689" s="42" customFormat="1" x14ac:dyDescent="0.25"/>
    <row r="33690" s="42" customFormat="1" x14ac:dyDescent="0.25"/>
    <row r="33691" s="42" customFormat="1" x14ac:dyDescent="0.25"/>
    <row r="33692" s="42" customFormat="1" x14ac:dyDescent="0.25"/>
    <row r="33693" s="42" customFormat="1" x14ac:dyDescent="0.25"/>
    <row r="33694" s="42" customFormat="1" x14ac:dyDescent="0.25"/>
    <row r="33695" s="42" customFormat="1" x14ac:dyDescent="0.25"/>
    <row r="33696" s="42" customFormat="1" x14ac:dyDescent="0.25"/>
    <row r="33697" s="42" customFormat="1" x14ac:dyDescent="0.25"/>
    <row r="33698" s="42" customFormat="1" x14ac:dyDescent="0.25"/>
    <row r="33699" s="42" customFormat="1" x14ac:dyDescent="0.25"/>
    <row r="33700" s="42" customFormat="1" x14ac:dyDescent="0.25"/>
    <row r="33701" s="42" customFormat="1" x14ac:dyDescent="0.25"/>
    <row r="33702" s="42" customFormat="1" x14ac:dyDescent="0.25"/>
    <row r="33703" s="42" customFormat="1" x14ac:dyDescent="0.25"/>
    <row r="33704" s="42" customFormat="1" x14ac:dyDescent="0.25"/>
    <row r="33705" s="42" customFormat="1" x14ac:dyDescent="0.25"/>
    <row r="33706" s="42" customFormat="1" x14ac:dyDescent="0.25"/>
    <row r="33707" s="42" customFormat="1" x14ac:dyDescent="0.25"/>
    <row r="33708" s="42" customFormat="1" x14ac:dyDescent="0.25"/>
    <row r="33709" s="42" customFormat="1" x14ac:dyDescent="0.25"/>
    <row r="33710" s="42" customFormat="1" x14ac:dyDescent="0.25"/>
    <row r="33711" s="42" customFormat="1" x14ac:dyDescent="0.25"/>
    <row r="33712" s="42" customFormat="1" x14ac:dyDescent="0.25"/>
    <row r="33713" s="42" customFormat="1" x14ac:dyDescent="0.25"/>
    <row r="33714" s="42" customFormat="1" x14ac:dyDescent="0.25"/>
    <row r="33715" s="42" customFormat="1" x14ac:dyDescent="0.25"/>
    <row r="33716" s="42" customFormat="1" x14ac:dyDescent="0.25"/>
    <row r="33717" s="42" customFormat="1" x14ac:dyDescent="0.25"/>
    <row r="33718" s="42" customFormat="1" x14ac:dyDescent="0.25"/>
    <row r="33719" s="42" customFormat="1" x14ac:dyDescent="0.25"/>
    <row r="33720" s="42" customFormat="1" x14ac:dyDescent="0.25"/>
    <row r="33721" s="42" customFormat="1" x14ac:dyDescent="0.25"/>
    <row r="33722" s="42" customFormat="1" x14ac:dyDescent="0.25"/>
    <row r="33723" s="42" customFormat="1" x14ac:dyDescent="0.25"/>
    <row r="33724" s="42" customFormat="1" x14ac:dyDescent="0.25"/>
    <row r="33725" s="42" customFormat="1" x14ac:dyDescent="0.25"/>
    <row r="33726" s="42" customFormat="1" x14ac:dyDescent="0.25"/>
    <row r="33727" s="42" customFormat="1" x14ac:dyDescent="0.25"/>
    <row r="33728" s="42" customFormat="1" x14ac:dyDescent="0.25"/>
    <row r="33729" s="42" customFormat="1" x14ac:dyDescent="0.25"/>
    <row r="33730" s="42" customFormat="1" x14ac:dyDescent="0.25"/>
    <row r="33731" s="42" customFormat="1" x14ac:dyDescent="0.25"/>
    <row r="33732" s="42" customFormat="1" x14ac:dyDescent="0.25"/>
    <row r="33733" s="42" customFormat="1" x14ac:dyDescent="0.25"/>
    <row r="33734" s="42" customFormat="1" x14ac:dyDescent="0.25"/>
    <row r="33735" s="42" customFormat="1" x14ac:dyDescent="0.25"/>
    <row r="33736" s="42" customFormat="1" x14ac:dyDescent="0.25"/>
    <row r="33737" s="42" customFormat="1" x14ac:dyDescent="0.25"/>
    <row r="33738" s="42" customFormat="1" x14ac:dyDescent="0.25"/>
    <row r="33739" s="42" customFormat="1" x14ac:dyDescent="0.25"/>
    <row r="33740" s="42" customFormat="1" x14ac:dyDescent="0.25"/>
    <row r="33741" s="42" customFormat="1" x14ac:dyDescent="0.25"/>
    <row r="33742" s="42" customFormat="1" x14ac:dyDescent="0.25"/>
    <row r="33743" s="42" customFormat="1" x14ac:dyDescent="0.25"/>
    <row r="33744" s="42" customFormat="1" x14ac:dyDescent="0.25"/>
    <row r="33745" s="42" customFormat="1" x14ac:dyDescent="0.25"/>
    <row r="33746" s="42" customFormat="1" x14ac:dyDescent="0.25"/>
    <row r="33747" s="42" customFormat="1" x14ac:dyDescent="0.25"/>
    <row r="33748" s="42" customFormat="1" x14ac:dyDescent="0.25"/>
    <row r="33749" s="42" customFormat="1" x14ac:dyDescent="0.25"/>
    <row r="33750" s="42" customFormat="1" x14ac:dyDescent="0.25"/>
    <row r="33751" s="42" customFormat="1" x14ac:dyDescent="0.25"/>
    <row r="33752" s="42" customFormat="1" x14ac:dyDescent="0.25"/>
    <row r="33753" s="42" customFormat="1" x14ac:dyDescent="0.25"/>
    <row r="33754" s="42" customFormat="1" x14ac:dyDescent="0.25"/>
    <row r="33755" s="42" customFormat="1" x14ac:dyDescent="0.25"/>
    <row r="33756" s="42" customFormat="1" x14ac:dyDescent="0.25"/>
    <row r="33757" s="42" customFormat="1" x14ac:dyDescent="0.25"/>
    <row r="33758" s="42" customFormat="1" x14ac:dyDescent="0.25"/>
    <row r="33759" s="42" customFormat="1" x14ac:dyDescent="0.25"/>
    <row r="33760" s="42" customFormat="1" x14ac:dyDescent="0.25"/>
    <row r="33761" s="42" customFormat="1" x14ac:dyDescent="0.25"/>
    <row r="33762" s="42" customFormat="1" x14ac:dyDescent="0.25"/>
    <row r="33763" s="42" customFormat="1" x14ac:dyDescent="0.25"/>
    <row r="33764" s="42" customFormat="1" x14ac:dyDescent="0.25"/>
    <row r="33765" s="42" customFormat="1" x14ac:dyDescent="0.25"/>
    <row r="33766" s="42" customFormat="1" x14ac:dyDescent="0.25"/>
    <row r="33767" s="42" customFormat="1" x14ac:dyDescent="0.25"/>
    <row r="33768" s="42" customFormat="1" x14ac:dyDescent="0.25"/>
    <row r="33769" s="42" customFormat="1" x14ac:dyDescent="0.25"/>
    <row r="33770" s="42" customFormat="1" x14ac:dyDescent="0.25"/>
    <row r="33771" s="42" customFormat="1" x14ac:dyDescent="0.25"/>
    <row r="33772" s="42" customFormat="1" x14ac:dyDescent="0.25"/>
    <row r="33773" s="42" customFormat="1" x14ac:dyDescent="0.25"/>
    <row r="33774" s="42" customFormat="1" x14ac:dyDescent="0.25"/>
    <row r="33775" s="42" customFormat="1" x14ac:dyDescent="0.25"/>
    <row r="33776" s="42" customFormat="1" x14ac:dyDescent="0.25"/>
    <row r="33777" s="42" customFormat="1" x14ac:dyDescent="0.25"/>
    <row r="33778" s="42" customFormat="1" x14ac:dyDescent="0.25"/>
    <row r="33779" s="42" customFormat="1" x14ac:dyDescent="0.25"/>
    <row r="33780" s="42" customFormat="1" x14ac:dyDescent="0.25"/>
    <row r="33781" s="42" customFormat="1" x14ac:dyDescent="0.25"/>
    <row r="33782" s="42" customFormat="1" x14ac:dyDescent="0.25"/>
    <row r="33783" s="42" customFormat="1" x14ac:dyDescent="0.25"/>
    <row r="33784" s="42" customFormat="1" x14ac:dyDescent="0.25"/>
    <row r="33785" s="42" customFormat="1" x14ac:dyDescent="0.25"/>
    <row r="33786" s="42" customFormat="1" x14ac:dyDescent="0.25"/>
    <row r="33787" s="42" customFormat="1" x14ac:dyDescent="0.25"/>
    <row r="33788" s="42" customFormat="1" x14ac:dyDescent="0.25"/>
    <row r="33789" s="42" customFormat="1" x14ac:dyDescent="0.25"/>
    <row r="33790" s="42" customFormat="1" x14ac:dyDescent="0.25"/>
    <row r="33791" s="42" customFormat="1" x14ac:dyDescent="0.25"/>
    <row r="33792" s="42" customFormat="1" x14ac:dyDescent="0.25"/>
    <row r="33793" s="42" customFormat="1" x14ac:dyDescent="0.25"/>
    <row r="33794" s="42" customFormat="1" x14ac:dyDescent="0.25"/>
    <row r="33795" s="42" customFormat="1" x14ac:dyDescent="0.25"/>
    <row r="33796" s="42" customFormat="1" x14ac:dyDescent="0.25"/>
    <row r="33797" s="42" customFormat="1" x14ac:dyDescent="0.25"/>
    <row r="33798" s="42" customFormat="1" x14ac:dyDescent="0.25"/>
    <row r="33799" s="42" customFormat="1" x14ac:dyDescent="0.25"/>
    <row r="33800" s="42" customFormat="1" x14ac:dyDescent="0.25"/>
    <row r="33801" s="42" customFormat="1" x14ac:dyDescent="0.25"/>
    <row r="33802" s="42" customFormat="1" x14ac:dyDescent="0.25"/>
    <row r="33803" s="42" customFormat="1" x14ac:dyDescent="0.25"/>
    <row r="33804" s="42" customFormat="1" x14ac:dyDescent="0.25"/>
    <row r="33805" s="42" customFormat="1" x14ac:dyDescent="0.25"/>
    <row r="33806" s="42" customFormat="1" x14ac:dyDescent="0.25"/>
    <row r="33807" s="42" customFormat="1" x14ac:dyDescent="0.25"/>
    <row r="33808" s="42" customFormat="1" x14ac:dyDescent="0.25"/>
    <row r="33809" s="42" customFormat="1" x14ac:dyDescent="0.25"/>
    <row r="33810" s="42" customFormat="1" x14ac:dyDescent="0.25"/>
    <row r="33811" s="42" customFormat="1" x14ac:dyDescent="0.25"/>
    <row r="33812" s="42" customFormat="1" x14ac:dyDescent="0.25"/>
    <row r="33813" s="42" customFormat="1" x14ac:dyDescent="0.25"/>
    <row r="33814" s="42" customFormat="1" x14ac:dyDescent="0.25"/>
    <row r="33815" s="42" customFormat="1" x14ac:dyDescent="0.25"/>
    <row r="33816" s="42" customFormat="1" x14ac:dyDescent="0.25"/>
    <row r="33817" s="42" customFormat="1" x14ac:dyDescent="0.25"/>
    <row r="33818" s="42" customFormat="1" x14ac:dyDescent="0.25"/>
    <row r="33819" s="42" customFormat="1" x14ac:dyDescent="0.25"/>
    <row r="33820" s="42" customFormat="1" x14ac:dyDescent="0.25"/>
    <row r="33821" s="42" customFormat="1" x14ac:dyDescent="0.25"/>
    <row r="33822" s="42" customFormat="1" x14ac:dyDescent="0.25"/>
    <row r="33823" s="42" customFormat="1" x14ac:dyDescent="0.25"/>
    <row r="33824" s="42" customFormat="1" x14ac:dyDescent="0.25"/>
    <row r="33825" s="42" customFormat="1" x14ac:dyDescent="0.25"/>
    <row r="33826" s="42" customFormat="1" x14ac:dyDescent="0.25"/>
    <row r="33827" s="42" customFormat="1" x14ac:dyDescent="0.25"/>
    <row r="33828" s="42" customFormat="1" x14ac:dyDescent="0.25"/>
    <row r="33829" s="42" customFormat="1" x14ac:dyDescent="0.25"/>
    <row r="33830" s="42" customFormat="1" x14ac:dyDescent="0.25"/>
    <row r="33831" s="42" customFormat="1" x14ac:dyDescent="0.25"/>
    <row r="33832" s="42" customFormat="1" x14ac:dyDescent="0.25"/>
    <row r="33833" s="42" customFormat="1" x14ac:dyDescent="0.25"/>
    <row r="33834" s="42" customFormat="1" x14ac:dyDescent="0.25"/>
    <row r="33835" s="42" customFormat="1" x14ac:dyDescent="0.25"/>
    <row r="33836" s="42" customFormat="1" x14ac:dyDescent="0.25"/>
    <row r="33837" s="42" customFormat="1" x14ac:dyDescent="0.25"/>
    <row r="33838" s="42" customFormat="1" x14ac:dyDescent="0.25"/>
    <row r="33839" s="42" customFormat="1" x14ac:dyDescent="0.25"/>
    <row r="33840" s="42" customFormat="1" x14ac:dyDescent="0.25"/>
    <row r="33841" s="42" customFormat="1" x14ac:dyDescent="0.25"/>
    <row r="33842" s="42" customFormat="1" x14ac:dyDescent="0.25"/>
    <row r="33843" s="42" customFormat="1" x14ac:dyDescent="0.25"/>
    <row r="33844" s="42" customFormat="1" x14ac:dyDescent="0.25"/>
    <row r="33845" s="42" customFormat="1" x14ac:dyDescent="0.25"/>
    <row r="33846" s="42" customFormat="1" x14ac:dyDescent="0.25"/>
    <row r="33847" s="42" customFormat="1" x14ac:dyDescent="0.25"/>
    <row r="33848" s="42" customFormat="1" x14ac:dyDescent="0.25"/>
    <row r="33849" s="42" customFormat="1" x14ac:dyDescent="0.25"/>
    <row r="33850" s="42" customFormat="1" x14ac:dyDescent="0.25"/>
    <row r="33851" s="42" customFormat="1" x14ac:dyDescent="0.25"/>
    <row r="33852" s="42" customFormat="1" x14ac:dyDescent="0.25"/>
    <row r="33853" s="42" customFormat="1" x14ac:dyDescent="0.25"/>
    <row r="33854" s="42" customFormat="1" x14ac:dyDescent="0.25"/>
    <row r="33855" s="42" customFormat="1" x14ac:dyDescent="0.25"/>
    <row r="33856" s="42" customFormat="1" x14ac:dyDescent="0.25"/>
    <row r="33857" s="42" customFormat="1" x14ac:dyDescent="0.25"/>
    <row r="33858" s="42" customFormat="1" x14ac:dyDescent="0.25"/>
    <row r="33859" s="42" customFormat="1" x14ac:dyDescent="0.25"/>
    <row r="33860" s="42" customFormat="1" x14ac:dyDescent="0.25"/>
    <row r="33861" s="42" customFormat="1" x14ac:dyDescent="0.25"/>
    <row r="33862" s="42" customFormat="1" x14ac:dyDescent="0.25"/>
    <row r="33863" s="42" customFormat="1" x14ac:dyDescent="0.25"/>
    <row r="33864" s="42" customFormat="1" x14ac:dyDescent="0.25"/>
    <row r="33865" s="42" customFormat="1" x14ac:dyDescent="0.25"/>
    <row r="33866" s="42" customFormat="1" x14ac:dyDescent="0.25"/>
    <row r="33867" s="42" customFormat="1" x14ac:dyDescent="0.25"/>
    <row r="33868" s="42" customFormat="1" x14ac:dyDescent="0.25"/>
    <row r="33869" s="42" customFormat="1" x14ac:dyDescent="0.25"/>
    <row r="33870" s="42" customFormat="1" x14ac:dyDescent="0.25"/>
    <row r="33871" s="42" customFormat="1" x14ac:dyDescent="0.25"/>
    <row r="33872" s="42" customFormat="1" x14ac:dyDescent="0.25"/>
    <row r="33873" s="42" customFormat="1" x14ac:dyDescent="0.25"/>
    <row r="33874" s="42" customFormat="1" x14ac:dyDescent="0.25"/>
    <row r="33875" s="42" customFormat="1" x14ac:dyDescent="0.25"/>
    <row r="33876" s="42" customFormat="1" x14ac:dyDescent="0.25"/>
    <row r="33877" s="42" customFormat="1" x14ac:dyDescent="0.25"/>
    <row r="33878" s="42" customFormat="1" x14ac:dyDescent="0.25"/>
    <row r="33879" s="42" customFormat="1" x14ac:dyDescent="0.25"/>
    <row r="33880" s="42" customFormat="1" x14ac:dyDescent="0.25"/>
    <row r="33881" s="42" customFormat="1" x14ac:dyDescent="0.25"/>
    <row r="33882" s="42" customFormat="1" x14ac:dyDescent="0.25"/>
    <row r="33883" s="42" customFormat="1" x14ac:dyDescent="0.25"/>
    <row r="33884" s="42" customFormat="1" x14ac:dyDescent="0.25"/>
    <row r="33885" s="42" customFormat="1" x14ac:dyDescent="0.25"/>
    <row r="33886" s="42" customFormat="1" x14ac:dyDescent="0.25"/>
    <row r="33887" s="42" customFormat="1" x14ac:dyDescent="0.25"/>
    <row r="33888" s="42" customFormat="1" x14ac:dyDescent="0.25"/>
    <row r="33889" s="42" customFormat="1" x14ac:dyDescent="0.25"/>
    <row r="33890" s="42" customFormat="1" x14ac:dyDescent="0.25"/>
    <row r="33891" s="42" customFormat="1" x14ac:dyDescent="0.25"/>
    <row r="33892" s="42" customFormat="1" x14ac:dyDescent="0.25"/>
    <row r="33893" s="42" customFormat="1" x14ac:dyDescent="0.25"/>
    <row r="33894" s="42" customFormat="1" x14ac:dyDescent="0.25"/>
    <row r="33895" s="42" customFormat="1" x14ac:dyDescent="0.25"/>
    <row r="33896" s="42" customFormat="1" x14ac:dyDescent="0.25"/>
    <row r="33897" s="42" customFormat="1" x14ac:dyDescent="0.25"/>
    <row r="33898" s="42" customFormat="1" x14ac:dyDescent="0.25"/>
    <row r="33899" s="42" customFormat="1" x14ac:dyDescent="0.25"/>
    <row r="33900" s="42" customFormat="1" x14ac:dyDescent="0.25"/>
    <row r="33901" s="42" customFormat="1" x14ac:dyDescent="0.25"/>
    <row r="33902" s="42" customFormat="1" x14ac:dyDescent="0.25"/>
    <row r="33903" s="42" customFormat="1" x14ac:dyDescent="0.25"/>
    <row r="33904" s="42" customFormat="1" x14ac:dyDescent="0.25"/>
    <row r="33905" s="42" customFormat="1" x14ac:dyDescent="0.25"/>
    <row r="33906" s="42" customFormat="1" x14ac:dyDescent="0.25"/>
    <row r="33907" s="42" customFormat="1" x14ac:dyDescent="0.25"/>
    <row r="33908" s="42" customFormat="1" x14ac:dyDescent="0.25"/>
    <row r="33909" s="42" customFormat="1" x14ac:dyDescent="0.25"/>
    <row r="33910" s="42" customFormat="1" x14ac:dyDescent="0.25"/>
    <row r="33911" s="42" customFormat="1" x14ac:dyDescent="0.25"/>
    <row r="33912" s="42" customFormat="1" x14ac:dyDescent="0.25"/>
    <row r="33913" s="42" customFormat="1" x14ac:dyDescent="0.25"/>
    <row r="33914" s="42" customFormat="1" x14ac:dyDescent="0.25"/>
    <row r="33915" s="42" customFormat="1" x14ac:dyDescent="0.25"/>
    <row r="33916" s="42" customFormat="1" x14ac:dyDescent="0.25"/>
    <row r="33917" s="42" customFormat="1" x14ac:dyDescent="0.25"/>
    <row r="33918" s="42" customFormat="1" x14ac:dyDescent="0.25"/>
    <row r="33919" s="42" customFormat="1" x14ac:dyDescent="0.25"/>
    <row r="33920" s="42" customFormat="1" x14ac:dyDescent="0.25"/>
    <row r="33921" s="42" customFormat="1" x14ac:dyDescent="0.25"/>
    <row r="33922" s="42" customFormat="1" x14ac:dyDescent="0.25"/>
    <row r="33923" s="42" customFormat="1" x14ac:dyDescent="0.25"/>
    <row r="33924" s="42" customFormat="1" x14ac:dyDescent="0.25"/>
    <row r="33925" s="42" customFormat="1" x14ac:dyDescent="0.25"/>
    <row r="33926" s="42" customFormat="1" x14ac:dyDescent="0.25"/>
    <row r="33927" s="42" customFormat="1" x14ac:dyDescent="0.25"/>
    <row r="33928" s="42" customFormat="1" x14ac:dyDescent="0.25"/>
    <row r="33929" s="42" customFormat="1" x14ac:dyDescent="0.25"/>
    <row r="33930" s="42" customFormat="1" x14ac:dyDescent="0.25"/>
    <row r="33931" s="42" customFormat="1" x14ac:dyDescent="0.25"/>
    <row r="33932" s="42" customFormat="1" x14ac:dyDescent="0.25"/>
    <row r="33933" s="42" customFormat="1" x14ac:dyDescent="0.25"/>
    <row r="33934" s="42" customFormat="1" x14ac:dyDescent="0.25"/>
    <row r="33935" s="42" customFormat="1" x14ac:dyDescent="0.25"/>
    <row r="33936" s="42" customFormat="1" x14ac:dyDescent="0.25"/>
    <row r="33937" s="42" customFormat="1" x14ac:dyDescent="0.25"/>
    <row r="33938" s="42" customFormat="1" x14ac:dyDescent="0.25"/>
    <row r="33939" s="42" customFormat="1" x14ac:dyDescent="0.25"/>
    <row r="33940" s="42" customFormat="1" x14ac:dyDescent="0.25"/>
    <row r="33941" s="42" customFormat="1" x14ac:dyDescent="0.25"/>
    <row r="33942" s="42" customFormat="1" x14ac:dyDescent="0.25"/>
    <row r="33943" s="42" customFormat="1" x14ac:dyDescent="0.25"/>
    <row r="33944" s="42" customFormat="1" x14ac:dyDescent="0.25"/>
    <row r="33945" s="42" customFormat="1" x14ac:dyDescent="0.25"/>
    <row r="33946" s="42" customFormat="1" x14ac:dyDescent="0.25"/>
    <row r="33947" s="42" customFormat="1" x14ac:dyDescent="0.25"/>
    <row r="33948" s="42" customFormat="1" x14ac:dyDescent="0.25"/>
    <row r="33949" s="42" customFormat="1" x14ac:dyDescent="0.25"/>
    <row r="33950" s="42" customFormat="1" x14ac:dyDescent="0.25"/>
    <row r="33951" s="42" customFormat="1" x14ac:dyDescent="0.25"/>
    <row r="33952" s="42" customFormat="1" x14ac:dyDescent="0.25"/>
    <row r="33953" s="42" customFormat="1" x14ac:dyDescent="0.25"/>
    <row r="33954" s="42" customFormat="1" x14ac:dyDescent="0.25"/>
    <row r="33955" s="42" customFormat="1" x14ac:dyDescent="0.25"/>
    <row r="33956" s="42" customFormat="1" x14ac:dyDescent="0.25"/>
    <row r="33957" s="42" customFormat="1" x14ac:dyDescent="0.25"/>
    <row r="33958" s="42" customFormat="1" x14ac:dyDescent="0.25"/>
    <row r="33959" s="42" customFormat="1" x14ac:dyDescent="0.25"/>
    <row r="33960" s="42" customFormat="1" x14ac:dyDescent="0.25"/>
    <row r="33961" s="42" customFormat="1" x14ac:dyDescent="0.25"/>
    <row r="33962" s="42" customFormat="1" x14ac:dyDescent="0.25"/>
    <row r="33963" s="42" customFormat="1" x14ac:dyDescent="0.25"/>
    <row r="33964" s="42" customFormat="1" x14ac:dyDescent="0.25"/>
    <row r="33965" s="42" customFormat="1" x14ac:dyDescent="0.25"/>
    <row r="33966" s="42" customFormat="1" x14ac:dyDescent="0.25"/>
    <row r="33967" s="42" customFormat="1" x14ac:dyDescent="0.25"/>
    <row r="33968" s="42" customFormat="1" x14ac:dyDescent="0.25"/>
    <row r="33969" s="42" customFormat="1" x14ac:dyDescent="0.25"/>
    <row r="33970" s="42" customFormat="1" x14ac:dyDescent="0.25"/>
    <row r="33971" s="42" customFormat="1" x14ac:dyDescent="0.25"/>
    <row r="33972" s="42" customFormat="1" x14ac:dyDescent="0.25"/>
    <row r="33973" s="42" customFormat="1" x14ac:dyDescent="0.25"/>
    <row r="33974" s="42" customFormat="1" x14ac:dyDescent="0.25"/>
    <row r="33975" s="42" customFormat="1" x14ac:dyDescent="0.25"/>
    <row r="33976" s="42" customFormat="1" x14ac:dyDescent="0.25"/>
    <row r="33977" s="42" customFormat="1" x14ac:dyDescent="0.25"/>
    <row r="33978" s="42" customFormat="1" x14ac:dyDescent="0.25"/>
    <row r="33979" s="42" customFormat="1" x14ac:dyDescent="0.25"/>
    <row r="33980" s="42" customFormat="1" x14ac:dyDescent="0.25"/>
    <row r="33981" s="42" customFormat="1" x14ac:dyDescent="0.25"/>
    <row r="33982" s="42" customFormat="1" x14ac:dyDescent="0.25"/>
    <row r="33983" s="42" customFormat="1" x14ac:dyDescent="0.25"/>
    <row r="33984" s="42" customFormat="1" x14ac:dyDescent="0.25"/>
    <row r="33985" s="42" customFormat="1" x14ac:dyDescent="0.25"/>
    <row r="33986" s="42" customFormat="1" x14ac:dyDescent="0.25"/>
    <row r="33987" s="42" customFormat="1" x14ac:dyDescent="0.25"/>
    <row r="33988" s="42" customFormat="1" x14ac:dyDescent="0.25"/>
    <row r="33989" s="42" customFormat="1" x14ac:dyDescent="0.25"/>
    <row r="33990" s="42" customFormat="1" x14ac:dyDescent="0.25"/>
    <row r="33991" s="42" customFormat="1" x14ac:dyDescent="0.25"/>
    <row r="33992" s="42" customFormat="1" x14ac:dyDescent="0.25"/>
    <row r="33993" s="42" customFormat="1" x14ac:dyDescent="0.25"/>
    <row r="33994" s="42" customFormat="1" x14ac:dyDescent="0.25"/>
    <row r="33995" s="42" customFormat="1" x14ac:dyDescent="0.25"/>
    <row r="33996" s="42" customFormat="1" x14ac:dyDescent="0.25"/>
    <row r="33997" s="42" customFormat="1" x14ac:dyDescent="0.25"/>
    <row r="33998" s="42" customFormat="1" x14ac:dyDescent="0.25"/>
    <row r="33999" s="42" customFormat="1" x14ac:dyDescent="0.25"/>
    <row r="34000" s="42" customFormat="1" x14ac:dyDescent="0.25"/>
    <row r="34001" s="42" customFormat="1" x14ac:dyDescent="0.25"/>
    <row r="34002" s="42" customFormat="1" x14ac:dyDescent="0.25"/>
    <row r="34003" s="42" customFormat="1" x14ac:dyDescent="0.25"/>
    <row r="34004" s="42" customFormat="1" x14ac:dyDescent="0.25"/>
    <row r="34005" s="42" customFormat="1" x14ac:dyDescent="0.25"/>
    <row r="34006" s="42" customFormat="1" x14ac:dyDescent="0.25"/>
    <row r="34007" s="42" customFormat="1" x14ac:dyDescent="0.25"/>
    <row r="34008" s="42" customFormat="1" x14ac:dyDescent="0.25"/>
    <row r="34009" s="42" customFormat="1" x14ac:dyDescent="0.25"/>
    <row r="34010" s="42" customFormat="1" x14ac:dyDescent="0.25"/>
    <row r="34011" s="42" customFormat="1" x14ac:dyDescent="0.25"/>
    <row r="34012" s="42" customFormat="1" x14ac:dyDescent="0.25"/>
    <row r="34013" s="42" customFormat="1" x14ac:dyDescent="0.25"/>
    <row r="34014" s="42" customFormat="1" x14ac:dyDescent="0.25"/>
    <row r="34015" s="42" customFormat="1" x14ac:dyDescent="0.25"/>
    <row r="34016" s="42" customFormat="1" x14ac:dyDescent="0.25"/>
    <row r="34017" s="42" customFormat="1" x14ac:dyDescent="0.25"/>
    <row r="34018" s="42" customFormat="1" x14ac:dyDescent="0.25"/>
    <row r="34019" s="42" customFormat="1" x14ac:dyDescent="0.25"/>
    <row r="34020" s="42" customFormat="1" x14ac:dyDescent="0.25"/>
    <row r="34021" s="42" customFormat="1" x14ac:dyDescent="0.25"/>
    <row r="34022" s="42" customFormat="1" x14ac:dyDescent="0.25"/>
    <row r="34023" s="42" customFormat="1" x14ac:dyDescent="0.25"/>
    <row r="34024" s="42" customFormat="1" x14ac:dyDescent="0.25"/>
    <row r="34025" s="42" customFormat="1" x14ac:dyDescent="0.25"/>
    <row r="34026" s="42" customFormat="1" x14ac:dyDescent="0.25"/>
    <row r="34027" s="42" customFormat="1" x14ac:dyDescent="0.25"/>
    <row r="34028" s="42" customFormat="1" x14ac:dyDescent="0.25"/>
    <row r="34029" s="42" customFormat="1" x14ac:dyDescent="0.25"/>
    <row r="34030" s="42" customFormat="1" x14ac:dyDescent="0.25"/>
    <row r="34031" s="42" customFormat="1" x14ac:dyDescent="0.25"/>
    <row r="34032" s="42" customFormat="1" x14ac:dyDescent="0.25"/>
    <row r="34033" s="42" customFormat="1" x14ac:dyDescent="0.25"/>
    <row r="34034" s="42" customFormat="1" x14ac:dyDescent="0.25"/>
    <row r="34035" s="42" customFormat="1" x14ac:dyDescent="0.25"/>
    <row r="34036" s="42" customFormat="1" x14ac:dyDescent="0.25"/>
    <row r="34037" s="42" customFormat="1" x14ac:dyDescent="0.25"/>
    <row r="34038" s="42" customFormat="1" x14ac:dyDescent="0.25"/>
    <row r="34039" s="42" customFormat="1" x14ac:dyDescent="0.25"/>
    <row r="34040" s="42" customFormat="1" x14ac:dyDescent="0.25"/>
    <row r="34041" s="42" customFormat="1" x14ac:dyDescent="0.25"/>
    <row r="34042" s="42" customFormat="1" x14ac:dyDescent="0.25"/>
    <row r="34043" s="42" customFormat="1" x14ac:dyDescent="0.25"/>
    <row r="34044" s="42" customFormat="1" x14ac:dyDescent="0.25"/>
    <row r="34045" s="42" customFormat="1" x14ac:dyDescent="0.25"/>
    <row r="34046" s="42" customFormat="1" x14ac:dyDescent="0.25"/>
    <row r="34047" s="42" customFormat="1" x14ac:dyDescent="0.25"/>
    <row r="34048" s="42" customFormat="1" x14ac:dyDescent="0.25"/>
    <row r="34049" s="42" customFormat="1" x14ac:dyDescent="0.25"/>
    <row r="34050" s="42" customFormat="1" x14ac:dyDescent="0.25"/>
    <row r="34051" s="42" customFormat="1" x14ac:dyDescent="0.25"/>
    <row r="34052" s="42" customFormat="1" x14ac:dyDescent="0.25"/>
    <row r="34053" s="42" customFormat="1" x14ac:dyDescent="0.25"/>
    <row r="34054" s="42" customFormat="1" x14ac:dyDescent="0.25"/>
    <row r="34055" s="42" customFormat="1" x14ac:dyDescent="0.25"/>
    <row r="34056" s="42" customFormat="1" x14ac:dyDescent="0.25"/>
    <row r="34057" s="42" customFormat="1" x14ac:dyDescent="0.25"/>
    <row r="34058" s="42" customFormat="1" x14ac:dyDescent="0.25"/>
    <row r="34059" s="42" customFormat="1" x14ac:dyDescent="0.25"/>
    <row r="34060" s="42" customFormat="1" x14ac:dyDescent="0.25"/>
    <row r="34061" s="42" customFormat="1" x14ac:dyDescent="0.25"/>
    <row r="34062" s="42" customFormat="1" x14ac:dyDescent="0.25"/>
    <row r="34063" s="42" customFormat="1" x14ac:dyDescent="0.25"/>
    <row r="34064" s="42" customFormat="1" x14ac:dyDescent="0.25"/>
    <row r="34065" s="42" customFormat="1" x14ac:dyDescent="0.25"/>
    <row r="34066" s="42" customFormat="1" x14ac:dyDescent="0.25"/>
    <row r="34067" s="42" customFormat="1" x14ac:dyDescent="0.25"/>
    <row r="34068" s="42" customFormat="1" x14ac:dyDescent="0.25"/>
    <row r="34069" s="42" customFormat="1" x14ac:dyDescent="0.25"/>
    <row r="34070" s="42" customFormat="1" x14ac:dyDescent="0.25"/>
    <row r="34071" s="42" customFormat="1" x14ac:dyDescent="0.25"/>
    <row r="34072" s="42" customFormat="1" x14ac:dyDescent="0.25"/>
    <row r="34073" s="42" customFormat="1" x14ac:dyDescent="0.25"/>
    <row r="34074" s="42" customFormat="1" x14ac:dyDescent="0.25"/>
    <row r="34075" s="42" customFormat="1" x14ac:dyDescent="0.25"/>
    <row r="34076" s="42" customFormat="1" x14ac:dyDescent="0.25"/>
    <row r="34077" s="42" customFormat="1" x14ac:dyDescent="0.25"/>
    <row r="34078" s="42" customFormat="1" x14ac:dyDescent="0.25"/>
    <row r="34079" s="42" customFormat="1" x14ac:dyDescent="0.25"/>
    <row r="34080" s="42" customFormat="1" x14ac:dyDescent="0.25"/>
    <row r="34081" s="42" customFormat="1" x14ac:dyDescent="0.25"/>
    <row r="34082" s="42" customFormat="1" x14ac:dyDescent="0.25"/>
    <row r="34083" s="42" customFormat="1" x14ac:dyDescent="0.25"/>
    <row r="34084" s="42" customFormat="1" x14ac:dyDescent="0.25"/>
    <row r="34085" s="42" customFormat="1" x14ac:dyDescent="0.25"/>
    <row r="34086" s="42" customFormat="1" x14ac:dyDescent="0.25"/>
    <row r="34087" s="42" customFormat="1" x14ac:dyDescent="0.25"/>
    <row r="34088" s="42" customFormat="1" x14ac:dyDescent="0.25"/>
    <row r="34089" s="42" customFormat="1" x14ac:dyDescent="0.25"/>
    <row r="34090" s="42" customFormat="1" x14ac:dyDescent="0.25"/>
    <row r="34091" s="42" customFormat="1" x14ac:dyDescent="0.25"/>
    <row r="34092" s="42" customFormat="1" x14ac:dyDescent="0.25"/>
    <row r="34093" s="42" customFormat="1" x14ac:dyDescent="0.25"/>
    <row r="34094" s="42" customFormat="1" x14ac:dyDescent="0.25"/>
    <row r="34095" s="42" customFormat="1" x14ac:dyDescent="0.25"/>
    <row r="34096" s="42" customFormat="1" x14ac:dyDescent="0.25"/>
    <row r="34097" s="42" customFormat="1" x14ac:dyDescent="0.25"/>
    <row r="34098" s="42" customFormat="1" x14ac:dyDescent="0.25"/>
    <row r="34099" s="42" customFormat="1" x14ac:dyDescent="0.25"/>
    <row r="34100" s="42" customFormat="1" x14ac:dyDescent="0.25"/>
    <row r="34101" s="42" customFormat="1" x14ac:dyDescent="0.25"/>
    <row r="34102" s="42" customFormat="1" x14ac:dyDescent="0.25"/>
    <row r="34103" s="42" customFormat="1" x14ac:dyDescent="0.25"/>
    <row r="34104" s="42" customFormat="1" x14ac:dyDescent="0.25"/>
    <row r="34105" s="42" customFormat="1" x14ac:dyDescent="0.25"/>
    <row r="34106" s="42" customFormat="1" x14ac:dyDescent="0.25"/>
    <row r="34107" s="42" customFormat="1" x14ac:dyDescent="0.25"/>
    <row r="34108" s="42" customFormat="1" x14ac:dyDescent="0.25"/>
    <row r="34109" s="42" customFormat="1" x14ac:dyDescent="0.25"/>
    <row r="34110" s="42" customFormat="1" x14ac:dyDescent="0.25"/>
    <row r="34111" s="42" customFormat="1" x14ac:dyDescent="0.25"/>
    <row r="34112" s="42" customFormat="1" x14ac:dyDescent="0.25"/>
    <row r="34113" s="42" customFormat="1" x14ac:dyDescent="0.25"/>
    <row r="34114" s="42" customFormat="1" x14ac:dyDescent="0.25"/>
    <row r="34115" s="42" customFormat="1" x14ac:dyDescent="0.25"/>
    <row r="34116" s="42" customFormat="1" x14ac:dyDescent="0.25"/>
    <row r="34117" s="42" customFormat="1" x14ac:dyDescent="0.25"/>
    <row r="34118" s="42" customFormat="1" x14ac:dyDescent="0.25"/>
    <row r="34119" s="42" customFormat="1" x14ac:dyDescent="0.25"/>
    <row r="34120" s="42" customFormat="1" x14ac:dyDescent="0.25"/>
    <row r="34121" s="42" customFormat="1" x14ac:dyDescent="0.25"/>
    <row r="34122" s="42" customFormat="1" x14ac:dyDescent="0.25"/>
    <row r="34123" s="42" customFormat="1" x14ac:dyDescent="0.25"/>
    <row r="34124" s="42" customFormat="1" x14ac:dyDescent="0.25"/>
    <row r="34125" s="42" customFormat="1" x14ac:dyDescent="0.25"/>
    <row r="34126" s="42" customFormat="1" x14ac:dyDescent="0.25"/>
    <row r="34127" s="42" customFormat="1" x14ac:dyDescent="0.25"/>
    <row r="34128" s="42" customFormat="1" x14ac:dyDescent="0.25"/>
    <row r="34129" s="42" customFormat="1" x14ac:dyDescent="0.25"/>
    <row r="34130" s="42" customFormat="1" x14ac:dyDescent="0.25"/>
    <row r="34131" s="42" customFormat="1" x14ac:dyDescent="0.25"/>
    <row r="34132" s="42" customFormat="1" x14ac:dyDescent="0.25"/>
    <row r="34133" s="42" customFormat="1" x14ac:dyDescent="0.25"/>
    <row r="34134" s="42" customFormat="1" x14ac:dyDescent="0.25"/>
    <row r="34135" s="42" customFormat="1" x14ac:dyDescent="0.25"/>
    <row r="34136" s="42" customFormat="1" x14ac:dyDescent="0.25"/>
    <row r="34137" s="42" customFormat="1" x14ac:dyDescent="0.25"/>
    <row r="34138" s="42" customFormat="1" x14ac:dyDescent="0.25"/>
    <row r="34139" s="42" customFormat="1" x14ac:dyDescent="0.25"/>
    <row r="34140" s="42" customFormat="1" x14ac:dyDescent="0.25"/>
    <row r="34141" s="42" customFormat="1" x14ac:dyDescent="0.25"/>
    <row r="34142" s="42" customFormat="1" x14ac:dyDescent="0.25"/>
    <row r="34143" s="42" customFormat="1" x14ac:dyDescent="0.25"/>
    <row r="34144" s="42" customFormat="1" x14ac:dyDescent="0.25"/>
    <row r="34145" s="42" customFormat="1" x14ac:dyDescent="0.25"/>
    <row r="34146" s="42" customFormat="1" x14ac:dyDescent="0.25"/>
    <row r="34147" s="42" customFormat="1" x14ac:dyDescent="0.25"/>
    <row r="34148" s="42" customFormat="1" x14ac:dyDescent="0.25"/>
    <row r="34149" s="42" customFormat="1" x14ac:dyDescent="0.25"/>
    <row r="34150" s="42" customFormat="1" x14ac:dyDescent="0.25"/>
    <row r="34151" s="42" customFormat="1" x14ac:dyDescent="0.25"/>
    <row r="34152" s="42" customFormat="1" x14ac:dyDescent="0.25"/>
    <row r="34153" s="42" customFormat="1" x14ac:dyDescent="0.25"/>
    <row r="34154" s="42" customFormat="1" x14ac:dyDescent="0.25"/>
    <row r="34155" s="42" customFormat="1" x14ac:dyDescent="0.25"/>
    <row r="34156" s="42" customFormat="1" x14ac:dyDescent="0.25"/>
    <row r="34157" s="42" customFormat="1" x14ac:dyDescent="0.25"/>
    <row r="34158" s="42" customFormat="1" x14ac:dyDescent="0.25"/>
    <row r="34159" s="42" customFormat="1" x14ac:dyDescent="0.25"/>
    <row r="34160" s="42" customFormat="1" x14ac:dyDescent="0.25"/>
    <row r="34161" s="42" customFormat="1" x14ac:dyDescent="0.25"/>
    <row r="34162" s="42" customFormat="1" x14ac:dyDescent="0.25"/>
    <row r="34163" s="42" customFormat="1" x14ac:dyDescent="0.25"/>
    <row r="34164" s="42" customFormat="1" x14ac:dyDescent="0.25"/>
    <row r="34165" s="42" customFormat="1" x14ac:dyDescent="0.25"/>
    <row r="34166" s="42" customFormat="1" x14ac:dyDescent="0.25"/>
    <row r="34167" s="42" customFormat="1" x14ac:dyDescent="0.25"/>
    <row r="34168" s="42" customFormat="1" x14ac:dyDescent="0.25"/>
    <row r="34169" s="42" customFormat="1" x14ac:dyDescent="0.25"/>
    <row r="34170" s="42" customFormat="1" x14ac:dyDescent="0.25"/>
    <row r="34171" s="42" customFormat="1" x14ac:dyDescent="0.25"/>
    <row r="34172" s="42" customFormat="1" x14ac:dyDescent="0.25"/>
    <row r="34173" s="42" customFormat="1" x14ac:dyDescent="0.25"/>
    <row r="34174" s="42" customFormat="1" x14ac:dyDescent="0.25"/>
    <row r="34175" s="42" customFormat="1" x14ac:dyDescent="0.25"/>
    <row r="34176" s="42" customFormat="1" x14ac:dyDescent="0.25"/>
    <row r="34177" s="42" customFormat="1" x14ac:dyDescent="0.25"/>
    <row r="34178" s="42" customFormat="1" x14ac:dyDescent="0.25"/>
    <row r="34179" s="42" customFormat="1" x14ac:dyDescent="0.25"/>
    <row r="34180" s="42" customFormat="1" x14ac:dyDescent="0.25"/>
    <row r="34181" s="42" customFormat="1" x14ac:dyDescent="0.25"/>
    <row r="34182" s="42" customFormat="1" x14ac:dyDescent="0.25"/>
    <row r="34183" s="42" customFormat="1" x14ac:dyDescent="0.25"/>
    <row r="34184" s="42" customFormat="1" x14ac:dyDescent="0.25"/>
    <row r="34185" s="42" customFormat="1" x14ac:dyDescent="0.25"/>
    <row r="34186" s="42" customFormat="1" x14ac:dyDescent="0.25"/>
    <row r="34187" s="42" customFormat="1" x14ac:dyDescent="0.25"/>
    <row r="34188" s="42" customFormat="1" x14ac:dyDescent="0.25"/>
    <row r="34189" s="42" customFormat="1" x14ac:dyDescent="0.25"/>
    <row r="34190" s="42" customFormat="1" x14ac:dyDescent="0.25"/>
    <row r="34191" s="42" customFormat="1" x14ac:dyDescent="0.25"/>
    <row r="34192" s="42" customFormat="1" x14ac:dyDescent="0.25"/>
    <row r="34193" s="42" customFormat="1" x14ac:dyDescent="0.25"/>
    <row r="34194" s="42" customFormat="1" x14ac:dyDescent="0.25"/>
    <row r="34195" s="42" customFormat="1" x14ac:dyDescent="0.25"/>
    <row r="34196" s="42" customFormat="1" x14ac:dyDescent="0.25"/>
    <row r="34197" s="42" customFormat="1" x14ac:dyDescent="0.25"/>
    <row r="34198" s="42" customFormat="1" x14ac:dyDescent="0.25"/>
    <row r="34199" s="42" customFormat="1" x14ac:dyDescent="0.25"/>
    <row r="34200" s="42" customFormat="1" x14ac:dyDescent="0.25"/>
    <row r="34201" s="42" customFormat="1" x14ac:dyDescent="0.25"/>
    <row r="34202" s="42" customFormat="1" x14ac:dyDescent="0.25"/>
    <row r="34203" s="42" customFormat="1" x14ac:dyDescent="0.25"/>
    <row r="34204" s="42" customFormat="1" x14ac:dyDescent="0.25"/>
    <row r="34205" s="42" customFormat="1" x14ac:dyDescent="0.25"/>
    <row r="34206" s="42" customFormat="1" x14ac:dyDescent="0.25"/>
    <row r="34207" s="42" customFormat="1" x14ac:dyDescent="0.25"/>
    <row r="34208" s="42" customFormat="1" x14ac:dyDescent="0.25"/>
    <row r="34209" s="42" customFormat="1" x14ac:dyDescent="0.25"/>
    <row r="34210" s="42" customFormat="1" x14ac:dyDescent="0.25"/>
    <row r="34211" s="42" customFormat="1" x14ac:dyDescent="0.25"/>
    <row r="34212" s="42" customFormat="1" x14ac:dyDescent="0.25"/>
    <row r="34213" s="42" customFormat="1" x14ac:dyDescent="0.25"/>
    <row r="34214" s="42" customFormat="1" x14ac:dyDescent="0.25"/>
    <row r="34215" s="42" customFormat="1" x14ac:dyDescent="0.25"/>
    <row r="34216" s="42" customFormat="1" x14ac:dyDescent="0.25"/>
    <row r="34217" s="42" customFormat="1" x14ac:dyDescent="0.25"/>
    <row r="34218" s="42" customFormat="1" x14ac:dyDescent="0.25"/>
    <row r="34219" s="42" customFormat="1" x14ac:dyDescent="0.25"/>
    <row r="34220" s="42" customFormat="1" x14ac:dyDescent="0.25"/>
    <row r="34221" s="42" customFormat="1" x14ac:dyDescent="0.25"/>
    <row r="34222" s="42" customFormat="1" x14ac:dyDescent="0.25"/>
    <row r="34223" s="42" customFormat="1" x14ac:dyDescent="0.25"/>
    <row r="34224" s="42" customFormat="1" x14ac:dyDescent="0.25"/>
    <row r="34225" s="42" customFormat="1" x14ac:dyDescent="0.25"/>
    <row r="34226" s="42" customFormat="1" x14ac:dyDescent="0.25"/>
    <row r="34227" s="42" customFormat="1" x14ac:dyDescent="0.25"/>
    <row r="34228" s="42" customFormat="1" x14ac:dyDescent="0.25"/>
    <row r="34229" s="42" customFormat="1" x14ac:dyDescent="0.25"/>
    <row r="34230" s="42" customFormat="1" x14ac:dyDescent="0.25"/>
    <row r="34231" s="42" customFormat="1" x14ac:dyDescent="0.25"/>
    <row r="34232" s="42" customFormat="1" x14ac:dyDescent="0.25"/>
    <row r="34233" s="42" customFormat="1" x14ac:dyDescent="0.25"/>
    <row r="34234" s="42" customFormat="1" x14ac:dyDescent="0.25"/>
    <row r="34235" s="42" customFormat="1" x14ac:dyDescent="0.25"/>
    <row r="34236" s="42" customFormat="1" x14ac:dyDescent="0.25"/>
    <row r="34237" s="42" customFormat="1" x14ac:dyDescent="0.25"/>
    <row r="34238" s="42" customFormat="1" x14ac:dyDescent="0.25"/>
    <row r="34239" s="42" customFormat="1" x14ac:dyDescent="0.25"/>
    <row r="34240" s="42" customFormat="1" x14ac:dyDescent="0.25"/>
    <row r="34241" s="42" customFormat="1" x14ac:dyDescent="0.25"/>
    <row r="34242" s="42" customFormat="1" x14ac:dyDescent="0.25"/>
    <row r="34243" s="42" customFormat="1" x14ac:dyDescent="0.25"/>
    <row r="34244" s="42" customFormat="1" x14ac:dyDescent="0.25"/>
    <row r="34245" s="42" customFormat="1" x14ac:dyDescent="0.25"/>
    <row r="34246" s="42" customFormat="1" x14ac:dyDescent="0.25"/>
    <row r="34247" s="42" customFormat="1" x14ac:dyDescent="0.25"/>
    <row r="34248" s="42" customFormat="1" x14ac:dyDescent="0.25"/>
    <row r="34249" s="42" customFormat="1" x14ac:dyDescent="0.25"/>
    <row r="34250" s="42" customFormat="1" x14ac:dyDescent="0.25"/>
    <row r="34251" s="42" customFormat="1" x14ac:dyDescent="0.25"/>
    <row r="34252" s="42" customFormat="1" x14ac:dyDescent="0.25"/>
    <row r="34253" s="42" customFormat="1" x14ac:dyDescent="0.25"/>
    <row r="34254" s="42" customFormat="1" x14ac:dyDescent="0.25"/>
    <row r="34255" s="42" customFormat="1" x14ac:dyDescent="0.25"/>
    <row r="34256" s="42" customFormat="1" x14ac:dyDescent="0.25"/>
    <row r="34257" s="42" customFormat="1" x14ac:dyDescent="0.25"/>
    <row r="34258" s="42" customFormat="1" x14ac:dyDescent="0.25"/>
    <row r="34259" s="42" customFormat="1" x14ac:dyDescent="0.25"/>
    <row r="34260" s="42" customFormat="1" x14ac:dyDescent="0.25"/>
    <row r="34261" s="42" customFormat="1" x14ac:dyDescent="0.25"/>
    <row r="34262" s="42" customFormat="1" x14ac:dyDescent="0.25"/>
    <row r="34263" s="42" customFormat="1" x14ac:dyDescent="0.25"/>
    <row r="34264" s="42" customFormat="1" x14ac:dyDescent="0.25"/>
    <row r="34265" s="42" customFormat="1" x14ac:dyDescent="0.25"/>
    <row r="34266" s="42" customFormat="1" x14ac:dyDescent="0.25"/>
    <row r="34267" s="42" customFormat="1" x14ac:dyDescent="0.25"/>
    <row r="34268" s="42" customFormat="1" x14ac:dyDescent="0.25"/>
    <row r="34269" s="42" customFormat="1" x14ac:dyDescent="0.25"/>
    <row r="34270" s="42" customFormat="1" x14ac:dyDescent="0.25"/>
    <row r="34271" s="42" customFormat="1" x14ac:dyDescent="0.25"/>
    <row r="34272" s="42" customFormat="1" x14ac:dyDescent="0.25"/>
    <row r="34273" s="42" customFormat="1" x14ac:dyDescent="0.25"/>
    <row r="34274" s="42" customFormat="1" x14ac:dyDescent="0.25"/>
    <row r="34275" s="42" customFormat="1" x14ac:dyDescent="0.25"/>
    <row r="34276" s="42" customFormat="1" x14ac:dyDescent="0.25"/>
    <row r="34277" s="42" customFormat="1" x14ac:dyDescent="0.25"/>
    <row r="34278" s="42" customFormat="1" x14ac:dyDescent="0.25"/>
    <row r="34279" s="42" customFormat="1" x14ac:dyDescent="0.25"/>
    <row r="34280" s="42" customFormat="1" x14ac:dyDescent="0.25"/>
    <row r="34281" s="42" customFormat="1" x14ac:dyDescent="0.25"/>
    <row r="34282" s="42" customFormat="1" x14ac:dyDescent="0.25"/>
    <row r="34283" s="42" customFormat="1" x14ac:dyDescent="0.25"/>
    <row r="34284" s="42" customFormat="1" x14ac:dyDescent="0.25"/>
    <row r="34285" s="42" customFormat="1" x14ac:dyDescent="0.25"/>
    <row r="34286" s="42" customFormat="1" x14ac:dyDescent="0.25"/>
    <row r="34287" s="42" customFormat="1" x14ac:dyDescent="0.25"/>
    <row r="34288" s="42" customFormat="1" x14ac:dyDescent="0.25"/>
    <row r="34289" s="42" customFormat="1" x14ac:dyDescent="0.25"/>
    <row r="34290" s="42" customFormat="1" x14ac:dyDescent="0.25"/>
    <row r="34291" s="42" customFormat="1" x14ac:dyDescent="0.25"/>
    <row r="34292" s="42" customFormat="1" x14ac:dyDescent="0.25"/>
    <row r="34293" s="42" customFormat="1" x14ac:dyDescent="0.25"/>
    <row r="34294" s="42" customFormat="1" x14ac:dyDescent="0.25"/>
    <row r="34295" s="42" customFormat="1" x14ac:dyDescent="0.25"/>
    <row r="34296" s="42" customFormat="1" x14ac:dyDescent="0.25"/>
    <row r="34297" s="42" customFormat="1" x14ac:dyDescent="0.25"/>
    <row r="34298" s="42" customFormat="1" x14ac:dyDescent="0.25"/>
    <row r="34299" s="42" customFormat="1" x14ac:dyDescent="0.25"/>
    <row r="34300" s="42" customFormat="1" x14ac:dyDescent="0.25"/>
    <row r="34301" s="42" customFormat="1" x14ac:dyDescent="0.25"/>
    <row r="34302" s="42" customFormat="1" x14ac:dyDescent="0.25"/>
    <row r="34303" s="42" customFormat="1" x14ac:dyDescent="0.25"/>
    <row r="34304" s="42" customFormat="1" x14ac:dyDescent="0.25"/>
    <row r="34305" s="42" customFormat="1" x14ac:dyDescent="0.25"/>
    <row r="34306" s="42" customFormat="1" x14ac:dyDescent="0.25"/>
    <row r="34307" s="42" customFormat="1" x14ac:dyDescent="0.25"/>
    <row r="34308" s="42" customFormat="1" x14ac:dyDescent="0.25"/>
    <row r="34309" s="42" customFormat="1" x14ac:dyDescent="0.25"/>
    <row r="34310" s="42" customFormat="1" x14ac:dyDescent="0.25"/>
    <row r="34311" s="42" customFormat="1" x14ac:dyDescent="0.25"/>
    <row r="34312" s="42" customFormat="1" x14ac:dyDescent="0.25"/>
    <row r="34313" s="42" customFormat="1" x14ac:dyDescent="0.25"/>
    <row r="34314" s="42" customFormat="1" x14ac:dyDescent="0.25"/>
    <row r="34315" s="42" customFormat="1" x14ac:dyDescent="0.25"/>
    <row r="34316" s="42" customFormat="1" x14ac:dyDescent="0.25"/>
    <row r="34317" s="42" customFormat="1" x14ac:dyDescent="0.25"/>
    <row r="34318" s="42" customFormat="1" x14ac:dyDescent="0.25"/>
    <row r="34319" s="42" customFormat="1" x14ac:dyDescent="0.25"/>
    <row r="34320" s="42" customFormat="1" x14ac:dyDescent="0.25"/>
    <row r="34321" s="42" customFormat="1" x14ac:dyDescent="0.25"/>
    <row r="34322" s="42" customFormat="1" x14ac:dyDescent="0.25"/>
    <row r="34323" s="42" customFormat="1" x14ac:dyDescent="0.25"/>
    <row r="34324" s="42" customFormat="1" x14ac:dyDescent="0.25"/>
    <row r="34325" s="42" customFormat="1" x14ac:dyDescent="0.25"/>
    <row r="34326" s="42" customFormat="1" x14ac:dyDescent="0.25"/>
    <row r="34327" s="42" customFormat="1" x14ac:dyDescent="0.25"/>
    <row r="34328" s="42" customFormat="1" x14ac:dyDescent="0.25"/>
    <row r="34329" s="42" customFormat="1" x14ac:dyDescent="0.25"/>
    <row r="34330" s="42" customFormat="1" x14ac:dyDescent="0.25"/>
    <row r="34331" s="42" customFormat="1" x14ac:dyDescent="0.25"/>
    <row r="34332" s="42" customFormat="1" x14ac:dyDescent="0.25"/>
    <row r="34333" s="42" customFormat="1" x14ac:dyDescent="0.25"/>
    <row r="34334" s="42" customFormat="1" x14ac:dyDescent="0.25"/>
    <row r="34335" s="42" customFormat="1" x14ac:dyDescent="0.25"/>
    <row r="34336" s="42" customFormat="1" x14ac:dyDescent="0.25"/>
    <row r="34337" s="42" customFormat="1" x14ac:dyDescent="0.25"/>
    <row r="34338" s="42" customFormat="1" x14ac:dyDescent="0.25"/>
    <row r="34339" s="42" customFormat="1" x14ac:dyDescent="0.25"/>
    <row r="34340" s="42" customFormat="1" x14ac:dyDescent="0.25"/>
    <row r="34341" s="42" customFormat="1" x14ac:dyDescent="0.25"/>
    <row r="34342" s="42" customFormat="1" x14ac:dyDescent="0.25"/>
    <row r="34343" s="42" customFormat="1" x14ac:dyDescent="0.25"/>
    <row r="34344" s="42" customFormat="1" x14ac:dyDescent="0.25"/>
    <row r="34345" s="42" customFormat="1" x14ac:dyDescent="0.25"/>
    <row r="34346" s="42" customFormat="1" x14ac:dyDescent="0.25"/>
    <row r="34347" s="42" customFormat="1" x14ac:dyDescent="0.25"/>
    <row r="34348" s="42" customFormat="1" x14ac:dyDescent="0.25"/>
    <row r="34349" s="42" customFormat="1" x14ac:dyDescent="0.25"/>
    <row r="34350" s="42" customFormat="1" x14ac:dyDescent="0.25"/>
    <row r="34351" s="42" customFormat="1" x14ac:dyDescent="0.25"/>
    <row r="34352" s="42" customFormat="1" x14ac:dyDescent="0.25"/>
    <row r="34353" s="42" customFormat="1" x14ac:dyDescent="0.25"/>
    <row r="34354" s="42" customFormat="1" x14ac:dyDescent="0.25"/>
    <row r="34355" s="42" customFormat="1" x14ac:dyDescent="0.25"/>
    <row r="34356" s="42" customFormat="1" x14ac:dyDescent="0.25"/>
    <row r="34357" s="42" customFormat="1" x14ac:dyDescent="0.25"/>
    <row r="34358" s="42" customFormat="1" x14ac:dyDescent="0.25"/>
    <row r="34359" s="42" customFormat="1" x14ac:dyDescent="0.25"/>
    <row r="34360" s="42" customFormat="1" x14ac:dyDescent="0.25"/>
    <row r="34361" s="42" customFormat="1" x14ac:dyDescent="0.25"/>
    <row r="34362" s="42" customFormat="1" x14ac:dyDescent="0.25"/>
    <row r="34363" s="42" customFormat="1" x14ac:dyDescent="0.25"/>
    <row r="34364" s="42" customFormat="1" x14ac:dyDescent="0.25"/>
    <row r="34365" s="42" customFormat="1" x14ac:dyDescent="0.25"/>
    <row r="34366" s="42" customFormat="1" x14ac:dyDescent="0.25"/>
    <row r="34367" s="42" customFormat="1" x14ac:dyDescent="0.25"/>
    <row r="34368" s="42" customFormat="1" x14ac:dyDescent="0.25"/>
    <row r="34369" s="42" customFormat="1" x14ac:dyDescent="0.25"/>
    <row r="34370" s="42" customFormat="1" x14ac:dyDescent="0.25"/>
    <row r="34371" s="42" customFormat="1" x14ac:dyDescent="0.25"/>
    <row r="34372" s="42" customFormat="1" x14ac:dyDescent="0.25"/>
    <row r="34373" s="42" customFormat="1" x14ac:dyDescent="0.25"/>
    <row r="34374" s="42" customFormat="1" x14ac:dyDescent="0.25"/>
    <row r="34375" s="42" customFormat="1" x14ac:dyDescent="0.25"/>
    <row r="34376" s="42" customFormat="1" x14ac:dyDescent="0.25"/>
    <row r="34377" s="42" customFormat="1" x14ac:dyDescent="0.25"/>
    <row r="34378" s="42" customFormat="1" x14ac:dyDescent="0.25"/>
    <row r="34379" s="42" customFormat="1" x14ac:dyDescent="0.25"/>
    <row r="34380" s="42" customFormat="1" x14ac:dyDescent="0.25"/>
    <row r="34381" s="42" customFormat="1" x14ac:dyDescent="0.25"/>
    <row r="34382" s="42" customFormat="1" x14ac:dyDescent="0.25"/>
    <row r="34383" s="42" customFormat="1" x14ac:dyDescent="0.25"/>
    <row r="34384" s="42" customFormat="1" x14ac:dyDescent="0.25"/>
    <row r="34385" s="42" customFormat="1" x14ac:dyDescent="0.25"/>
    <row r="34386" s="42" customFormat="1" x14ac:dyDescent="0.25"/>
    <row r="34387" s="42" customFormat="1" x14ac:dyDescent="0.25"/>
    <row r="34388" s="42" customFormat="1" x14ac:dyDescent="0.25"/>
    <row r="34389" s="42" customFormat="1" x14ac:dyDescent="0.25"/>
    <row r="34390" s="42" customFormat="1" x14ac:dyDescent="0.25"/>
    <row r="34391" s="42" customFormat="1" x14ac:dyDescent="0.25"/>
    <row r="34392" s="42" customFormat="1" x14ac:dyDescent="0.25"/>
    <row r="34393" s="42" customFormat="1" x14ac:dyDescent="0.25"/>
    <row r="34394" s="42" customFormat="1" x14ac:dyDescent="0.25"/>
    <row r="34395" s="42" customFormat="1" x14ac:dyDescent="0.25"/>
    <row r="34396" s="42" customFormat="1" x14ac:dyDescent="0.25"/>
    <row r="34397" s="42" customFormat="1" x14ac:dyDescent="0.25"/>
    <row r="34398" s="42" customFormat="1" x14ac:dyDescent="0.25"/>
    <row r="34399" s="42" customFormat="1" x14ac:dyDescent="0.25"/>
    <row r="34400" s="42" customFormat="1" x14ac:dyDescent="0.25"/>
    <row r="34401" s="42" customFormat="1" x14ac:dyDescent="0.25"/>
    <row r="34402" s="42" customFormat="1" x14ac:dyDescent="0.25"/>
    <row r="34403" s="42" customFormat="1" x14ac:dyDescent="0.25"/>
    <row r="34404" s="42" customFormat="1" x14ac:dyDescent="0.25"/>
    <row r="34405" s="42" customFormat="1" x14ac:dyDescent="0.25"/>
    <row r="34406" s="42" customFormat="1" x14ac:dyDescent="0.25"/>
    <row r="34407" s="42" customFormat="1" x14ac:dyDescent="0.25"/>
    <row r="34408" s="42" customFormat="1" x14ac:dyDescent="0.25"/>
    <row r="34409" s="42" customFormat="1" x14ac:dyDescent="0.25"/>
    <row r="34410" s="42" customFormat="1" x14ac:dyDescent="0.25"/>
    <row r="34411" s="42" customFormat="1" x14ac:dyDescent="0.25"/>
    <row r="34412" s="42" customFormat="1" x14ac:dyDescent="0.25"/>
    <row r="34413" s="42" customFormat="1" x14ac:dyDescent="0.25"/>
    <row r="34414" s="42" customFormat="1" x14ac:dyDescent="0.25"/>
    <row r="34415" s="42" customFormat="1" x14ac:dyDescent="0.25"/>
    <row r="34416" s="42" customFormat="1" x14ac:dyDescent="0.25"/>
    <row r="34417" s="42" customFormat="1" x14ac:dyDescent="0.25"/>
    <row r="34418" s="42" customFormat="1" x14ac:dyDescent="0.25"/>
    <row r="34419" s="42" customFormat="1" x14ac:dyDescent="0.25"/>
    <row r="34420" s="42" customFormat="1" x14ac:dyDescent="0.25"/>
    <row r="34421" s="42" customFormat="1" x14ac:dyDescent="0.25"/>
    <row r="34422" s="42" customFormat="1" x14ac:dyDescent="0.25"/>
    <row r="34423" s="42" customFormat="1" x14ac:dyDescent="0.25"/>
    <row r="34424" s="42" customFormat="1" x14ac:dyDescent="0.25"/>
    <row r="34425" s="42" customFormat="1" x14ac:dyDescent="0.25"/>
    <row r="34426" s="42" customFormat="1" x14ac:dyDescent="0.25"/>
    <row r="34427" s="42" customFormat="1" x14ac:dyDescent="0.25"/>
    <row r="34428" s="42" customFormat="1" x14ac:dyDescent="0.25"/>
    <row r="34429" s="42" customFormat="1" x14ac:dyDescent="0.25"/>
    <row r="34430" s="42" customFormat="1" x14ac:dyDescent="0.25"/>
    <row r="34431" s="42" customFormat="1" x14ac:dyDescent="0.25"/>
    <row r="34432" s="42" customFormat="1" x14ac:dyDescent="0.25"/>
    <row r="34433" s="42" customFormat="1" x14ac:dyDescent="0.25"/>
    <row r="34434" s="42" customFormat="1" x14ac:dyDescent="0.25"/>
    <row r="34435" s="42" customFormat="1" x14ac:dyDescent="0.25"/>
    <row r="34436" s="42" customFormat="1" x14ac:dyDescent="0.25"/>
    <row r="34437" s="42" customFormat="1" x14ac:dyDescent="0.25"/>
    <row r="34438" s="42" customFormat="1" x14ac:dyDescent="0.25"/>
    <row r="34439" s="42" customFormat="1" x14ac:dyDescent="0.25"/>
    <row r="34440" s="42" customFormat="1" x14ac:dyDescent="0.25"/>
    <row r="34441" s="42" customFormat="1" x14ac:dyDescent="0.25"/>
    <row r="34442" s="42" customFormat="1" x14ac:dyDescent="0.25"/>
    <row r="34443" s="42" customFormat="1" x14ac:dyDescent="0.25"/>
    <row r="34444" s="42" customFormat="1" x14ac:dyDescent="0.25"/>
    <row r="34445" s="42" customFormat="1" x14ac:dyDescent="0.25"/>
    <row r="34446" s="42" customFormat="1" x14ac:dyDescent="0.25"/>
    <row r="34447" s="42" customFormat="1" x14ac:dyDescent="0.25"/>
    <row r="34448" s="42" customFormat="1" x14ac:dyDescent="0.25"/>
    <row r="34449" s="42" customFormat="1" x14ac:dyDescent="0.25"/>
    <row r="34450" s="42" customFormat="1" x14ac:dyDescent="0.25"/>
    <row r="34451" s="42" customFormat="1" x14ac:dyDescent="0.25"/>
    <row r="34452" s="42" customFormat="1" x14ac:dyDescent="0.25"/>
    <row r="34453" s="42" customFormat="1" x14ac:dyDescent="0.25"/>
    <row r="34454" s="42" customFormat="1" x14ac:dyDescent="0.25"/>
    <row r="34455" s="42" customFormat="1" x14ac:dyDescent="0.25"/>
    <row r="34456" s="42" customFormat="1" x14ac:dyDescent="0.25"/>
    <row r="34457" s="42" customFormat="1" x14ac:dyDescent="0.25"/>
    <row r="34458" s="42" customFormat="1" x14ac:dyDescent="0.25"/>
    <row r="34459" s="42" customFormat="1" x14ac:dyDescent="0.25"/>
    <row r="34460" s="42" customFormat="1" x14ac:dyDescent="0.25"/>
    <row r="34461" s="42" customFormat="1" x14ac:dyDescent="0.25"/>
    <row r="34462" s="42" customFormat="1" x14ac:dyDescent="0.25"/>
    <row r="34463" s="42" customFormat="1" x14ac:dyDescent="0.25"/>
    <row r="34464" s="42" customFormat="1" x14ac:dyDescent="0.25"/>
    <row r="34465" s="42" customFormat="1" x14ac:dyDescent="0.25"/>
    <row r="34466" s="42" customFormat="1" x14ac:dyDescent="0.25"/>
    <row r="34467" s="42" customFormat="1" x14ac:dyDescent="0.25"/>
    <row r="34468" s="42" customFormat="1" x14ac:dyDescent="0.25"/>
    <row r="34469" s="42" customFormat="1" x14ac:dyDescent="0.25"/>
    <row r="34470" s="42" customFormat="1" x14ac:dyDescent="0.25"/>
    <row r="34471" s="42" customFormat="1" x14ac:dyDescent="0.25"/>
    <row r="34472" s="42" customFormat="1" x14ac:dyDescent="0.25"/>
    <row r="34473" s="42" customFormat="1" x14ac:dyDescent="0.25"/>
    <row r="34474" s="42" customFormat="1" x14ac:dyDescent="0.25"/>
    <row r="34475" s="42" customFormat="1" x14ac:dyDescent="0.25"/>
    <row r="34476" s="42" customFormat="1" x14ac:dyDescent="0.25"/>
    <row r="34477" s="42" customFormat="1" x14ac:dyDescent="0.25"/>
    <row r="34478" s="42" customFormat="1" x14ac:dyDescent="0.25"/>
    <row r="34479" s="42" customFormat="1" x14ac:dyDescent="0.25"/>
    <row r="34480" s="42" customFormat="1" x14ac:dyDescent="0.25"/>
    <row r="34481" s="42" customFormat="1" x14ac:dyDescent="0.25"/>
    <row r="34482" s="42" customFormat="1" x14ac:dyDescent="0.25"/>
    <row r="34483" s="42" customFormat="1" x14ac:dyDescent="0.25"/>
    <row r="34484" s="42" customFormat="1" x14ac:dyDescent="0.25"/>
    <row r="34485" s="42" customFormat="1" x14ac:dyDescent="0.25"/>
    <row r="34486" s="42" customFormat="1" x14ac:dyDescent="0.25"/>
    <row r="34487" s="42" customFormat="1" x14ac:dyDescent="0.25"/>
    <row r="34488" s="42" customFormat="1" x14ac:dyDescent="0.25"/>
    <row r="34489" s="42" customFormat="1" x14ac:dyDescent="0.25"/>
    <row r="34490" s="42" customFormat="1" x14ac:dyDescent="0.25"/>
    <row r="34491" s="42" customFormat="1" x14ac:dyDescent="0.25"/>
    <row r="34492" s="42" customFormat="1" x14ac:dyDescent="0.25"/>
    <row r="34493" s="42" customFormat="1" x14ac:dyDescent="0.25"/>
    <row r="34494" s="42" customFormat="1" x14ac:dyDescent="0.25"/>
    <row r="34495" s="42" customFormat="1" x14ac:dyDescent="0.25"/>
    <row r="34496" s="42" customFormat="1" x14ac:dyDescent="0.25"/>
    <row r="34497" s="42" customFormat="1" x14ac:dyDescent="0.25"/>
    <row r="34498" s="42" customFormat="1" x14ac:dyDescent="0.25"/>
    <row r="34499" s="42" customFormat="1" x14ac:dyDescent="0.25"/>
    <row r="34500" s="42" customFormat="1" x14ac:dyDescent="0.25"/>
    <row r="34501" s="42" customFormat="1" x14ac:dyDescent="0.25"/>
    <row r="34502" s="42" customFormat="1" x14ac:dyDescent="0.25"/>
    <row r="34503" s="42" customFormat="1" x14ac:dyDescent="0.25"/>
    <row r="34504" s="42" customFormat="1" x14ac:dyDescent="0.25"/>
    <row r="34505" s="42" customFormat="1" x14ac:dyDescent="0.25"/>
    <row r="34506" s="42" customFormat="1" x14ac:dyDescent="0.25"/>
    <row r="34507" s="42" customFormat="1" x14ac:dyDescent="0.25"/>
    <row r="34508" s="42" customFormat="1" x14ac:dyDescent="0.25"/>
    <row r="34509" s="42" customFormat="1" x14ac:dyDescent="0.25"/>
    <row r="34510" s="42" customFormat="1" x14ac:dyDescent="0.25"/>
    <row r="34511" s="42" customFormat="1" x14ac:dyDescent="0.25"/>
    <row r="34512" s="42" customFormat="1" x14ac:dyDescent="0.25"/>
    <row r="34513" s="42" customFormat="1" x14ac:dyDescent="0.25"/>
    <row r="34514" s="42" customFormat="1" x14ac:dyDescent="0.25"/>
    <row r="34515" s="42" customFormat="1" x14ac:dyDescent="0.25"/>
    <row r="34516" s="42" customFormat="1" x14ac:dyDescent="0.25"/>
    <row r="34517" s="42" customFormat="1" x14ac:dyDescent="0.25"/>
    <row r="34518" s="42" customFormat="1" x14ac:dyDescent="0.25"/>
    <row r="34519" s="42" customFormat="1" x14ac:dyDescent="0.25"/>
    <row r="34520" s="42" customFormat="1" x14ac:dyDescent="0.25"/>
    <row r="34521" s="42" customFormat="1" x14ac:dyDescent="0.25"/>
    <row r="34522" s="42" customFormat="1" x14ac:dyDescent="0.25"/>
    <row r="34523" s="42" customFormat="1" x14ac:dyDescent="0.25"/>
    <row r="34524" s="42" customFormat="1" x14ac:dyDescent="0.25"/>
    <row r="34525" s="42" customFormat="1" x14ac:dyDescent="0.25"/>
    <row r="34526" s="42" customFormat="1" x14ac:dyDescent="0.25"/>
    <row r="34527" s="42" customFormat="1" x14ac:dyDescent="0.25"/>
    <row r="34528" s="42" customFormat="1" x14ac:dyDescent="0.25"/>
    <row r="34529" s="42" customFormat="1" x14ac:dyDescent="0.25"/>
    <row r="34530" s="42" customFormat="1" x14ac:dyDescent="0.25"/>
    <row r="34531" s="42" customFormat="1" x14ac:dyDescent="0.25"/>
    <row r="34532" s="42" customFormat="1" x14ac:dyDescent="0.25"/>
    <row r="34533" s="42" customFormat="1" x14ac:dyDescent="0.25"/>
    <row r="34534" s="42" customFormat="1" x14ac:dyDescent="0.25"/>
    <row r="34535" s="42" customFormat="1" x14ac:dyDescent="0.25"/>
    <row r="34536" s="42" customFormat="1" x14ac:dyDescent="0.25"/>
    <row r="34537" s="42" customFormat="1" x14ac:dyDescent="0.25"/>
    <row r="34538" s="42" customFormat="1" x14ac:dyDescent="0.25"/>
    <row r="34539" s="42" customFormat="1" x14ac:dyDescent="0.25"/>
    <row r="34540" s="42" customFormat="1" x14ac:dyDescent="0.25"/>
    <row r="34541" s="42" customFormat="1" x14ac:dyDescent="0.25"/>
    <row r="34542" s="42" customFormat="1" x14ac:dyDescent="0.25"/>
    <row r="34543" s="42" customFormat="1" x14ac:dyDescent="0.25"/>
    <row r="34544" s="42" customFormat="1" x14ac:dyDescent="0.25"/>
    <row r="34545" s="42" customFormat="1" x14ac:dyDescent="0.25"/>
    <row r="34546" s="42" customFormat="1" x14ac:dyDescent="0.25"/>
    <row r="34547" s="42" customFormat="1" x14ac:dyDescent="0.25"/>
    <row r="34548" s="42" customFormat="1" x14ac:dyDescent="0.25"/>
    <row r="34549" s="42" customFormat="1" x14ac:dyDescent="0.25"/>
    <row r="34550" s="42" customFormat="1" x14ac:dyDescent="0.25"/>
    <row r="34551" s="42" customFormat="1" x14ac:dyDescent="0.25"/>
    <row r="34552" s="42" customFormat="1" x14ac:dyDescent="0.25"/>
    <row r="34553" s="42" customFormat="1" x14ac:dyDescent="0.25"/>
    <row r="34554" s="42" customFormat="1" x14ac:dyDescent="0.25"/>
    <row r="34555" s="42" customFormat="1" x14ac:dyDescent="0.25"/>
    <row r="34556" s="42" customFormat="1" x14ac:dyDescent="0.25"/>
    <row r="34557" s="42" customFormat="1" x14ac:dyDescent="0.25"/>
    <row r="34558" s="42" customFormat="1" x14ac:dyDescent="0.25"/>
    <row r="34559" s="42" customFormat="1" x14ac:dyDescent="0.25"/>
    <row r="34560" s="42" customFormat="1" x14ac:dyDescent="0.25"/>
    <row r="34561" s="42" customFormat="1" x14ac:dyDescent="0.25"/>
    <row r="34562" s="42" customFormat="1" x14ac:dyDescent="0.25"/>
    <row r="34563" s="42" customFormat="1" x14ac:dyDescent="0.25"/>
    <row r="34564" s="42" customFormat="1" x14ac:dyDescent="0.25"/>
    <row r="34565" s="42" customFormat="1" x14ac:dyDescent="0.25"/>
    <row r="34566" s="42" customFormat="1" x14ac:dyDescent="0.25"/>
    <row r="34567" s="42" customFormat="1" x14ac:dyDescent="0.25"/>
    <row r="34568" s="42" customFormat="1" x14ac:dyDescent="0.25"/>
    <row r="34569" s="42" customFormat="1" x14ac:dyDescent="0.25"/>
    <row r="34570" s="42" customFormat="1" x14ac:dyDescent="0.25"/>
    <row r="34571" s="42" customFormat="1" x14ac:dyDescent="0.25"/>
    <row r="34572" s="42" customFormat="1" x14ac:dyDescent="0.25"/>
    <row r="34573" s="42" customFormat="1" x14ac:dyDescent="0.25"/>
    <row r="34574" s="42" customFormat="1" x14ac:dyDescent="0.25"/>
    <row r="34575" s="42" customFormat="1" x14ac:dyDescent="0.25"/>
    <row r="34576" s="42" customFormat="1" x14ac:dyDescent="0.25"/>
    <row r="34577" s="42" customFormat="1" x14ac:dyDescent="0.25"/>
    <row r="34578" s="42" customFormat="1" x14ac:dyDescent="0.25"/>
    <row r="34579" s="42" customFormat="1" x14ac:dyDescent="0.25"/>
    <row r="34580" s="42" customFormat="1" x14ac:dyDescent="0.25"/>
    <row r="34581" s="42" customFormat="1" x14ac:dyDescent="0.25"/>
    <row r="34582" s="42" customFormat="1" x14ac:dyDescent="0.25"/>
    <row r="34583" s="42" customFormat="1" x14ac:dyDescent="0.25"/>
    <row r="34584" s="42" customFormat="1" x14ac:dyDescent="0.25"/>
    <row r="34585" s="42" customFormat="1" x14ac:dyDescent="0.25"/>
    <row r="34586" s="42" customFormat="1" x14ac:dyDescent="0.25"/>
    <row r="34587" s="42" customFormat="1" x14ac:dyDescent="0.25"/>
    <row r="34588" s="42" customFormat="1" x14ac:dyDescent="0.25"/>
    <row r="34589" s="42" customFormat="1" x14ac:dyDescent="0.25"/>
    <row r="34590" s="42" customFormat="1" x14ac:dyDescent="0.25"/>
    <row r="34591" s="42" customFormat="1" x14ac:dyDescent="0.25"/>
    <row r="34592" s="42" customFormat="1" x14ac:dyDescent="0.25"/>
    <row r="34593" s="42" customFormat="1" x14ac:dyDescent="0.25"/>
    <row r="34594" s="42" customFormat="1" x14ac:dyDescent="0.25"/>
    <row r="34595" s="42" customFormat="1" x14ac:dyDescent="0.25"/>
    <row r="34596" s="42" customFormat="1" x14ac:dyDescent="0.25"/>
    <row r="34597" s="42" customFormat="1" x14ac:dyDescent="0.25"/>
    <row r="34598" s="42" customFormat="1" x14ac:dyDescent="0.25"/>
    <row r="34599" s="42" customFormat="1" x14ac:dyDescent="0.25"/>
    <row r="34600" s="42" customFormat="1" x14ac:dyDescent="0.25"/>
    <row r="34601" s="42" customFormat="1" x14ac:dyDescent="0.25"/>
    <row r="34602" s="42" customFormat="1" x14ac:dyDescent="0.25"/>
    <row r="34603" s="42" customFormat="1" x14ac:dyDescent="0.25"/>
    <row r="34604" s="42" customFormat="1" x14ac:dyDescent="0.25"/>
    <row r="34605" s="42" customFormat="1" x14ac:dyDescent="0.25"/>
    <row r="34606" s="42" customFormat="1" x14ac:dyDescent="0.25"/>
    <row r="34607" s="42" customFormat="1" x14ac:dyDescent="0.25"/>
    <row r="34608" s="42" customFormat="1" x14ac:dyDescent="0.25"/>
    <row r="34609" s="42" customFormat="1" x14ac:dyDescent="0.25"/>
    <row r="34610" s="42" customFormat="1" x14ac:dyDescent="0.25"/>
    <row r="34611" s="42" customFormat="1" x14ac:dyDescent="0.25"/>
    <row r="34612" s="42" customFormat="1" x14ac:dyDescent="0.25"/>
    <row r="34613" s="42" customFormat="1" x14ac:dyDescent="0.25"/>
    <row r="34614" s="42" customFormat="1" x14ac:dyDescent="0.25"/>
    <row r="34615" s="42" customFormat="1" x14ac:dyDescent="0.25"/>
    <row r="34616" s="42" customFormat="1" x14ac:dyDescent="0.25"/>
    <row r="34617" s="42" customFormat="1" x14ac:dyDescent="0.25"/>
    <row r="34618" s="42" customFormat="1" x14ac:dyDescent="0.25"/>
    <row r="34619" s="42" customFormat="1" x14ac:dyDescent="0.25"/>
    <row r="34620" s="42" customFormat="1" x14ac:dyDescent="0.25"/>
    <row r="34621" s="42" customFormat="1" x14ac:dyDescent="0.25"/>
    <row r="34622" s="42" customFormat="1" x14ac:dyDescent="0.25"/>
    <row r="34623" s="42" customFormat="1" x14ac:dyDescent="0.25"/>
    <row r="34624" s="42" customFormat="1" x14ac:dyDescent="0.25"/>
    <row r="34625" s="42" customFormat="1" x14ac:dyDescent="0.25"/>
    <row r="34626" s="42" customFormat="1" x14ac:dyDescent="0.25"/>
    <row r="34627" s="42" customFormat="1" x14ac:dyDescent="0.25"/>
    <row r="34628" s="42" customFormat="1" x14ac:dyDescent="0.25"/>
    <row r="34629" s="42" customFormat="1" x14ac:dyDescent="0.25"/>
    <row r="34630" s="42" customFormat="1" x14ac:dyDescent="0.25"/>
    <row r="34631" s="42" customFormat="1" x14ac:dyDescent="0.25"/>
    <row r="34632" s="42" customFormat="1" x14ac:dyDescent="0.25"/>
    <row r="34633" s="42" customFormat="1" x14ac:dyDescent="0.25"/>
    <row r="34634" s="42" customFormat="1" x14ac:dyDescent="0.25"/>
    <row r="34635" s="42" customFormat="1" x14ac:dyDescent="0.25"/>
    <row r="34636" s="42" customFormat="1" x14ac:dyDescent="0.25"/>
    <row r="34637" s="42" customFormat="1" x14ac:dyDescent="0.25"/>
    <row r="34638" s="42" customFormat="1" x14ac:dyDescent="0.25"/>
    <row r="34639" s="42" customFormat="1" x14ac:dyDescent="0.25"/>
    <row r="34640" s="42" customFormat="1" x14ac:dyDescent="0.25"/>
    <row r="34641" s="42" customFormat="1" x14ac:dyDescent="0.25"/>
    <row r="34642" s="42" customFormat="1" x14ac:dyDescent="0.25"/>
    <row r="34643" s="42" customFormat="1" x14ac:dyDescent="0.25"/>
    <row r="34644" s="42" customFormat="1" x14ac:dyDescent="0.25"/>
    <row r="34645" s="42" customFormat="1" x14ac:dyDescent="0.25"/>
    <row r="34646" s="42" customFormat="1" x14ac:dyDescent="0.25"/>
    <row r="34647" s="42" customFormat="1" x14ac:dyDescent="0.25"/>
    <row r="34648" s="42" customFormat="1" x14ac:dyDescent="0.25"/>
    <row r="34649" s="42" customFormat="1" x14ac:dyDescent="0.25"/>
    <row r="34650" s="42" customFormat="1" x14ac:dyDescent="0.25"/>
    <row r="34651" s="42" customFormat="1" x14ac:dyDescent="0.25"/>
    <row r="34652" s="42" customFormat="1" x14ac:dyDescent="0.25"/>
    <row r="34653" s="42" customFormat="1" x14ac:dyDescent="0.25"/>
    <row r="34654" s="42" customFormat="1" x14ac:dyDescent="0.25"/>
    <row r="34655" s="42" customFormat="1" x14ac:dyDescent="0.25"/>
    <row r="34656" s="42" customFormat="1" x14ac:dyDescent="0.25"/>
    <row r="34657" s="42" customFormat="1" x14ac:dyDescent="0.25"/>
    <row r="34658" s="42" customFormat="1" x14ac:dyDescent="0.25"/>
    <row r="34659" s="42" customFormat="1" x14ac:dyDescent="0.25"/>
    <row r="34660" s="42" customFormat="1" x14ac:dyDescent="0.25"/>
    <row r="34661" s="42" customFormat="1" x14ac:dyDescent="0.25"/>
    <row r="34662" s="42" customFormat="1" x14ac:dyDescent="0.25"/>
    <row r="34663" s="42" customFormat="1" x14ac:dyDescent="0.25"/>
    <row r="34664" s="42" customFormat="1" x14ac:dyDescent="0.25"/>
    <row r="34665" s="42" customFormat="1" x14ac:dyDescent="0.25"/>
    <row r="34666" s="42" customFormat="1" x14ac:dyDescent="0.25"/>
    <row r="34667" s="42" customFormat="1" x14ac:dyDescent="0.25"/>
    <row r="34668" s="42" customFormat="1" x14ac:dyDescent="0.25"/>
    <row r="34669" s="42" customFormat="1" x14ac:dyDescent="0.25"/>
    <row r="34670" s="42" customFormat="1" x14ac:dyDescent="0.25"/>
    <row r="34671" s="42" customFormat="1" x14ac:dyDescent="0.25"/>
    <row r="34672" s="42" customFormat="1" x14ac:dyDescent="0.25"/>
    <row r="34673" s="42" customFormat="1" x14ac:dyDescent="0.25"/>
    <row r="34674" s="42" customFormat="1" x14ac:dyDescent="0.25"/>
    <row r="34675" s="42" customFormat="1" x14ac:dyDescent="0.25"/>
    <row r="34676" s="42" customFormat="1" x14ac:dyDescent="0.25"/>
    <row r="34677" s="42" customFormat="1" x14ac:dyDescent="0.25"/>
    <row r="34678" s="42" customFormat="1" x14ac:dyDescent="0.25"/>
    <row r="34679" s="42" customFormat="1" x14ac:dyDescent="0.25"/>
    <row r="34680" s="42" customFormat="1" x14ac:dyDescent="0.25"/>
    <row r="34681" s="42" customFormat="1" x14ac:dyDescent="0.25"/>
    <row r="34682" s="42" customFormat="1" x14ac:dyDescent="0.25"/>
    <row r="34683" s="42" customFormat="1" x14ac:dyDescent="0.25"/>
    <row r="34684" s="42" customFormat="1" x14ac:dyDescent="0.25"/>
    <row r="34685" s="42" customFormat="1" x14ac:dyDescent="0.25"/>
    <row r="34686" s="42" customFormat="1" x14ac:dyDescent="0.25"/>
    <row r="34687" s="42" customFormat="1" x14ac:dyDescent="0.25"/>
    <row r="34688" s="42" customFormat="1" x14ac:dyDescent="0.25"/>
    <row r="34689" s="42" customFormat="1" x14ac:dyDescent="0.25"/>
    <row r="34690" s="42" customFormat="1" x14ac:dyDescent="0.25"/>
    <row r="34691" s="42" customFormat="1" x14ac:dyDescent="0.25"/>
    <row r="34692" s="42" customFormat="1" x14ac:dyDescent="0.25"/>
    <row r="34693" s="42" customFormat="1" x14ac:dyDescent="0.25"/>
    <row r="34694" s="42" customFormat="1" x14ac:dyDescent="0.25"/>
    <row r="34695" s="42" customFormat="1" x14ac:dyDescent="0.25"/>
    <row r="34696" s="42" customFormat="1" x14ac:dyDescent="0.25"/>
    <row r="34697" s="42" customFormat="1" x14ac:dyDescent="0.25"/>
    <row r="34698" s="42" customFormat="1" x14ac:dyDescent="0.25"/>
    <row r="34699" s="42" customFormat="1" x14ac:dyDescent="0.25"/>
    <row r="34700" s="42" customFormat="1" x14ac:dyDescent="0.25"/>
    <row r="34701" s="42" customFormat="1" x14ac:dyDescent="0.25"/>
    <row r="34702" s="42" customFormat="1" x14ac:dyDescent="0.25"/>
    <row r="34703" s="42" customFormat="1" x14ac:dyDescent="0.25"/>
    <row r="34704" s="42" customFormat="1" x14ac:dyDescent="0.25"/>
    <row r="34705" s="42" customFormat="1" x14ac:dyDescent="0.25"/>
    <row r="34706" s="42" customFormat="1" x14ac:dyDescent="0.25"/>
    <row r="34707" s="42" customFormat="1" x14ac:dyDescent="0.25"/>
    <row r="34708" s="42" customFormat="1" x14ac:dyDescent="0.25"/>
    <row r="34709" s="42" customFormat="1" x14ac:dyDescent="0.25"/>
    <row r="34710" s="42" customFormat="1" x14ac:dyDescent="0.25"/>
    <row r="34711" s="42" customFormat="1" x14ac:dyDescent="0.25"/>
    <row r="34712" s="42" customFormat="1" x14ac:dyDescent="0.25"/>
    <row r="34713" s="42" customFormat="1" x14ac:dyDescent="0.25"/>
    <row r="34714" s="42" customFormat="1" x14ac:dyDescent="0.25"/>
    <row r="34715" s="42" customFormat="1" x14ac:dyDescent="0.25"/>
    <row r="34716" s="42" customFormat="1" x14ac:dyDescent="0.25"/>
    <row r="34717" s="42" customFormat="1" x14ac:dyDescent="0.25"/>
    <row r="34718" s="42" customFormat="1" x14ac:dyDescent="0.25"/>
    <row r="34719" s="42" customFormat="1" x14ac:dyDescent="0.25"/>
    <row r="34720" s="42" customFormat="1" x14ac:dyDescent="0.25"/>
    <row r="34721" s="42" customFormat="1" x14ac:dyDescent="0.25"/>
    <row r="34722" s="42" customFormat="1" x14ac:dyDescent="0.25"/>
    <row r="34723" s="42" customFormat="1" x14ac:dyDescent="0.25"/>
    <row r="34724" s="42" customFormat="1" x14ac:dyDescent="0.25"/>
    <row r="34725" s="42" customFormat="1" x14ac:dyDescent="0.25"/>
    <row r="34726" s="42" customFormat="1" x14ac:dyDescent="0.25"/>
    <row r="34727" s="42" customFormat="1" x14ac:dyDescent="0.25"/>
    <row r="34728" s="42" customFormat="1" x14ac:dyDescent="0.25"/>
    <row r="34729" s="42" customFormat="1" x14ac:dyDescent="0.25"/>
    <row r="34730" s="42" customFormat="1" x14ac:dyDescent="0.25"/>
    <row r="34731" s="42" customFormat="1" x14ac:dyDescent="0.25"/>
    <row r="34732" s="42" customFormat="1" x14ac:dyDescent="0.25"/>
    <row r="34733" s="42" customFormat="1" x14ac:dyDescent="0.25"/>
    <row r="34734" s="42" customFormat="1" x14ac:dyDescent="0.25"/>
    <row r="34735" s="42" customFormat="1" x14ac:dyDescent="0.25"/>
    <row r="34736" s="42" customFormat="1" x14ac:dyDescent="0.25"/>
    <row r="34737" s="42" customFormat="1" x14ac:dyDescent="0.25"/>
    <row r="34738" s="42" customFormat="1" x14ac:dyDescent="0.25"/>
    <row r="34739" s="42" customFormat="1" x14ac:dyDescent="0.25"/>
    <row r="34740" s="42" customFormat="1" x14ac:dyDescent="0.25"/>
    <row r="34741" s="42" customFormat="1" x14ac:dyDescent="0.25"/>
    <row r="34742" s="42" customFormat="1" x14ac:dyDescent="0.25"/>
    <row r="34743" s="42" customFormat="1" x14ac:dyDescent="0.25"/>
    <row r="34744" s="42" customFormat="1" x14ac:dyDescent="0.25"/>
    <row r="34745" s="42" customFormat="1" x14ac:dyDescent="0.25"/>
    <row r="34746" s="42" customFormat="1" x14ac:dyDescent="0.25"/>
    <row r="34747" s="42" customFormat="1" x14ac:dyDescent="0.25"/>
    <row r="34748" s="42" customFormat="1" x14ac:dyDescent="0.25"/>
    <row r="34749" s="42" customFormat="1" x14ac:dyDescent="0.25"/>
    <row r="34750" s="42" customFormat="1" x14ac:dyDescent="0.25"/>
    <row r="34751" s="42" customFormat="1" x14ac:dyDescent="0.25"/>
    <row r="34752" s="42" customFormat="1" x14ac:dyDescent="0.25"/>
    <row r="34753" s="42" customFormat="1" x14ac:dyDescent="0.25"/>
    <row r="34754" s="42" customFormat="1" x14ac:dyDescent="0.25"/>
    <row r="34755" s="42" customFormat="1" x14ac:dyDescent="0.25"/>
    <row r="34756" s="42" customFormat="1" x14ac:dyDescent="0.25"/>
    <row r="34757" s="42" customFormat="1" x14ac:dyDescent="0.25"/>
    <row r="34758" s="42" customFormat="1" x14ac:dyDescent="0.25"/>
    <row r="34759" s="42" customFormat="1" x14ac:dyDescent="0.25"/>
    <row r="34760" s="42" customFormat="1" x14ac:dyDescent="0.25"/>
    <row r="34761" s="42" customFormat="1" x14ac:dyDescent="0.25"/>
    <row r="34762" s="42" customFormat="1" x14ac:dyDescent="0.25"/>
    <row r="34763" s="42" customFormat="1" x14ac:dyDescent="0.25"/>
    <row r="34764" s="42" customFormat="1" x14ac:dyDescent="0.25"/>
    <row r="34765" s="42" customFormat="1" x14ac:dyDescent="0.25"/>
    <row r="34766" s="42" customFormat="1" x14ac:dyDescent="0.25"/>
    <row r="34767" s="42" customFormat="1" x14ac:dyDescent="0.25"/>
    <row r="34768" s="42" customFormat="1" x14ac:dyDescent="0.25"/>
    <row r="34769" s="42" customFormat="1" x14ac:dyDescent="0.25"/>
    <row r="34770" s="42" customFormat="1" x14ac:dyDescent="0.25"/>
    <row r="34771" s="42" customFormat="1" x14ac:dyDescent="0.25"/>
    <row r="34772" s="42" customFormat="1" x14ac:dyDescent="0.25"/>
    <row r="34773" s="42" customFormat="1" x14ac:dyDescent="0.25"/>
    <row r="34774" s="42" customFormat="1" x14ac:dyDescent="0.25"/>
    <row r="34775" s="42" customFormat="1" x14ac:dyDescent="0.25"/>
    <row r="34776" s="42" customFormat="1" x14ac:dyDescent="0.25"/>
    <row r="34777" s="42" customFormat="1" x14ac:dyDescent="0.25"/>
    <row r="34778" s="42" customFormat="1" x14ac:dyDescent="0.25"/>
    <row r="34779" s="42" customFormat="1" x14ac:dyDescent="0.25"/>
    <row r="34780" s="42" customFormat="1" x14ac:dyDescent="0.25"/>
    <row r="34781" s="42" customFormat="1" x14ac:dyDescent="0.25"/>
    <row r="34782" s="42" customFormat="1" x14ac:dyDescent="0.25"/>
    <row r="34783" s="42" customFormat="1" x14ac:dyDescent="0.25"/>
    <row r="34784" s="42" customFormat="1" x14ac:dyDescent="0.25"/>
    <row r="34785" s="42" customFormat="1" x14ac:dyDescent="0.25"/>
    <row r="34786" s="42" customFormat="1" x14ac:dyDescent="0.25"/>
    <row r="34787" s="42" customFormat="1" x14ac:dyDescent="0.25"/>
    <row r="34788" s="42" customFormat="1" x14ac:dyDescent="0.25"/>
    <row r="34789" s="42" customFormat="1" x14ac:dyDescent="0.25"/>
    <row r="34790" s="42" customFormat="1" x14ac:dyDescent="0.25"/>
    <row r="34791" s="42" customFormat="1" x14ac:dyDescent="0.25"/>
    <row r="34792" s="42" customFormat="1" x14ac:dyDescent="0.25"/>
    <row r="34793" s="42" customFormat="1" x14ac:dyDescent="0.25"/>
    <row r="34794" s="42" customFormat="1" x14ac:dyDescent="0.25"/>
    <row r="34795" s="42" customFormat="1" x14ac:dyDescent="0.25"/>
    <row r="34796" s="42" customFormat="1" x14ac:dyDescent="0.25"/>
    <row r="34797" s="42" customFormat="1" x14ac:dyDescent="0.25"/>
    <row r="34798" s="42" customFormat="1" x14ac:dyDescent="0.25"/>
    <row r="34799" s="42" customFormat="1" x14ac:dyDescent="0.25"/>
    <row r="34800" s="42" customFormat="1" x14ac:dyDescent="0.25"/>
    <row r="34801" s="42" customFormat="1" x14ac:dyDescent="0.25"/>
    <row r="34802" s="42" customFormat="1" x14ac:dyDescent="0.25"/>
    <row r="34803" s="42" customFormat="1" x14ac:dyDescent="0.25"/>
    <row r="34804" s="42" customFormat="1" x14ac:dyDescent="0.25"/>
    <row r="34805" s="42" customFormat="1" x14ac:dyDescent="0.25"/>
    <row r="34806" s="42" customFormat="1" x14ac:dyDescent="0.25"/>
    <row r="34807" s="42" customFormat="1" x14ac:dyDescent="0.25"/>
    <row r="34808" s="42" customFormat="1" x14ac:dyDescent="0.25"/>
    <row r="34809" s="42" customFormat="1" x14ac:dyDescent="0.25"/>
    <row r="34810" s="42" customFormat="1" x14ac:dyDescent="0.25"/>
    <row r="34811" s="42" customFormat="1" x14ac:dyDescent="0.25"/>
    <row r="34812" s="42" customFormat="1" x14ac:dyDescent="0.25"/>
    <row r="34813" s="42" customFormat="1" x14ac:dyDescent="0.25"/>
    <row r="34814" s="42" customFormat="1" x14ac:dyDescent="0.25"/>
    <row r="34815" s="42" customFormat="1" x14ac:dyDescent="0.25"/>
    <row r="34816" s="42" customFormat="1" x14ac:dyDescent="0.25"/>
    <row r="34817" s="42" customFormat="1" x14ac:dyDescent="0.25"/>
    <row r="34818" s="42" customFormat="1" x14ac:dyDescent="0.25"/>
    <row r="34819" s="42" customFormat="1" x14ac:dyDescent="0.25"/>
    <row r="34820" s="42" customFormat="1" x14ac:dyDescent="0.25"/>
    <row r="34821" s="42" customFormat="1" x14ac:dyDescent="0.25"/>
    <row r="34822" s="42" customFormat="1" x14ac:dyDescent="0.25"/>
    <row r="34823" s="42" customFormat="1" x14ac:dyDescent="0.25"/>
    <row r="34824" s="42" customFormat="1" x14ac:dyDescent="0.25"/>
    <row r="34825" s="42" customFormat="1" x14ac:dyDescent="0.25"/>
    <row r="34826" s="42" customFormat="1" x14ac:dyDescent="0.25"/>
    <row r="34827" s="42" customFormat="1" x14ac:dyDescent="0.25"/>
    <row r="34828" s="42" customFormat="1" x14ac:dyDescent="0.25"/>
    <row r="34829" s="42" customFormat="1" x14ac:dyDescent="0.25"/>
    <row r="34830" s="42" customFormat="1" x14ac:dyDescent="0.25"/>
    <row r="34831" s="42" customFormat="1" x14ac:dyDescent="0.25"/>
    <row r="34832" s="42" customFormat="1" x14ac:dyDescent="0.25"/>
    <row r="34833" s="42" customFormat="1" x14ac:dyDescent="0.25"/>
    <row r="34834" s="42" customFormat="1" x14ac:dyDescent="0.25"/>
    <row r="34835" s="42" customFormat="1" x14ac:dyDescent="0.25"/>
    <row r="34836" s="42" customFormat="1" x14ac:dyDescent="0.25"/>
    <row r="34837" s="42" customFormat="1" x14ac:dyDescent="0.25"/>
    <row r="34838" s="42" customFormat="1" x14ac:dyDescent="0.25"/>
    <row r="34839" s="42" customFormat="1" x14ac:dyDescent="0.25"/>
    <row r="34840" s="42" customFormat="1" x14ac:dyDescent="0.25"/>
    <row r="34841" s="42" customFormat="1" x14ac:dyDescent="0.25"/>
    <row r="34842" s="42" customFormat="1" x14ac:dyDescent="0.25"/>
    <row r="34843" s="42" customFormat="1" x14ac:dyDescent="0.25"/>
    <row r="34844" s="42" customFormat="1" x14ac:dyDescent="0.25"/>
    <row r="34845" s="42" customFormat="1" x14ac:dyDescent="0.25"/>
    <row r="34846" s="42" customFormat="1" x14ac:dyDescent="0.25"/>
    <row r="34847" s="42" customFormat="1" x14ac:dyDescent="0.25"/>
    <row r="34848" s="42" customFormat="1" x14ac:dyDescent="0.25"/>
    <row r="34849" s="42" customFormat="1" x14ac:dyDescent="0.25"/>
    <row r="34850" s="42" customFormat="1" x14ac:dyDescent="0.25"/>
    <row r="34851" s="42" customFormat="1" x14ac:dyDescent="0.25"/>
    <row r="34852" s="42" customFormat="1" x14ac:dyDescent="0.25"/>
    <row r="34853" s="42" customFormat="1" x14ac:dyDescent="0.25"/>
    <row r="34854" s="42" customFormat="1" x14ac:dyDescent="0.25"/>
    <row r="34855" s="42" customFormat="1" x14ac:dyDescent="0.25"/>
    <row r="34856" s="42" customFormat="1" x14ac:dyDescent="0.25"/>
    <row r="34857" s="42" customFormat="1" x14ac:dyDescent="0.25"/>
    <row r="34858" s="42" customFormat="1" x14ac:dyDescent="0.25"/>
    <row r="34859" s="42" customFormat="1" x14ac:dyDescent="0.25"/>
    <row r="34860" s="42" customFormat="1" x14ac:dyDescent="0.25"/>
    <row r="34861" s="42" customFormat="1" x14ac:dyDescent="0.25"/>
    <row r="34862" s="42" customFormat="1" x14ac:dyDescent="0.25"/>
    <row r="34863" s="42" customFormat="1" x14ac:dyDescent="0.25"/>
    <row r="34864" s="42" customFormat="1" x14ac:dyDescent="0.25"/>
    <row r="34865" s="42" customFormat="1" x14ac:dyDescent="0.25"/>
    <row r="34866" s="42" customFormat="1" x14ac:dyDescent="0.25"/>
    <row r="34867" s="42" customFormat="1" x14ac:dyDescent="0.25"/>
    <row r="34868" s="42" customFormat="1" x14ac:dyDescent="0.25"/>
    <row r="34869" s="42" customFormat="1" x14ac:dyDescent="0.25"/>
    <row r="34870" s="42" customFormat="1" x14ac:dyDescent="0.25"/>
    <row r="34871" s="42" customFormat="1" x14ac:dyDescent="0.25"/>
    <row r="34872" s="42" customFormat="1" x14ac:dyDescent="0.25"/>
    <row r="34873" s="42" customFormat="1" x14ac:dyDescent="0.25"/>
    <row r="34874" s="42" customFormat="1" x14ac:dyDescent="0.25"/>
    <row r="34875" s="42" customFormat="1" x14ac:dyDescent="0.25"/>
    <row r="34876" s="42" customFormat="1" x14ac:dyDescent="0.25"/>
    <row r="34877" s="42" customFormat="1" x14ac:dyDescent="0.25"/>
    <row r="34878" s="42" customFormat="1" x14ac:dyDescent="0.25"/>
    <row r="34879" s="42" customFormat="1" x14ac:dyDescent="0.25"/>
    <row r="34880" s="42" customFormat="1" x14ac:dyDescent="0.25"/>
    <row r="34881" s="42" customFormat="1" x14ac:dyDescent="0.25"/>
    <row r="34882" s="42" customFormat="1" x14ac:dyDescent="0.25"/>
    <row r="34883" s="42" customFormat="1" x14ac:dyDescent="0.25"/>
    <row r="34884" s="42" customFormat="1" x14ac:dyDescent="0.25"/>
    <row r="34885" s="42" customFormat="1" x14ac:dyDescent="0.25"/>
    <row r="34886" s="42" customFormat="1" x14ac:dyDescent="0.25"/>
    <row r="34887" s="42" customFormat="1" x14ac:dyDescent="0.25"/>
    <row r="34888" s="42" customFormat="1" x14ac:dyDescent="0.25"/>
    <row r="34889" s="42" customFormat="1" x14ac:dyDescent="0.25"/>
    <row r="34890" s="42" customFormat="1" x14ac:dyDescent="0.25"/>
    <row r="34891" s="42" customFormat="1" x14ac:dyDescent="0.25"/>
    <row r="34892" s="42" customFormat="1" x14ac:dyDescent="0.25"/>
    <row r="34893" s="42" customFormat="1" x14ac:dyDescent="0.25"/>
    <row r="34894" s="42" customFormat="1" x14ac:dyDescent="0.25"/>
    <row r="34895" s="42" customFormat="1" x14ac:dyDescent="0.25"/>
    <row r="34896" s="42" customFormat="1" x14ac:dyDescent="0.25"/>
    <row r="34897" s="42" customFormat="1" x14ac:dyDescent="0.25"/>
    <row r="34898" s="42" customFormat="1" x14ac:dyDescent="0.25"/>
    <row r="34899" s="42" customFormat="1" x14ac:dyDescent="0.25"/>
    <row r="34900" s="42" customFormat="1" x14ac:dyDescent="0.25"/>
    <row r="34901" s="42" customFormat="1" x14ac:dyDescent="0.25"/>
    <row r="34902" s="42" customFormat="1" x14ac:dyDescent="0.25"/>
    <row r="34903" s="42" customFormat="1" x14ac:dyDescent="0.25"/>
    <row r="34904" s="42" customFormat="1" x14ac:dyDescent="0.25"/>
    <row r="34905" s="42" customFormat="1" x14ac:dyDescent="0.25"/>
    <row r="34906" s="42" customFormat="1" x14ac:dyDescent="0.25"/>
    <row r="34907" s="42" customFormat="1" x14ac:dyDescent="0.25"/>
    <row r="34908" s="42" customFormat="1" x14ac:dyDescent="0.25"/>
    <row r="34909" s="42" customFormat="1" x14ac:dyDescent="0.25"/>
    <row r="34910" s="42" customFormat="1" x14ac:dyDescent="0.25"/>
    <row r="34911" s="42" customFormat="1" x14ac:dyDescent="0.25"/>
    <row r="34912" s="42" customFormat="1" x14ac:dyDescent="0.25"/>
    <row r="34913" s="42" customFormat="1" x14ac:dyDescent="0.25"/>
    <row r="34914" s="42" customFormat="1" x14ac:dyDescent="0.25"/>
    <row r="34915" s="42" customFormat="1" x14ac:dyDescent="0.25"/>
    <row r="34916" s="42" customFormat="1" x14ac:dyDescent="0.25"/>
    <row r="34917" s="42" customFormat="1" x14ac:dyDescent="0.25"/>
    <row r="34918" s="42" customFormat="1" x14ac:dyDescent="0.25"/>
    <row r="34919" s="42" customFormat="1" x14ac:dyDescent="0.25"/>
    <row r="34920" s="42" customFormat="1" x14ac:dyDescent="0.25"/>
    <row r="34921" s="42" customFormat="1" x14ac:dyDescent="0.25"/>
    <row r="34922" s="42" customFormat="1" x14ac:dyDescent="0.25"/>
    <row r="34923" s="42" customFormat="1" x14ac:dyDescent="0.25"/>
    <row r="34924" s="42" customFormat="1" x14ac:dyDescent="0.25"/>
    <row r="34925" s="42" customFormat="1" x14ac:dyDescent="0.25"/>
    <row r="34926" s="42" customFormat="1" x14ac:dyDescent="0.25"/>
    <row r="34927" s="42" customFormat="1" x14ac:dyDescent="0.25"/>
    <row r="34928" s="42" customFormat="1" x14ac:dyDescent="0.25"/>
    <row r="34929" s="42" customFormat="1" x14ac:dyDescent="0.25"/>
    <row r="34930" s="42" customFormat="1" x14ac:dyDescent="0.25"/>
    <row r="34931" s="42" customFormat="1" x14ac:dyDescent="0.25"/>
    <row r="34932" s="42" customFormat="1" x14ac:dyDescent="0.25"/>
    <row r="34933" s="42" customFormat="1" x14ac:dyDescent="0.25"/>
    <row r="34934" s="42" customFormat="1" x14ac:dyDescent="0.25"/>
    <row r="34935" s="42" customFormat="1" x14ac:dyDescent="0.25"/>
    <row r="34936" s="42" customFormat="1" x14ac:dyDescent="0.25"/>
    <row r="34937" s="42" customFormat="1" x14ac:dyDescent="0.25"/>
    <row r="34938" s="42" customFormat="1" x14ac:dyDescent="0.25"/>
    <row r="34939" s="42" customFormat="1" x14ac:dyDescent="0.25"/>
    <row r="34940" s="42" customFormat="1" x14ac:dyDescent="0.25"/>
    <row r="34941" s="42" customFormat="1" x14ac:dyDescent="0.25"/>
    <row r="34942" s="42" customFormat="1" x14ac:dyDescent="0.25"/>
    <row r="34943" s="42" customFormat="1" x14ac:dyDescent="0.25"/>
    <row r="34944" s="42" customFormat="1" x14ac:dyDescent="0.25"/>
    <row r="34945" s="42" customFormat="1" x14ac:dyDescent="0.25"/>
    <row r="34946" s="42" customFormat="1" x14ac:dyDescent="0.25"/>
    <row r="34947" s="42" customFormat="1" x14ac:dyDescent="0.25"/>
    <row r="34948" s="42" customFormat="1" x14ac:dyDescent="0.25"/>
    <row r="34949" s="42" customFormat="1" x14ac:dyDescent="0.25"/>
    <row r="34950" s="42" customFormat="1" x14ac:dyDescent="0.25"/>
    <row r="34951" s="42" customFormat="1" x14ac:dyDescent="0.25"/>
    <row r="34952" s="42" customFormat="1" x14ac:dyDescent="0.25"/>
    <row r="34953" s="42" customFormat="1" x14ac:dyDescent="0.25"/>
    <row r="34954" s="42" customFormat="1" x14ac:dyDescent="0.25"/>
    <row r="34955" s="42" customFormat="1" x14ac:dyDescent="0.25"/>
    <row r="34956" s="42" customFormat="1" x14ac:dyDescent="0.25"/>
    <row r="34957" s="42" customFormat="1" x14ac:dyDescent="0.25"/>
    <row r="34958" s="42" customFormat="1" x14ac:dyDescent="0.25"/>
    <row r="34959" s="42" customFormat="1" x14ac:dyDescent="0.25"/>
    <row r="34960" s="42" customFormat="1" x14ac:dyDescent="0.25"/>
    <row r="34961" s="42" customFormat="1" x14ac:dyDescent="0.25"/>
    <row r="34962" s="42" customFormat="1" x14ac:dyDescent="0.25"/>
    <row r="34963" s="42" customFormat="1" x14ac:dyDescent="0.25"/>
    <row r="34964" s="42" customFormat="1" x14ac:dyDescent="0.25"/>
    <row r="34965" s="42" customFormat="1" x14ac:dyDescent="0.25"/>
    <row r="34966" s="42" customFormat="1" x14ac:dyDescent="0.25"/>
    <row r="34967" s="42" customFormat="1" x14ac:dyDescent="0.25"/>
    <row r="34968" s="42" customFormat="1" x14ac:dyDescent="0.25"/>
    <row r="34969" s="42" customFormat="1" x14ac:dyDescent="0.25"/>
    <row r="34970" s="42" customFormat="1" x14ac:dyDescent="0.25"/>
    <row r="34971" s="42" customFormat="1" x14ac:dyDescent="0.25"/>
    <row r="34972" s="42" customFormat="1" x14ac:dyDescent="0.25"/>
    <row r="34973" s="42" customFormat="1" x14ac:dyDescent="0.25"/>
    <row r="34974" s="42" customFormat="1" x14ac:dyDescent="0.25"/>
    <row r="34975" s="42" customFormat="1" x14ac:dyDescent="0.25"/>
    <row r="34976" s="42" customFormat="1" x14ac:dyDescent="0.25"/>
    <row r="34977" s="42" customFormat="1" x14ac:dyDescent="0.25"/>
    <row r="34978" s="42" customFormat="1" x14ac:dyDescent="0.25"/>
    <row r="34979" s="42" customFormat="1" x14ac:dyDescent="0.25"/>
    <row r="34980" s="42" customFormat="1" x14ac:dyDescent="0.25"/>
    <row r="34981" s="42" customFormat="1" x14ac:dyDescent="0.25"/>
    <row r="34982" s="42" customFormat="1" x14ac:dyDescent="0.25"/>
    <row r="34983" s="42" customFormat="1" x14ac:dyDescent="0.25"/>
    <row r="34984" s="42" customFormat="1" x14ac:dyDescent="0.25"/>
    <row r="34985" s="42" customFormat="1" x14ac:dyDescent="0.25"/>
    <row r="34986" s="42" customFormat="1" x14ac:dyDescent="0.25"/>
    <row r="34987" s="42" customFormat="1" x14ac:dyDescent="0.25"/>
    <row r="34988" s="42" customFormat="1" x14ac:dyDescent="0.25"/>
    <row r="34989" s="42" customFormat="1" x14ac:dyDescent="0.25"/>
    <row r="34990" s="42" customFormat="1" x14ac:dyDescent="0.25"/>
    <row r="34991" s="42" customFormat="1" x14ac:dyDescent="0.25"/>
    <row r="34992" s="42" customFormat="1" x14ac:dyDescent="0.25"/>
    <row r="34993" s="42" customFormat="1" x14ac:dyDescent="0.25"/>
    <row r="34994" s="42" customFormat="1" x14ac:dyDescent="0.25"/>
    <row r="34995" s="42" customFormat="1" x14ac:dyDescent="0.25"/>
    <row r="34996" s="42" customFormat="1" x14ac:dyDescent="0.25"/>
    <row r="34997" s="42" customFormat="1" x14ac:dyDescent="0.25"/>
    <row r="34998" s="42" customFormat="1" x14ac:dyDescent="0.25"/>
    <row r="34999" s="42" customFormat="1" x14ac:dyDescent="0.25"/>
    <row r="35000" s="42" customFormat="1" x14ac:dyDescent="0.25"/>
    <row r="35001" s="42" customFormat="1" x14ac:dyDescent="0.25"/>
    <row r="35002" s="42" customFormat="1" x14ac:dyDescent="0.25"/>
    <row r="35003" s="42" customFormat="1" x14ac:dyDescent="0.25"/>
    <row r="35004" s="42" customFormat="1" x14ac:dyDescent="0.25"/>
    <row r="35005" s="42" customFormat="1" x14ac:dyDescent="0.25"/>
    <row r="35006" s="42" customFormat="1" x14ac:dyDescent="0.25"/>
    <row r="35007" s="42" customFormat="1" x14ac:dyDescent="0.25"/>
    <row r="35008" s="42" customFormat="1" x14ac:dyDescent="0.25"/>
    <row r="35009" s="42" customFormat="1" x14ac:dyDescent="0.25"/>
    <row r="35010" s="42" customFormat="1" x14ac:dyDescent="0.25"/>
    <row r="35011" s="42" customFormat="1" x14ac:dyDescent="0.25"/>
    <row r="35012" s="42" customFormat="1" x14ac:dyDescent="0.25"/>
    <row r="35013" s="42" customFormat="1" x14ac:dyDescent="0.25"/>
    <row r="35014" s="42" customFormat="1" x14ac:dyDescent="0.25"/>
    <row r="35015" s="42" customFormat="1" x14ac:dyDescent="0.25"/>
    <row r="35016" s="42" customFormat="1" x14ac:dyDescent="0.25"/>
    <row r="35017" s="42" customFormat="1" x14ac:dyDescent="0.25"/>
    <row r="35018" s="42" customFormat="1" x14ac:dyDescent="0.25"/>
    <row r="35019" s="42" customFormat="1" x14ac:dyDescent="0.25"/>
    <row r="35020" s="42" customFormat="1" x14ac:dyDescent="0.25"/>
    <row r="35021" s="42" customFormat="1" x14ac:dyDescent="0.25"/>
    <row r="35022" s="42" customFormat="1" x14ac:dyDescent="0.25"/>
    <row r="35023" s="42" customFormat="1" x14ac:dyDescent="0.25"/>
    <row r="35024" s="42" customFormat="1" x14ac:dyDescent="0.25"/>
    <row r="35025" s="42" customFormat="1" x14ac:dyDescent="0.25"/>
    <row r="35026" s="42" customFormat="1" x14ac:dyDescent="0.25"/>
    <row r="35027" s="42" customFormat="1" x14ac:dyDescent="0.25"/>
    <row r="35028" s="42" customFormat="1" x14ac:dyDescent="0.25"/>
    <row r="35029" s="42" customFormat="1" x14ac:dyDescent="0.25"/>
    <row r="35030" s="42" customFormat="1" x14ac:dyDescent="0.25"/>
    <row r="35031" s="42" customFormat="1" x14ac:dyDescent="0.25"/>
    <row r="35032" s="42" customFormat="1" x14ac:dyDescent="0.25"/>
    <row r="35033" s="42" customFormat="1" x14ac:dyDescent="0.25"/>
    <row r="35034" s="42" customFormat="1" x14ac:dyDescent="0.25"/>
    <row r="35035" s="42" customFormat="1" x14ac:dyDescent="0.25"/>
    <row r="35036" s="42" customFormat="1" x14ac:dyDescent="0.25"/>
    <row r="35037" s="42" customFormat="1" x14ac:dyDescent="0.25"/>
    <row r="35038" s="42" customFormat="1" x14ac:dyDescent="0.25"/>
    <row r="35039" s="42" customFormat="1" x14ac:dyDescent="0.25"/>
    <row r="35040" s="42" customFormat="1" x14ac:dyDescent="0.25"/>
    <row r="35041" s="42" customFormat="1" x14ac:dyDescent="0.25"/>
    <row r="35042" s="42" customFormat="1" x14ac:dyDescent="0.25"/>
    <row r="35043" s="42" customFormat="1" x14ac:dyDescent="0.25"/>
    <row r="35044" s="42" customFormat="1" x14ac:dyDescent="0.25"/>
    <row r="35045" s="42" customFormat="1" x14ac:dyDescent="0.25"/>
    <row r="35046" s="42" customFormat="1" x14ac:dyDescent="0.25"/>
    <row r="35047" s="42" customFormat="1" x14ac:dyDescent="0.25"/>
    <row r="35048" s="42" customFormat="1" x14ac:dyDescent="0.25"/>
    <row r="35049" s="42" customFormat="1" x14ac:dyDescent="0.25"/>
    <row r="35050" s="42" customFormat="1" x14ac:dyDescent="0.25"/>
    <row r="35051" s="42" customFormat="1" x14ac:dyDescent="0.25"/>
    <row r="35052" s="42" customFormat="1" x14ac:dyDescent="0.25"/>
    <row r="35053" s="42" customFormat="1" x14ac:dyDescent="0.25"/>
    <row r="35054" s="42" customFormat="1" x14ac:dyDescent="0.25"/>
    <row r="35055" s="42" customFormat="1" x14ac:dyDescent="0.25"/>
    <row r="35056" s="42" customFormat="1" x14ac:dyDescent="0.25"/>
    <row r="35057" s="42" customFormat="1" x14ac:dyDescent="0.25"/>
    <row r="35058" s="42" customFormat="1" x14ac:dyDescent="0.25"/>
    <row r="35059" s="42" customFormat="1" x14ac:dyDescent="0.25"/>
    <row r="35060" s="42" customFormat="1" x14ac:dyDescent="0.25"/>
    <row r="35061" s="42" customFormat="1" x14ac:dyDescent="0.25"/>
    <row r="35062" s="42" customFormat="1" x14ac:dyDescent="0.25"/>
    <row r="35063" s="42" customFormat="1" x14ac:dyDescent="0.25"/>
    <row r="35064" s="42" customFormat="1" x14ac:dyDescent="0.25"/>
    <row r="35065" s="42" customFormat="1" x14ac:dyDescent="0.25"/>
    <row r="35066" s="42" customFormat="1" x14ac:dyDescent="0.25"/>
    <row r="35067" s="42" customFormat="1" x14ac:dyDescent="0.25"/>
    <row r="35068" s="42" customFormat="1" x14ac:dyDescent="0.25"/>
    <row r="35069" s="42" customFormat="1" x14ac:dyDescent="0.25"/>
    <row r="35070" s="42" customFormat="1" x14ac:dyDescent="0.25"/>
    <row r="35071" s="42" customFormat="1" x14ac:dyDescent="0.25"/>
    <row r="35072" s="42" customFormat="1" x14ac:dyDescent="0.25"/>
    <row r="35073" s="42" customFormat="1" x14ac:dyDescent="0.25"/>
    <row r="35074" s="42" customFormat="1" x14ac:dyDescent="0.25"/>
    <row r="35075" s="42" customFormat="1" x14ac:dyDescent="0.25"/>
    <row r="35076" s="42" customFormat="1" x14ac:dyDescent="0.25"/>
    <row r="35077" s="42" customFormat="1" x14ac:dyDescent="0.25"/>
    <row r="35078" s="42" customFormat="1" x14ac:dyDescent="0.25"/>
    <row r="35079" s="42" customFormat="1" x14ac:dyDescent="0.25"/>
    <row r="35080" s="42" customFormat="1" x14ac:dyDescent="0.25"/>
    <row r="35081" s="42" customFormat="1" x14ac:dyDescent="0.25"/>
    <row r="35082" s="42" customFormat="1" x14ac:dyDescent="0.25"/>
    <row r="35083" s="42" customFormat="1" x14ac:dyDescent="0.25"/>
    <row r="35084" s="42" customFormat="1" x14ac:dyDescent="0.25"/>
    <row r="35085" s="42" customFormat="1" x14ac:dyDescent="0.25"/>
    <row r="35086" s="42" customFormat="1" x14ac:dyDescent="0.25"/>
    <row r="35087" s="42" customFormat="1" x14ac:dyDescent="0.25"/>
    <row r="35088" s="42" customFormat="1" x14ac:dyDescent="0.25"/>
    <row r="35089" s="42" customFormat="1" x14ac:dyDescent="0.25"/>
    <row r="35090" s="42" customFormat="1" x14ac:dyDescent="0.25"/>
    <row r="35091" s="42" customFormat="1" x14ac:dyDescent="0.25"/>
    <row r="35092" s="42" customFormat="1" x14ac:dyDescent="0.25"/>
    <row r="35093" s="42" customFormat="1" x14ac:dyDescent="0.25"/>
    <row r="35094" s="42" customFormat="1" x14ac:dyDescent="0.25"/>
    <row r="35095" s="42" customFormat="1" x14ac:dyDescent="0.25"/>
    <row r="35096" s="42" customFormat="1" x14ac:dyDescent="0.25"/>
    <row r="35097" s="42" customFormat="1" x14ac:dyDescent="0.25"/>
    <row r="35098" s="42" customFormat="1" x14ac:dyDescent="0.25"/>
    <row r="35099" s="42" customFormat="1" x14ac:dyDescent="0.25"/>
    <row r="35100" s="42" customFormat="1" x14ac:dyDescent="0.25"/>
    <row r="35101" s="42" customFormat="1" x14ac:dyDescent="0.25"/>
    <row r="35102" s="42" customFormat="1" x14ac:dyDescent="0.25"/>
    <row r="35103" s="42" customFormat="1" x14ac:dyDescent="0.25"/>
    <row r="35104" s="42" customFormat="1" x14ac:dyDescent="0.25"/>
    <row r="35105" s="42" customFormat="1" x14ac:dyDescent="0.25"/>
    <row r="35106" s="42" customFormat="1" x14ac:dyDescent="0.25"/>
    <row r="35107" s="42" customFormat="1" x14ac:dyDescent="0.25"/>
    <row r="35108" s="42" customFormat="1" x14ac:dyDescent="0.25"/>
    <row r="35109" s="42" customFormat="1" x14ac:dyDescent="0.25"/>
    <row r="35110" s="42" customFormat="1" x14ac:dyDescent="0.25"/>
    <row r="35111" s="42" customFormat="1" x14ac:dyDescent="0.25"/>
    <row r="35112" s="42" customFormat="1" x14ac:dyDescent="0.25"/>
    <row r="35113" s="42" customFormat="1" x14ac:dyDescent="0.25"/>
    <row r="35114" s="42" customFormat="1" x14ac:dyDescent="0.25"/>
    <row r="35115" s="42" customFormat="1" x14ac:dyDescent="0.25"/>
    <row r="35116" s="42" customFormat="1" x14ac:dyDescent="0.25"/>
    <row r="35117" s="42" customFormat="1" x14ac:dyDescent="0.25"/>
    <row r="35118" s="42" customFormat="1" x14ac:dyDescent="0.25"/>
    <row r="35119" s="42" customFormat="1" x14ac:dyDescent="0.25"/>
    <row r="35120" s="42" customFormat="1" x14ac:dyDescent="0.25"/>
    <row r="35121" s="42" customFormat="1" x14ac:dyDescent="0.25"/>
    <row r="35122" s="42" customFormat="1" x14ac:dyDescent="0.25"/>
    <row r="35123" s="42" customFormat="1" x14ac:dyDescent="0.25"/>
    <row r="35124" s="42" customFormat="1" x14ac:dyDescent="0.25"/>
    <row r="35125" s="42" customFormat="1" x14ac:dyDescent="0.25"/>
    <row r="35126" s="42" customFormat="1" x14ac:dyDescent="0.25"/>
    <row r="35127" s="42" customFormat="1" x14ac:dyDescent="0.25"/>
    <row r="35128" s="42" customFormat="1" x14ac:dyDescent="0.25"/>
    <row r="35129" s="42" customFormat="1" x14ac:dyDescent="0.25"/>
    <row r="35130" s="42" customFormat="1" x14ac:dyDescent="0.25"/>
    <row r="35131" s="42" customFormat="1" x14ac:dyDescent="0.25"/>
    <row r="35132" s="42" customFormat="1" x14ac:dyDescent="0.25"/>
    <row r="35133" s="42" customFormat="1" x14ac:dyDescent="0.25"/>
    <row r="35134" s="42" customFormat="1" x14ac:dyDescent="0.25"/>
    <row r="35135" s="42" customFormat="1" x14ac:dyDescent="0.25"/>
    <row r="35136" s="42" customFormat="1" x14ac:dyDescent="0.25"/>
    <row r="35137" s="42" customFormat="1" x14ac:dyDescent="0.25"/>
    <row r="35138" s="42" customFormat="1" x14ac:dyDescent="0.25"/>
    <row r="35139" s="42" customFormat="1" x14ac:dyDescent="0.25"/>
    <row r="35140" s="42" customFormat="1" x14ac:dyDescent="0.25"/>
    <row r="35141" s="42" customFormat="1" x14ac:dyDescent="0.25"/>
    <row r="35142" s="42" customFormat="1" x14ac:dyDescent="0.25"/>
    <row r="35143" s="42" customFormat="1" x14ac:dyDescent="0.25"/>
    <row r="35144" s="42" customFormat="1" x14ac:dyDescent="0.25"/>
    <row r="35145" s="42" customFormat="1" x14ac:dyDescent="0.25"/>
    <row r="35146" s="42" customFormat="1" x14ac:dyDescent="0.25"/>
    <row r="35147" s="42" customFormat="1" x14ac:dyDescent="0.25"/>
    <row r="35148" s="42" customFormat="1" x14ac:dyDescent="0.25"/>
    <row r="35149" s="42" customFormat="1" x14ac:dyDescent="0.25"/>
    <row r="35150" s="42" customFormat="1" x14ac:dyDescent="0.25"/>
    <row r="35151" s="42" customFormat="1" x14ac:dyDescent="0.25"/>
    <row r="35152" s="42" customFormat="1" x14ac:dyDescent="0.25"/>
    <row r="35153" s="42" customFormat="1" x14ac:dyDescent="0.25"/>
    <row r="35154" s="42" customFormat="1" x14ac:dyDescent="0.25"/>
    <row r="35155" s="42" customFormat="1" x14ac:dyDescent="0.25"/>
    <row r="35156" s="42" customFormat="1" x14ac:dyDescent="0.25"/>
    <row r="35157" s="42" customFormat="1" x14ac:dyDescent="0.25"/>
    <row r="35158" s="42" customFormat="1" x14ac:dyDescent="0.25"/>
    <row r="35159" s="42" customFormat="1" x14ac:dyDescent="0.25"/>
    <row r="35160" s="42" customFormat="1" x14ac:dyDescent="0.25"/>
    <row r="35161" s="42" customFormat="1" x14ac:dyDescent="0.25"/>
    <row r="35162" s="42" customFormat="1" x14ac:dyDescent="0.25"/>
    <row r="35163" s="42" customFormat="1" x14ac:dyDescent="0.25"/>
    <row r="35164" s="42" customFormat="1" x14ac:dyDescent="0.25"/>
    <row r="35165" s="42" customFormat="1" x14ac:dyDescent="0.25"/>
    <row r="35166" s="42" customFormat="1" x14ac:dyDescent="0.25"/>
    <row r="35167" s="42" customFormat="1" x14ac:dyDescent="0.25"/>
    <row r="35168" s="42" customFormat="1" x14ac:dyDescent="0.25"/>
    <row r="35169" s="42" customFormat="1" x14ac:dyDescent="0.25"/>
    <row r="35170" s="42" customFormat="1" x14ac:dyDescent="0.25"/>
    <row r="35171" s="42" customFormat="1" x14ac:dyDescent="0.25"/>
    <row r="35172" s="42" customFormat="1" x14ac:dyDescent="0.25"/>
    <row r="35173" s="42" customFormat="1" x14ac:dyDescent="0.25"/>
    <row r="35174" s="42" customFormat="1" x14ac:dyDescent="0.25"/>
    <row r="35175" s="42" customFormat="1" x14ac:dyDescent="0.25"/>
    <row r="35176" s="42" customFormat="1" x14ac:dyDescent="0.25"/>
    <row r="35177" s="42" customFormat="1" x14ac:dyDescent="0.25"/>
    <row r="35178" s="42" customFormat="1" x14ac:dyDescent="0.25"/>
    <row r="35179" s="42" customFormat="1" x14ac:dyDescent="0.25"/>
    <row r="35180" s="42" customFormat="1" x14ac:dyDescent="0.25"/>
    <row r="35181" s="42" customFormat="1" x14ac:dyDescent="0.25"/>
    <row r="35182" s="42" customFormat="1" x14ac:dyDescent="0.25"/>
    <row r="35183" s="42" customFormat="1" x14ac:dyDescent="0.25"/>
    <row r="35184" s="42" customFormat="1" x14ac:dyDescent="0.25"/>
    <row r="35185" s="42" customFormat="1" x14ac:dyDescent="0.25"/>
    <row r="35186" s="42" customFormat="1" x14ac:dyDescent="0.25"/>
    <row r="35187" s="42" customFormat="1" x14ac:dyDescent="0.25"/>
    <row r="35188" s="42" customFormat="1" x14ac:dyDescent="0.25"/>
    <row r="35189" s="42" customFormat="1" x14ac:dyDescent="0.25"/>
    <row r="35190" s="42" customFormat="1" x14ac:dyDescent="0.25"/>
    <row r="35191" s="42" customFormat="1" x14ac:dyDescent="0.25"/>
    <row r="35192" s="42" customFormat="1" x14ac:dyDescent="0.25"/>
    <row r="35193" s="42" customFormat="1" x14ac:dyDescent="0.25"/>
    <row r="35194" s="42" customFormat="1" x14ac:dyDescent="0.25"/>
    <row r="35195" s="42" customFormat="1" x14ac:dyDescent="0.25"/>
    <row r="35196" s="42" customFormat="1" x14ac:dyDescent="0.25"/>
    <row r="35197" s="42" customFormat="1" x14ac:dyDescent="0.25"/>
    <row r="35198" s="42" customFormat="1" x14ac:dyDescent="0.25"/>
    <row r="35199" s="42" customFormat="1" x14ac:dyDescent="0.25"/>
    <row r="35200" s="42" customFormat="1" x14ac:dyDescent="0.25"/>
    <row r="35201" s="42" customFormat="1" x14ac:dyDescent="0.25"/>
    <row r="35202" s="42" customFormat="1" x14ac:dyDescent="0.25"/>
    <row r="35203" s="42" customFormat="1" x14ac:dyDescent="0.25"/>
    <row r="35204" s="42" customFormat="1" x14ac:dyDescent="0.25"/>
    <row r="35205" s="42" customFormat="1" x14ac:dyDescent="0.25"/>
    <row r="35206" s="42" customFormat="1" x14ac:dyDescent="0.25"/>
    <row r="35207" s="42" customFormat="1" x14ac:dyDescent="0.25"/>
    <row r="35208" s="42" customFormat="1" x14ac:dyDescent="0.25"/>
    <row r="35209" s="42" customFormat="1" x14ac:dyDescent="0.25"/>
    <row r="35210" s="42" customFormat="1" x14ac:dyDescent="0.25"/>
    <row r="35211" s="42" customFormat="1" x14ac:dyDescent="0.25"/>
    <row r="35212" s="42" customFormat="1" x14ac:dyDescent="0.25"/>
    <row r="35213" s="42" customFormat="1" x14ac:dyDescent="0.25"/>
    <row r="35214" s="42" customFormat="1" x14ac:dyDescent="0.25"/>
    <row r="35215" s="42" customFormat="1" x14ac:dyDescent="0.25"/>
    <row r="35216" s="42" customFormat="1" x14ac:dyDescent="0.25"/>
    <row r="35217" s="42" customFormat="1" x14ac:dyDescent="0.25"/>
    <row r="35218" s="42" customFormat="1" x14ac:dyDescent="0.25"/>
    <row r="35219" s="42" customFormat="1" x14ac:dyDescent="0.25"/>
    <row r="35220" s="42" customFormat="1" x14ac:dyDescent="0.25"/>
    <row r="35221" s="42" customFormat="1" x14ac:dyDescent="0.25"/>
    <row r="35222" s="42" customFormat="1" x14ac:dyDescent="0.25"/>
    <row r="35223" s="42" customFormat="1" x14ac:dyDescent="0.25"/>
    <row r="35224" s="42" customFormat="1" x14ac:dyDescent="0.25"/>
    <row r="35225" s="42" customFormat="1" x14ac:dyDescent="0.25"/>
    <row r="35226" s="42" customFormat="1" x14ac:dyDescent="0.25"/>
    <row r="35227" s="42" customFormat="1" x14ac:dyDescent="0.25"/>
    <row r="35228" s="42" customFormat="1" x14ac:dyDescent="0.25"/>
    <row r="35229" s="42" customFormat="1" x14ac:dyDescent="0.25"/>
    <row r="35230" s="42" customFormat="1" x14ac:dyDescent="0.25"/>
    <row r="35231" s="42" customFormat="1" x14ac:dyDescent="0.25"/>
    <row r="35232" s="42" customFormat="1" x14ac:dyDescent="0.25"/>
    <row r="35233" s="42" customFormat="1" x14ac:dyDescent="0.25"/>
    <row r="35234" s="42" customFormat="1" x14ac:dyDescent="0.25"/>
    <row r="35235" s="42" customFormat="1" x14ac:dyDescent="0.25"/>
    <row r="35236" s="42" customFormat="1" x14ac:dyDescent="0.25"/>
    <row r="35237" s="42" customFormat="1" x14ac:dyDescent="0.25"/>
    <row r="35238" s="42" customFormat="1" x14ac:dyDescent="0.25"/>
    <row r="35239" s="42" customFormat="1" x14ac:dyDescent="0.25"/>
    <row r="35240" s="42" customFormat="1" x14ac:dyDescent="0.25"/>
    <row r="35241" s="42" customFormat="1" x14ac:dyDescent="0.25"/>
    <row r="35242" s="42" customFormat="1" x14ac:dyDescent="0.25"/>
    <row r="35243" s="42" customFormat="1" x14ac:dyDescent="0.25"/>
    <row r="35244" s="42" customFormat="1" x14ac:dyDescent="0.25"/>
    <row r="35245" s="42" customFormat="1" x14ac:dyDescent="0.25"/>
    <row r="35246" s="42" customFormat="1" x14ac:dyDescent="0.25"/>
    <row r="35247" s="42" customFormat="1" x14ac:dyDescent="0.25"/>
    <row r="35248" s="42" customFormat="1" x14ac:dyDescent="0.25"/>
    <row r="35249" s="42" customFormat="1" x14ac:dyDescent="0.25"/>
    <row r="35250" s="42" customFormat="1" x14ac:dyDescent="0.25"/>
    <row r="35251" s="42" customFormat="1" x14ac:dyDescent="0.25"/>
    <row r="35252" s="42" customFormat="1" x14ac:dyDescent="0.25"/>
    <row r="35253" s="42" customFormat="1" x14ac:dyDescent="0.25"/>
    <row r="35254" s="42" customFormat="1" x14ac:dyDescent="0.25"/>
    <row r="35255" s="42" customFormat="1" x14ac:dyDescent="0.25"/>
    <row r="35256" s="42" customFormat="1" x14ac:dyDescent="0.25"/>
    <row r="35257" s="42" customFormat="1" x14ac:dyDescent="0.25"/>
    <row r="35258" s="42" customFormat="1" x14ac:dyDescent="0.25"/>
    <row r="35259" s="42" customFormat="1" x14ac:dyDescent="0.25"/>
    <row r="35260" s="42" customFormat="1" x14ac:dyDescent="0.25"/>
    <row r="35261" s="42" customFormat="1" x14ac:dyDescent="0.25"/>
    <row r="35262" s="42" customFormat="1" x14ac:dyDescent="0.25"/>
    <row r="35263" s="42" customFormat="1" x14ac:dyDescent="0.25"/>
    <row r="35264" s="42" customFormat="1" x14ac:dyDescent="0.25"/>
    <row r="35265" s="42" customFormat="1" x14ac:dyDescent="0.25"/>
    <row r="35266" s="42" customFormat="1" x14ac:dyDescent="0.25"/>
    <row r="35267" s="42" customFormat="1" x14ac:dyDescent="0.25"/>
    <row r="35268" s="42" customFormat="1" x14ac:dyDescent="0.25"/>
    <row r="35269" s="42" customFormat="1" x14ac:dyDescent="0.25"/>
    <row r="35270" s="42" customFormat="1" x14ac:dyDescent="0.25"/>
    <row r="35271" s="42" customFormat="1" x14ac:dyDescent="0.25"/>
    <row r="35272" s="42" customFormat="1" x14ac:dyDescent="0.25"/>
    <row r="35273" s="42" customFormat="1" x14ac:dyDescent="0.25"/>
    <row r="35274" s="42" customFormat="1" x14ac:dyDescent="0.25"/>
    <row r="35275" s="42" customFormat="1" x14ac:dyDescent="0.25"/>
    <row r="35276" s="42" customFormat="1" x14ac:dyDescent="0.25"/>
    <row r="35277" s="42" customFormat="1" x14ac:dyDescent="0.25"/>
    <row r="35278" s="42" customFormat="1" x14ac:dyDescent="0.25"/>
    <row r="35279" s="42" customFormat="1" x14ac:dyDescent="0.25"/>
    <row r="35280" s="42" customFormat="1" x14ac:dyDescent="0.25"/>
    <row r="35281" s="42" customFormat="1" x14ac:dyDescent="0.25"/>
    <row r="35282" s="42" customFormat="1" x14ac:dyDescent="0.25"/>
    <row r="35283" s="42" customFormat="1" x14ac:dyDescent="0.25"/>
    <row r="35284" s="42" customFormat="1" x14ac:dyDescent="0.25"/>
    <row r="35285" s="42" customFormat="1" x14ac:dyDescent="0.25"/>
    <row r="35286" s="42" customFormat="1" x14ac:dyDescent="0.25"/>
    <row r="35287" s="42" customFormat="1" x14ac:dyDescent="0.25"/>
    <row r="35288" s="42" customFormat="1" x14ac:dyDescent="0.25"/>
    <row r="35289" s="42" customFormat="1" x14ac:dyDescent="0.25"/>
    <row r="35290" s="42" customFormat="1" x14ac:dyDescent="0.25"/>
    <row r="35291" s="42" customFormat="1" x14ac:dyDescent="0.25"/>
    <row r="35292" s="42" customFormat="1" x14ac:dyDescent="0.25"/>
    <row r="35293" s="42" customFormat="1" x14ac:dyDescent="0.25"/>
    <row r="35294" s="42" customFormat="1" x14ac:dyDescent="0.25"/>
    <row r="35295" s="42" customFormat="1" x14ac:dyDescent="0.25"/>
    <row r="35296" s="42" customFormat="1" x14ac:dyDescent="0.25"/>
    <row r="35297" s="42" customFormat="1" x14ac:dyDescent="0.25"/>
    <row r="35298" s="42" customFormat="1" x14ac:dyDescent="0.25"/>
    <row r="35299" s="42" customFormat="1" x14ac:dyDescent="0.25"/>
    <row r="35300" s="42" customFormat="1" x14ac:dyDescent="0.25"/>
    <row r="35301" s="42" customFormat="1" x14ac:dyDescent="0.25"/>
    <row r="35302" s="42" customFormat="1" x14ac:dyDescent="0.25"/>
    <row r="35303" s="42" customFormat="1" x14ac:dyDescent="0.25"/>
    <row r="35304" s="42" customFormat="1" x14ac:dyDescent="0.25"/>
    <row r="35305" s="42" customFormat="1" x14ac:dyDescent="0.25"/>
    <row r="35306" s="42" customFormat="1" x14ac:dyDescent="0.25"/>
    <row r="35307" s="42" customFormat="1" x14ac:dyDescent="0.25"/>
    <row r="35308" s="42" customFormat="1" x14ac:dyDescent="0.25"/>
    <row r="35309" s="42" customFormat="1" x14ac:dyDescent="0.25"/>
    <row r="35310" s="42" customFormat="1" x14ac:dyDescent="0.25"/>
    <row r="35311" s="42" customFormat="1" x14ac:dyDescent="0.25"/>
    <row r="35312" s="42" customFormat="1" x14ac:dyDescent="0.25"/>
    <row r="35313" s="42" customFormat="1" x14ac:dyDescent="0.25"/>
    <row r="35314" s="42" customFormat="1" x14ac:dyDescent="0.25"/>
    <row r="35315" s="42" customFormat="1" x14ac:dyDescent="0.25"/>
    <row r="35316" s="42" customFormat="1" x14ac:dyDescent="0.25"/>
    <row r="35317" s="42" customFormat="1" x14ac:dyDescent="0.25"/>
    <row r="35318" s="42" customFormat="1" x14ac:dyDescent="0.25"/>
    <row r="35319" s="42" customFormat="1" x14ac:dyDescent="0.25"/>
    <row r="35320" s="42" customFormat="1" x14ac:dyDescent="0.25"/>
    <row r="35321" s="42" customFormat="1" x14ac:dyDescent="0.25"/>
    <row r="35322" s="42" customFormat="1" x14ac:dyDescent="0.25"/>
    <row r="35323" s="42" customFormat="1" x14ac:dyDescent="0.25"/>
    <row r="35324" s="42" customFormat="1" x14ac:dyDescent="0.25"/>
    <row r="35325" s="42" customFormat="1" x14ac:dyDescent="0.25"/>
    <row r="35326" s="42" customFormat="1" x14ac:dyDescent="0.25"/>
    <row r="35327" s="42" customFormat="1" x14ac:dyDescent="0.25"/>
    <row r="35328" s="42" customFormat="1" x14ac:dyDescent="0.25"/>
    <row r="35329" s="42" customFormat="1" x14ac:dyDescent="0.25"/>
    <row r="35330" s="42" customFormat="1" x14ac:dyDescent="0.25"/>
    <row r="35331" s="42" customFormat="1" x14ac:dyDescent="0.25"/>
    <row r="35332" s="42" customFormat="1" x14ac:dyDescent="0.25"/>
    <row r="35333" s="42" customFormat="1" x14ac:dyDescent="0.25"/>
    <row r="35334" s="42" customFormat="1" x14ac:dyDescent="0.25"/>
    <row r="35335" s="42" customFormat="1" x14ac:dyDescent="0.25"/>
    <row r="35336" s="42" customFormat="1" x14ac:dyDescent="0.25"/>
    <row r="35337" s="42" customFormat="1" x14ac:dyDescent="0.25"/>
    <row r="35338" s="42" customFormat="1" x14ac:dyDescent="0.25"/>
    <row r="35339" s="42" customFormat="1" x14ac:dyDescent="0.25"/>
    <row r="35340" s="42" customFormat="1" x14ac:dyDescent="0.25"/>
    <row r="35341" s="42" customFormat="1" x14ac:dyDescent="0.25"/>
    <row r="35342" s="42" customFormat="1" x14ac:dyDescent="0.25"/>
    <row r="35343" s="42" customFormat="1" x14ac:dyDescent="0.25"/>
    <row r="35344" s="42" customFormat="1" x14ac:dyDescent="0.25"/>
    <row r="35345" s="42" customFormat="1" x14ac:dyDescent="0.25"/>
    <row r="35346" s="42" customFormat="1" x14ac:dyDescent="0.25"/>
    <row r="35347" s="42" customFormat="1" x14ac:dyDescent="0.25"/>
    <row r="35348" s="42" customFormat="1" x14ac:dyDescent="0.25"/>
    <row r="35349" s="42" customFormat="1" x14ac:dyDescent="0.25"/>
    <row r="35350" s="42" customFormat="1" x14ac:dyDescent="0.25"/>
    <row r="35351" s="42" customFormat="1" x14ac:dyDescent="0.25"/>
    <row r="35352" s="42" customFormat="1" x14ac:dyDescent="0.25"/>
    <row r="35353" s="42" customFormat="1" x14ac:dyDescent="0.25"/>
    <row r="35354" s="42" customFormat="1" x14ac:dyDescent="0.25"/>
    <row r="35355" s="42" customFormat="1" x14ac:dyDescent="0.25"/>
    <row r="35356" s="42" customFormat="1" x14ac:dyDescent="0.25"/>
    <row r="35357" s="42" customFormat="1" x14ac:dyDescent="0.25"/>
    <row r="35358" s="42" customFormat="1" x14ac:dyDescent="0.25"/>
    <row r="35359" s="42" customFormat="1" x14ac:dyDescent="0.25"/>
    <row r="35360" s="42" customFormat="1" x14ac:dyDescent="0.25"/>
    <row r="35361" s="42" customFormat="1" x14ac:dyDescent="0.25"/>
    <row r="35362" s="42" customFormat="1" x14ac:dyDescent="0.25"/>
    <row r="35363" s="42" customFormat="1" x14ac:dyDescent="0.25"/>
    <row r="35364" s="42" customFormat="1" x14ac:dyDescent="0.25"/>
    <row r="35365" s="42" customFormat="1" x14ac:dyDescent="0.25"/>
    <row r="35366" s="42" customFormat="1" x14ac:dyDescent="0.25"/>
    <row r="35367" s="42" customFormat="1" x14ac:dyDescent="0.25"/>
    <row r="35368" s="42" customFormat="1" x14ac:dyDescent="0.25"/>
    <row r="35369" s="42" customFormat="1" x14ac:dyDescent="0.25"/>
    <row r="35370" s="42" customFormat="1" x14ac:dyDescent="0.25"/>
    <row r="35371" s="42" customFormat="1" x14ac:dyDescent="0.25"/>
    <row r="35372" s="42" customFormat="1" x14ac:dyDescent="0.25"/>
    <row r="35373" s="42" customFormat="1" x14ac:dyDescent="0.25"/>
    <row r="35374" s="42" customFormat="1" x14ac:dyDescent="0.25"/>
    <row r="35375" s="42" customFormat="1" x14ac:dyDescent="0.25"/>
    <row r="35376" s="42" customFormat="1" x14ac:dyDescent="0.25"/>
    <row r="35377" s="42" customFormat="1" x14ac:dyDescent="0.25"/>
    <row r="35378" s="42" customFormat="1" x14ac:dyDescent="0.25"/>
    <row r="35379" s="42" customFormat="1" x14ac:dyDescent="0.25"/>
    <row r="35380" s="42" customFormat="1" x14ac:dyDescent="0.25"/>
    <row r="35381" s="42" customFormat="1" x14ac:dyDescent="0.25"/>
    <row r="35382" s="42" customFormat="1" x14ac:dyDescent="0.25"/>
    <row r="35383" s="42" customFormat="1" x14ac:dyDescent="0.25"/>
    <row r="35384" s="42" customFormat="1" x14ac:dyDescent="0.25"/>
    <row r="35385" s="42" customFormat="1" x14ac:dyDescent="0.25"/>
    <row r="35386" s="42" customFormat="1" x14ac:dyDescent="0.25"/>
    <row r="35387" s="42" customFormat="1" x14ac:dyDescent="0.25"/>
    <row r="35388" s="42" customFormat="1" x14ac:dyDescent="0.25"/>
    <row r="35389" s="42" customFormat="1" x14ac:dyDescent="0.25"/>
    <row r="35390" s="42" customFormat="1" x14ac:dyDescent="0.25"/>
    <row r="35391" s="42" customFormat="1" x14ac:dyDescent="0.25"/>
    <row r="35392" s="42" customFormat="1" x14ac:dyDescent="0.25"/>
    <row r="35393" s="42" customFormat="1" x14ac:dyDescent="0.25"/>
    <row r="35394" s="42" customFormat="1" x14ac:dyDescent="0.25"/>
    <row r="35395" s="42" customFormat="1" x14ac:dyDescent="0.25"/>
    <row r="35396" s="42" customFormat="1" x14ac:dyDescent="0.25"/>
    <row r="35397" s="42" customFormat="1" x14ac:dyDescent="0.25"/>
    <row r="35398" s="42" customFormat="1" x14ac:dyDescent="0.25"/>
    <row r="35399" s="42" customFormat="1" x14ac:dyDescent="0.25"/>
    <row r="35400" s="42" customFormat="1" x14ac:dyDescent="0.25"/>
    <row r="35401" s="42" customFormat="1" x14ac:dyDescent="0.25"/>
    <row r="35402" s="42" customFormat="1" x14ac:dyDescent="0.25"/>
    <row r="35403" s="42" customFormat="1" x14ac:dyDescent="0.25"/>
    <row r="35404" s="42" customFormat="1" x14ac:dyDescent="0.25"/>
    <row r="35405" s="42" customFormat="1" x14ac:dyDescent="0.25"/>
    <row r="35406" s="42" customFormat="1" x14ac:dyDescent="0.25"/>
    <row r="35407" s="42" customFormat="1" x14ac:dyDescent="0.25"/>
    <row r="35408" s="42" customFormat="1" x14ac:dyDescent="0.25"/>
    <row r="35409" s="42" customFormat="1" x14ac:dyDescent="0.25"/>
    <row r="35410" s="42" customFormat="1" x14ac:dyDescent="0.25"/>
    <row r="35411" s="42" customFormat="1" x14ac:dyDescent="0.25"/>
    <row r="35412" s="42" customFormat="1" x14ac:dyDescent="0.25"/>
    <row r="35413" s="42" customFormat="1" x14ac:dyDescent="0.25"/>
    <row r="35414" s="42" customFormat="1" x14ac:dyDescent="0.25"/>
    <row r="35415" s="42" customFormat="1" x14ac:dyDescent="0.25"/>
    <row r="35416" s="42" customFormat="1" x14ac:dyDescent="0.25"/>
    <row r="35417" s="42" customFormat="1" x14ac:dyDescent="0.25"/>
    <row r="35418" s="42" customFormat="1" x14ac:dyDescent="0.25"/>
    <row r="35419" s="42" customFormat="1" x14ac:dyDescent="0.25"/>
    <row r="35420" s="42" customFormat="1" x14ac:dyDescent="0.25"/>
    <row r="35421" s="42" customFormat="1" x14ac:dyDescent="0.25"/>
    <row r="35422" s="42" customFormat="1" x14ac:dyDescent="0.25"/>
    <row r="35423" s="42" customFormat="1" x14ac:dyDescent="0.25"/>
    <row r="35424" s="42" customFormat="1" x14ac:dyDescent="0.25"/>
    <row r="35425" s="42" customFormat="1" x14ac:dyDescent="0.25"/>
    <row r="35426" s="42" customFormat="1" x14ac:dyDescent="0.25"/>
    <row r="35427" s="42" customFormat="1" x14ac:dyDescent="0.25"/>
    <row r="35428" s="42" customFormat="1" x14ac:dyDescent="0.25"/>
    <row r="35429" s="42" customFormat="1" x14ac:dyDescent="0.25"/>
    <row r="35430" s="42" customFormat="1" x14ac:dyDescent="0.25"/>
    <row r="35431" s="42" customFormat="1" x14ac:dyDescent="0.25"/>
    <row r="35432" s="42" customFormat="1" x14ac:dyDescent="0.25"/>
    <row r="35433" s="42" customFormat="1" x14ac:dyDescent="0.25"/>
    <row r="35434" s="42" customFormat="1" x14ac:dyDescent="0.25"/>
    <row r="35435" s="42" customFormat="1" x14ac:dyDescent="0.25"/>
    <row r="35436" s="42" customFormat="1" x14ac:dyDescent="0.25"/>
    <row r="35437" s="42" customFormat="1" x14ac:dyDescent="0.25"/>
    <row r="35438" s="42" customFormat="1" x14ac:dyDescent="0.25"/>
    <row r="35439" s="42" customFormat="1" x14ac:dyDescent="0.25"/>
    <row r="35440" s="42" customFormat="1" x14ac:dyDescent="0.25"/>
    <row r="35441" s="42" customFormat="1" x14ac:dyDescent="0.25"/>
    <row r="35442" s="42" customFormat="1" x14ac:dyDescent="0.25"/>
    <row r="35443" s="42" customFormat="1" x14ac:dyDescent="0.25"/>
    <row r="35444" s="42" customFormat="1" x14ac:dyDescent="0.25"/>
    <row r="35445" s="42" customFormat="1" x14ac:dyDescent="0.25"/>
    <row r="35446" s="42" customFormat="1" x14ac:dyDescent="0.25"/>
    <row r="35447" s="42" customFormat="1" x14ac:dyDescent="0.25"/>
    <row r="35448" s="42" customFormat="1" x14ac:dyDescent="0.25"/>
    <row r="35449" s="42" customFormat="1" x14ac:dyDescent="0.25"/>
    <row r="35450" s="42" customFormat="1" x14ac:dyDescent="0.25"/>
    <row r="35451" s="42" customFormat="1" x14ac:dyDescent="0.25"/>
    <row r="35452" s="42" customFormat="1" x14ac:dyDescent="0.25"/>
    <row r="35453" s="42" customFormat="1" x14ac:dyDescent="0.25"/>
    <row r="35454" s="42" customFormat="1" x14ac:dyDescent="0.25"/>
    <row r="35455" s="42" customFormat="1" x14ac:dyDescent="0.25"/>
    <row r="35456" s="42" customFormat="1" x14ac:dyDescent="0.25"/>
    <row r="35457" s="42" customFormat="1" x14ac:dyDescent="0.25"/>
    <row r="35458" s="42" customFormat="1" x14ac:dyDescent="0.25"/>
    <row r="35459" s="42" customFormat="1" x14ac:dyDescent="0.25"/>
    <row r="35460" s="42" customFormat="1" x14ac:dyDescent="0.25"/>
    <row r="35461" s="42" customFormat="1" x14ac:dyDescent="0.25"/>
    <row r="35462" s="42" customFormat="1" x14ac:dyDescent="0.25"/>
    <row r="35463" s="42" customFormat="1" x14ac:dyDescent="0.25"/>
    <row r="35464" s="42" customFormat="1" x14ac:dyDescent="0.25"/>
    <row r="35465" s="42" customFormat="1" x14ac:dyDescent="0.25"/>
    <row r="35466" s="42" customFormat="1" x14ac:dyDescent="0.25"/>
    <row r="35467" s="42" customFormat="1" x14ac:dyDescent="0.25"/>
    <row r="35468" s="42" customFormat="1" x14ac:dyDescent="0.25"/>
    <row r="35469" s="42" customFormat="1" x14ac:dyDescent="0.25"/>
    <row r="35470" s="42" customFormat="1" x14ac:dyDescent="0.25"/>
    <row r="35471" s="42" customFormat="1" x14ac:dyDescent="0.25"/>
    <row r="35472" s="42" customFormat="1" x14ac:dyDescent="0.25"/>
    <row r="35473" s="42" customFormat="1" x14ac:dyDescent="0.25"/>
    <row r="35474" s="42" customFormat="1" x14ac:dyDescent="0.25"/>
    <row r="35475" s="42" customFormat="1" x14ac:dyDescent="0.25"/>
    <row r="35476" s="42" customFormat="1" x14ac:dyDescent="0.25"/>
    <row r="35477" s="42" customFormat="1" x14ac:dyDescent="0.25"/>
    <row r="35478" s="42" customFormat="1" x14ac:dyDescent="0.25"/>
    <row r="35479" s="42" customFormat="1" x14ac:dyDescent="0.25"/>
    <row r="35480" s="42" customFormat="1" x14ac:dyDescent="0.25"/>
    <row r="35481" s="42" customFormat="1" x14ac:dyDescent="0.25"/>
    <row r="35482" s="42" customFormat="1" x14ac:dyDescent="0.25"/>
    <row r="35483" s="42" customFormat="1" x14ac:dyDescent="0.25"/>
    <row r="35484" s="42" customFormat="1" x14ac:dyDescent="0.25"/>
    <row r="35485" s="42" customFormat="1" x14ac:dyDescent="0.25"/>
    <row r="35486" s="42" customFormat="1" x14ac:dyDescent="0.25"/>
    <row r="35487" s="42" customFormat="1" x14ac:dyDescent="0.25"/>
    <row r="35488" s="42" customFormat="1" x14ac:dyDescent="0.25"/>
    <row r="35489" s="42" customFormat="1" x14ac:dyDescent="0.25"/>
    <row r="35490" s="42" customFormat="1" x14ac:dyDescent="0.25"/>
    <row r="35491" s="42" customFormat="1" x14ac:dyDescent="0.25"/>
    <row r="35492" s="42" customFormat="1" x14ac:dyDescent="0.25"/>
    <row r="35493" s="42" customFormat="1" x14ac:dyDescent="0.25"/>
    <row r="35494" s="42" customFormat="1" x14ac:dyDescent="0.25"/>
    <row r="35495" s="42" customFormat="1" x14ac:dyDescent="0.25"/>
    <row r="35496" s="42" customFormat="1" x14ac:dyDescent="0.25"/>
    <row r="35497" s="42" customFormat="1" x14ac:dyDescent="0.25"/>
    <row r="35498" s="42" customFormat="1" x14ac:dyDescent="0.25"/>
    <row r="35499" s="42" customFormat="1" x14ac:dyDescent="0.25"/>
    <row r="35500" s="42" customFormat="1" x14ac:dyDescent="0.25"/>
    <row r="35501" s="42" customFormat="1" x14ac:dyDescent="0.25"/>
    <row r="35502" s="42" customFormat="1" x14ac:dyDescent="0.25"/>
    <row r="35503" s="42" customFormat="1" x14ac:dyDescent="0.25"/>
    <row r="35504" s="42" customFormat="1" x14ac:dyDescent="0.25"/>
    <row r="35505" s="42" customFormat="1" x14ac:dyDescent="0.25"/>
    <row r="35506" s="42" customFormat="1" x14ac:dyDescent="0.25"/>
    <row r="35507" s="42" customFormat="1" x14ac:dyDescent="0.25"/>
    <row r="35508" s="42" customFormat="1" x14ac:dyDescent="0.25"/>
    <row r="35509" s="42" customFormat="1" x14ac:dyDescent="0.25"/>
    <row r="35510" s="42" customFormat="1" x14ac:dyDescent="0.25"/>
    <row r="35511" s="42" customFormat="1" x14ac:dyDescent="0.25"/>
    <row r="35512" s="42" customFormat="1" x14ac:dyDescent="0.25"/>
    <row r="35513" s="42" customFormat="1" x14ac:dyDescent="0.25"/>
    <row r="35514" s="42" customFormat="1" x14ac:dyDescent="0.25"/>
    <row r="35515" s="42" customFormat="1" x14ac:dyDescent="0.25"/>
    <row r="35516" s="42" customFormat="1" x14ac:dyDescent="0.25"/>
    <row r="35517" s="42" customFormat="1" x14ac:dyDescent="0.25"/>
    <row r="35518" s="42" customFormat="1" x14ac:dyDescent="0.25"/>
    <row r="35519" s="42" customFormat="1" x14ac:dyDescent="0.25"/>
    <row r="35520" s="42" customFormat="1" x14ac:dyDescent="0.25"/>
    <row r="35521" s="42" customFormat="1" x14ac:dyDescent="0.25"/>
    <row r="35522" s="42" customFormat="1" x14ac:dyDescent="0.25"/>
    <row r="35523" s="42" customFormat="1" x14ac:dyDescent="0.25"/>
    <row r="35524" s="42" customFormat="1" x14ac:dyDescent="0.25"/>
    <row r="35525" s="42" customFormat="1" x14ac:dyDescent="0.25"/>
    <row r="35526" s="42" customFormat="1" x14ac:dyDescent="0.25"/>
    <row r="35527" s="42" customFormat="1" x14ac:dyDescent="0.25"/>
    <row r="35528" s="42" customFormat="1" x14ac:dyDescent="0.25"/>
    <row r="35529" s="42" customFormat="1" x14ac:dyDescent="0.25"/>
    <row r="35530" s="42" customFormat="1" x14ac:dyDescent="0.25"/>
    <row r="35531" s="42" customFormat="1" x14ac:dyDescent="0.25"/>
    <row r="35532" s="42" customFormat="1" x14ac:dyDescent="0.25"/>
    <row r="35533" s="42" customFormat="1" x14ac:dyDescent="0.25"/>
    <row r="35534" s="42" customFormat="1" x14ac:dyDescent="0.25"/>
    <row r="35535" s="42" customFormat="1" x14ac:dyDescent="0.25"/>
    <row r="35536" s="42" customFormat="1" x14ac:dyDescent="0.25"/>
    <row r="35537" s="42" customFormat="1" x14ac:dyDescent="0.25"/>
    <row r="35538" s="42" customFormat="1" x14ac:dyDescent="0.25"/>
    <row r="35539" s="42" customFormat="1" x14ac:dyDescent="0.25"/>
    <row r="35540" s="42" customFormat="1" x14ac:dyDescent="0.25"/>
    <row r="35541" s="42" customFormat="1" x14ac:dyDescent="0.25"/>
    <row r="35542" s="42" customFormat="1" x14ac:dyDescent="0.25"/>
    <row r="35543" s="42" customFormat="1" x14ac:dyDescent="0.25"/>
    <row r="35544" s="42" customFormat="1" x14ac:dyDescent="0.25"/>
    <row r="35545" s="42" customFormat="1" x14ac:dyDescent="0.25"/>
    <row r="35546" s="42" customFormat="1" x14ac:dyDescent="0.25"/>
    <row r="35547" s="42" customFormat="1" x14ac:dyDescent="0.25"/>
    <row r="35548" s="42" customFormat="1" x14ac:dyDescent="0.25"/>
    <row r="35549" s="42" customFormat="1" x14ac:dyDescent="0.25"/>
    <row r="35550" s="42" customFormat="1" x14ac:dyDescent="0.25"/>
    <row r="35551" s="42" customFormat="1" x14ac:dyDescent="0.25"/>
    <row r="35552" s="42" customFormat="1" x14ac:dyDescent="0.25"/>
    <row r="35553" s="42" customFormat="1" x14ac:dyDescent="0.25"/>
    <row r="35554" s="42" customFormat="1" x14ac:dyDescent="0.25"/>
    <row r="35555" s="42" customFormat="1" x14ac:dyDescent="0.25"/>
    <row r="35556" s="42" customFormat="1" x14ac:dyDescent="0.25"/>
    <row r="35557" s="42" customFormat="1" x14ac:dyDescent="0.25"/>
    <row r="35558" s="42" customFormat="1" x14ac:dyDescent="0.25"/>
    <row r="35559" s="42" customFormat="1" x14ac:dyDescent="0.25"/>
    <row r="35560" s="42" customFormat="1" x14ac:dyDescent="0.25"/>
    <row r="35561" s="42" customFormat="1" x14ac:dyDescent="0.25"/>
    <row r="35562" s="42" customFormat="1" x14ac:dyDescent="0.25"/>
    <row r="35563" s="42" customFormat="1" x14ac:dyDescent="0.25"/>
    <row r="35564" s="42" customFormat="1" x14ac:dyDescent="0.25"/>
    <row r="35565" s="42" customFormat="1" x14ac:dyDescent="0.25"/>
    <row r="35566" s="42" customFormat="1" x14ac:dyDescent="0.25"/>
    <row r="35567" s="42" customFormat="1" x14ac:dyDescent="0.25"/>
    <row r="35568" s="42" customFormat="1" x14ac:dyDescent="0.25"/>
    <row r="35569" s="42" customFormat="1" x14ac:dyDescent="0.25"/>
    <row r="35570" s="42" customFormat="1" x14ac:dyDescent="0.25"/>
    <row r="35571" s="42" customFormat="1" x14ac:dyDescent="0.25"/>
    <row r="35572" s="42" customFormat="1" x14ac:dyDescent="0.25"/>
    <row r="35573" s="42" customFormat="1" x14ac:dyDescent="0.25"/>
    <row r="35574" s="42" customFormat="1" x14ac:dyDescent="0.25"/>
    <row r="35575" s="42" customFormat="1" x14ac:dyDescent="0.25"/>
    <row r="35576" s="42" customFormat="1" x14ac:dyDescent="0.25"/>
    <row r="35577" s="42" customFormat="1" x14ac:dyDescent="0.25"/>
    <row r="35578" s="42" customFormat="1" x14ac:dyDescent="0.25"/>
    <row r="35579" s="42" customFormat="1" x14ac:dyDescent="0.25"/>
    <row r="35580" s="42" customFormat="1" x14ac:dyDescent="0.25"/>
    <row r="35581" s="42" customFormat="1" x14ac:dyDescent="0.25"/>
    <row r="35582" s="42" customFormat="1" x14ac:dyDescent="0.25"/>
    <row r="35583" s="42" customFormat="1" x14ac:dyDescent="0.25"/>
    <row r="35584" s="42" customFormat="1" x14ac:dyDescent="0.25"/>
    <row r="35585" s="42" customFormat="1" x14ac:dyDescent="0.25"/>
    <row r="35586" s="42" customFormat="1" x14ac:dyDescent="0.25"/>
    <row r="35587" s="42" customFormat="1" x14ac:dyDescent="0.25"/>
    <row r="35588" s="42" customFormat="1" x14ac:dyDescent="0.25"/>
    <row r="35589" s="42" customFormat="1" x14ac:dyDescent="0.25"/>
    <row r="35590" s="42" customFormat="1" x14ac:dyDescent="0.25"/>
    <row r="35591" s="42" customFormat="1" x14ac:dyDescent="0.25"/>
    <row r="35592" s="42" customFormat="1" x14ac:dyDescent="0.25"/>
    <row r="35593" s="42" customFormat="1" x14ac:dyDescent="0.25"/>
    <row r="35594" s="42" customFormat="1" x14ac:dyDescent="0.25"/>
    <row r="35595" s="42" customFormat="1" x14ac:dyDescent="0.25"/>
    <row r="35596" s="42" customFormat="1" x14ac:dyDescent="0.25"/>
    <row r="35597" s="42" customFormat="1" x14ac:dyDescent="0.25"/>
    <row r="35598" s="42" customFormat="1" x14ac:dyDescent="0.25"/>
    <row r="35599" s="42" customFormat="1" x14ac:dyDescent="0.25"/>
    <row r="35600" s="42" customFormat="1" x14ac:dyDescent="0.25"/>
    <row r="35601" s="42" customFormat="1" x14ac:dyDescent="0.25"/>
    <row r="35602" s="42" customFormat="1" x14ac:dyDescent="0.25"/>
    <row r="35603" s="42" customFormat="1" x14ac:dyDescent="0.25"/>
    <row r="35604" s="42" customFormat="1" x14ac:dyDescent="0.25"/>
    <row r="35605" s="42" customFormat="1" x14ac:dyDescent="0.25"/>
    <row r="35606" s="42" customFormat="1" x14ac:dyDescent="0.25"/>
    <row r="35607" s="42" customFormat="1" x14ac:dyDescent="0.25"/>
    <row r="35608" s="42" customFormat="1" x14ac:dyDescent="0.25"/>
    <row r="35609" s="42" customFormat="1" x14ac:dyDescent="0.25"/>
    <row r="35610" s="42" customFormat="1" x14ac:dyDescent="0.25"/>
    <row r="35611" s="42" customFormat="1" x14ac:dyDescent="0.25"/>
    <row r="35612" s="42" customFormat="1" x14ac:dyDescent="0.25"/>
    <row r="35613" s="42" customFormat="1" x14ac:dyDescent="0.25"/>
    <row r="35614" s="42" customFormat="1" x14ac:dyDescent="0.25"/>
    <row r="35615" s="42" customFormat="1" x14ac:dyDescent="0.25"/>
    <row r="35616" s="42" customFormat="1" x14ac:dyDescent="0.25"/>
    <row r="35617" s="42" customFormat="1" x14ac:dyDescent="0.25"/>
    <row r="35618" s="42" customFormat="1" x14ac:dyDescent="0.25"/>
    <row r="35619" s="42" customFormat="1" x14ac:dyDescent="0.25"/>
    <row r="35620" s="42" customFormat="1" x14ac:dyDescent="0.25"/>
    <row r="35621" s="42" customFormat="1" x14ac:dyDescent="0.25"/>
    <row r="35622" s="42" customFormat="1" x14ac:dyDescent="0.25"/>
    <row r="35623" s="42" customFormat="1" x14ac:dyDescent="0.25"/>
    <row r="35624" s="42" customFormat="1" x14ac:dyDescent="0.25"/>
    <row r="35625" s="42" customFormat="1" x14ac:dyDescent="0.25"/>
    <row r="35626" s="42" customFormat="1" x14ac:dyDescent="0.25"/>
    <row r="35627" s="42" customFormat="1" x14ac:dyDescent="0.25"/>
    <row r="35628" s="42" customFormat="1" x14ac:dyDescent="0.25"/>
    <row r="35629" s="42" customFormat="1" x14ac:dyDescent="0.25"/>
    <row r="35630" s="42" customFormat="1" x14ac:dyDescent="0.25"/>
    <row r="35631" s="42" customFormat="1" x14ac:dyDescent="0.25"/>
    <row r="35632" s="42" customFormat="1" x14ac:dyDescent="0.25"/>
    <row r="35633" s="42" customFormat="1" x14ac:dyDescent="0.25"/>
    <row r="35634" s="42" customFormat="1" x14ac:dyDescent="0.25"/>
    <row r="35635" s="42" customFormat="1" x14ac:dyDescent="0.25"/>
    <row r="35636" s="42" customFormat="1" x14ac:dyDescent="0.25"/>
    <row r="35637" s="42" customFormat="1" x14ac:dyDescent="0.25"/>
    <row r="35638" s="42" customFormat="1" x14ac:dyDescent="0.25"/>
    <row r="35639" s="42" customFormat="1" x14ac:dyDescent="0.25"/>
    <row r="35640" s="42" customFormat="1" x14ac:dyDescent="0.25"/>
    <row r="35641" s="42" customFormat="1" x14ac:dyDescent="0.25"/>
    <row r="35642" s="42" customFormat="1" x14ac:dyDescent="0.25"/>
    <row r="35643" s="42" customFormat="1" x14ac:dyDescent="0.25"/>
    <row r="35644" s="42" customFormat="1" x14ac:dyDescent="0.25"/>
    <row r="35645" s="42" customFormat="1" x14ac:dyDescent="0.25"/>
    <row r="35646" s="42" customFormat="1" x14ac:dyDescent="0.25"/>
    <row r="35647" s="42" customFormat="1" x14ac:dyDescent="0.25"/>
    <row r="35648" s="42" customFormat="1" x14ac:dyDescent="0.25"/>
    <row r="35649" s="42" customFormat="1" x14ac:dyDescent="0.25"/>
    <row r="35650" s="42" customFormat="1" x14ac:dyDescent="0.25"/>
    <row r="35651" s="42" customFormat="1" x14ac:dyDescent="0.25"/>
    <row r="35652" s="42" customFormat="1" x14ac:dyDescent="0.25"/>
    <row r="35653" s="42" customFormat="1" x14ac:dyDescent="0.25"/>
    <row r="35654" s="42" customFormat="1" x14ac:dyDescent="0.25"/>
    <row r="35655" s="42" customFormat="1" x14ac:dyDescent="0.25"/>
    <row r="35656" s="42" customFormat="1" x14ac:dyDescent="0.25"/>
    <row r="35657" s="42" customFormat="1" x14ac:dyDescent="0.25"/>
    <row r="35658" s="42" customFormat="1" x14ac:dyDescent="0.25"/>
    <row r="35659" s="42" customFormat="1" x14ac:dyDescent="0.25"/>
    <row r="35660" s="42" customFormat="1" x14ac:dyDescent="0.25"/>
    <row r="35661" s="42" customFormat="1" x14ac:dyDescent="0.25"/>
    <row r="35662" s="42" customFormat="1" x14ac:dyDescent="0.25"/>
    <row r="35663" s="42" customFormat="1" x14ac:dyDescent="0.25"/>
    <row r="35664" s="42" customFormat="1" x14ac:dyDescent="0.25"/>
    <row r="35665" s="42" customFormat="1" x14ac:dyDescent="0.25"/>
    <row r="35666" s="42" customFormat="1" x14ac:dyDescent="0.25"/>
    <row r="35667" s="42" customFormat="1" x14ac:dyDescent="0.25"/>
    <row r="35668" s="42" customFormat="1" x14ac:dyDescent="0.25"/>
    <row r="35669" s="42" customFormat="1" x14ac:dyDescent="0.25"/>
    <row r="35670" s="42" customFormat="1" x14ac:dyDescent="0.25"/>
    <row r="35671" s="42" customFormat="1" x14ac:dyDescent="0.25"/>
    <row r="35672" s="42" customFormat="1" x14ac:dyDescent="0.25"/>
    <row r="35673" s="42" customFormat="1" x14ac:dyDescent="0.25"/>
    <row r="35674" s="42" customFormat="1" x14ac:dyDescent="0.25"/>
    <row r="35675" s="42" customFormat="1" x14ac:dyDescent="0.25"/>
    <row r="35676" s="42" customFormat="1" x14ac:dyDescent="0.25"/>
    <row r="35677" s="42" customFormat="1" x14ac:dyDescent="0.25"/>
    <row r="35678" s="42" customFormat="1" x14ac:dyDescent="0.25"/>
    <row r="35679" s="42" customFormat="1" x14ac:dyDescent="0.25"/>
    <row r="35680" s="42" customFormat="1" x14ac:dyDescent="0.25"/>
    <row r="35681" s="42" customFormat="1" x14ac:dyDescent="0.25"/>
    <row r="35682" s="42" customFormat="1" x14ac:dyDescent="0.25"/>
    <row r="35683" s="42" customFormat="1" x14ac:dyDescent="0.25"/>
    <row r="35684" s="42" customFormat="1" x14ac:dyDescent="0.25"/>
    <row r="35685" s="42" customFormat="1" x14ac:dyDescent="0.25"/>
    <row r="35686" s="42" customFormat="1" x14ac:dyDescent="0.25"/>
    <row r="35687" s="42" customFormat="1" x14ac:dyDescent="0.25"/>
    <row r="35688" s="42" customFormat="1" x14ac:dyDescent="0.25"/>
    <row r="35689" s="42" customFormat="1" x14ac:dyDescent="0.25"/>
    <row r="35690" s="42" customFormat="1" x14ac:dyDescent="0.25"/>
    <row r="35691" s="42" customFormat="1" x14ac:dyDescent="0.25"/>
    <row r="35692" s="42" customFormat="1" x14ac:dyDescent="0.25"/>
    <row r="35693" s="42" customFormat="1" x14ac:dyDescent="0.25"/>
    <row r="35694" s="42" customFormat="1" x14ac:dyDescent="0.25"/>
    <row r="35695" s="42" customFormat="1" x14ac:dyDescent="0.25"/>
    <row r="35696" s="42" customFormat="1" x14ac:dyDescent="0.25"/>
    <row r="35697" s="42" customFormat="1" x14ac:dyDescent="0.25"/>
    <row r="35698" s="42" customFormat="1" x14ac:dyDescent="0.25"/>
    <row r="35699" s="42" customFormat="1" x14ac:dyDescent="0.25"/>
    <row r="35700" s="42" customFormat="1" x14ac:dyDescent="0.25"/>
    <row r="35701" s="42" customFormat="1" x14ac:dyDescent="0.25"/>
    <row r="35702" s="42" customFormat="1" x14ac:dyDescent="0.25"/>
    <row r="35703" s="42" customFormat="1" x14ac:dyDescent="0.25"/>
    <row r="35704" s="42" customFormat="1" x14ac:dyDescent="0.25"/>
    <row r="35705" s="42" customFormat="1" x14ac:dyDescent="0.25"/>
    <row r="35706" s="42" customFormat="1" x14ac:dyDescent="0.25"/>
    <row r="35707" s="42" customFormat="1" x14ac:dyDescent="0.25"/>
    <row r="35708" s="42" customFormat="1" x14ac:dyDescent="0.25"/>
    <row r="35709" s="42" customFormat="1" x14ac:dyDescent="0.25"/>
    <row r="35710" s="42" customFormat="1" x14ac:dyDescent="0.25"/>
    <row r="35711" s="42" customFormat="1" x14ac:dyDescent="0.25"/>
    <row r="35712" s="42" customFormat="1" x14ac:dyDescent="0.25"/>
    <row r="35713" s="42" customFormat="1" x14ac:dyDescent="0.25"/>
    <row r="35714" s="42" customFormat="1" x14ac:dyDescent="0.25"/>
    <row r="35715" s="42" customFormat="1" x14ac:dyDescent="0.25"/>
    <row r="35716" s="42" customFormat="1" x14ac:dyDescent="0.25"/>
    <row r="35717" s="42" customFormat="1" x14ac:dyDescent="0.25"/>
    <row r="35718" s="42" customFormat="1" x14ac:dyDescent="0.25"/>
    <row r="35719" s="42" customFormat="1" x14ac:dyDescent="0.25"/>
    <row r="35720" s="42" customFormat="1" x14ac:dyDescent="0.25"/>
    <row r="35721" s="42" customFormat="1" x14ac:dyDescent="0.25"/>
    <row r="35722" s="42" customFormat="1" x14ac:dyDescent="0.25"/>
    <row r="35723" s="42" customFormat="1" x14ac:dyDescent="0.25"/>
    <row r="35724" s="42" customFormat="1" x14ac:dyDescent="0.25"/>
    <row r="35725" s="42" customFormat="1" x14ac:dyDescent="0.25"/>
    <row r="35726" s="42" customFormat="1" x14ac:dyDescent="0.25"/>
    <row r="35727" s="42" customFormat="1" x14ac:dyDescent="0.25"/>
    <row r="35728" s="42" customFormat="1" x14ac:dyDescent="0.25"/>
    <row r="35729" s="42" customFormat="1" x14ac:dyDescent="0.25"/>
    <row r="35730" s="42" customFormat="1" x14ac:dyDescent="0.25"/>
    <row r="35731" s="42" customFormat="1" x14ac:dyDescent="0.25"/>
    <row r="35732" s="42" customFormat="1" x14ac:dyDescent="0.25"/>
    <row r="35733" s="42" customFormat="1" x14ac:dyDescent="0.25"/>
    <row r="35734" s="42" customFormat="1" x14ac:dyDescent="0.25"/>
    <row r="35735" s="42" customFormat="1" x14ac:dyDescent="0.25"/>
    <row r="35736" s="42" customFormat="1" x14ac:dyDescent="0.25"/>
    <row r="35737" s="42" customFormat="1" x14ac:dyDescent="0.25"/>
    <row r="35738" s="42" customFormat="1" x14ac:dyDescent="0.25"/>
    <row r="35739" s="42" customFormat="1" x14ac:dyDescent="0.25"/>
    <row r="35740" s="42" customFormat="1" x14ac:dyDescent="0.25"/>
    <row r="35741" s="42" customFormat="1" x14ac:dyDescent="0.25"/>
    <row r="35742" s="42" customFormat="1" x14ac:dyDescent="0.25"/>
    <row r="35743" s="42" customFormat="1" x14ac:dyDescent="0.25"/>
    <row r="35744" s="42" customFormat="1" x14ac:dyDescent="0.25"/>
    <row r="35745" s="42" customFormat="1" x14ac:dyDescent="0.25"/>
    <row r="35746" s="42" customFormat="1" x14ac:dyDescent="0.25"/>
    <row r="35747" s="42" customFormat="1" x14ac:dyDescent="0.25"/>
    <row r="35748" s="42" customFormat="1" x14ac:dyDescent="0.25"/>
    <row r="35749" s="42" customFormat="1" x14ac:dyDescent="0.25"/>
    <row r="35750" s="42" customFormat="1" x14ac:dyDescent="0.25"/>
    <row r="35751" s="42" customFormat="1" x14ac:dyDescent="0.25"/>
    <row r="35752" s="42" customFormat="1" x14ac:dyDescent="0.25"/>
    <row r="35753" s="42" customFormat="1" x14ac:dyDescent="0.25"/>
    <row r="35754" s="42" customFormat="1" x14ac:dyDescent="0.25"/>
    <row r="35755" s="42" customFormat="1" x14ac:dyDescent="0.25"/>
    <row r="35756" s="42" customFormat="1" x14ac:dyDescent="0.25"/>
    <row r="35757" s="42" customFormat="1" x14ac:dyDescent="0.25"/>
    <row r="35758" s="42" customFormat="1" x14ac:dyDescent="0.25"/>
    <row r="35759" s="42" customFormat="1" x14ac:dyDescent="0.25"/>
    <row r="35760" s="42" customFormat="1" x14ac:dyDescent="0.25"/>
    <row r="35761" s="42" customFormat="1" x14ac:dyDescent="0.25"/>
    <row r="35762" s="42" customFormat="1" x14ac:dyDescent="0.25"/>
    <row r="35763" s="42" customFormat="1" x14ac:dyDescent="0.25"/>
    <row r="35764" s="42" customFormat="1" x14ac:dyDescent="0.25"/>
    <row r="35765" s="42" customFormat="1" x14ac:dyDescent="0.25"/>
    <row r="35766" s="42" customFormat="1" x14ac:dyDescent="0.25"/>
    <row r="35767" s="42" customFormat="1" x14ac:dyDescent="0.25"/>
    <row r="35768" s="42" customFormat="1" x14ac:dyDescent="0.25"/>
    <row r="35769" s="42" customFormat="1" x14ac:dyDescent="0.25"/>
    <row r="35770" s="42" customFormat="1" x14ac:dyDescent="0.25"/>
    <row r="35771" s="42" customFormat="1" x14ac:dyDescent="0.25"/>
    <row r="35772" s="42" customFormat="1" x14ac:dyDescent="0.25"/>
    <row r="35773" s="42" customFormat="1" x14ac:dyDescent="0.25"/>
    <row r="35774" s="42" customFormat="1" x14ac:dyDescent="0.25"/>
    <row r="35775" s="42" customFormat="1" x14ac:dyDescent="0.25"/>
    <row r="35776" s="42" customFormat="1" x14ac:dyDescent="0.25"/>
    <row r="35777" s="42" customFormat="1" x14ac:dyDescent="0.25"/>
    <row r="35778" s="42" customFormat="1" x14ac:dyDescent="0.25"/>
    <row r="35779" s="42" customFormat="1" x14ac:dyDescent="0.25"/>
    <row r="35780" s="42" customFormat="1" x14ac:dyDescent="0.25"/>
    <row r="35781" s="42" customFormat="1" x14ac:dyDescent="0.25"/>
    <row r="35782" s="42" customFormat="1" x14ac:dyDescent="0.25"/>
    <row r="35783" s="42" customFormat="1" x14ac:dyDescent="0.25"/>
    <row r="35784" s="42" customFormat="1" x14ac:dyDescent="0.25"/>
    <row r="35785" s="42" customFormat="1" x14ac:dyDescent="0.25"/>
    <row r="35786" s="42" customFormat="1" x14ac:dyDescent="0.25"/>
    <row r="35787" s="42" customFormat="1" x14ac:dyDescent="0.25"/>
    <row r="35788" s="42" customFormat="1" x14ac:dyDescent="0.25"/>
    <row r="35789" s="42" customFormat="1" x14ac:dyDescent="0.25"/>
    <row r="35790" s="42" customFormat="1" x14ac:dyDescent="0.25"/>
    <row r="35791" s="42" customFormat="1" x14ac:dyDescent="0.25"/>
    <row r="35792" s="42" customFormat="1" x14ac:dyDescent="0.25"/>
    <row r="35793" s="42" customFormat="1" x14ac:dyDescent="0.25"/>
    <row r="35794" s="42" customFormat="1" x14ac:dyDescent="0.25"/>
    <row r="35795" s="42" customFormat="1" x14ac:dyDescent="0.25"/>
    <row r="35796" s="42" customFormat="1" x14ac:dyDescent="0.25"/>
    <row r="35797" s="42" customFormat="1" x14ac:dyDescent="0.25"/>
    <row r="35798" s="42" customFormat="1" x14ac:dyDescent="0.25"/>
    <row r="35799" s="42" customFormat="1" x14ac:dyDescent="0.25"/>
    <row r="35800" s="42" customFormat="1" x14ac:dyDescent="0.25"/>
    <row r="35801" s="42" customFormat="1" x14ac:dyDescent="0.25"/>
    <row r="35802" s="42" customFormat="1" x14ac:dyDescent="0.25"/>
    <row r="35803" s="42" customFormat="1" x14ac:dyDescent="0.25"/>
    <row r="35804" s="42" customFormat="1" x14ac:dyDescent="0.25"/>
    <row r="35805" s="42" customFormat="1" x14ac:dyDescent="0.25"/>
    <row r="35806" s="42" customFormat="1" x14ac:dyDescent="0.25"/>
    <row r="35807" s="42" customFormat="1" x14ac:dyDescent="0.25"/>
    <row r="35808" s="42" customFormat="1" x14ac:dyDescent="0.25"/>
    <row r="35809" s="42" customFormat="1" x14ac:dyDescent="0.25"/>
    <row r="35810" s="42" customFormat="1" x14ac:dyDescent="0.25"/>
    <row r="35811" s="42" customFormat="1" x14ac:dyDescent="0.25"/>
    <row r="35812" s="42" customFormat="1" x14ac:dyDescent="0.25"/>
    <row r="35813" s="42" customFormat="1" x14ac:dyDescent="0.25"/>
    <row r="35814" s="42" customFormat="1" x14ac:dyDescent="0.25"/>
    <row r="35815" s="42" customFormat="1" x14ac:dyDescent="0.25"/>
    <row r="35816" s="42" customFormat="1" x14ac:dyDescent="0.25"/>
    <row r="35817" s="42" customFormat="1" x14ac:dyDescent="0.25"/>
    <row r="35818" s="42" customFormat="1" x14ac:dyDescent="0.25"/>
    <row r="35819" s="42" customFormat="1" x14ac:dyDescent="0.25"/>
    <row r="35820" s="42" customFormat="1" x14ac:dyDescent="0.25"/>
    <row r="35821" s="42" customFormat="1" x14ac:dyDescent="0.25"/>
    <row r="35822" s="42" customFormat="1" x14ac:dyDescent="0.25"/>
    <row r="35823" s="42" customFormat="1" x14ac:dyDescent="0.25"/>
    <row r="35824" s="42" customFormat="1" x14ac:dyDescent="0.25"/>
    <row r="35825" s="42" customFormat="1" x14ac:dyDescent="0.25"/>
    <row r="35826" s="42" customFormat="1" x14ac:dyDescent="0.25"/>
    <row r="35827" s="42" customFormat="1" x14ac:dyDescent="0.25"/>
    <row r="35828" s="42" customFormat="1" x14ac:dyDescent="0.25"/>
    <row r="35829" s="42" customFormat="1" x14ac:dyDescent="0.25"/>
    <row r="35830" s="42" customFormat="1" x14ac:dyDescent="0.25"/>
    <row r="35831" s="42" customFormat="1" x14ac:dyDescent="0.25"/>
    <row r="35832" s="42" customFormat="1" x14ac:dyDescent="0.25"/>
    <row r="35833" s="42" customFormat="1" x14ac:dyDescent="0.25"/>
    <row r="35834" s="42" customFormat="1" x14ac:dyDescent="0.25"/>
    <row r="35835" s="42" customFormat="1" x14ac:dyDescent="0.25"/>
    <row r="35836" s="42" customFormat="1" x14ac:dyDescent="0.25"/>
    <row r="35837" s="42" customFormat="1" x14ac:dyDescent="0.25"/>
    <row r="35838" s="42" customFormat="1" x14ac:dyDescent="0.25"/>
    <row r="35839" s="42" customFormat="1" x14ac:dyDescent="0.25"/>
    <row r="35840" s="42" customFormat="1" x14ac:dyDescent="0.25"/>
    <row r="35841" s="42" customFormat="1" x14ac:dyDescent="0.25"/>
    <row r="35842" s="42" customFormat="1" x14ac:dyDescent="0.25"/>
    <row r="35843" s="42" customFormat="1" x14ac:dyDescent="0.25"/>
    <row r="35844" s="42" customFormat="1" x14ac:dyDescent="0.25"/>
    <row r="35845" s="42" customFormat="1" x14ac:dyDescent="0.25"/>
    <row r="35846" s="42" customFormat="1" x14ac:dyDescent="0.25"/>
    <row r="35847" s="42" customFormat="1" x14ac:dyDescent="0.25"/>
    <row r="35848" s="42" customFormat="1" x14ac:dyDescent="0.25"/>
    <row r="35849" s="42" customFormat="1" x14ac:dyDescent="0.25"/>
    <row r="35850" s="42" customFormat="1" x14ac:dyDescent="0.25"/>
    <row r="35851" s="42" customFormat="1" x14ac:dyDescent="0.25"/>
    <row r="35852" s="42" customFormat="1" x14ac:dyDescent="0.25"/>
    <row r="35853" s="42" customFormat="1" x14ac:dyDescent="0.25"/>
    <row r="35854" s="42" customFormat="1" x14ac:dyDescent="0.25"/>
    <row r="35855" s="42" customFormat="1" x14ac:dyDescent="0.25"/>
    <row r="35856" s="42" customFormat="1" x14ac:dyDescent="0.25"/>
    <row r="35857" s="42" customFormat="1" x14ac:dyDescent="0.25"/>
    <row r="35858" s="42" customFormat="1" x14ac:dyDescent="0.25"/>
    <row r="35859" s="42" customFormat="1" x14ac:dyDescent="0.25"/>
    <row r="35860" s="42" customFormat="1" x14ac:dyDescent="0.25"/>
    <row r="35861" s="42" customFormat="1" x14ac:dyDescent="0.25"/>
    <row r="35862" s="42" customFormat="1" x14ac:dyDescent="0.25"/>
    <row r="35863" s="42" customFormat="1" x14ac:dyDescent="0.25"/>
    <row r="35864" s="42" customFormat="1" x14ac:dyDescent="0.25"/>
    <row r="35865" s="42" customFormat="1" x14ac:dyDescent="0.25"/>
    <row r="35866" s="42" customFormat="1" x14ac:dyDescent="0.25"/>
    <row r="35867" s="42" customFormat="1" x14ac:dyDescent="0.25"/>
    <row r="35868" s="42" customFormat="1" x14ac:dyDescent="0.25"/>
    <row r="35869" s="42" customFormat="1" x14ac:dyDescent="0.25"/>
    <row r="35870" s="42" customFormat="1" x14ac:dyDescent="0.25"/>
    <row r="35871" s="42" customFormat="1" x14ac:dyDescent="0.25"/>
    <row r="35872" s="42" customFormat="1" x14ac:dyDescent="0.25"/>
    <row r="35873" s="42" customFormat="1" x14ac:dyDescent="0.25"/>
    <row r="35874" s="42" customFormat="1" x14ac:dyDescent="0.25"/>
    <row r="35875" s="42" customFormat="1" x14ac:dyDescent="0.25"/>
    <row r="35876" s="42" customFormat="1" x14ac:dyDescent="0.25"/>
    <row r="35877" s="42" customFormat="1" x14ac:dyDescent="0.25"/>
    <row r="35878" s="42" customFormat="1" x14ac:dyDescent="0.25"/>
    <row r="35879" s="42" customFormat="1" x14ac:dyDescent="0.25"/>
    <row r="35880" s="42" customFormat="1" x14ac:dyDescent="0.25"/>
    <row r="35881" s="42" customFormat="1" x14ac:dyDescent="0.25"/>
    <row r="35882" s="42" customFormat="1" x14ac:dyDescent="0.25"/>
    <row r="35883" s="42" customFormat="1" x14ac:dyDescent="0.25"/>
    <row r="35884" s="42" customFormat="1" x14ac:dyDescent="0.25"/>
    <row r="35885" s="42" customFormat="1" x14ac:dyDescent="0.25"/>
    <row r="35886" s="42" customFormat="1" x14ac:dyDescent="0.25"/>
    <row r="35887" s="42" customFormat="1" x14ac:dyDescent="0.25"/>
    <row r="35888" s="42" customFormat="1" x14ac:dyDescent="0.25"/>
    <row r="35889" s="42" customFormat="1" x14ac:dyDescent="0.25"/>
    <row r="35890" s="42" customFormat="1" x14ac:dyDescent="0.25"/>
    <row r="35891" s="42" customFormat="1" x14ac:dyDescent="0.25"/>
    <row r="35892" s="42" customFormat="1" x14ac:dyDescent="0.25"/>
    <row r="35893" s="42" customFormat="1" x14ac:dyDescent="0.25"/>
    <row r="35894" s="42" customFormat="1" x14ac:dyDescent="0.25"/>
    <row r="35895" s="42" customFormat="1" x14ac:dyDescent="0.25"/>
    <row r="35896" s="42" customFormat="1" x14ac:dyDescent="0.25"/>
    <row r="35897" s="42" customFormat="1" x14ac:dyDescent="0.25"/>
    <row r="35898" s="42" customFormat="1" x14ac:dyDescent="0.25"/>
    <row r="35899" s="42" customFormat="1" x14ac:dyDescent="0.25"/>
    <row r="35900" s="42" customFormat="1" x14ac:dyDescent="0.25"/>
    <row r="35901" s="42" customFormat="1" x14ac:dyDescent="0.25"/>
    <row r="35902" s="42" customFormat="1" x14ac:dyDescent="0.25"/>
    <row r="35903" s="42" customFormat="1" x14ac:dyDescent="0.25"/>
    <row r="35904" s="42" customFormat="1" x14ac:dyDescent="0.25"/>
    <row r="35905" s="42" customFormat="1" x14ac:dyDescent="0.25"/>
    <row r="35906" s="42" customFormat="1" x14ac:dyDescent="0.25"/>
    <row r="35907" s="42" customFormat="1" x14ac:dyDescent="0.25"/>
    <row r="35908" s="42" customFormat="1" x14ac:dyDescent="0.25"/>
    <row r="35909" s="42" customFormat="1" x14ac:dyDescent="0.25"/>
    <row r="35910" s="42" customFormat="1" x14ac:dyDescent="0.25"/>
    <row r="35911" s="42" customFormat="1" x14ac:dyDescent="0.25"/>
    <row r="35912" s="42" customFormat="1" x14ac:dyDescent="0.25"/>
    <row r="35913" s="42" customFormat="1" x14ac:dyDescent="0.25"/>
    <row r="35914" s="42" customFormat="1" x14ac:dyDescent="0.25"/>
    <row r="35915" s="42" customFormat="1" x14ac:dyDescent="0.25"/>
    <row r="35916" s="42" customFormat="1" x14ac:dyDescent="0.25"/>
    <row r="35917" s="42" customFormat="1" x14ac:dyDescent="0.25"/>
    <row r="35918" s="42" customFormat="1" x14ac:dyDescent="0.25"/>
    <row r="35919" s="42" customFormat="1" x14ac:dyDescent="0.25"/>
    <row r="35920" s="42" customFormat="1" x14ac:dyDescent="0.25"/>
    <row r="35921" s="42" customFormat="1" x14ac:dyDescent="0.25"/>
    <row r="35922" s="42" customFormat="1" x14ac:dyDescent="0.25"/>
    <row r="35923" s="42" customFormat="1" x14ac:dyDescent="0.25"/>
    <row r="35924" s="42" customFormat="1" x14ac:dyDescent="0.25"/>
    <row r="35925" s="42" customFormat="1" x14ac:dyDescent="0.25"/>
    <row r="35926" s="42" customFormat="1" x14ac:dyDescent="0.25"/>
    <row r="35927" s="42" customFormat="1" x14ac:dyDescent="0.25"/>
    <row r="35928" s="42" customFormat="1" x14ac:dyDescent="0.25"/>
    <row r="35929" s="42" customFormat="1" x14ac:dyDescent="0.25"/>
    <row r="35930" s="42" customFormat="1" x14ac:dyDescent="0.25"/>
    <row r="35931" s="42" customFormat="1" x14ac:dyDescent="0.25"/>
    <row r="35932" s="42" customFormat="1" x14ac:dyDescent="0.25"/>
    <row r="35933" s="42" customFormat="1" x14ac:dyDescent="0.25"/>
    <row r="35934" s="42" customFormat="1" x14ac:dyDescent="0.25"/>
    <row r="35935" s="42" customFormat="1" x14ac:dyDescent="0.25"/>
    <row r="35936" s="42" customFormat="1" x14ac:dyDescent="0.25"/>
    <row r="35937" s="42" customFormat="1" x14ac:dyDescent="0.25"/>
    <row r="35938" s="42" customFormat="1" x14ac:dyDescent="0.25"/>
    <row r="35939" s="42" customFormat="1" x14ac:dyDescent="0.25"/>
    <row r="35940" s="42" customFormat="1" x14ac:dyDescent="0.25"/>
    <row r="35941" s="42" customFormat="1" x14ac:dyDescent="0.25"/>
    <row r="35942" s="42" customFormat="1" x14ac:dyDescent="0.25"/>
    <row r="35943" s="42" customFormat="1" x14ac:dyDescent="0.25"/>
    <row r="35944" s="42" customFormat="1" x14ac:dyDescent="0.25"/>
    <row r="35945" s="42" customFormat="1" x14ac:dyDescent="0.25"/>
    <row r="35946" s="42" customFormat="1" x14ac:dyDescent="0.25"/>
    <row r="35947" s="42" customFormat="1" x14ac:dyDescent="0.25"/>
    <row r="35948" s="42" customFormat="1" x14ac:dyDescent="0.25"/>
    <row r="35949" s="42" customFormat="1" x14ac:dyDescent="0.25"/>
    <row r="35950" s="42" customFormat="1" x14ac:dyDescent="0.25"/>
    <row r="35951" s="42" customFormat="1" x14ac:dyDescent="0.25"/>
    <row r="35952" s="42" customFormat="1" x14ac:dyDescent="0.25"/>
    <row r="35953" s="42" customFormat="1" x14ac:dyDescent="0.25"/>
    <row r="35954" s="42" customFormat="1" x14ac:dyDescent="0.25"/>
    <row r="35955" s="42" customFormat="1" x14ac:dyDescent="0.25"/>
    <row r="35956" s="42" customFormat="1" x14ac:dyDescent="0.25"/>
    <row r="35957" s="42" customFormat="1" x14ac:dyDescent="0.25"/>
    <row r="35958" s="42" customFormat="1" x14ac:dyDescent="0.25"/>
    <row r="35959" s="42" customFormat="1" x14ac:dyDescent="0.25"/>
    <row r="35960" s="42" customFormat="1" x14ac:dyDescent="0.25"/>
    <row r="35961" s="42" customFormat="1" x14ac:dyDescent="0.25"/>
    <row r="35962" s="42" customFormat="1" x14ac:dyDescent="0.25"/>
    <row r="35963" s="42" customFormat="1" x14ac:dyDescent="0.25"/>
    <row r="35964" s="42" customFormat="1" x14ac:dyDescent="0.25"/>
    <row r="35965" s="42" customFormat="1" x14ac:dyDescent="0.25"/>
    <row r="35966" s="42" customFormat="1" x14ac:dyDescent="0.25"/>
    <row r="35967" s="42" customFormat="1" x14ac:dyDescent="0.25"/>
    <row r="35968" s="42" customFormat="1" x14ac:dyDescent="0.25"/>
    <row r="35969" s="42" customFormat="1" x14ac:dyDescent="0.25"/>
    <row r="35970" s="42" customFormat="1" x14ac:dyDescent="0.25"/>
    <row r="35971" s="42" customFormat="1" x14ac:dyDescent="0.25"/>
    <row r="35972" s="42" customFormat="1" x14ac:dyDescent="0.25"/>
    <row r="35973" s="42" customFormat="1" x14ac:dyDescent="0.25"/>
    <row r="35974" s="42" customFormat="1" x14ac:dyDescent="0.25"/>
    <row r="35975" s="42" customFormat="1" x14ac:dyDescent="0.25"/>
    <row r="35976" s="42" customFormat="1" x14ac:dyDescent="0.25"/>
    <row r="35977" s="42" customFormat="1" x14ac:dyDescent="0.25"/>
    <row r="35978" s="42" customFormat="1" x14ac:dyDescent="0.25"/>
    <row r="35979" s="42" customFormat="1" x14ac:dyDescent="0.25"/>
    <row r="35980" s="42" customFormat="1" x14ac:dyDescent="0.25"/>
    <row r="35981" s="42" customFormat="1" x14ac:dyDescent="0.25"/>
    <row r="35982" s="42" customFormat="1" x14ac:dyDescent="0.25"/>
    <row r="35983" s="42" customFormat="1" x14ac:dyDescent="0.25"/>
    <row r="35984" s="42" customFormat="1" x14ac:dyDescent="0.25"/>
    <row r="35985" s="42" customFormat="1" x14ac:dyDescent="0.25"/>
    <row r="35986" s="42" customFormat="1" x14ac:dyDescent="0.25"/>
    <row r="35987" s="42" customFormat="1" x14ac:dyDescent="0.25"/>
    <row r="35988" s="42" customFormat="1" x14ac:dyDescent="0.25"/>
    <row r="35989" s="42" customFormat="1" x14ac:dyDescent="0.25"/>
    <row r="35990" s="42" customFormat="1" x14ac:dyDescent="0.25"/>
    <row r="35991" s="42" customFormat="1" x14ac:dyDescent="0.25"/>
    <row r="35992" s="42" customFormat="1" x14ac:dyDescent="0.25"/>
    <row r="35993" s="42" customFormat="1" x14ac:dyDescent="0.25"/>
    <row r="35994" s="42" customFormat="1" x14ac:dyDescent="0.25"/>
    <row r="35995" s="42" customFormat="1" x14ac:dyDescent="0.25"/>
    <row r="35996" s="42" customFormat="1" x14ac:dyDescent="0.25"/>
    <row r="35997" s="42" customFormat="1" x14ac:dyDescent="0.25"/>
    <row r="35998" s="42" customFormat="1" x14ac:dyDescent="0.25"/>
    <row r="35999" s="42" customFormat="1" x14ac:dyDescent="0.25"/>
    <row r="36000" s="42" customFormat="1" x14ac:dyDescent="0.25"/>
    <row r="36001" s="42" customFormat="1" x14ac:dyDescent="0.25"/>
    <row r="36002" s="42" customFormat="1" x14ac:dyDescent="0.25"/>
    <row r="36003" s="42" customFormat="1" x14ac:dyDescent="0.25"/>
    <row r="36004" s="42" customFormat="1" x14ac:dyDescent="0.25"/>
    <row r="36005" s="42" customFormat="1" x14ac:dyDescent="0.25"/>
    <row r="36006" s="42" customFormat="1" x14ac:dyDescent="0.25"/>
    <row r="36007" s="42" customFormat="1" x14ac:dyDescent="0.25"/>
    <row r="36008" s="42" customFormat="1" x14ac:dyDescent="0.25"/>
    <row r="36009" s="42" customFormat="1" x14ac:dyDescent="0.25"/>
    <row r="36010" s="42" customFormat="1" x14ac:dyDescent="0.25"/>
    <row r="36011" s="42" customFormat="1" x14ac:dyDescent="0.25"/>
    <row r="36012" s="42" customFormat="1" x14ac:dyDescent="0.25"/>
    <row r="36013" s="42" customFormat="1" x14ac:dyDescent="0.25"/>
    <row r="36014" s="42" customFormat="1" x14ac:dyDescent="0.25"/>
    <row r="36015" s="42" customFormat="1" x14ac:dyDescent="0.25"/>
    <row r="36016" s="42" customFormat="1" x14ac:dyDescent="0.25"/>
    <row r="36017" s="42" customFormat="1" x14ac:dyDescent="0.25"/>
    <row r="36018" s="42" customFormat="1" x14ac:dyDescent="0.25"/>
    <row r="36019" s="42" customFormat="1" x14ac:dyDescent="0.25"/>
    <row r="36020" s="42" customFormat="1" x14ac:dyDescent="0.25"/>
    <row r="36021" s="42" customFormat="1" x14ac:dyDescent="0.25"/>
    <row r="36022" s="42" customFormat="1" x14ac:dyDescent="0.25"/>
    <row r="36023" s="42" customFormat="1" x14ac:dyDescent="0.25"/>
    <row r="36024" s="42" customFormat="1" x14ac:dyDescent="0.25"/>
    <row r="36025" s="42" customFormat="1" x14ac:dyDescent="0.25"/>
    <row r="36026" s="42" customFormat="1" x14ac:dyDescent="0.25"/>
    <row r="36027" s="42" customFormat="1" x14ac:dyDescent="0.25"/>
    <row r="36028" s="42" customFormat="1" x14ac:dyDescent="0.25"/>
    <row r="36029" s="42" customFormat="1" x14ac:dyDescent="0.25"/>
    <row r="36030" s="42" customFormat="1" x14ac:dyDescent="0.25"/>
    <row r="36031" s="42" customFormat="1" x14ac:dyDescent="0.25"/>
    <row r="36032" s="42" customFormat="1" x14ac:dyDescent="0.25"/>
    <row r="36033" s="42" customFormat="1" x14ac:dyDescent="0.25"/>
    <row r="36034" s="42" customFormat="1" x14ac:dyDescent="0.25"/>
    <row r="36035" s="42" customFormat="1" x14ac:dyDescent="0.25"/>
    <row r="36036" s="42" customFormat="1" x14ac:dyDescent="0.25"/>
    <row r="36037" s="42" customFormat="1" x14ac:dyDescent="0.25"/>
    <row r="36038" s="42" customFormat="1" x14ac:dyDescent="0.25"/>
    <row r="36039" s="42" customFormat="1" x14ac:dyDescent="0.25"/>
    <row r="36040" s="42" customFormat="1" x14ac:dyDescent="0.25"/>
    <row r="36041" s="42" customFormat="1" x14ac:dyDescent="0.25"/>
    <row r="36042" s="42" customFormat="1" x14ac:dyDescent="0.25"/>
    <row r="36043" s="42" customFormat="1" x14ac:dyDescent="0.25"/>
    <row r="36044" s="42" customFormat="1" x14ac:dyDescent="0.25"/>
    <row r="36045" s="42" customFormat="1" x14ac:dyDescent="0.25"/>
    <row r="36046" s="42" customFormat="1" x14ac:dyDescent="0.25"/>
    <row r="36047" s="42" customFormat="1" x14ac:dyDescent="0.25"/>
    <row r="36048" s="42" customFormat="1" x14ac:dyDescent="0.25"/>
    <row r="36049" s="42" customFormat="1" x14ac:dyDescent="0.25"/>
    <row r="36050" s="42" customFormat="1" x14ac:dyDescent="0.25"/>
    <row r="36051" s="42" customFormat="1" x14ac:dyDescent="0.25"/>
    <row r="36052" s="42" customFormat="1" x14ac:dyDescent="0.25"/>
    <row r="36053" s="42" customFormat="1" x14ac:dyDescent="0.25"/>
    <row r="36054" s="42" customFormat="1" x14ac:dyDescent="0.25"/>
    <row r="36055" s="42" customFormat="1" x14ac:dyDescent="0.25"/>
    <row r="36056" s="42" customFormat="1" x14ac:dyDescent="0.25"/>
    <row r="36057" s="42" customFormat="1" x14ac:dyDescent="0.25"/>
    <row r="36058" s="42" customFormat="1" x14ac:dyDescent="0.25"/>
    <row r="36059" s="42" customFormat="1" x14ac:dyDescent="0.25"/>
    <row r="36060" s="42" customFormat="1" x14ac:dyDescent="0.25"/>
    <row r="36061" s="42" customFormat="1" x14ac:dyDescent="0.25"/>
    <row r="36062" s="42" customFormat="1" x14ac:dyDescent="0.25"/>
    <row r="36063" s="42" customFormat="1" x14ac:dyDescent="0.25"/>
    <row r="36064" s="42" customFormat="1" x14ac:dyDescent="0.25"/>
    <row r="36065" s="42" customFormat="1" x14ac:dyDescent="0.25"/>
    <row r="36066" s="42" customFormat="1" x14ac:dyDescent="0.25"/>
    <row r="36067" s="42" customFormat="1" x14ac:dyDescent="0.25"/>
    <row r="36068" s="42" customFormat="1" x14ac:dyDescent="0.25"/>
    <row r="36069" s="42" customFormat="1" x14ac:dyDescent="0.25"/>
    <row r="36070" s="42" customFormat="1" x14ac:dyDescent="0.25"/>
    <row r="36071" s="42" customFormat="1" x14ac:dyDescent="0.25"/>
    <row r="36072" s="42" customFormat="1" x14ac:dyDescent="0.25"/>
    <row r="36073" s="42" customFormat="1" x14ac:dyDescent="0.25"/>
    <row r="36074" s="42" customFormat="1" x14ac:dyDescent="0.25"/>
    <row r="36075" s="42" customFormat="1" x14ac:dyDescent="0.25"/>
    <row r="36076" s="42" customFormat="1" x14ac:dyDescent="0.25"/>
    <row r="36077" s="42" customFormat="1" x14ac:dyDescent="0.25"/>
    <row r="36078" s="42" customFormat="1" x14ac:dyDescent="0.25"/>
    <row r="36079" s="42" customFormat="1" x14ac:dyDescent="0.25"/>
    <row r="36080" s="42" customFormat="1" x14ac:dyDescent="0.25"/>
    <row r="36081" s="42" customFormat="1" x14ac:dyDescent="0.25"/>
    <row r="36082" s="42" customFormat="1" x14ac:dyDescent="0.25"/>
    <row r="36083" s="42" customFormat="1" x14ac:dyDescent="0.25"/>
    <row r="36084" s="42" customFormat="1" x14ac:dyDescent="0.25"/>
    <row r="36085" s="42" customFormat="1" x14ac:dyDescent="0.25"/>
    <row r="36086" s="42" customFormat="1" x14ac:dyDescent="0.25"/>
    <row r="36087" s="42" customFormat="1" x14ac:dyDescent="0.25"/>
    <row r="36088" s="42" customFormat="1" x14ac:dyDescent="0.25"/>
    <row r="36089" s="42" customFormat="1" x14ac:dyDescent="0.25"/>
    <row r="36090" s="42" customFormat="1" x14ac:dyDescent="0.25"/>
    <row r="36091" s="42" customFormat="1" x14ac:dyDescent="0.25"/>
    <row r="36092" s="42" customFormat="1" x14ac:dyDescent="0.25"/>
    <row r="36093" s="42" customFormat="1" x14ac:dyDescent="0.25"/>
    <row r="36094" s="42" customFormat="1" x14ac:dyDescent="0.25"/>
    <row r="36095" s="42" customFormat="1" x14ac:dyDescent="0.25"/>
    <row r="36096" s="42" customFormat="1" x14ac:dyDescent="0.25"/>
    <row r="36097" s="42" customFormat="1" x14ac:dyDescent="0.25"/>
    <row r="36098" s="42" customFormat="1" x14ac:dyDescent="0.25"/>
    <row r="36099" s="42" customFormat="1" x14ac:dyDescent="0.25"/>
    <row r="36100" s="42" customFormat="1" x14ac:dyDescent="0.25"/>
    <row r="36101" s="42" customFormat="1" x14ac:dyDescent="0.25"/>
    <row r="36102" s="42" customFormat="1" x14ac:dyDescent="0.25"/>
    <row r="36103" s="42" customFormat="1" x14ac:dyDescent="0.25"/>
    <row r="36104" s="42" customFormat="1" x14ac:dyDescent="0.25"/>
    <row r="36105" s="42" customFormat="1" x14ac:dyDescent="0.25"/>
    <row r="36106" s="42" customFormat="1" x14ac:dyDescent="0.25"/>
    <row r="36107" s="42" customFormat="1" x14ac:dyDescent="0.25"/>
    <row r="36108" s="42" customFormat="1" x14ac:dyDescent="0.25"/>
    <row r="36109" s="42" customFormat="1" x14ac:dyDescent="0.25"/>
    <row r="36110" s="42" customFormat="1" x14ac:dyDescent="0.25"/>
    <row r="36111" s="42" customFormat="1" x14ac:dyDescent="0.25"/>
    <row r="36112" s="42" customFormat="1" x14ac:dyDescent="0.25"/>
    <row r="36113" s="42" customFormat="1" x14ac:dyDescent="0.25"/>
    <row r="36114" s="42" customFormat="1" x14ac:dyDescent="0.25"/>
    <row r="36115" s="42" customFormat="1" x14ac:dyDescent="0.25"/>
    <row r="36116" s="42" customFormat="1" x14ac:dyDescent="0.25"/>
    <row r="36117" s="42" customFormat="1" x14ac:dyDescent="0.25"/>
    <row r="36118" s="42" customFormat="1" x14ac:dyDescent="0.25"/>
    <row r="36119" s="42" customFormat="1" x14ac:dyDescent="0.25"/>
    <row r="36120" s="42" customFormat="1" x14ac:dyDescent="0.25"/>
    <row r="36121" s="42" customFormat="1" x14ac:dyDescent="0.25"/>
    <row r="36122" s="42" customFormat="1" x14ac:dyDescent="0.25"/>
    <row r="36123" s="42" customFormat="1" x14ac:dyDescent="0.25"/>
    <row r="36124" s="42" customFormat="1" x14ac:dyDescent="0.25"/>
    <row r="36125" s="42" customFormat="1" x14ac:dyDescent="0.25"/>
    <row r="36126" s="42" customFormat="1" x14ac:dyDescent="0.25"/>
    <row r="36127" s="42" customFormat="1" x14ac:dyDescent="0.25"/>
    <row r="36128" s="42" customFormat="1" x14ac:dyDescent="0.25"/>
    <row r="36129" s="42" customFormat="1" x14ac:dyDescent="0.25"/>
    <row r="36130" s="42" customFormat="1" x14ac:dyDescent="0.25"/>
    <row r="36131" s="42" customFormat="1" x14ac:dyDescent="0.25"/>
    <row r="36132" s="42" customFormat="1" x14ac:dyDescent="0.25"/>
    <row r="36133" s="42" customFormat="1" x14ac:dyDescent="0.25"/>
    <row r="36134" s="42" customFormat="1" x14ac:dyDescent="0.25"/>
    <row r="36135" s="42" customFormat="1" x14ac:dyDescent="0.25"/>
    <row r="36136" s="42" customFormat="1" x14ac:dyDescent="0.25"/>
    <row r="36137" s="42" customFormat="1" x14ac:dyDescent="0.25"/>
    <row r="36138" s="42" customFormat="1" x14ac:dyDescent="0.25"/>
    <row r="36139" s="42" customFormat="1" x14ac:dyDescent="0.25"/>
    <row r="36140" s="42" customFormat="1" x14ac:dyDescent="0.25"/>
    <row r="36141" s="42" customFormat="1" x14ac:dyDescent="0.25"/>
    <row r="36142" s="42" customFormat="1" x14ac:dyDescent="0.25"/>
    <row r="36143" s="42" customFormat="1" x14ac:dyDescent="0.25"/>
    <row r="36144" s="42" customFormat="1" x14ac:dyDescent="0.25"/>
    <row r="36145" s="42" customFormat="1" x14ac:dyDescent="0.25"/>
    <row r="36146" s="42" customFormat="1" x14ac:dyDescent="0.25"/>
    <row r="36147" s="42" customFormat="1" x14ac:dyDescent="0.25"/>
    <row r="36148" s="42" customFormat="1" x14ac:dyDescent="0.25"/>
    <row r="36149" s="42" customFormat="1" x14ac:dyDescent="0.25"/>
    <row r="36150" s="42" customFormat="1" x14ac:dyDescent="0.25"/>
    <row r="36151" s="42" customFormat="1" x14ac:dyDescent="0.25"/>
    <row r="36152" s="42" customFormat="1" x14ac:dyDescent="0.25"/>
    <row r="36153" s="42" customFormat="1" x14ac:dyDescent="0.25"/>
    <row r="36154" s="42" customFormat="1" x14ac:dyDescent="0.25"/>
    <row r="36155" s="42" customFormat="1" x14ac:dyDescent="0.25"/>
    <row r="36156" s="42" customFormat="1" x14ac:dyDescent="0.25"/>
    <row r="36157" s="42" customFormat="1" x14ac:dyDescent="0.25"/>
    <row r="36158" s="42" customFormat="1" x14ac:dyDescent="0.25"/>
    <row r="36159" s="42" customFormat="1" x14ac:dyDescent="0.25"/>
    <row r="36160" s="42" customFormat="1" x14ac:dyDescent="0.25"/>
    <row r="36161" s="42" customFormat="1" x14ac:dyDescent="0.25"/>
    <row r="36162" s="42" customFormat="1" x14ac:dyDescent="0.25"/>
    <row r="36163" s="42" customFormat="1" x14ac:dyDescent="0.25"/>
    <row r="36164" s="42" customFormat="1" x14ac:dyDescent="0.25"/>
    <row r="36165" s="42" customFormat="1" x14ac:dyDescent="0.25"/>
    <row r="36166" s="42" customFormat="1" x14ac:dyDescent="0.25"/>
    <row r="36167" s="42" customFormat="1" x14ac:dyDescent="0.25"/>
    <row r="36168" s="42" customFormat="1" x14ac:dyDescent="0.25"/>
    <row r="36169" s="42" customFormat="1" x14ac:dyDescent="0.25"/>
    <row r="36170" s="42" customFormat="1" x14ac:dyDescent="0.25"/>
    <row r="36171" s="42" customFormat="1" x14ac:dyDescent="0.25"/>
    <row r="36172" s="42" customFormat="1" x14ac:dyDescent="0.25"/>
    <row r="36173" s="42" customFormat="1" x14ac:dyDescent="0.25"/>
    <row r="36174" s="42" customFormat="1" x14ac:dyDescent="0.25"/>
    <row r="36175" s="42" customFormat="1" x14ac:dyDescent="0.25"/>
    <row r="36176" s="42" customFormat="1" x14ac:dyDescent="0.25"/>
    <row r="36177" s="42" customFormat="1" x14ac:dyDescent="0.25"/>
    <row r="36178" s="42" customFormat="1" x14ac:dyDescent="0.25"/>
    <row r="36179" s="42" customFormat="1" x14ac:dyDescent="0.25"/>
    <row r="36180" s="42" customFormat="1" x14ac:dyDescent="0.25"/>
    <row r="36181" s="42" customFormat="1" x14ac:dyDescent="0.25"/>
    <row r="36182" s="42" customFormat="1" x14ac:dyDescent="0.25"/>
    <row r="36183" s="42" customFormat="1" x14ac:dyDescent="0.25"/>
    <row r="36184" s="42" customFormat="1" x14ac:dyDescent="0.25"/>
    <row r="36185" s="42" customFormat="1" x14ac:dyDescent="0.25"/>
    <row r="36186" s="42" customFormat="1" x14ac:dyDescent="0.25"/>
    <row r="36187" s="42" customFormat="1" x14ac:dyDescent="0.25"/>
    <row r="36188" s="42" customFormat="1" x14ac:dyDescent="0.25"/>
    <row r="36189" s="42" customFormat="1" x14ac:dyDescent="0.25"/>
    <row r="36190" s="42" customFormat="1" x14ac:dyDescent="0.25"/>
    <row r="36191" s="42" customFormat="1" x14ac:dyDescent="0.25"/>
    <row r="36192" s="42" customFormat="1" x14ac:dyDescent="0.25"/>
    <row r="36193" s="42" customFormat="1" x14ac:dyDescent="0.25"/>
    <row r="36194" s="42" customFormat="1" x14ac:dyDescent="0.25"/>
    <row r="36195" s="42" customFormat="1" x14ac:dyDescent="0.25"/>
    <row r="36196" s="42" customFormat="1" x14ac:dyDescent="0.25"/>
    <row r="36197" s="42" customFormat="1" x14ac:dyDescent="0.25"/>
    <row r="36198" s="42" customFormat="1" x14ac:dyDescent="0.25"/>
    <row r="36199" s="42" customFormat="1" x14ac:dyDescent="0.25"/>
    <row r="36200" s="42" customFormat="1" x14ac:dyDescent="0.25"/>
    <row r="36201" s="42" customFormat="1" x14ac:dyDescent="0.25"/>
    <row r="36202" s="42" customFormat="1" x14ac:dyDescent="0.25"/>
    <row r="36203" s="42" customFormat="1" x14ac:dyDescent="0.25"/>
    <row r="36204" s="42" customFormat="1" x14ac:dyDescent="0.25"/>
    <row r="36205" s="42" customFormat="1" x14ac:dyDescent="0.25"/>
    <row r="36206" s="42" customFormat="1" x14ac:dyDescent="0.25"/>
    <row r="36207" s="42" customFormat="1" x14ac:dyDescent="0.25"/>
    <row r="36208" s="42" customFormat="1" x14ac:dyDescent="0.25"/>
    <row r="36209" s="42" customFormat="1" x14ac:dyDescent="0.25"/>
    <row r="36210" s="42" customFormat="1" x14ac:dyDescent="0.25"/>
    <row r="36211" s="42" customFormat="1" x14ac:dyDescent="0.25"/>
    <row r="36212" s="42" customFormat="1" x14ac:dyDescent="0.25"/>
    <row r="36213" s="42" customFormat="1" x14ac:dyDescent="0.25"/>
    <row r="36214" s="42" customFormat="1" x14ac:dyDescent="0.25"/>
    <row r="36215" s="42" customFormat="1" x14ac:dyDescent="0.25"/>
    <row r="36216" s="42" customFormat="1" x14ac:dyDescent="0.25"/>
    <row r="36217" s="42" customFormat="1" x14ac:dyDescent="0.25"/>
    <row r="36218" s="42" customFormat="1" x14ac:dyDescent="0.25"/>
    <row r="36219" s="42" customFormat="1" x14ac:dyDescent="0.25"/>
    <row r="36220" s="42" customFormat="1" x14ac:dyDescent="0.25"/>
    <row r="36221" s="42" customFormat="1" x14ac:dyDescent="0.25"/>
    <row r="36222" s="42" customFormat="1" x14ac:dyDescent="0.25"/>
    <row r="36223" s="42" customFormat="1" x14ac:dyDescent="0.25"/>
    <row r="36224" s="42" customFormat="1" x14ac:dyDescent="0.25"/>
    <row r="36225" s="42" customFormat="1" x14ac:dyDescent="0.25"/>
    <row r="36226" s="42" customFormat="1" x14ac:dyDescent="0.25"/>
    <row r="36227" s="42" customFormat="1" x14ac:dyDescent="0.25"/>
    <row r="36228" s="42" customFormat="1" x14ac:dyDescent="0.25"/>
    <row r="36229" s="42" customFormat="1" x14ac:dyDescent="0.25"/>
    <row r="36230" s="42" customFormat="1" x14ac:dyDescent="0.25"/>
    <row r="36231" s="42" customFormat="1" x14ac:dyDescent="0.25"/>
    <row r="36232" s="42" customFormat="1" x14ac:dyDescent="0.25"/>
    <row r="36233" s="42" customFormat="1" x14ac:dyDescent="0.25"/>
    <row r="36234" s="42" customFormat="1" x14ac:dyDescent="0.25"/>
    <row r="36235" s="42" customFormat="1" x14ac:dyDescent="0.25"/>
    <row r="36236" s="42" customFormat="1" x14ac:dyDescent="0.25"/>
    <row r="36237" s="42" customFormat="1" x14ac:dyDescent="0.25"/>
    <row r="36238" s="42" customFormat="1" x14ac:dyDescent="0.25"/>
    <row r="36239" s="42" customFormat="1" x14ac:dyDescent="0.25"/>
    <row r="36240" s="42" customFormat="1" x14ac:dyDescent="0.25"/>
    <row r="36241" s="42" customFormat="1" x14ac:dyDescent="0.25"/>
    <row r="36242" s="42" customFormat="1" x14ac:dyDescent="0.25"/>
    <row r="36243" s="42" customFormat="1" x14ac:dyDescent="0.25"/>
    <row r="36244" s="42" customFormat="1" x14ac:dyDescent="0.25"/>
    <row r="36245" s="42" customFormat="1" x14ac:dyDescent="0.25"/>
    <row r="36246" s="42" customFormat="1" x14ac:dyDescent="0.25"/>
    <row r="36247" s="42" customFormat="1" x14ac:dyDescent="0.25"/>
    <row r="36248" s="42" customFormat="1" x14ac:dyDescent="0.25"/>
    <row r="36249" s="42" customFormat="1" x14ac:dyDescent="0.25"/>
    <row r="36250" s="42" customFormat="1" x14ac:dyDescent="0.25"/>
    <row r="36251" s="42" customFormat="1" x14ac:dyDescent="0.25"/>
    <row r="36252" s="42" customFormat="1" x14ac:dyDescent="0.25"/>
    <row r="36253" s="42" customFormat="1" x14ac:dyDescent="0.25"/>
    <row r="36254" s="42" customFormat="1" x14ac:dyDescent="0.25"/>
    <row r="36255" s="42" customFormat="1" x14ac:dyDescent="0.25"/>
    <row r="36256" s="42" customFormat="1" x14ac:dyDescent="0.25"/>
    <row r="36257" s="42" customFormat="1" x14ac:dyDescent="0.25"/>
    <row r="36258" s="42" customFormat="1" x14ac:dyDescent="0.25"/>
    <row r="36259" s="42" customFormat="1" x14ac:dyDescent="0.25"/>
    <row r="36260" s="42" customFormat="1" x14ac:dyDescent="0.25"/>
    <row r="36261" s="42" customFormat="1" x14ac:dyDescent="0.25"/>
    <row r="36262" s="42" customFormat="1" x14ac:dyDescent="0.25"/>
    <row r="36263" s="42" customFormat="1" x14ac:dyDescent="0.25"/>
    <row r="36264" s="42" customFormat="1" x14ac:dyDescent="0.25"/>
    <row r="36265" s="42" customFormat="1" x14ac:dyDescent="0.25"/>
    <row r="36266" s="42" customFormat="1" x14ac:dyDescent="0.25"/>
    <row r="36267" s="42" customFormat="1" x14ac:dyDescent="0.25"/>
    <row r="36268" s="42" customFormat="1" x14ac:dyDescent="0.25"/>
    <row r="36269" s="42" customFormat="1" x14ac:dyDescent="0.25"/>
    <row r="36270" s="42" customFormat="1" x14ac:dyDescent="0.25"/>
    <row r="36271" s="42" customFormat="1" x14ac:dyDescent="0.25"/>
    <row r="36272" s="42" customFormat="1" x14ac:dyDescent="0.25"/>
    <row r="36273" s="42" customFormat="1" x14ac:dyDescent="0.25"/>
    <row r="36274" s="42" customFormat="1" x14ac:dyDescent="0.25"/>
    <row r="36275" s="42" customFormat="1" x14ac:dyDescent="0.25"/>
    <row r="36276" s="42" customFormat="1" x14ac:dyDescent="0.25"/>
    <row r="36277" s="42" customFormat="1" x14ac:dyDescent="0.25"/>
    <row r="36278" s="42" customFormat="1" x14ac:dyDescent="0.25"/>
    <row r="36279" s="42" customFormat="1" x14ac:dyDescent="0.25"/>
    <row r="36280" s="42" customFormat="1" x14ac:dyDescent="0.25"/>
    <row r="36281" s="42" customFormat="1" x14ac:dyDescent="0.25"/>
    <row r="36282" s="42" customFormat="1" x14ac:dyDescent="0.25"/>
    <row r="36283" s="42" customFormat="1" x14ac:dyDescent="0.25"/>
    <row r="36284" s="42" customFormat="1" x14ac:dyDescent="0.25"/>
    <row r="36285" s="42" customFormat="1" x14ac:dyDescent="0.25"/>
    <row r="36286" s="42" customFormat="1" x14ac:dyDescent="0.25"/>
    <row r="36287" s="42" customFormat="1" x14ac:dyDescent="0.25"/>
    <row r="36288" s="42" customFormat="1" x14ac:dyDescent="0.25"/>
    <row r="36289" s="42" customFormat="1" x14ac:dyDescent="0.25"/>
    <row r="36290" s="42" customFormat="1" x14ac:dyDescent="0.25"/>
    <row r="36291" s="42" customFormat="1" x14ac:dyDescent="0.25"/>
    <row r="36292" s="42" customFormat="1" x14ac:dyDescent="0.25"/>
    <row r="36293" s="42" customFormat="1" x14ac:dyDescent="0.25"/>
    <row r="36294" s="42" customFormat="1" x14ac:dyDescent="0.25"/>
    <row r="36295" s="42" customFormat="1" x14ac:dyDescent="0.25"/>
    <row r="36296" s="42" customFormat="1" x14ac:dyDescent="0.25"/>
    <row r="36297" s="42" customFormat="1" x14ac:dyDescent="0.25"/>
    <row r="36298" s="42" customFormat="1" x14ac:dyDescent="0.25"/>
    <row r="36299" s="42" customFormat="1" x14ac:dyDescent="0.25"/>
    <row r="36300" s="42" customFormat="1" x14ac:dyDescent="0.25"/>
    <row r="36301" s="42" customFormat="1" x14ac:dyDescent="0.25"/>
    <row r="36302" s="42" customFormat="1" x14ac:dyDescent="0.25"/>
    <row r="36303" s="42" customFormat="1" x14ac:dyDescent="0.25"/>
    <row r="36304" s="42" customFormat="1" x14ac:dyDescent="0.25"/>
    <row r="36305" s="42" customFormat="1" x14ac:dyDescent="0.25"/>
    <row r="36306" s="42" customFormat="1" x14ac:dyDescent="0.25"/>
    <row r="36307" s="42" customFormat="1" x14ac:dyDescent="0.25"/>
    <row r="36308" s="42" customFormat="1" x14ac:dyDescent="0.25"/>
    <row r="36309" s="42" customFormat="1" x14ac:dyDescent="0.25"/>
    <row r="36310" s="42" customFormat="1" x14ac:dyDescent="0.25"/>
    <row r="36311" s="42" customFormat="1" x14ac:dyDescent="0.25"/>
    <row r="36312" s="42" customFormat="1" x14ac:dyDescent="0.25"/>
    <row r="36313" s="42" customFormat="1" x14ac:dyDescent="0.25"/>
    <row r="36314" s="42" customFormat="1" x14ac:dyDescent="0.25"/>
    <row r="36315" s="42" customFormat="1" x14ac:dyDescent="0.25"/>
    <row r="36316" s="42" customFormat="1" x14ac:dyDescent="0.25"/>
    <row r="36317" s="42" customFormat="1" x14ac:dyDescent="0.25"/>
    <row r="36318" s="42" customFormat="1" x14ac:dyDescent="0.25"/>
    <row r="36319" s="42" customFormat="1" x14ac:dyDescent="0.25"/>
    <row r="36320" s="42" customFormat="1" x14ac:dyDescent="0.25"/>
    <row r="36321" s="42" customFormat="1" x14ac:dyDescent="0.25"/>
    <row r="36322" s="42" customFormat="1" x14ac:dyDescent="0.25"/>
    <row r="36323" s="42" customFormat="1" x14ac:dyDescent="0.25"/>
    <row r="36324" s="42" customFormat="1" x14ac:dyDescent="0.25"/>
    <row r="36325" s="42" customFormat="1" x14ac:dyDescent="0.25"/>
    <row r="36326" s="42" customFormat="1" x14ac:dyDescent="0.25"/>
    <row r="36327" s="42" customFormat="1" x14ac:dyDescent="0.25"/>
    <row r="36328" s="42" customFormat="1" x14ac:dyDescent="0.25"/>
    <row r="36329" s="42" customFormat="1" x14ac:dyDescent="0.25"/>
    <row r="36330" s="42" customFormat="1" x14ac:dyDescent="0.25"/>
    <row r="36331" s="42" customFormat="1" x14ac:dyDescent="0.25"/>
    <row r="36332" s="42" customFormat="1" x14ac:dyDescent="0.25"/>
    <row r="36333" s="42" customFormat="1" x14ac:dyDescent="0.25"/>
    <row r="36334" s="42" customFormat="1" x14ac:dyDescent="0.25"/>
    <row r="36335" s="42" customFormat="1" x14ac:dyDescent="0.25"/>
    <row r="36336" s="42" customFormat="1" x14ac:dyDescent="0.25"/>
    <row r="36337" s="42" customFormat="1" x14ac:dyDescent="0.25"/>
    <row r="36338" s="42" customFormat="1" x14ac:dyDescent="0.25"/>
    <row r="36339" s="42" customFormat="1" x14ac:dyDescent="0.25"/>
    <row r="36340" s="42" customFormat="1" x14ac:dyDescent="0.25"/>
    <row r="36341" s="42" customFormat="1" x14ac:dyDescent="0.25"/>
    <row r="36342" s="42" customFormat="1" x14ac:dyDescent="0.25"/>
    <row r="36343" s="42" customFormat="1" x14ac:dyDescent="0.25"/>
    <row r="36344" s="42" customFormat="1" x14ac:dyDescent="0.25"/>
    <row r="36345" s="42" customFormat="1" x14ac:dyDescent="0.25"/>
    <row r="36346" s="42" customFormat="1" x14ac:dyDescent="0.25"/>
    <row r="36347" s="42" customFormat="1" x14ac:dyDescent="0.25"/>
    <row r="36348" s="42" customFormat="1" x14ac:dyDescent="0.25"/>
    <row r="36349" s="42" customFormat="1" x14ac:dyDescent="0.25"/>
    <row r="36350" s="42" customFormat="1" x14ac:dyDescent="0.25"/>
    <row r="36351" s="42" customFormat="1" x14ac:dyDescent="0.25"/>
    <row r="36352" s="42" customFormat="1" x14ac:dyDescent="0.25"/>
    <row r="36353" s="42" customFormat="1" x14ac:dyDescent="0.25"/>
    <row r="36354" s="42" customFormat="1" x14ac:dyDescent="0.25"/>
    <row r="36355" s="42" customFormat="1" x14ac:dyDescent="0.25"/>
    <row r="36356" s="42" customFormat="1" x14ac:dyDescent="0.25"/>
    <row r="36357" s="42" customFormat="1" x14ac:dyDescent="0.25"/>
    <row r="36358" s="42" customFormat="1" x14ac:dyDescent="0.25"/>
    <row r="36359" s="42" customFormat="1" x14ac:dyDescent="0.25"/>
    <row r="36360" s="42" customFormat="1" x14ac:dyDescent="0.25"/>
    <row r="36361" s="42" customFormat="1" x14ac:dyDescent="0.25"/>
    <row r="36362" s="42" customFormat="1" x14ac:dyDescent="0.25"/>
    <row r="36363" s="42" customFormat="1" x14ac:dyDescent="0.25"/>
    <row r="36364" s="42" customFormat="1" x14ac:dyDescent="0.25"/>
    <row r="36365" s="42" customFormat="1" x14ac:dyDescent="0.25"/>
    <row r="36366" s="42" customFormat="1" x14ac:dyDescent="0.25"/>
    <row r="36367" s="42" customFormat="1" x14ac:dyDescent="0.25"/>
    <row r="36368" s="42" customFormat="1" x14ac:dyDescent="0.25"/>
    <row r="36369" s="42" customFormat="1" x14ac:dyDescent="0.25"/>
    <row r="36370" s="42" customFormat="1" x14ac:dyDescent="0.25"/>
    <row r="36371" s="42" customFormat="1" x14ac:dyDescent="0.25"/>
    <row r="36372" s="42" customFormat="1" x14ac:dyDescent="0.25"/>
    <row r="36373" s="42" customFormat="1" x14ac:dyDescent="0.25"/>
    <row r="36374" s="42" customFormat="1" x14ac:dyDescent="0.25"/>
    <row r="36375" s="42" customFormat="1" x14ac:dyDescent="0.25"/>
    <row r="36376" s="42" customFormat="1" x14ac:dyDescent="0.25"/>
    <row r="36377" s="42" customFormat="1" x14ac:dyDescent="0.25"/>
    <row r="36378" s="42" customFormat="1" x14ac:dyDescent="0.25"/>
    <row r="36379" s="42" customFormat="1" x14ac:dyDescent="0.25"/>
    <row r="36380" s="42" customFormat="1" x14ac:dyDescent="0.25"/>
    <row r="36381" s="42" customFormat="1" x14ac:dyDescent="0.25"/>
    <row r="36382" s="42" customFormat="1" x14ac:dyDescent="0.25"/>
    <row r="36383" s="42" customFormat="1" x14ac:dyDescent="0.25"/>
    <row r="36384" s="42" customFormat="1" x14ac:dyDescent="0.25"/>
    <row r="36385" s="42" customFormat="1" x14ac:dyDescent="0.25"/>
    <row r="36386" s="42" customFormat="1" x14ac:dyDescent="0.25"/>
    <row r="36387" s="42" customFormat="1" x14ac:dyDescent="0.25"/>
    <row r="36388" s="42" customFormat="1" x14ac:dyDescent="0.25"/>
    <row r="36389" s="42" customFormat="1" x14ac:dyDescent="0.25"/>
    <row r="36390" s="42" customFormat="1" x14ac:dyDescent="0.25"/>
    <row r="36391" s="42" customFormat="1" x14ac:dyDescent="0.25"/>
    <row r="36392" s="42" customFormat="1" x14ac:dyDescent="0.25"/>
    <row r="36393" s="42" customFormat="1" x14ac:dyDescent="0.25"/>
    <row r="36394" s="42" customFormat="1" x14ac:dyDescent="0.25"/>
    <row r="36395" s="42" customFormat="1" x14ac:dyDescent="0.25"/>
    <row r="36396" s="42" customFormat="1" x14ac:dyDescent="0.25"/>
    <row r="36397" s="42" customFormat="1" x14ac:dyDescent="0.25"/>
    <row r="36398" s="42" customFormat="1" x14ac:dyDescent="0.25"/>
    <row r="36399" s="42" customFormat="1" x14ac:dyDescent="0.25"/>
    <row r="36400" s="42" customFormat="1" x14ac:dyDescent="0.25"/>
    <row r="36401" s="42" customFormat="1" x14ac:dyDescent="0.25"/>
    <row r="36402" s="42" customFormat="1" x14ac:dyDescent="0.25"/>
    <row r="36403" s="42" customFormat="1" x14ac:dyDescent="0.25"/>
    <row r="36404" s="42" customFormat="1" x14ac:dyDescent="0.25"/>
    <row r="36405" s="42" customFormat="1" x14ac:dyDescent="0.25"/>
    <row r="36406" s="42" customFormat="1" x14ac:dyDescent="0.25"/>
    <row r="36407" s="42" customFormat="1" x14ac:dyDescent="0.25"/>
    <row r="36408" s="42" customFormat="1" x14ac:dyDescent="0.25"/>
    <row r="36409" s="42" customFormat="1" x14ac:dyDescent="0.25"/>
    <row r="36410" s="42" customFormat="1" x14ac:dyDescent="0.25"/>
    <row r="36411" s="42" customFormat="1" x14ac:dyDescent="0.25"/>
    <row r="36412" s="42" customFormat="1" x14ac:dyDescent="0.25"/>
    <row r="36413" s="42" customFormat="1" x14ac:dyDescent="0.25"/>
    <row r="36414" s="42" customFormat="1" x14ac:dyDescent="0.25"/>
    <row r="36415" s="42" customFormat="1" x14ac:dyDescent="0.25"/>
    <row r="36416" s="42" customFormat="1" x14ac:dyDescent="0.25"/>
    <row r="36417" s="42" customFormat="1" x14ac:dyDescent="0.25"/>
    <row r="36418" s="42" customFormat="1" x14ac:dyDescent="0.25"/>
    <row r="36419" s="42" customFormat="1" x14ac:dyDescent="0.25"/>
    <row r="36420" s="42" customFormat="1" x14ac:dyDescent="0.25"/>
    <row r="36421" s="42" customFormat="1" x14ac:dyDescent="0.25"/>
    <row r="36422" s="42" customFormat="1" x14ac:dyDescent="0.25"/>
    <row r="36423" s="42" customFormat="1" x14ac:dyDescent="0.25"/>
    <row r="36424" s="42" customFormat="1" x14ac:dyDescent="0.25"/>
    <row r="36425" s="42" customFormat="1" x14ac:dyDescent="0.25"/>
    <row r="36426" s="42" customFormat="1" x14ac:dyDescent="0.25"/>
    <row r="36427" s="42" customFormat="1" x14ac:dyDescent="0.25"/>
    <row r="36428" s="42" customFormat="1" x14ac:dyDescent="0.25"/>
    <row r="36429" s="42" customFormat="1" x14ac:dyDescent="0.25"/>
    <row r="36430" s="42" customFormat="1" x14ac:dyDescent="0.25"/>
    <row r="36431" s="42" customFormat="1" x14ac:dyDescent="0.25"/>
    <row r="36432" s="42" customFormat="1" x14ac:dyDescent="0.25"/>
    <row r="36433" s="42" customFormat="1" x14ac:dyDescent="0.25"/>
    <row r="36434" s="42" customFormat="1" x14ac:dyDescent="0.25"/>
    <row r="36435" s="42" customFormat="1" x14ac:dyDescent="0.25"/>
    <row r="36436" s="42" customFormat="1" x14ac:dyDescent="0.25"/>
    <row r="36437" s="42" customFormat="1" x14ac:dyDescent="0.25"/>
    <row r="36438" s="42" customFormat="1" x14ac:dyDescent="0.25"/>
    <row r="36439" s="42" customFormat="1" x14ac:dyDescent="0.25"/>
    <row r="36440" s="42" customFormat="1" x14ac:dyDescent="0.25"/>
    <row r="36441" s="42" customFormat="1" x14ac:dyDescent="0.25"/>
    <row r="36442" s="42" customFormat="1" x14ac:dyDescent="0.25"/>
    <row r="36443" s="42" customFormat="1" x14ac:dyDescent="0.25"/>
    <row r="36444" s="42" customFormat="1" x14ac:dyDescent="0.25"/>
    <row r="36445" s="42" customFormat="1" x14ac:dyDescent="0.25"/>
    <row r="36446" s="42" customFormat="1" x14ac:dyDescent="0.25"/>
    <row r="36447" s="42" customFormat="1" x14ac:dyDescent="0.25"/>
    <row r="36448" s="42" customFormat="1" x14ac:dyDescent="0.25"/>
    <row r="36449" s="42" customFormat="1" x14ac:dyDescent="0.25"/>
    <row r="36450" s="42" customFormat="1" x14ac:dyDescent="0.25"/>
    <row r="36451" s="42" customFormat="1" x14ac:dyDescent="0.25"/>
    <row r="36452" s="42" customFormat="1" x14ac:dyDescent="0.25"/>
    <row r="36453" s="42" customFormat="1" x14ac:dyDescent="0.25"/>
    <row r="36454" s="42" customFormat="1" x14ac:dyDescent="0.25"/>
    <row r="36455" s="42" customFormat="1" x14ac:dyDescent="0.25"/>
    <row r="36456" s="42" customFormat="1" x14ac:dyDescent="0.25"/>
    <row r="36457" s="42" customFormat="1" x14ac:dyDescent="0.25"/>
    <row r="36458" s="42" customFormat="1" x14ac:dyDescent="0.25"/>
    <row r="36459" s="42" customFormat="1" x14ac:dyDescent="0.25"/>
    <row r="36460" s="42" customFormat="1" x14ac:dyDescent="0.25"/>
    <row r="36461" s="42" customFormat="1" x14ac:dyDescent="0.25"/>
    <row r="36462" s="42" customFormat="1" x14ac:dyDescent="0.25"/>
    <row r="36463" s="42" customFormat="1" x14ac:dyDescent="0.25"/>
    <row r="36464" s="42" customFormat="1" x14ac:dyDescent="0.25"/>
    <row r="36465" s="42" customFormat="1" x14ac:dyDescent="0.25"/>
    <row r="36466" s="42" customFormat="1" x14ac:dyDescent="0.25"/>
    <row r="36467" s="42" customFormat="1" x14ac:dyDescent="0.25"/>
    <row r="36468" s="42" customFormat="1" x14ac:dyDescent="0.25"/>
    <row r="36469" s="42" customFormat="1" x14ac:dyDescent="0.25"/>
    <row r="36470" s="42" customFormat="1" x14ac:dyDescent="0.25"/>
    <row r="36471" s="42" customFormat="1" x14ac:dyDescent="0.25"/>
    <row r="36472" s="42" customFormat="1" x14ac:dyDescent="0.25"/>
    <row r="36473" s="42" customFormat="1" x14ac:dyDescent="0.25"/>
    <row r="36474" s="42" customFormat="1" x14ac:dyDescent="0.25"/>
    <row r="36475" s="42" customFormat="1" x14ac:dyDescent="0.25"/>
    <row r="36476" s="42" customFormat="1" x14ac:dyDescent="0.25"/>
    <row r="36477" s="42" customFormat="1" x14ac:dyDescent="0.25"/>
    <row r="36478" s="42" customFormat="1" x14ac:dyDescent="0.25"/>
    <row r="36479" s="42" customFormat="1" x14ac:dyDescent="0.25"/>
    <row r="36480" s="42" customFormat="1" x14ac:dyDescent="0.25"/>
    <row r="36481" s="42" customFormat="1" x14ac:dyDescent="0.25"/>
    <row r="36482" s="42" customFormat="1" x14ac:dyDescent="0.25"/>
    <row r="36483" s="42" customFormat="1" x14ac:dyDescent="0.25"/>
    <row r="36484" s="42" customFormat="1" x14ac:dyDescent="0.25"/>
    <row r="36485" s="42" customFormat="1" x14ac:dyDescent="0.25"/>
    <row r="36486" s="42" customFormat="1" x14ac:dyDescent="0.25"/>
    <row r="36487" s="42" customFormat="1" x14ac:dyDescent="0.25"/>
    <row r="36488" s="42" customFormat="1" x14ac:dyDescent="0.25"/>
    <row r="36489" s="42" customFormat="1" x14ac:dyDescent="0.25"/>
    <row r="36490" s="42" customFormat="1" x14ac:dyDescent="0.25"/>
    <row r="36491" s="42" customFormat="1" x14ac:dyDescent="0.25"/>
    <row r="36492" s="42" customFormat="1" x14ac:dyDescent="0.25"/>
    <row r="36493" s="42" customFormat="1" x14ac:dyDescent="0.25"/>
    <row r="36494" s="42" customFormat="1" x14ac:dyDescent="0.25"/>
    <row r="36495" s="42" customFormat="1" x14ac:dyDescent="0.25"/>
    <row r="36496" s="42" customFormat="1" x14ac:dyDescent="0.25"/>
    <row r="36497" s="42" customFormat="1" x14ac:dyDescent="0.25"/>
    <row r="36498" s="42" customFormat="1" x14ac:dyDescent="0.25"/>
    <row r="36499" s="42" customFormat="1" x14ac:dyDescent="0.25"/>
    <row r="36500" s="42" customFormat="1" x14ac:dyDescent="0.25"/>
    <row r="36501" s="42" customFormat="1" x14ac:dyDescent="0.25"/>
    <row r="36502" s="42" customFormat="1" x14ac:dyDescent="0.25"/>
    <row r="36503" s="42" customFormat="1" x14ac:dyDescent="0.25"/>
    <row r="36504" s="42" customFormat="1" x14ac:dyDescent="0.25"/>
    <row r="36505" s="42" customFormat="1" x14ac:dyDescent="0.25"/>
    <row r="36506" s="42" customFormat="1" x14ac:dyDescent="0.25"/>
    <row r="36507" s="42" customFormat="1" x14ac:dyDescent="0.25"/>
    <row r="36508" s="42" customFormat="1" x14ac:dyDescent="0.25"/>
    <row r="36509" s="42" customFormat="1" x14ac:dyDescent="0.25"/>
    <row r="36510" s="42" customFormat="1" x14ac:dyDescent="0.25"/>
    <row r="36511" s="42" customFormat="1" x14ac:dyDescent="0.25"/>
    <row r="36512" s="42" customFormat="1" x14ac:dyDescent="0.25"/>
    <row r="36513" s="42" customFormat="1" x14ac:dyDescent="0.25"/>
    <row r="36514" s="42" customFormat="1" x14ac:dyDescent="0.25"/>
    <row r="36515" s="42" customFormat="1" x14ac:dyDescent="0.25"/>
    <row r="36516" s="42" customFormat="1" x14ac:dyDescent="0.25"/>
    <row r="36517" s="42" customFormat="1" x14ac:dyDescent="0.25"/>
    <row r="36518" s="42" customFormat="1" x14ac:dyDescent="0.25"/>
    <row r="36519" s="42" customFormat="1" x14ac:dyDescent="0.25"/>
    <row r="36520" s="42" customFormat="1" x14ac:dyDescent="0.25"/>
    <row r="36521" s="42" customFormat="1" x14ac:dyDescent="0.25"/>
    <row r="36522" s="42" customFormat="1" x14ac:dyDescent="0.25"/>
    <row r="36523" s="42" customFormat="1" x14ac:dyDescent="0.25"/>
    <row r="36524" s="42" customFormat="1" x14ac:dyDescent="0.25"/>
    <row r="36525" s="42" customFormat="1" x14ac:dyDescent="0.25"/>
    <row r="36526" s="42" customFormat="1" x14ac:dyDescent="0.25"/>
    <row r="36527" s="42" customFormat="1" x14ac:dyDescent="0.25"/>
    <row r="36528" s="42" customFormat="1" x14ac:dyDescent="0.25"/>
    <row r="36529" s="42" customFormat="1" x14ac:dyDescent="0.25"/>
    <row r="36530" s="42" customFormat="1" x14ac:dyDescent="0.25"/>
    <row r="36531" s="42" customFormat="1" x14ac:dyDescent="0.25"/>
    <row r="36532" s="42" customFormat="1" x14ac:dyDescent="0.25"/>
    <row r="36533" s="42" customFormat="1" x14ac:dyDescent="0.25"/>
    <row r="36534" s="42" customFormat="1" x14ac:dyDescent="0.25"/>
    <row r="36535" s="42" customFormat="1" x14ac:dyDescent="0.25"/>
    <row r="36536" s="42" customFormat="1" x14ac:dyDescent="0.25"/>
    <row r="36537" s="42" customFormat="1" x14ac:dyDescent="0.25"/>
    <row r="36538" s="42" customFormat="1" x14ac:dyDescent="0.25"/>
    <row r="36539" s="42" customFormat="1" x14ac:dyDescent="0.25"/>
    <row r="36540" s="42" customFormat="1" x14ac:dyDescent="0.25"/>
    <row r="36541" s="42" customFormat="1" x14ac:dyDescent="0.25"/>
    <row r="36542" s="42" customFormat="1" x14ac:dyDescent="0.25"/>
    <row r="36543" s="42" customFormat="1" x14ac:dyDescent="0.25"/>
    <row r="36544" s="42" customFormat="1" x14ac:dyDescent="0.25"/>
    <row r="36545" s="42" customFormat="1" x14ac:dyDescent="0.25"/>
    <row r="36546" s="42" customFormat="1" x14ac:dyDescent="0.25"/>
    <row r="36547" s="42" customFormat="1" x14ac:dyDescent="0.25"/>
    <row r="36548" s="42" customFormat="1" x14ac:dyDescent="0.25"/>
    <row r="36549" s="42" customFormat="1" x14ac:dyDescent="0.25"/>
    <row r="36550" s="42" customFormat="1" x14ac:dyDescent="0.25"/>
    <row r="36551" s="42" customFormat="1" x14ac:dyDescent="0.25"/>
    <row r="36552" s="42" customFormat="1" x14ac:dyDescent="0.25"/>
    <row r="36553" s="42" customFormat="1" x14ac:dyDescent="0.25"/>
    <row r="36554" s="42" customFormat="1" x14ac:dyDescent="0.25"/>
    <row r="36555" s="42" customFormat="1" x14ac:dyDescent="0.25"/>
    <row r="36556" s="42" customFormat="1" x14ac:dyDescent="0.25"/>
    <row r="36557" s="42" customFormat="1" x14ac:dyDescent="0.25"/>
    <row r="36558" s="42" customFormat="1" x14ac:dyDescent="0.25"/>
    <row r="36559" s="42" customFormat="1" x14ac:dyDescent="0.25"/>
    <row r="36560" s="42" customFormat="1" x14ac:dyDescent="0.25"/>
    <row r="36561" s="42" customFormat="1" x14ac:dyDescent="0.25"/>
    <row r="36562" s="42" customFormat="1" x14ac:dyDescent="0.25"/>
    <row r="36563" s="42" customFormat="1" x14ac:dyDescent="0.25"/>
    <row r="36564" s="42" customFormat="1" x14ac:dyDescent="0.25"/>
    <row r="36565" s="42" customFormat="1" x14ac:dyDescent="0.25"/>
    <row r="36566" s="42" customFormat="1" x14ac:dyDescent="0.25"/>
    <row r="36567" s="42" customFormat="1" x14ac:dyDescent="0.25"/>
    <row r="36568" s="42" customFormat="1" x14ac:dyDescent="0.25"/>
    <row r="36569" s="42" customFormat="1" x14ac:dyDescent="0.25"/>
    <row r="36570" s="42" customFormat="1" x14ac:dyDescent="0.25"/>
    <row r="36571" s="42" customFormat="1" x14ac:dyDescent="0.25"/>
    <row r="36572" s="42" customFormat="1" x14ac:dyDescent="0.25"/>
    <row r="36573" s="42" customFormat="1" x14ac:dyDescent="0.25"/>
    <row r="36574" s="42" customFormat="1" x14ac:dyDescent="0.25"/>
    <row r="36575" s="42" customFormat="1" x14ac:dyDescent="0.25"/>
    <row r="36576" s="42" customFormat="1" x14ac:dyDescent="0.25"/>
    <row r="36577" s="42" customFormat="1" x14ac:dyDescent="0.25"/>
    <row r="36578" s="42" customFormat="1" x14ac:dyDescent="0.25"/>
    <row r="36579" s="42" customFormat="1" x14ac:dyDescent="0.25"/>
    <row r="36580" s="42" customFormat="1" x14ac:dyDescent="0.25"/>
    <row r="36581" s="42" customFormat="1" x14ac:dyDescent="0.25"/>
    <row r="36582" s="42" customFormat="1" x14ac:dyDescent="0.25"/>
    <row r="36583" s="42" customFormat="1" x14ac:dyDescent="0.25"/>
    <row r="36584" s="42" customFormat="1" x14ac:dyDescent="0.25"/>
    <row r="36585" s="42" customFormat="1" x14ac:dyDescent="0.25"/>
    <row r="36586" s="42" customFormat="1" x14ac:dyDescent="0.25"/>
    <row r="36587" s="42" customFormat="1" x14ac:dyDescent="0.25"/>
    <row r="36588" s="42" customFormat="1" x14ac:dyDescent="0.25"/>
    <row r="36589" s="42" customFormat="1" x14ac:dyDescent="0.25"/>
    <row r="36590" s="42" customFormat="1" x14ac:dyDescent="0.25"/>
    <row r="36591" s="42" customFormat="1" x14ac:dyDescent="0.25"/>
    <row r="36592" s="42" customFormat="1" x14ac:dyDescent="0.25"/>
    <row r="36593" s="42" customFormat="1" x14ac:dyDescent="0.25"/>
    <row r="36594" s="42" customFormat="1" x14ac:dyDescent="0.25"/>
    <row r="36595" s="42" customFormat="1" x14ac:dyDescent="0.25"/>
    <row r="36596" s="42" customFormat="1" x14ac:dyDescent="0.25"/>
    <row r="36597" s="42" customFormat="1" x14ac:dyDescent="0.25"/>
    <row r="36598" s="42" customFormat="1" x14ac:dyDescent="0.25"/>
    <row r="36599" s="42" customFormat="1" x14ac:dyDescent="0.25"/>
    <row r="36600" s="42" customFormat="1" x14ac:dyDescent="0.25"/>
    <row r="36601" s="42" customFormat="1" x14ac:dyDescent="0.25"/>
    <row r="36602" s="42" customFormat="1" x14ac:dyDescent="0.25"/>
    <row r="36603" s="42" customFormat="1" x14ac:dyDescent="0.25"/>
    <row r="36604" s="42" customFormat="1" x14ac:dyDescent="0.25"/>
    <row r="36605" s="42" customFormat="1" x14ac:dyDescent="0.25"/>
    <row r="36606" s="42" customFormat="1" x14ac:dyDescent="0.25"/>
    <row r="36607" s="42" customFormat="1" x14ac:dyDescent="0.25"/>
    <row r="36608" s="42" customFormat="1" x14ac:dyDescent="0.25"/>
    <row r="36609" s="42" customFormat="1" x14ac:dyDescent="0.25"/>
    <row r="36610" s="42" customFormat="1" x14ac:dyDescent="0.25"/>
    <row r="36611" s="42" customFormat="1" x14ac:dyDescent="0.25"/>
    <row r="36612" s="42" customFormat="1" x14ac:dyDescent="0.25"/>
    <row r="36613" s="42" customFormat="1" x14ac:dyDescent="0.25"/>
    <row r="36614" s="42" customFormat="1" x14ac:dyDescent="0.25"/>
    <row r="36615" s="42" customFormat="1" x14ac:dyDescent="0.25"/>
    <row r="36616" s="42" customFormat="1" x14ac:dyDescent="0.25"/>
    <row r="36617" s="42" customFormat="1" x14ac:dyDescent="0.25"/>
    <row r="36618" s="42" customFormat="1" x14ac:dyDescent="0.25"/>
    <row r="36619" s="42" customFormat="1" x14ac:dyDescent="0.25"/>
    <row r="36620" s="42" customFormat="1" x14ac:dyDescent="0.25"/>
    <row r="36621" s="42" customFormat="1" x14ac:dyDescent="0.25"/>
    <row r="36622" s="42" customFormat="1" x14ac:dyDescent="0.25"/>
    <row r="36623" s="42" customFormat="1" x14ac:dyDescent="0.25"/>
    <row r="36624" s="42" customFormat="1" x14ac:dyDescent="0.25"/>
    <row r="36625" s="42" customFormat="1" x14ac:dyDescent="0.25"/>
    <row r="36626" s="42" customFormat="1" x14ac:dyDescent="0.25"/>
    <row r="36627" s="42" customFormat="1" x14ac:dyDescent="0.25"/>
    <row r="36628" s="42" customFormat="1" x14ac:dyDescent="0.25"/>
    <row r="36629" s="42" customFormat="1" x14ac:dyDescent="0.25"/>
    <row r="36630" s="42" customFormat="1" x14ac:dyDescent="0.25"/>
    <row r="36631" s="42" customFormat="1" x14ac:dyDescent="0.25"/>
    <row r="36632" s="42" customFormat="1" x14ac:dyDescent="0.25"/>
    <row r="36633" s="42" customFormat="1" x14ac:dyDescent="0.25"/>
    <row r="36634" s="42" customFormat="1" x14ac:dyDescent="0.25"/>
    <row r="36635" s="42" customFormat="1" x14ac:dyDescent="0.25"/>
    <row r="36636" s="42" customFormat="1" x14ac:dyDescent="0.25"/>
    <row r="36637" s="42" customFormat="1" x14ac:dyDescent="0.25"/>
    <row r="36638" s="42" customFormat="1" x14ac:dyDescent="0.25"/>
    <row r="36639" s="42" customFormat="1" x14ac:dyDescent="0.25"/>
    <row r="36640" s="42" customFormat="1" x14ac:dyDescent="0.25"/>
    <row r="36641" s="42" customFormat="1" x14ac:dyDescent="0.25"/>
    <row r="36642" s="42" customFormat="1" x14ac:dyDescent="0.25"/>
    <row r="36643" s="42" customFormat="1" x14ac:dyDescent="0.25"/>
    <row r="36644" s="42" customFormat="1" x14ac:dyDescent="0.25"/>
    <row r="36645" s="42" customFormat="1" x14ac:dyDescent="0.25"/>
    <row r="36646" s="42" customFormat="1" x14ac:dyDescent="0.25"/>
    <row r="36647" s="42" customFormat="1" x14ac:dyDescent="0.25"/>
    <row r="36648" s="42" customFormat="1" x14ac:dyDescent="0.25"/>
    <row r="36649" s="42" customFormat="1" x14ac:dyDescent="0.25"/>
    <row r="36650" s="42" customFormat="1" x14ac:dyDescent="0.25"/>
    <row r="36651" s="42" customFormat="1" x14ac:dyDescent="0.25"/>
    <row r="36652" s="42" customFormat="1" x14ac:dyDescent="0.25"/>
    <row r="36653" s="42" customFormat="1" x14ac:dyDescent="0.25"/>
    <row r="36654" s="42" customFormat="1" x14ac:dyDescent="0.25"/>
    <row r="36655" s="42" customFormat="1" x14ac:dyDescent="0.25"/>
    <row r="36656" s="42" customFormat="1" x14ac:dyDescent="0.25"/>
    <row r="36657" s="42" customFormat="1" x14ac:dyDescent="0.25"/>
    <row r="36658" s="42" customFormat="1" x14ac:dyDescent="0.25"/>
    <row r="36659" s="42" customFormat="1" x14ac:dyDescent="0.25"/>
    <row r="36660" s="42" customFormat="1" x14ac:dyDescent="0.25"/>
    <row r="36661" s="42" customFormat="1" x14ac:dyDescent="0.25"/>
    <row r="36662" s="42" customFormat="1" x14ac:dyDescent="0.25"/>
    <row r="36663" s="42" customFormat="1" x14ac:dyDescent="0.25"/>
    <row r="36664" s="42" customFormat="1" x14ac:dyDescent="0.25"/>
    <row r="36665" s="42" customFormat="1" x14ac:dyDescent="0.25"/>
    <row r="36666" s="42" customFormat="1" x14ac:dyDescent="0.25"/>
    <row r="36667" s="42" customFormat="1" x14ac:dyDescent="0.25"/>
    <row r="36668" s="42" customFormat="1" x14ac:dyDescent="0.25"/>
    <row r="36669" s="42" customFormat="1" x14ac:dyDescent="0.25"/>
    <row r="36670" s="42" customFormat="1" x14ac:dyDescent="0.25"/>
    <row r="36671" s="42" customFormat="1" x14ac:dyDescent="0.25"/>
    <row r="36672" s="42" customFormat="1" x14ac:dyDescent="0.25"/>
    <row r="36673" s="42" customFormat="1" x14ac:dyDescent="0.25"/>
    <row r="36674" s="42" customFormat="1" x14ac:dyDescent="0.25"/>
    <row r="36675" s="42" customFormat="1" x14ac:dyDescent="0.25"/>
    <row r="36676" s="42" customFormat="1" x14ac:dyDescent="0.25"/>
    <row r="36677" s="42" customFormat="1" x14ac:dyDescent="0.25"/>
    <row r="36678" s="42" customFormat="1" x14ac:dyDescent="0.25"/>
    <row r="36679" s="42" customFormat="1" x14ac:dyDescent="0.25"/>
    <row r="36680" s="42" customFormat="1" x14ac:dyDescent="0.25"/>
    <row r="36681" s="42" customFormat="1" x14ac:dyDescent="0.25"/>
    <row r="36682" s="42" customFormat="1" x14ac:dyDescent="0.25"/>
    <row r="36683" s="42" customFormat="1" x14ac:dyDescent="0.25"/>
    <row r="36684" s="42" customFormat="1" x14ac:dyDescent="0.25"/>
    <row r="36685" s="42" customFormat="1" x14ac:dyDescent="0.25"/>
    <row r="36686" s="42" customFormat="1" x14ac:dyDescent="0.25"/>
    <row r="36687" s="42" customFormat="1" x14ac:dyDescent="0.25"/>
    <row r="36688" s="42" customFormat="1" x14ac:dyDescent="0.25"/>
    <row r="36689" s="42" customFormat="1" x14ac:dyDescent="0.25"/>
    <row r="36690" s="42" customFormat="1" x14ac:dyDescent="0.25"/>
    <row r="36691" s="42" customFormat="1" x14ac:dyDescent="0.25"/>
    <row r="36692" s="42" customFormat="1" x14ac:dyDescent="0.25"/>
    <row r="36693" s="42" customFormat="1" x14ac:dyDescent="0.25"/>
    <row r="36694" s="42" customFormat="1" x14ac:dyDescent="0.25"/>
    <row r="36695" s="42" customFormat="1" x14ac:dyDescent="0.25"/>
    <row r="36696" s="42" customFormat="1" x14ac:dyDescent="0.25"/>
    <row r="36697" s="42" customFormat="1" x14ac:dyDescent="0.25"/>
    <row r="36698" s="42" customFormat="1" x14ac:dyDescent="0.25"/>
    <row r="36699" s="42" customFormat="1" x14ac:dyDescent="0.25"/>
    <row r="36700" s="42" customFormat="1" x14ac:dyDescent="0.25"/>
    <row r="36701" s="42" customFormat="1" x14ac:dyDescent="0.25"/>
    <row r="36702" s="42" customFormat="1" x14ac:dyDescent="0.25"/>
    <row r="36703" s="42" customFormat="1" x14ac:dyDescent="0.25"/>
    <row r="36704" s="42" customFormat="1" x14ac:dyDescent="0.25"/>
    <row r="36705" s="42" customFormat="1" x14ac:dyDescent="0.25"/>
    <row r="36706" s="42" customFormat="1" x14ac:dyDescent="0.25"/>
    <row r="36707" s="42" customFormat="1" x14ac:dyDescent="0.25"/>
    <row r="36708" s="42" customFormat="1" x14ac:dyDescent="0.25"/>
    <row r="36709" s="42" customFormat="1" x14ac:dyDescent="0.25"/>
    <row r="36710" s="42" customFormat="1" x14ac:dyDescent="0.25"/>
    <row r="36711" s="42" customFormat="1" x14ac:dyDescent="0.25"/>
    <row r="36712" s="42" customFormat="1" x14ac:dyDescent="0.25"/>
    <row r="36713" s="42" customFormat="1" x14ac:dyDescent="0.25"/>
    <row r="36714" s="42" customFormat="1" x14ac:dyDescent="0.25"/>
    <row r="36715" s="42" customFormat="1" x14ac:dyDescent="0.25"/>
    <row r="36716" s="42" customFormat="1" x14ac:dyDescent="0.25"/>
    <row r="36717" s="42" customFormat="1" x14ac:dyDescent="0.25"/>
    <row r="36718" s="42" customFormat="1" x14ac:dyDescent="0.25"/>
    <row r="36719" s="42" customFormat="1" x14ac:dyDescent="0.25"/>
    <row r="36720" s="42" customFormat="1" x14ac:dyDescent="0.25"/>
    <row r="36721" s="42" customFormat="1" x14ac:dyDescent="0.25"/>
    <row r="36722" s="42" customFormat="1" x14ac:dyDescent="0.25"/>
    <row r="36723" s="42" customFormat="1" x14ac:dyDescent="0.25"/>
    <row r="36724" s="42" customFormat="1" x14ac:dyDescent="0.25"/>
    <row r="36725" s="42" customFormat="1" x14ac:dyDescent="0.25"/>
    <row r="36726" s="42" customFormat="1" x14ac:dyDescent="0.25"/>
    <row r="36727" s="42" customFormat="1" x14ac:dyDescent="0.25"/>
    <row r="36728" s="42" customFormat="1" x14ac:dyDescent="0.25"/>
    <row r="36729" s="42" customFormat="1" x14ac:dyDescent="0.25"/>
    <row r="36730" s="42" customFormat="1" x14ac:dyDescent="0.25"/>
    <row r="36731" s="42" customFormat="1" x14ac:dyDescent="0.25"/>
    <row r="36732" s="42" customFormat="1" x14ac:dyDescent="0.25"/>
    <row r="36733" s="42" customFormat="1" x14ac:dyDescent="0.25"/>
    <row r="36734" s="42" customFormat="1" x14ac:dyDescent="0.25"/>
    <row r="36735" s="42" customFormat="1" x14ac:dyDescent="0.25"/>
    <row r="36736" s="42" customFormat="1" x14ac:dyDescent="0.25"/>
    <row r="36737" s="42" customFormat="1" x14ac:dyDescent="0.25"/>
    <row r="36738" s="42" customFormat="1" x14ac:dyDescent="0.25"/>
    <row r="36739" s="42" customFormat="1" x14ac:dyDescent="0.25"/>
    <row r="36740" s="42" customFormat="1" x14ac:dyDescent="0.25"/>
    <row r="36741" s="42" customFormat="1" x14ac:dyDescent="0.25"/>
    <row r="36742" s="42" customFormat="1" x14ac:dyDescent="0.25"/>
    <row r="36743" s="42" customFormat="1" x14ac:dyDescent="0.25"/>
    <row r="36744" s="42" customFormat="1" x14ac:dyDescent="0.25"/>
    <row r="36745" s="42" customFormat="1" x14ac:dyDescent="0.25"/>
    <row r="36746" s="42" customFormat="1" x14ac:dyDescent="0.25"/>
    <row r="36747" s="42" customFormat="1" x14ac:dyDescent="0.25"/>
    <row r="36748" s="42" customFormat="1" x14ac:dyDescent="0.25"/>
    <row r="36749" s="42" customFormat="1" x14ac:dyDescent="0.25"/>
    <row r="36750" s="42" customFormat="1" x14ac:dyDescent="0.25"/>
    <row r="36751" s="42" customFormat="1" x14ac:dyDescent="0.25"/>
    <row r="36752" s="42" customFormat="1" x14ac:dyDescent="0.25"/>
    <row r="36753" s="42" customFormat="1" x14ac:dyDescent="0.25"/>
    <row r="36754" s="42" customFormat="1" x14ac:dyDescent="0.25"/>
    <row r="36755" s="42" customFormat="1" x14ac:dyDescent="0.25"/>
    <row r="36756" s="42" customFormat="1" x14ac:dyDescent="0.25"/>
    <row r="36757" s="42" customFormat="1" x14ac:dyDescent="0.25"/>
    <row r="36758" s="42" customFormat="1" x14ac:dyDescent="0.25"/>
    <row r="36759" s="42" customFormat="1" x14ac:dyDescent="0.25"/>
    <row r="36760" s="42" customFormat="1" x14ac:dyDescent="0.25"/>
    <row r="36761" s="42" customFormat="1" x14ac:dyDescent="0.25"/>
    <row r="36762" s="42" customFormat="1" x14ac:dyDescent="0.25"/>
    <row r="36763" s="42" customFormat="1" x14ac:dyDescent="0.25"/>
    <row r="36764" s="42" customFormat="1" x14ac:dyDescent="0.25"/>
    <row r="36765" s="42" customFormat="1" x14ac:dyDescent="0.25"/>
    <row r="36766" s="42" customFormat="1" x14ac:dyDescent="0.25"/>
    <row r="36767" s="42" customFormat="1" x14ac:dyDescent="0.25"/>
    <row r="36768" s="42" customFormat="1" x14ac:dyDescent="0.25"/>
    <row r="36769" s="42" customFormat="1" x14ac:dyDescent="0.25"/>
    <row r="36770" s="42" customFormat="1" x14ac:dyDescent="0.25"/>
    <row r="36771" s="42" customFormat="1" x14ac:dyDescent="0.25"/>
    <row r="36772" s="42" customFormat="1" x14ac:dyDescent="0.25"/>
    <row r="36773" s="42" customFormat="1" x14ac:dyDescent="0.25"/>
    <row r="36774" s="42" customFormat="1" x14ac:dyDescent="0.25"/>
    <row r="36775" s="42" customFormat="1" x14ac:dyDescent="0.25"/>
    <row r="36776" s="42" customFormat="1" x14ac:dyDescent="0.25"/>
    <row r="36777" s="42" customFormat="1" x14ac:dyDescent="0.25"/>
    <row r="36778" s="42" customFormat="1" x14ac:dyDescent="0.25"/>
    <row r="36779" s="42" customFormat="1" x14ac:dyDescent="0.25"/>
    <row r="36780" s="42" customFormat="1" x14ac:dyDescent="0.25"/>
    <row r="36781" s="42" customFormat="1" x14ac:dyDescent="0.25"/>
    <row r="36782" s="42" customFormat="1" x14ac:dyDescent="0.25"/>
    <row r="36783" s="42" customFormat="1" x14ac:dyDescent="0.25"/>
    <row r="36784" s="42" customFormat="1" x14ac:dyDescent="0.25"/>
    <row r="36785" s="42" customFormat="1" x14ac:dyDescent="0.25"/>
    <row r="36786" s="42" customFormat="1" x14ac:dyDescent="0.25"/>
    <row r="36787" s="42" customFormat="1" x14ac:dyDescent="0.25"/>
    <row r="36788" s="42" customFormat="1" x14ac:dyDescent="0.25"/>
    <row r="36789" s="42" customFormat="1" x14ac:dyDescent="0.25"/>
    <row r="36790" s="42" customFormat="1" x14ac:dyDescent="0.25"/>
    <row r="36791" s="42" customFormat="1" x14ac:dyDescent="0.25"/>
    <row r="36792" s="42" customFormat="1" x14ac:dyDescent="0.25"/>
    <row r="36793" s="42" customFormat="1" x14ac:dyDescent="0.25"/>
    <row r="36794" s="42" customFormat="1" x14ac:dyDescent="0.25"/>
    <row r="36795" s="42" customFormat="1" x14ac:dyDescent="0.25"/>
    <row r="36796" s="42" customFormat="1" x14ac:dyDescent="0.25"/>
    <row r="36797" s="42" customFormat="1" x14ac:dyDescent="0.25"/>
    <row r="36798" s="42" customFormat="1" x14ac:dyDescent="0.25"/>
    <row r="36799" s="42" customFormat="1" x14ac:dyDescent="0.25"/>
    <row r="36800" s="42" customFormat="1" x14ac:dyDescent="0.25"/>
    <row r="36801" s="42" customFormat="1" x14ac:dyDescent="0.25"/>
    <row r="36802" s="42" customFormat="1" x14ac:dyDescent="0.25"/>
    <row r="36803" s="42" customFormat="1" x14ac:dyDescent="0.25"/>
    <row r="36804" s="42" customFormat="1" x14ac:dyDescent="0.25"/>
    <row r="36805" s="42" customFormat="1" x14ac:dyDescent="0.25"/>
    <row r="36806" s="42" customFormat="1" x14ac:dyDescent="0.25"/>
    <row r="36807" s="42" customFormat="1" x14ac:dyDescent="0.25"/>
    <row r="36808" s="42" customFormat="1" x14ac:dyDescent="0.25"/>
    <row r="36809" s="42" customFormat="1" x14ac:dyDescent="0.25"/>
    <row r="36810" s="42" customFormat="1" x14ac:dyDescent="0.25"/>
    <row r="36811" s="42" customFormat="1" x14ac:dyDescent="0.25"/>
    <row r="36812" s="42" customFormat="1" x14ac:dyDescent="0.25"/>
    <row r="36813" s="42" customFormat="1" x14ac:dyDescent="0.25"/>
    <row r="36814" s="42" customFormat="1" x14ac:dyDescent="0.25"/>
    <row r="36815" s="42" customFormat="1" x14ac:dyDescent="0.25"/>
    <row r="36816" s="42" customFormat="1" x14ac:dyDescent="0.25"/>
    <row r="36817" s="42" customFormat="1" x14ac:dyDescent="0.25"/>
    <row r="36818" s="42" customFormat="1" x14ac:dyDescent="0.25"/>
    <row r="36819" s="42" customFormat="1" x14ac:dyDescent="0.25"/>
    <row r="36820" s="42" customFormat="1" x14ac:dyDescent="0.25"/>
    <row r="36821" s="42" customFormat="1" x14ac:dyDescent="0.25"/>
    <row r="36822" s="42" customFormat="1" x14ac:dyDescent="0.25"/>
    <row r="36823" s="42" customFormat="1" x14ac:dyDescent="0.25"/>
    <row r="36824" s="42" customFormat="1" x14ac:dyDescent="0.25"/>
    <row r="36825" s="42" customFormat="1" x14ac:dyDescent="0.25"/>
    <row r="36826" s="42" customFormat="1" x14ac:dyDescent="0.25"/>
    <row r="36827" s="42" customFormat="1" x14ac:dyDescent="0.25"/>
    <row r="36828" s="42" customFormat="1" x14ac:dyDescent="0.25"/>
    <row r="36829" s="42" customFormat="1" x14ac:dyDescent="0.25"/>
    <row r="36830" s="42" customFormat="1" x14ac:dyDescent="0.25"/>
    <row r="36831" s="42" customFormat="1" x14ac:dyDescent="0.25"/>
    <row r="36832" s="42" customFormat="1" x14ac:dyDescent="0.25"/>
    <row r="36833" s="42" customFormat="1" x14ac:dyDescent="0.25"/>
    <row r="36834" s="42" customFormat="1" x14ac:dyDescent="0.25"/>
    <row r="36835" s="42" customFormat="1" x14ac:dyDescent="0.25"/>
    <row r="36836" s="42" customFormat="1" x14ac:dyDescent="0.25"/>
    <row r="36837" s="42" customFormat="1" x14ac:dyDescent="0.25"/>
    <row r="36838" s="42" customFormat="1" x14ac:dyDescent="0.25"/>
    <row r="36839" s="42" customFormat="1" x14ac:dyDescent="0.25"/>
    <row r="36840" s="42" customFormat="1" x14ac:dyDescent="0.25"/>
    <row r="36841" s="42" customFormat="1" x14ac:dyDescent="0.25"/>
    <row r="36842" s="42" customFormat="1" x14ac:dyDescent="0.25"/>
    <row r="36843" s="42" customFormat="1" x14ac:dyDescent="0.25"/>
    <row r="36844" s="42" customFormat="1" x14ac:dyDescent="0.25"/>
    <row r="36845" s="42" customFormat="1" x14ac:dyDescent="0.25"/>
    <row r="36846" s="42" customFormat="1" x14ac:dyDescent="0.25"/>
    <row r="36847" s="42" customFormat="1" x14ac:dyDescent="0.25"/>
    <row r="36848" s="42" customFormat="1" x14ac:dyDescent="0.25"/>
    <row r="36849" s="42" customFormat="1" x14ac:dyDescent="0.25"/>
    <row r="36850" s="42" customFormat="1" x14ac:dyDescent="0.25"/>
    <row r="36851" s="42" customFormat="1" x14ac:dyDescent="0.25"/>
    <row r="36852" s="42" customFormat="1" x14ac:dyDescent="0.25"/>
    <row r="36853" s="42" customFormat="1" x14ac:dyDescent="0.25"/>
    <row r="36854" s="42" customFormat="1" x14ac:dyDescent="0.25"/>
    <row r="36855" s="42" customFormat="1" x14ac:dyDescent="0.25"/>
    <row r="36856" s="42" customFormat="1" x14ac:dyDescent="0.25"/>
    <row r="36857" s="42" customFormat="1" x14ac:dyDescent="0.25"/>
    <row r="36858" s="42" customFormat="1" x14ac:dyDescent="0.25"/>
    <row r="36859" s="42" customFormat="1" x14ac:dyDescent="0.25"/>
    <row r="36860" s="42" customFormat="1" x14ac:dyDescent="0.25"/>
    <row r="36861" s="42" customFormat="1" x14ac:dyDescent="0.25"/>
    <row r="36862" s="42" customFormat="1" x14ac:dyDescent="0.25"/>
    <row r="36863" s="42" customFormat="1" x14ac:dyDescent="0.25"/>
    <row r="36864" s="42" customFormat="1" x14ac:dyDescent="0.25"/>
    <row r="36865" s="42" customFormat="1" x14ac:dyDescent="0.25"/>
    <row r="36866" s="42" customFormat="1" x14ac:dyDescent="0.25"/>
    <row r="36867" s="42" customFormat="1" x14ac:dyDescent="0.25"/>
    <row r="36868" s="42" customFormat="1" x14ac:dyDescent="0.25"/>
    <row r="36869" s="42" customFormat="1" x14ac:dyDescent="0.25"/>
    <row r="36870" s="42" customFormat="1" x14ac:dyDescent="0.25"/>
    <row r="36871" s="42" customFormat="1" x14ac:dyDescent="0.25"/>
    <row r="36872" s="42" customFormat="1" x14ac:dyDescent="0.25"/>
    <row r="36873" s="42" customFormat="1" x14ac:dyDescent="0.25"/>
    <row r="36874" s="42" customFormat="1" x14ac:dyDescent="0.25"/>
    <row r="36875" s="42" customFormat="1" x14ac:dyDescent="0.25"/>
    <row r="36876" s="42" customFormat="1" x14ac:dyDescent="0.25"/>
    <row r="36877" s="42" customFormat="1" x14ac:dyDescent="0.25"/>
    <row r="36878" s="42" customFormat="1" x14ac:dyDescent="0.25"/>
    <row r="36879" s="42" customFormat="1" x14ac:dyDescent="0.25"/>
    <row r="36880" s="42" customFormat="1" x14ac:dyDescent="0.25"/>
    <row r="36881" s="42" customFormat="1" x14ac:dyDescent="0.25"/>
    <row r="36882" s="42" customFormat="1" x14ac:dyDescent="0.25"/>
    <row r="36883" s="42" customFormat="1" x14ac:dyDescent="0.25"/>
    <row r="36884" s="42" customFormat="1" x14ac:dyDescent="0.25"/>
    <row r="36885" s="42" customFormat="1" x14ac:dyDescent="0.25"/>
    <row r="36886" s="42" customFormat="1" x14ac:dyDescent="0.25"/>
    <row r="36887" s="42" customFormat="1" x14ac:dyDescent="0.25"/>
    <row r="36888" s="42" customFormat="1" x14ac:dyDescent="0.25"/>
    <row r="36889" s="42" customFormat="1" x14ac:dyDescent="0.25"/>
    <row r="36890" s="42" customFormat="1" x14ac:dyDescent="0.25"/>
    <row r="36891" s="42" customFormat="1" x14ac:dyDescent="0.25"/>
    <row r="36892" s="42" customFormat="1" x14ac:dyDescent="0.25"/>
    <row r="36893" s="42" customFormat="1" x14ac:dyDescent="0.25"/>
    <row r="36894" s="42" customFormat="1" x14ac:dyDescent="0.25"/>
    <row r="36895" s="42" customFormat="1" x14ac:dyDescent="0.25"/>
    <row r="36896" s="42" customFormat="1" x14ac:dyDescent="0.25"/>
    <row r="36897" s="42" customFormat="1" x14ac:dyDescent="0.25"/>
    <row r="36898" s="42" customFormat="1" x14ac:dyDescent="0.25"/>
    <row r="36899" s="42" customFormat="1" x14ac:dyDescent="0.25"/>
    <row r="36900" s="42" customFormat="1" x14ac:dyDescent="0.25"/>
    <row r="36901" s="42" customFormat="1" x14ac:dyDescent="0.25"/>
    <row r="36902" s="42" customFormat="1" x14ac:dyDescent="0.25"/>
    <row r="36903" s="42" customFormat="1" x14ac:dyDescent="0.25"/>
    <row r="36904" s="42" customFormat="1" x14ac:dyDescent="0.25"/>
    <row r="36905" s="42" customFormat="1" x14ac:dyDescent="0.25"/>
    <row r="36906" s="42" customFormat="1" x14ac:dyDescent="0.25"/>
    <row r="36907" s="42" customFormat="1" x14ac:dyDescent="0.25"/>
    <row r="36908" s="42" customFormat="1" x14ac:dyDescent="0.25"/>
    <row r="36909" s="42" customFormat="1" x14ac:dyDescent="0.25"/>
    <row r="36910" s="42" customFormat="1" x14ac:dyDescent="0.25"/>
    <row r="36911" s="42" customFormat="1" x14ac:dyDescent="0.25"/>
    <row r="36912" s="42" customFormat="1" x14ac:dyDescent="0.25"/>
    <row r="36913" s="42" customFormat="1" x14ac:dyDescent="0.25"/>
    <row r="36914" s="42" customFormat="1" x14ac:dyDescent="0.25"/>
    <row r="36915" s="42" customFormat="1" x14ac:dyDescent="0.25"/>
    <row r="36916" s="42" customFormat="1" x14ac:dyDescent="0.25"/>
    <row r="36917" s="42" customFormat="1" x14ac:dyDescent="0.25"/>
    <row r="36918" s="42" customFormat="1" x14ac:dyDescent="0.25"/>
    <row r="36919" s="42" customFormat="1" x14ac:dyDescent="0.25"/>
    <row r="36920" s="42" customFormat="1" x14ac:dyDescent="0.25"/>
    <row r="36921" s="42" customFormat="1" x14ac:dyDescent="0.25"/>
    <row r="36922" s="42" customFormat="1" x14ac:dyDescent="0.25"/>
    <row r="36923" s="42" customFormat="1" x14ac:dyDescent="0.25"/>
    <row r="36924" s="42" customFormat="1" x14ac:dyDescent="0.25"/>
    <row r="36925" s="42" customFormat="1" x14ac:dyDescent="0.25"/>
    <row r="36926" s="42" customFormat="1" x14ac:dyDescent="0.25"/>
    <row r="36927" s="42" customFormat="1" x14ac:dyDescent="0.25"/>
    <row r="36928" s="42" customFormat="1" x14ac:dyDescent="0.25"/>
    <row r="36929" s="42" customFormat="1" x14ac:dyDescent="0.25"/>
    <row r="36930" s="42" customFormat="1" x14ac:dyDescent="0.25"/>
    <row r="36931" s="42" customFormat="1" x14ac:dyDescent="0.25"/>
    <row r="36932" s="42" customFormat="1" x14ac:dyDescent="0.25"/>
    <row r="36933" s="42" customFormat="1" x14ac:dyDescent="0.25"/>
    <row r="36934" s="42" customFormat="1" x14ac:dyDescent="0.25"/>
    <row r="36935" s="42" customFormat="1" x14ac:dyDescent="0.25"/>
    <row r="36936" s="42" customFormat="1" x14ac:dyDescent="0.25"/>
    <row r="36937" s="42" customFormat="1" x14ac:dyDescent="0.25"/>
    <row r="36938" s="42" customFormat="1" x14ac:dyDescent="0.25"/>
    <row r="36939" s="42" customFormat="1" x14ac:dyDescent="0.25"/>
    <row r="36940" s="42" customFormat="1" x14ac:dyDescent="0.25"/>
    <row r="36941" s="42" customFormat="1" x14ac:dyDescent="0.25"/>
    <row r="36942" s="42" customFormat="1" x14ac:dyDescent="0.25"/>
    <row r="36943" s="42" customFormat="1" x14ac:dyDescent="0.25"/>
    <row r="36944" s="42" customFormat="1" x14ac:dyDescent="0.25"/>
    <row r="36945" s="42" customFormat="1" x14ac:dyDescent="0.25"/>
    <row r="36946" s="42" customFormat="1" x14ac:dyDescent="0.25"/>
    <row r="36947" s="42" customFormat="1" x14ac:dyDescent="0.25"/>
    <row r="36948" s="42" customFormat="1" x14ac:dyDescent="0.25"/>
    <row r="36949" s="42" customFormat="1" x14ac:dyDescent="0.25"/>
    <row r="36950" s="42" customFormat="1" x14ac:dyDescent="0.25"/>
    <row r="36951" s="42" customFormat="1" x14ac:dyDescent="0.25"/>
    <row r="36952" s="42" customFormat="1" x14ac:dyDescent="0.25"/>
    <row r="36953" s="42" customFormat="1" x14ac:dyDescent="0.25"/>
    <row r="36954" s="42" customFormat="1" x14ac:dyDescent="0.25"/>
    <row r="36955" s="42" customFormat="1" x14ac:dyDescent="0.25"/>
    <row r="36956" s="42" customFormat="1" x14ac:dyDescent="0.25"/>
    <row r="36957" s="42" customFormat="1" x14ac:dyDescent="0.25"/>
    <row r="36958" s="42" customFormat="1" x14ac:dyDescent="0.25"/>
    <row r="36959" s="42" customFormat="1" x14ac:dyDescent="0.25"/>
    <row r="36960" s="42" customFormat="1" x14ac:dyDescent="0.25"/>
    <row r="36961" s="42" customFormat="1" x14ac:dyDescent="0.25"/>
    <row r="36962" s="42" customFormat="1" x14ac:dyDescent="0.25"/>
    <row r="36963" s="42" customFormat="1" x14ac:dyDescent="0.25"/>
    <row r="36964" s="42" customFormat="1" x14ac:dyDescent="0.25"/>
    <row r="36965" s="42" customFormat="1" x14ac:dyDescent="0.25"/>
    <row r="36966" s="42" customFormat="1" x14ac:dyDescent="0.25"/>
    <row r="36967" s="42" customFormat="1" x14ac:dyDescent="0.25"/>
    <row r="36968" s="42" customFormat="1" x14ac:dyDescent="0.25"/>
    <row r="36969" s="42" customFormat="1" x14ac:dyDescent="0.25"/>
    <row r="36970" s="42" customFormat="1" x14ac:dyDescent="0.25"/>
    <row r="36971" s="42" customFormat="1" x14ac:dyDescent="0.25"/>
    <row r="36972" s="42" customFormat="1" x14ac:dyDescent="0.25"/>
    <row r="36973" s="42" customFormat="1" x14ac:dyDescent="0.25"/>
    <row r="36974" s="42" customFormat="1" x14ac:dyDescent="0.25"/>
    <row r="36975" s="42" customFormat="1" x14ac:dyDescent="0.25"/>
    <row r="36976" s="42" customFormat="1" x14ac:dyDescent="0.25"/>
    <row r="36977" s="42" customFormat="1" x14ac:dyDescent="0.25"/>
    <row r="36978" s="42" customFormat="1" x14ac:dyDescent="0.25"/>
    <row r="36979" s="42" customFormat="1" x14ac:dyDescent="0.25"/>
    <row r="36980" s="42" customFormat="1" x14ac:dyDescent="0.25"/>
    <row r="36981" s="42" customFormat="1" x14ac:dyDescent="0.25"/>
    <row r="36982" s="42" customFormat="1" x14ac:dyDescent="0.25"/>
    <row r="36983" s="42" customFormat="1" x14ac:dyDescent="0.25"/>
    <row r="36984" s="42" customFormat="1" x14ac:dyDescent="0.25"/>
    <row r="36985" s="42" customFormat="1" x14ac:dyDescent="0.25"/>
    <row r="36986" s="42" customFormat="1" x14ac:dyDescent="0.25"/>
    <row r="36987" s="42" customFormat="1" x14ac:dyDescent="0.25"/>
    <row r="36988" s="42" customFormat="1" x14ac:dyDescent="0.25"/>
    <row r="36989" s="42" customFormat="1" x14ac:dyDescent="0.25"/>
    <row r="36990" s="42" customFormat="1" x14ac:dyDescent="0.25"/>
    <row r="36991" s="42" customFormat="1" x14ac:dyDescent="0.25"/>
    <row r="36992" s="42" customFormat="1" x14ac:dyDescent="0.25"/>
    <row r="36993" s="42" customFormat="1" x14ac:dyDescent="0.25"/>
    <row r="36994" s="42" customFormat="1" x14ac:dyDescent="0.25"/>
    <row r="36995" s="42" customFormat="1" x14ac:dyDescent="0.25"/>
    <row r="36996" s="42" customFormat="1" x14ac:dyDescent="0.25"/>
    <row r="36997" s="42" customFormat="1" x14ac:dyDescent="0.25"/>
    <row r="36998" s="42" customFormat="1" x14ac:dyDescent="0.25"/>
    <row r="36999" s="42" customFormat="1" x14ac:dyDescent="0.25"/>
    <row r="37000" s="42" customFormat="1" x14ac:dyDescent="0.25"/>
    <row r="37001" s="42" customFormat="1" x14ac:dyDescent="0.25"/>
    <row r="37002" s="42" customFormat="1" x14ac:dyDescent="0.25"/>
    <row r="37003" s="42" customFormat="1" x14ac:dyDescent="0.25"/>
    <row r="37004" s="42" customFormat="1" x14ac:dyDescent="0.25"/>
    <row r="37005" s="42" customFormat="1" x14ac:dyDescent="0.25"/>
    <row r="37006" s="42" customFormat="1" x14ac:dyDescent="0.25"/>
    <row r="37007" s="42" customFormat="1" x14ac:dyDescent="0.25"/>
    <row r="37008" s="42" customFormat="1" x14ac:dyDescent="0.25"/>
    <row r="37009" s="42" customFormat="1" x14ac:dyDescent="0.25"/>
    <row r="37010" s="42" customFormat="1" x14ac:dyDescent="0.25"/>
    <row r="37011" s="42" customFormat="1" x14ac:dyDescent="0.25"/>
    <row r="37012" s="42" customFormat="1" x14ac:dyDescent="0.25"/>
    <row r="37013" s="42" customFormat="1" x14ac:dyDescent="0.25"/>
    <row r="37014" s="42" customFormat="1" x14ac:dyDescent="0.25"/>
    <row r="37015" s="42" customFormat="1" x14ac:dyDescent="0.25"/>
    <row r="37016" s="42" customFormat="1" x14ac:dyDescent="0.25"/>
    <row r="37017" s="42" customFormat="1" x14ac:dyDescent="0.25"/>
    <row r="37018" s="42" customFormat="1" x14ac:dyDescent="0.25"/>
    <row r="37019" s="42" customFormat="1" x14ac:dyDescent="0.25"/>
    <row r="37020" s="42" customFormat="1" x14ac:dyDescent="0.25"/>
    <row r="37021" s="42" customFormat="1" x14ac:dyDescent="0.25"/>
    <row r="37022" s="42" customFormat="1" x14ac:dyDescent="0.25"/>
    <row r="37023" s="42" customFormat="1" x14ac:dyDescent="0.25"/>
    <row r="37024" s="42" customFormat="1" x14ac:dyDescent="0.25"/>
    <row r="37025" s="42" customFormat="1" x14ac:dyDescent="0.25"/>
    <row r="37026" s="42" customFormat="1" x14ac:dyDescent="0.25"/>
    <row r="37027" s="42" customFormat="1" x14ac:dyDescent="0.25"/>
    <row r="37028" s="42" customFormat="1" x14ac:dyDescent="0.25"/>
    <row r="37029" s="42" customFormat="1" x14ac:dyDescent="0.25"/>
    <row r="37030" s="42" customFormat="1" x14ac:dyDescent="0.25"/>
    <row r="37031" s="42" customFormat="1" x14ac:dyDescent="0.25"/>
    <row r="37032" s="42" customFormat="1" x14ac:dyDescent="0.25"/>
    <row r="37033" s="42" customFormat="1" x14ac:dyDescent="0.25"/>
    <row r="37034" s="42" customFormat="1" x14ac:dyDescent="0.25"/>
    <row r="37035" s="42" customFormat="1" x14ac:dyDescent="0.25"/>
    <row r="37036" s="42" customFormat="1" x14ac:dyDescent="0.25"/>
    <row r="37037" s="42" customFormat="1" x14ac:dyDescent="0.25"/>
    <row r="37038" s="42" customFormat="1" x14ac:dyDescent="0.25"/>
    <row r="37039" s="42" customFormat="1" x14ac:dyDescent="0.25"/>
    <row r="37040" s="42" customFormat="1" x14ac:dyDescent="0.25"/>
    <row r="37041" s="42" customFormat="1" x14ac:dyDescent="0.25"/>
    <row r="37042" s="42" customFormat="1" x14ac:dyDescent="0.25"/>
    <row r="37043" s="42" customFormat="1" x14ac:dyDescent="0.25"/>
    <row r="37044" s="42" customFormat="1" x14ac:dyDescent="0.25"/>
    <row r="37045" s="42" customFormat="1" x14ac:dyDescent="0.25"/>
    <row r="37046" s="42" customFormat="1" x14ac:dyDescent="0.25"/>
    <row r="37047" s="42" customFormat="1" x14ac:dyDescent="0.25"/>
    <row r="37048" s="42" customFormat="1" x14ac:dyDescent="0.25"/>
    <row r="37049" s="42" customFormat="1" x14ac:dyDescent="0.25"/>
    <row r="37050" s="42" customFormat="1" x14ac:dyDescent="0.25"/>
    <row r="37051" s="42" customFormat="1" x14ac:dyDescent="0.25"/>
    <row r="37052" s="42" customFormat="1" x14ac:dyDescent="0.25"/>
    <row r="37053" s="42" customFormat="1" x14ac:dyDescent="0.25"/>
    <row r="37054" s="42" customFormat="1" x14ac:dyDescent="0.25"/>
    <row r="37055" s="42" customFormat="1" x14ac:dyDescent="0.25"/>
    <row r="37056" s="42" customFormat="1" x14ac:dyDescent="0.25"/>
    <row r="37057" s="42" customFormat="1" x14ac:dyDescent="0.25"/>
    <row r="37058" s="42" customFormat="1" x14ac:dyDescent="0.25"/>
    <row r="37059" s="42" customFormat="1" x14ac:dyDescent="0.25"/>
    <row r="37060" s="42" customFormat="1" x14ac:dyDescent="0.25"/>
    <row r="37061" s="42" customFormat="1" x14ac:dyDescent="0.25"/>
    <row r="37062" s="42" customFormat="1" x14ac:dyDescent="0.25"/>
    <row r="37063" s="42" customFormat="1" x14ac:dyDescent="0.25"/>
    <row r="37064" s="42" customFormat="1" x14ac:dyDescent="0.25"/>
    <row r="37065" s="42" customFormat="1" x14ac:dyDescent="0.25"/>
    <row r="37066" s="42" customFormat="1" x14ac:dyDescent="0.25"/>
    <row r="37067" s="42" customFormat="1" x14ac:dyDescent="0.25"/>
    <row r="37068" s="42" customFormat="1" x14ac:dyDescent="0.25"/>
    <row r="37069" s="42" customFormat="1" x14ac:dyDescent="0.25"/>
    <row r="37070" s="42" customFormat="1" x14ac:dyDescent="0.25"/>
    <row r="37071" s="42" customFormat="1" x14ac:dyDescent="0.25"/>
    <row r="37072" s="42" customFormat="1" x14ac:dyDescent="0.25"/>
    <row r="37073" s="42" customFormat="1" x14ac:dyDescent="0.25"/>
    <row r="37074" s="42" customFormat="1" x14ac:dyDescent="0.25"/>
    <row r="37075" s="42" customFormat="1" x14ac:dyDescent="0.25"/>
    <row r="37076" s="42" customFormat="1" x14ac:dyDescent="0.25"/>
    <row r="37077" s="42" customFormat="1" x14ac:dyDescent="0.25"/>
    <row r="37078" s="42" customFormat="1" x14ac:dyDescent="0.25"/>
    <row r="37079" s="42" customFormat="1" x14ac:dyDescent="0.25"/>
    <row r="37080" s="42" customFormat="1" x14ac:dyDescent="0.25"/>
    <row r="37081" s="42" customFormat="1" x14ac:dyDescent="0.25"/>
    <row r="37082" s="42" customFormat="1" x14ac:dyDescent="0.25"/>
    <row r="37083" s="42" customFormat="1" x14ac:dyDescent="0.25"/>
    <row r="37084" s="42" customFormat="1" x14ac:dyDescent="0.25"/>
    <row r="37085" s="42" customFormat="1" x14ac:dyDescent="0.25"/>
    <row r="37086" s="42" customFormat="1" x14ac:dyDescent="0.25"/>
    <row r="37087" s="42" customFormat="1" x14ac:dyDescent="0.25"/>
    <row r="37088" s="42" customFormat="1" x14ac:dyDescent="0.25"/>
    <row r="37089" s="42" customFormat="1" x14ac:dyDescent="0.25"/>
    <row r="37090" s="42" customFormat="1" x14ac:dyDescent="0.25"/>
    <row r="37091" s="42" customFormat="1" x14ac:dyDescent="0.25"/>
    <row r="37092" s="42" customFormat="1" x14ac:dyDescent="0.25"/>
    <row r="37093" s="42" customFormat="1" x14ac:dyDescent="0.25"/>
    <row r="37094" s="42" customFormat="1" x14ac:dyDescent="0.25"/>
    <row r="37095" s="42" customFormat="1" x14ac:dyDescent="0.25"/>
    <row r="37096" s="42" customFormat="1" x14ac:dyDescent="0.25"/>
    <row r="37097" s="42" customFormat="1" x14ac:dyDescent="0.25"/>
    <row r="37098" s="42" customFormat="1" x14ac:dyDescent="0.25"/>
    <row r="37099" s="42" customFormat="1" x14ac:dyDescent="0.25"/>
    <row r="37100" s="42" customFormat="1" x14ac:dyDescent="0.25"/>
    <row r="37101" s="42" customFormat="1" x14ac:dyDescent="0.25"/>
    <row r="37102" s="42" customFormat="1" x14ac:dyDescent="0.25"/>
    <row r="37103" s="42" customFormat="1" x14ac:dyDescent="0.25"/>
    <row r="37104" s="42" customFormat="1" x14ac:dyDescent="0.25"/>
    <row r="37105" s="42" customFormat="1" x14ac:dyDescent="0.25"/>
    <row r="37106" s="42" customFormat="1" x14ac:dyDescent="0.25"/>
    <row r="37107" s="42" customFormat="1" x14ac:dyDescent="0.25"/>
    <row r="37108" s="42" customFormat="1" x14ac:dyDescent="0.25"/>
    <row r="37109" s="42" customFormat="1" x14ac:dyDescent="0.25"/>
    <row r="37110" s="42" customFormat="1" x14ac:dyDescent="0.25"/>
    <row r="37111" s="42" customFormat="1" x14ac:dyDescent="0.25"/>
    <row r="37112" s="42" customFormat="1" x14ac:dyDescent="0.25"/>
    <row r="37113" s="42" customFormat="1" x14ac:dyDescent="0.25"/>
    <row r="37114" s="42" customFormat="1" x14ac:dyDescent="0.25"/>
    <row r="37115" s="42" customFormat="1" x14ac:dyDescent="0.25"/>
    <row r="37116" s="42" customFormat="1" x14ac:dyDescent="0.25"/>
    <row r="37117" s="42" customFormat="1" x14ac:dyDescent="0.25"/>
    <row r="37118" s="42" customFormat="1" x14ac:dyDescent="0.25"/>
    <row r="37119" s="42" customFormat="1" x14ac:dyDescent="0.25"/>
    <row r="37120" s="42" customFormat="1" x14ac:dyDescent="0.25"/>
    <row r="37121" s="42" customFormat="1" x14ac:dyDescent="0.25"/>
    <row r="37122" s="42" customFormat="1" x14ac:dyDescent="0.25"/>
    <row r="37123" s="42" customFormat="1" x14ac:dyDescent="0.25"/>
    <row r="37124" s="42" customFormat="1" x14ac:dyDescent="0.25"/>
    <row r="37125" s="42" customFormat="1" x14ac:dyDescent="0.25"/>
    <row r="37126" s="42" customFormat="1" x14ac:dyDescent="0.25"/>
    <row r="37127" s="42" customFormat="1" x14ac:dyDescent="0.25"/>
    <row r="37128" s="42" customFormat="1" x14ac:dyDescent="0.25"/>
    <row r="37129" s="42" customFormat="1" x14ac:dyDescent="0.25"/>
    <row r="37130" s="42" customFormat="1" x14ac:dyDescent="0.25"/>
    <row r="37131" s="42" customFormat="1" x14ac:dyDescent="0.25"/>
    <row r="37132" s="42" customFormat="1" x14ac:dyDescent="0.25"/>
    <row r="37133" s="42" customFormat="1" x14ac:dyDescent="0.25"/>
    <row r="37134" s="42" customFormat="1" x14ac:dyDescent="0.25"/>
    <row r="37135" s="42" customFormat="1" x14ac:dyDescent="0.25"/>
    <row r="37136" s="42" customFormat="1" x14ac:dyDescent="0.25"/>
    <row r="37137" s="42" customFormat="1" x14ac:dyDescent="0.25"/>
    <row r="37138" s="42" customFormat="1" x14ac:dyDescent="0.25"/>
    <row r="37139" s="42" customFormat="1" x14ac:dyDescent="0.25"/>
    <row r="37140" s="42" customFormat="1" x14ac:dyDescent="0.25"/>
    <row r="37141" s="42" customFormat="1" x14ac:dyDescent="0.25"/>
    <row r="37142" s="42" customFormat="1" x14ac:dyDescent="0.25"/>
    <row r="37143" s="42" customFormat="1" x14ac:dyDescent="0.25"/>
    <row r="37144" s="42" customFormat="1" x14ac:dyDescent="0.25"/>
    <row r="37145" s="42" customFormat="1" x14ac:dyDescent="0.25"/>
    <row r="37146" s="42" customFormat="1" x14ac:dyDescent="0.25"/>
    <row r="37147" s="42" customFormat="1" x14ac:dyDescent="0.25"/>
    <row r="37148" s="42" customFormat="1" x14ac:dyDescent="0.25"/>
    <row r="37149" s="42" customFormat="1" x14ac:dyDescent="0.25"/>
    <row r="37150" s="42" customFormat="1" x14ac:dyDescent="0.25"/>
    <row r="37151" s="42" customFormat="1" x14ac:dyDescent="0.25"/>
    <row r="37152" s="42" customFormat="1" x14ac:dyDescent="0.25"/>
    <row r="37153" s="42" customFormat="1" x14ac:dyDescent="0.25"/>
    <row r="37154" s="42" customFormat="1" x14ac:dyDescent="0.25"/>
    <row r="37155" s="42" customFormat="1" x14ac:dyDescent="0.25"/>
    <row r="37156" s="42" customFormat="1" x14ac:dyDescent="0.25"/>
    <row r="37157" s="42" customFormat="1" x14ac:dyDescent="0.25"/>
    <row r="37158" s="42" customFormat="1" x14ac:dyDescent="0.25"/>
    <row r="37159" s="42" customFormat="1" x14ac:dyDescent="0.25"/>
    <row r="37160" s="42" customFormat="1" x14ac:dyDescent="0.25"/>
    <row r="37161" s="42" customFormat="1" x14ac:dyDescent="0.25"/>
    <row r="37162" s="42" customFormat="1" x14ac:dyDescent="0.25"/>
    <row r="37163" s="42" customFormat="1" x14ac:dyDescent="0.25"/>
    <row r="37164" s="42" customFormat="1" x14ac:dyDescent="0.25"/>
    <row r="37165" s="42" customFormat="1" x14ac:dyDescent="0.25"/>
    <row r="37166" s="42" customFormat="1" x14ac:dyDescent="0.25"/>
    <row r="37167" s="42" customFormat="1" x14ac:dyDescent="0.25"/>
    <row r="37168" s="42" customFormat="1" x14ac:dyDescent="0.25"/>
    <row r="37169" s="42" customFormat="1" x14ac:dyDescent="0.25"/>
    <row r="37170" s="42" customFormat="1" x14ac:dyDescent="0.25"/>
    <row r="37171" s="42" customFormat="1" x14ac:dyDescent="0.25"/>
    <row r="37172" s="42" customFormat="1" x14ac:dyDescent="0.25"/>
    <row r="37173" s="42" customFormat="1" x14ac:dyDescent="0.25"/>
    <row r="37174" s="42" customFormat="1" x14ac:dyDescent="0.25"/>
    <row r="37175" s="42" customFormat="1" x14ac:dyDescent="0.25"/>
    <row r="37176" s="42" customFormat="1" x14ac:dyDescent="0.25"/>
    <row r="37177" s="42" customFormat="1" x14ac:dyDescent="0.25"/>
    <row r="37178" s="42" customFormat="1" x14ac:dyDescent="0.25"/>
    <row r="37179" s="42" customFormat="1" x14ac:dyDescent="0.25"/>
    <row r="37180" s="42" customFormat="1" x14ac:dyDescent="0.25"/>
    <row r="37181" s="42" customFormat="1" x14ac:dyDescent="0.25"/>
    <row r="37182" s="42" customFormat="1" x14ac:dyDescent="0.25"/>
    <row r="37183" s="42" customFormat="1" x14ac:dyDescent="0.25"/>
    <row r="37184" s="42" customFormat="1" x14ac:dyDescent="0.25"/>
    <row r="37185" s="42" customFormat="1" x14ac:dyDescent="0.25"/>
    <row r="37186" s="42" customFormat="1" x14ac:dyDescent="0.25"/>
    <row r="37187" s="42" customFormat="1" x14ac:dyDescent="0.25"/>
    <row r="37188" s="42" customFormat="1" x14ac:dyDescent="0.25"/>
    <row r="37189" s="42" customFormat="1" x14ac:dyDescent="0.25"/>
    <row r="37190" s="42" customFormat="1" x14ac:dyDescent="0.25"/>
    <row r="37191" s="42" customFormat="1" x14ac:dyDescent="0.25"/>
    <row r="37192" s="42" customFormat="1" x14ac:dyDescent="0.25"/>
    <row r="37193" s="42" customFormat="1" x14ac:dyDescent="0.25"/>
    <row r="37194" s="42" customFormat="1" x14ac:dyDescent="0.25"/>
    <row r="37195" s="42" customFormat="1" x14ac:dyDescent="0.25"/>
    <row r="37196" s="42" customFormat="1" x14ac:dyDescent="0.25"/>
    <row r="37197" s="42" customFormat="1" x14ac:dyDescent="0.25"/>
    <row r="37198" s="42" customFormat="1" x14ac:dyDescent="0.25"/>
    <row r="37199" s="42" customFormat="1" x14ac:dyDescent="0.25"/>
    <row r="37200" s="42" customFormat="1" x14ac:dyDescent="0.25"/>
    <row r="37201" s="42" customFormat="1" x14ac:dyDescent="0.25"/>
    <row r="37202" s="42" customFormat="1" x14ac:dyDescent="0.25"/>
    <row r="37203" s="42" customFormat="1" x14ac:dyDescent="0.25"/>
    <row r="37204" s="42" customFormat="1" x14ac:dyDescent="0.25"/>
    <row r="37205" s="42" customFormat="1" x14ac:dyDescent="0.25"/>
    <row r="37206" s="42" customFormat="1" x14ac:dyDescent="0.25"/>
    <row r="37207" s="42" customFormat="1" x14ac:dyDescent="0.25"/>
    <row r="37208" s="42" customFormat="1" x14ac:dyDescent="0.25"/>
    <row r="37209" s="42" customFormat="1" x14ac:dyDescent="0.25"/>
    <row r="37210" s="42" customFormat="1" x14ac:dyDescent="0.25"/>
    <row r="37211" s="42" customFormat="1" x14ac:dyDescent="0.25"/>
    <row r="37212" s="42" customFormat="1" x14ac:dyDescent="0.25"/>
    <row r="37213" s="42" customFormat="1" x14ac:dyDescent="0.25"/>
    <row r="37214" s="42" customFormat="1" x14ac:dyDescent="0.25"/>
    <row r="37215" s="42" customFormat="1" x14ac:dyDescent="0.25"/>
    <row r="37216" s="42" customFormat="1" x14ac:dyDescent="0.25"/>
    <row r="37217" s="42" customFormat="1" x14ac:dyDescent="0.25"/>
    <row r="37218" s="42" customFormat="1" x14ac:dyDescent="0.25"/>
    <row r="37219" s="42" customFormat="1" x14ac:dyDescent="0.25"/>
    <row r="37220" s="42" customFormat="1" x14ac:dyDescent="0.25"/>
    <row r="37221" s="42" customFormat="1" x14ac:dyDescent="0.25"/>
    <row r="37222" s="42" customFormat="1" x14ac:dyDescent="0.25"/>
    <row r="37223" s="42" customFormat="1" x14ac:dyDescent="0.25"/>
    <row r="37224" s="42" customFormat="1" x14ac:dyDescent="0.25"/>
    <row r="37225" s="42" customFormat="1" x14ac:dyDescent="0.25"/>
    <row r="37226" s="42" customFormat="1" x14ac:dyDescent="0.25"/>
    <row r="37227" s="42" customFormat="1" x14ac:dyDescent="0.25"/>
    <row r="37228" s="42" customFormat="1" x14ac:dyDescent="0.25"/>
    <row r="37229" s="42" customFormat="1" x14ac:dyDescent="0.25"/>
    <row r="37230" s="42" customFormat="1" x14ac:dyDescent="0.25"/>
    <row r="37231" s="42" customFormat="1" x14ac:dyDescent="0.25"/>
    <row r="37232" s="42" customFormat="1" x14ac:dyDescent="0.25"/>
    <row r="37233" s="42" customFormat="1" x14ac:dyDescent="0.25"/>
    <row r="37234" s="42" customFormat="1" x14ac:dyDescent="0.25"/>
    <row r="37235" s="42" customFormat="1" x14ac:dyDescent="0.25"/>
    <row r="37236" s="42" customFormat="1" x14ac:dyDescent="0.25"/>
    <row r="37237" s="42" customFormat="1" x14ac:dyDescent="0.25"/>
    <row r="37238" s="42" customFormat="1" x14ac:dyDescent="0.25"/>
    <row r="37239" s="42" customFormat="1" x14ac:dyDescent="0.25"/>
    <row r="37240" s="42" customFormat="1" x14ac:dyDescent="0.25"/>
    <row r="37241" s="42" customFormat="1" x14ac:dyDescent="0.25"/>
    <row r="37242" s="42" customFormat="1" x14ac:dyDescent="0.25"/>
    <row r="37243" s="42" customFormat="1" x14ac:dyDescent="0.25"/>
    <row r="37244" s="42" customFormat="1" x14ac:dyDescent="0.25"/>
    <row r="37245" s="42" customFormat="1" x14ac:dyDescent="0.25"/>
    <row r="37246" s="42" customFormat="1" x14ac:dyDescent="0.25"/>
    <row r="37247" s="42" customFormat="1" x14ac:dyDescent="0.25"/>
    <row r="37248" s="42" customFormat="1" x14ac:dyDescent="0.25"/>
    <row r="37249" s="42" customFormat="1" x14ac:dyDescent="0.25"/>
    <row r="37250" s="42" customFormat="1" x14ac:dyDescent="0.25"/>
    <row r="37251" s="42" customFormat="1" x14ac:dyDescent="0.25"/>
    <row r="37252" s="42" customFormat="1" x14ac:dyDescent="0.25"/>
    <row r="37253" s="42" customFormat="1" x14ac:dyDescent="0.25"/>
    <row r="37254" s="42" customFormat="1" x14ac:dyDescent="0.25"/>
    <row r="37255" s="42" customFormat="1" x14ac:dyDescent="0.25"/>
    <row r="37256" s="42" customFormat="1" x14ac:dyDescent="0.25"/>
    <row r="37257" s="42" customFormat="1" x14ac:dyDescent="0.25"/>
    <row r="37258" s="42" customFormat="1" x14ac:dyDescent="0.25"/>
    <row r="37259" s="42" customFormat="1" x14ac:dyDescent="0.25"/>
    <row r="37260" s="42" customFormat="1" x14ac:dyDescent="0.25"/>
    <row r="37261" s="42" customFormat="1" x14ac:dyDescent="0.25"/>
    <row r="37262" s="42" customFormat="1" x14ac:dyDescent="0.25"/>
    <row r="37263" s="42" customFormat="1" x14ac:dyDescent="0.25"/>
    <row r="37264" s="42" customFormat="1" x14ac:dyDescent="0.25"/>
    <row r="37265" s="42" customFormat="1" x14ac:dyDescent="0.25"/>
    <row r="37266" s="42" customFormat="1" x14ac:dyDescent="0.25"/>
    <row r="37267" s="42" customFormat="1" x14ac:dyDescent="0.25"/>
    <row r="37268" s="42" customFormat="1" x14ac:dyDescent="0.25"/>
    <row r="37269" s="42" customFormat="1" x14ac:dyDescent="0.25"/>
    <row r="37270" s="42" customFormat="1" x14ac:dyDescent="0.25"/>
    <row r="37271" s="42" customFormat="1" x14ac:dyDescent="0.25"/>
    <row r="37272" s="42" customFormat="1" x14ac:dyDescent="0.25"/>
    <row r="37273" s="42" customFormat="1" x14ac:dyDescent="0.25"/>
    <row r="37274" s="42" customFormat="1" x14ac:dyDescent="0.25"/>
    <row r="37275" s="42" customFormat="1" x14ac:dyDescent="0.25"/>
    <row r="37276" s="42" customFormat="1" x14ac:dyDescent="0.25"/>
    <row r="37277" s="42" customFormat="1" x14ac:dyDescent="0.25"/>
    <row r="37278" s="42" customFormat="1" x14ac:dyDescent="0.25"/>
    <row r="37279" s="42" customFormat="1" x14ac:dyDescent="0.25"/>
    <row r="37280" s="42" customFormat="1" x14ac:dyDescent="0.25"/>
    <row r="37281" s="42" customFormat="1" x14ac:dyDescent="0.25"/>
    <row r="37282" s="42" customFormat="1" x14ac:dyDescent="0.25"/>
    <row r="37283" s="42" customFormat="1" x14ac:dyDescent="0.25"/>
    <row r="37284" s="42" customFormat="1" x14ac:dyDescent="0.25"/>
    <row r="37285" s="42" customFormat="1" x14ac:dyDescent="0.25"/>
    <row r="37286" s="42" customFormat="1" x14ac:dyDescent="0.25"/>
    <row r="37287" s="42" customFormat="1" x14ac:dyDescent="0.25"/>
    <row r="37288" s="42" customFormat="1" x14ac:dyDescent="0.25"/>
    <row r="37289" s="42" customFormat="1" x14ac:dyDescent="0.25"/>
    <row r="37290" s="42" customFormat="1" x14ac:dyDescent="0.25"/>
    <row r="37291" s="42" customFormat="1" x14ac:dyDescent="0.25"/>
    <row r="37292" s="42" customFormat="1" x14ac:dyDescent="0.25"/>
    <row r="37293" s="42" customFormat="1" x14ac:dyDescent="0.25"/>
    <row r="37294" s="42" customFormat="1" x14ac:dyDescent="0.25"/>
    <row r="37295" s="42" customFormat="1" x14ac:dyDescent="0.25"/>
    <row r="37296" s="42" customFormat="1" x14ac:dyDescent="0.25"/>
    <row r="37297" s="42" customFormat="1" x14ac:dyDescent="0.25"/>
    <row r="37298" s="42" customFormat="1" x14ac:dyDescent="0.25"/>
    <row r="37299" s="42" customFormat="1" x14ac:dyDescent="0.25"/>
    <row r="37300" s="42" customFormat="1" x14ac:dyDescent="0.25"/>
    <row r="37301" s="42" customFormat="1" x14ac:dyDescent="0.25"/>
    <row r="37302" s="42" customFormat="1" x14ac:dyDescent="0.25"/>
    <row r="37303" s="42" customFormat="1" x14ac:dyDescent="0.25"/>
    <row r="37304" s="42" customFormat="1" x14ac:dyDescent="0.25"/>
    <row r="37305" s="42" customFormat="1" x14ac:dyDescent="0.25"/>
    <row r="37306" s="42" customFormat="1" x14ac:dyDescent="0.25"/>
    <row r="37307" s="42" customFormat="1" x14ac:dyDescent="0.25"/>
    <row r="37308" s="42" customFormat="1" x14ac:dyDescent="0.25"/>
    <row r="37309" s="42" customFormat="1" x14ac:dyDescent="0.25"/>
    <row r="37310" s="42" customFormat="1" x14ac:dyDescent="0.25"/>
    <row r="37311" s="42" customFormat="1" x14ac:dyDescent="0.25"/>
    <row r="37312" s="42" customFormat="1" x14ac:dyDescent="0.25"/>
    <row r="37313" s="42" customFormat="1" x14ac:dyDescent="0.25"/>
    <row r="37314" s="42" customFormat="1" x14ac:dyDescent="0.25"/>
    <row r="37315" s="42" customFormat="1" x14ac:dyDescent="0.25"/>
    <row r="37316" s="42" customFormat="1" x14ac:dyDescent="0.25"/>
    <row r="37317" s="42" customFormat="1" x14ac:dyDescent="0.25"/>
    <row r="37318" s="42" customFormat="1" x14ac:dyDescent="0.25"/>
    <row r="37319" s="42" customFormat="1" x14ac:dyDescent="0.25"/>
    <row r="37320" s="42" customFormat="1" x14ac:dyDescent="0.25"/>
    <row r="37321" s="42" customFormat="1" x14ac:dyDescent="0.25"/>
    <row r="37322" s="42" customFormat="1" x14ac:dyDescent="0.25"/>
    <row r="37323" s="42" customFormat="1" x14ac:dyDescent="0.25"/>
    <row r="37324" s="42" customFormat="1" x14ac:dyDescent="0.25"/>
    <row r="37325" s="42" customFormat="1" x14ac:dyDescent="0.25"/>
    <row r="37326" s="42" customFormat="1" x14ac:dyDescent="0.25"/>
    <row r="37327" s="42" customFormat="1" x14ac:dyDescent="0.25"/>
    <row r="37328" s="42" customFormat="1" x14ac:dyDescent="0.25"/>
    <row r="37329" s="42" customFormat="1" x14ac:dyDescent="0.25"/>
    <row r="37330" s="42" customFormat="1" x14ac:dyDescent="0.25"/>
    <row r="37331" s="42" customFormat="1" x14ac:dyDescent="0.25"/>
    <row r="37332" s="42" customFormat="1" x14ac:dyDescent="0.25"/>
    <row r="37333" s="42" customFormat="1" x14ac:dyDescent="0.25"/>
    <row r="37334" s="42" customFormat="1" x14ac:dyDescent="0.25"/>
    <row r="37335" s="42" customFormat="1" x14ac:dyDescent="0.25"/>
    <row r="37336" s="42" customFormat="1" x14ac:dyDescent="0.25"/>
    <row r="37337" s="42" customFormat="1" x14ac:dyDescent="0.25"/>
    <row r="37338" s="42" customFormat="1" x14ac:dyDescent="0.25"/>
    <row r="37339" s="42" customFormat="1" x14ac:dyDescent="0.25"/>
    <row r="37340" s="42" customFormat="1" x14ac:dyDescent="0.25"/>
    <row r="37341" s="42" customFormat="1" x14ac:dyDescent="0.25"/>
    <row r="37342" s="42" customFormat="1" x14ac:dyDescent="0.25"/>
    <row r="37343" s="42" customFormat="1" x14ac:dyDescent="0.25"/>
    <row r="37344" s="42" customFormat="1" x14ac:dyDescent="0.25"/>
    <row r="37345" s="42" customFormat="1" x14ac:dyDescent="0.25"/>
    <row r="37346" s="42" customFormat="1" x14ac:dyDescent="0.25"/>
    <row r="37347" s="42" customFormat="1" x14ac:dyDescent="0.25"/>
    <row r="37348" s="42" customFormat="1" x14ac:dyDescent="0.25"/>
    <row r="37349" s="42" customFormat="1" x14ac:dyDescent="0.25"/>
    <row r="37350" s="42" customFormat="1" x14ac:dyDescent="0.25"/>
    <row r="37351" s="42" customFormat="1" x14ac:dyDescent="0.25"/>
    <row r="37352" s="42" customFormat="1" x14ac:dyDescent="0.25"/>
    <row r="37353" s="42" customFormat="1" x14ac:dyDescent="0.25"/>
    <row r="37354" s="42" customFormat="1" x14ac:dyDescent="0.25"/>
    <row r="37355" s="42" customFormat="1" x14ac:dyDescent="0.25"/>
    <row r="37356" s="42" customFormat="1" x14ac:dyDescent="0.25"/>
    <row r="37357" s="42" customFormat="1" x14ac:dyDescent="0.25"/>
    <row r="37358" s="42" customFormat="1" x14ac:dyDescent="0.25"/>
    <row r="37359" s="42" customFormat="1" x14ac:dyDescent="0.25"/>
    <row r="37360" s="42" customFormat="1" x14ac:dyDescent="0.25"/>
    <row r="37361" s="42" customFormat="1" x14ac:dyDescent="0.25"/>
    <row r="37362" s="42" customFormat="1" x14ac:dyDescent="0.25"/>
    <row r="37363" s="42" customFormat="1" x14ac:dyDescent="0.25"/>
    <row r="37364" s="42" customFormat="1" x14ac:dyDescent="0.25"/>
    <row r="37365" s="42" customFormat="1" x14ac:dyDescent="0.25"/>
    <row r="37366" s="42" customFormat="1" x14ac:dyDescent="0.25"/>
    <row r="37367" s="42" customFormat="1" x14ac:dyDescent="0.25"/>
    <row r="37368" s="42" customFormat="1" x14ac:dyDescent="0.25"/>
    <row r="37369" s="42" customFormat="1" x14ac:dyDescent="0.25"/>
    <row r="37370" s="42" customFormat="1" x14ac:dyDescent="0.25"/>
    <row r="37371" s="42" customFormat="1" x14ac:dyDescent="0.25"/>
    <row r="37372" s="42" customFormat="1" x14ac:dyDescent="0.25"/>
    <row r="37373" s="42" customFormat="1" x14ac:dyDescent="0.25"/>
    <row r="37374" s="42" customFormat="1" x14ac:dyDescent="0.25"/>
    <row r="37375" s="42" customFormat="1" x14ac:dyDescent="0.25"/>
    <row r="37376" s="42" customFormat="1" x14ac:dyDescent="0.25"/>
    <row r="37377" s="42" customFormat="1" x14ac:dyDescent="0.25"/>
    <row r="37378" s="42" customFormat="1" x14ac:dyDescent="0.25"/>
    <row r="37379" s="42" customFormat="1" x14ac:dyDescent="0.25"/>
    <row r="37380" s="42" customFormat="1" x14ac:dyDescent="0.25"/>
    <row r="37381" s="42" customFormat="1" x14ac:dyDescent="0.25"/>
    <row r="37382" s="42" customFormat="1" x14ac:dyDescent="0.25"/>
    <row r="37383" s="42" customFormat="1" x14ac:dyDescent="0.25"/>
    <row r="37384" s="42" customFormat="1" x14ac:dyDescent="0.25"/>
    <row r="37385" s="42" customFormat="1" x14ac:dyDescent="0.25"/>
    <row r="37386" s="42" customFormat="1" x14ac:dyDescent="0.25"/>
    <row r="37387" s="42" customFormat="1" x14ac:dyDescent="0.25"/>
    <row r="37388" s="42" customFormat="1" x14ac:dyDescent="0.25"/>
    <row r="37389" s="42" customFormat="1" x14ac:dyDescent="0.25"/>
    <row r="37390" s="42" customFormat="1" x14ac:dyDescent="0.25"/>
    <row r="37391" s="42" customFormat="1" x14ac:dyDescent="0.25"/>
    <row r="37392" s="42" customFormat="1" x14ac:dyDescent="0.25"/>
    <row r="37393" s="42" customFormat="1" x14ac:dyDescent="0.25"/>
    <row r="37394" s="42" customFormat="1" x14ac:dyDescent="0.25"/>
    <row r="37395" s="42" customFormat="1" x14ac:dyDescent="0.25"/>
    <row r="37396" s="42" customFormat="1" x14ac:dyDescent="0.25"/>
    <row r="37397" s="42" customFormat="1" x14ac:dyDescent="0.25"/>
    <row r="37398" s="42" customFormat="1" x14ac:dyDescent="0.25"/>
    <row r="37399" s="42" customFormat="1" x14ac:dyDescent="0.25"/>
    <row r="37400" s="42" customFormat="1" x14ac:dyDescent="0.25"/>
    <row r="37401" s="42" customFormat="1" x14ac:dyDescent="0.25"/>
    <row r="37402" s="42" customFormat="1" x14ac:dyDescent="0.25"/>
    <row r="37403" s="42" customFormat="1" x14ac:dyDescent="0.25"/>
    <row r="37404" s="42" customFormat="1" x14ac:dyDescent="0.25"/>
    <row r="37405" s="42" customFormat="1" x14ac:dyDescent="0.25"/>
    <row r="37406" s="42" customFormat="1" x14ac:dyDescent="0.25"/>
    <row r="37407" s="42" customFormat="1" x14ac:dyDescent="0.25"/>
    <row r="37408" s="42" customFormat="1" x14ac:dyDescent="0.25"/>
    <row r="37409" s="42" customFormat="1" x14ac:dyDescent="0.25"/>
    <row r="37410" s="42" customFormat="1" x14ac:dyDescent="0.25"/>
    <row r="37411" s="42" customFormat="1" x14ac:dyDescent="0.25"/>
    <row r="37412" s="42" customFormat="1" x14ac:dyDescent="0.25"/>
    <row r="37413" s="42" customFormat="1" x14ac:dyDescent="0.25"/>
    <row r="37414" s="42" customFormat="1" x14ac:dyDescent="0.25"/>
    <row r="37415" s="42" customFormat="1" x14ac:dyDescent="0.25"/>
    <row r="37416" s="42" customFormat="1" x14ac:dyDescent="0.25"/>
    <row r="37417" s="42" customFormat="1" x14ac:dyDescent="0.25"/>
    <row r="37418" s="42" customFormat="1" x14ac:dyDescent="0.25"/>
    <row r="37419" s="42" customFormat="1" x14ac:dyDescent="0.25"/>
    <row r="37420" s="42" customFormat="1" x14ac:dyDescent="0.25"/>
    <row r="37421" s="42" customFormat="1" x14ac:dyDescent="0.25"/>
    <row r="37422" s="42" customFormat="1" x14ac:dyDescent="0.25"/>
    <row r="37423" s="42" customFormat="1" x14ac:dyDescent="0.25"/>
    <row r="37424" s="42" customFormat="1" x14ac:dyDescent="0.25"/>
    <row r="37425" s="42" customFormat="1" x14ac:dyDescent="0.25"/>
    <row r="37426" s="42" customFormat="1" x14ac:dyDescent="0.25"/>
    <row r="37427" s="42" customFormat="1" x14ac:dyDescent="0.25"/>
    <row r="37428" s="42" customFormat="1" x14ac:dyDescent="0.25"/>
    <row r="37429" s="42" customFormat="1" x14ac:dyDescent="0.25"/>
    <row r="37430" s="42" customFormat="1" x14ac:dyDescent="0.25"/>
    <row r="37431" s="42" customFormat="1" x14ac:dyDescent="0.25"/>
    <row r="37432" s="42" customFormat="1" x14ac:dyDescent="0.25"/>
    <row r="37433" s="42" customFormat="1" x14ac:dyDescent="0.25"/>
    <row r="37434" s="42" customFormat="1" x14ac:dyDescent="0.25"/>
    <row r="37435" s="42" customFormat="1" x14ac:dyDescent="0.25"/>
    <row r="37436" s="42" customFormat="1" x14ac:dyDescent="0.25"/>
    <row r="37437" s="42" customFormat="1" x14ac:dyDescent="0.25"/>
    <row r="37438" s="42" customFormat="1" x14ac:dyDescent="0.25"/>
    <row r="37439" s="42" customFormat="1" x14ac:dyDescent="0.25"/>
    <row r="37440" s="42" customFormat="1" x14ac:dyDescent="0.25"/>
    <row r="37441" s="42" customFormat="1" x14ac:dyDescent="0.25"/>
    <row r="37442" s="42" customFormat="1" x14ac:dyDescent="0.25"/>
    <row r="37443" s="42" customFormat="1" x14ac:dyDescent="0.25"/>
    <row r="37444" s="42" customFormat="1" x14ac:dyDescent="0.25"/>
    <row r="37445" s="42" customFormat="1" x14ac:dyDescent="0.25"/>
    <row r="37446" s="42" customFormat="1" x14ac:dyDescent="0.25"/>
    <row r="37447" s="42" customFormat="1" x14ac:dyDescent="0.25"/>
    <row r="37448" s="42" customFormat="1" x14ac:dyDescent="0.25"/>
    <row r="37449" s="42" customFormat="1" x14ac:dyDescent="0.25"/>
    <row r="37450" s="42" customFormat="1" x14ac:dyDescent="0.25"/>
    <row r="37451" s="42" customFormat="1" x14ac:dyDescent="0.25"/>
    <row r="37452" s="42" customFormat="1" x14ac:dyDescent="0.25"/>
    <row r="37453" s="42" customFormat="1" x14ac:dyDescent="0.25"/>
    <row r="37454" s="42" customFormat="1" x14ac:dyDescent="0.25"/>
    <row r="37455" s="42" customFormat="1" x14ac:dyDescent="0.25"/>
    <row r="37456" s="42" customFormat="1" x14ac:dyDescent="0.25"/>
    <row r="37457" s="42" customFormat="1" x14ac:dyDescent="0.25"/>
    <row r="37458" s="42" customFormat="1" x14ac:dyDescent="0.25"/>
    <row r="37459" s="42" customFormat="1" x14ac:dyDescent="0.25"/>
    <row r="37460" s="42" customFormat="1" x14ac:dyDescent="0.25"/>
    <row r="37461" s="42" customFormat="1" x14ac:dyDescent="0.25"/>
    <row r="37462" s="42" customFormat="1" x14ac:dyDescent="0.25"/>
    <row r="37463" s="42" customFormat="1" x14ac:dyDescent="0.25"/>
    <row r="37464" s="42" customFormat="1" x14ac:dyDescent="0.25"/>
    <row r="37465" s="42" customFormat="1" x14ac:dyDescent="0.25"/>
    <row r="37466" s="42" customFormat="1" x14ac:dyDescent="0.25"/>
    <row r="37467" s="42" customFormat="1" x14ac:dyDescent="0.25"/>
    <row r="37468" s="42" customFormat="1" x14ac:dyDescent="0.25"/>
    <row r="37469" s="42" customFormat="1" x14ac:dyDescent="0.25"/>
    <row r="37470" s="42" customFormat="1" x14ac:dyDescent="0.25"/>
    <row r="37471" s="42" customFormat="1" x14ac:dyDescent="0.25"/>
    <row r="37472" s="42" customFormat="1" x14ac:dyDescent="0.25"/>
    <row r="37473" s="42" customFormat="1" x14ac:dyDescent="0.25"/>
    <row r="37474" s="42" customFormat="1" x14ac:dyDescent="0.25"/>
    <row r="37475" s="42" customFormat="1" x14ac:dyDescent="0.25"/>
    <row r="37476" s="42" customFormat="1" x14ac:dyDescent="0.25"/>
    <row r="37477" s="42" customFormat="1" x14ac:dyDescent="0.25"/>
    <row r="37478" s="42" customFormat="1" x14ac:dyDescent="0.25"/>
    <row r="37479" s="42" customFormat="1" x14ac:dyDescent="0.25"/>
    <row r="37480" s="42" customFormat="1" x14ac:dyDescent="0.25"/>
    <row r="37481" s="42" customFormat="1" x14ac:dyDescent="0.25"/>
    <row r="37482" s="42" customFormat="1" x14ac:dyDescent="0.25"/>
    <row r="37483" s="42" customFormat="1" x14ac:dyDescent="0.25"/>
    <row r="37484" s="42" customFormat="1" x14ac:dyDescent="0.25"/>
    <row r="37485" s="42" customFormat="1" x14ac:dyDescent="0.25"/>
    <row r="37486" s="42" customFormat="1" x14ac:dyDescent="0.25"/>
    <row r="37487" s="42" customFormat="1" x14ac:dyDescent="0.25"/>
    <row r="37488" s="42" customFormat="1" x14ac:dyDescent="0.25"/>
    <row r="37489" s="42" customFormat="1" x14ac:dyDescent="0.25"/>
    <row r="37490" s="42" customFormat="1" x14ac:dyDescent="0.25"/>
    <row r="37491" s="42" customFormat="1" x14ac:dyDescent="0.25"/>
    <row r="37492" s="42" customFormat="1" x14ac:dyDescent="0.25"/>
    <row r="37493" s="42" customFormat="1" x14ac:dyDescent="0.25"/>
    <row r="37494" s="42" customFormat="1" x14ac:dyDescent="0.25"/>
    <row r="37495" s="42" customFormat="1" x14ac:dyDescent="0.25"/>
    <row r="37496" s="42" customFormat="1" x14ac:dyDescent="0.25"/>
    <row r="37497" s="42" customFormat="1" x14ac:dyDescent="0.25"/>
    <row r="37498" s="42" customFormat="1" x14ac:dyDescent="0.25"/>
    <row r="37499" s="42" customFormat="1" x14ac:dyDescent="0.25"/>
    <row r="37500" s="42" customFormat="1" x14ac:dyDescent="0.25"/>
    <row r="37501" s="42" customFormat="1" x14ac:dyDescent="0.25"/>
    <row r="37502" s="42" customFormat="1" x14ac:dyDescent="0.25"/>
    <row r="37503" s="42" customFormat="1" x14ac:dyDescent="0.25"/>
    <row r="37504" s="42" customFormat="1" x14ac:dyDescent="0.25"/>
    <row r="37505" s="42" customFormat="1" x14ac:dyDescent="0.25"/>
    <row r="37506" s="42" customFormat="1" x14ac:dyDescent="0.25"/>
    <row r="37507" s="42" customFormat="1" x14ac:dyDescent="0.25"/>
    <row r="37508" s="42" customFormat="1" x14ac:dyDescent="0.25"/>
    <row r="37509" s="42" customFormat="1" x14ac:dyDescent="0.25"/>
    <row r="37510" s="42" customFormat="1" x14ac:dyDescent="0.25"/>
    <row r="37511" s="42" customFormat="1" x14ac:dyDescent="0.25"/>
    <row r="37512" s="42" customFormat="1" x14ac:dyDescent="0.25"/>
    <row r="37513" s="42" customFormat="1" x14ac:dyDescent="0.25"/>
    <row r="37514" s="42" customFormat="1" x14ac:dyDescent="0.25"/>
    <row r="37515" s="42" customFormat="1" x14ac:dyDescent="0.25"/>
    <row r="37516" s="42" customFormat="1" x14ac:dyDescent="0.25"/>
    <row r="37517" s="42" customFormat="1" x14ac:dyDescent="0.25"/>
    <row r="37518" s="42" customFormat="1" x14ac:dyDescent="0.25"/>
    <row r="37519" s="42" customFormat="1" x14ac:dyDescent="0.25"/>
    <row r="37520" s="42" customFormat="1" x14ac:dyDescent="0.25"/>
    <row r="37521" s="42" customFormat="1" x14ac:dyDescent="0.25"/>
    <row r="37522" s="42" customFormat="1" x14ac:dyDescent="0.25"/>
    <row r="37523" s="42" customFormat="1" x14ac:dyDescent="0.25"/>
    <row r="37524" s="42" customFormat="1" x14ac:dyDescent="0.25"/>
    <row r="37525" s="42" customFormat="1" x14ac:dyDescent="0.25"/>
    <row r="37526" s="42" customFormat="1" x14ac:dyDescent="0.25"/>
    <row r="37527" s="42" customFormat="1" x14ac:dyDescent="0.25"/>
    <row r="37528" s="42" customFormat="1" x14ac:dyDescent="0.25"/>
    <row r="37529" s="42" customFormat="1" x14ac:dyDescent="0.25"/>
    <row r="37530" s="42" customFormat="1" x14ac:dyDescent="0.25"/>
    <row r="37531" s="42" customFormat="1" x14ac:dyDescent="0.25"/>
    <row r="37532" s="42" customFormat="1" x14ac:dyDescent="0.25"/>
    <row r="37533" s="42" customFormat="1" x14ac:dyDescent="0.25"/>
    <row r="37534" s="42" customFormat="1" x14ac:dyDescent="0.25"/>
    <row r="37535" s="42" customFormat="1" x14ac:dyDescent="0.25"/>
    <row r="37536" s="42" customFormat="1" x14ac:dyDescent="0.25"/>
    <row r="37537" s="42" customFormat="1" x14ac:dyDescent="0.25"/>
    <row r="37538" s="42" customFormat="1" x14ac:dyDescent="0.25"/>
    <row r="37539" s="42" customFormat="1" x14ac:dyDescent="0.25"/>
    <row r="37540" s="42" customFormat="1" x14ac:dyDescent="0.25"/>
    <row r="37541" s="42" customFormat="1" x14ac:dyDescent="0.25"/>
    <row r="37542" s="42" customFormat="1" x14ac:dyDescent="0.25"/>
    <row r="37543" s="42" customFormat="1" x14ac:dyDescent="0.25"/>
    <row r="37544" s="42" customFormat="1" x14ac:dyDescent="0.25"/>
    <row r="37545" s="42" customFormat="1" x14ac:dyDescent="0.25"/>
    <row r="37546" s="42" customFormat="1" x14ac:dyDescent="0.25"/>
    <row r="37547" s="42" customFormat="1" x14ac:dyDescent="0.25"/>
    <row r="37548" s="42" customFormat="1" x14ac:dyDescent="0.25"/>
    <row r="37549" s="42" customFormat="1" x14ac:dyDescent="0.25"/>
    <row r="37550" s="42" customFormat="1" x14ac:dyDescent="0.25"/>
    <row r="37551" s="42" customFormat="1" x14ac:dyDescent="0.25"/>
    <row r="37552" s="42" customFormat="1" x14ac:dyDescent="0.25"/>
    <row r="37553" s="42" customFormat="1" x14ac:dyDescent="0.25"/>
    <row r="37554" s="42" customFormat="1" x14ac:dyDescent="0.25"/>
    <row r="37555" s="42" customFormat="1" x14ac:dyDescent="0.25"/>
    <row r="37556" s="42" customFormat="1" x14ac:dyDescent="0.25"/>
    <row r="37557" s="42" customFormat="1" x14ac:dyDescent="0.25"/>
    <row r="37558" s="42" customFormat="1" x14ac:dyDescent="0.25"/>
    <row r="37559" s="42" customFormat="1" x14ac:dyDescent="0.25"/>
    <row r="37560" s="42" customFormat="1" x14ac:dyDescent="0.25"/>
    <row r="37561" s="42" customFormat="1" x14ac:dyDescent="0.25"/>
    <row r="37562" s="42" customFormat="1" x14ac:dyDescent="0.25"/>
    <row r="37563" s="42" customFormat="1" x14ac:dyDescent="0.25"/>
    <row r="37564" s="42" customFormat="1" x14ac:dyDescent="0.25"/>
    <row r="37565" s="42" customFormat="1" x14ac:dyDescent="0.25"/>
    <row r="37566" s="42" customFormat="1" x14ac:dyDescent="0.25"/>
    <row r="37567" s="42" customFormat="1" x14ac:dyDescent="0.25"/>
    <row r="37568" s="42" customFormat="1" x14ac:dyDescent="0.25"/>
    <row r="37569" s="42" customFormat="1" x14ac:dyDescent="0.25"/>
    <row r="37570" s="42" customFormat="1" x14ac:dyDescent="0.25"/>
    <row r="37571" s="42" customFormat="1" x14ac:dyDescent="0.25"/>
    <row r="37572" s="42" customFormat="1" x14ac:dyDescent="0.25"/>
    <row r="37573" s="42" customFormat="1" x14ac:dyDescent="0.25"/>
    <row r="37574" s="42" customFormat="1" x14ac:dyDescent="0.25"/>
    <row r="37575" s="42" customFormat="1" x14ac:dyDescent="0.25"/>
    <row r="37576" s="42" customFormat="1" x14ac:dyDescent="0.25"/>
    <row r="37577" s="42" customFormat="1" x14ac:dyDescent="0.25"/>
    <row r="37578" s="42" customFormat="1" x14ac:dyDescent="0.25"/>
    <row r="37579" s="42" customFormat="1" x14ac:dyDescent="0.25"/>
    <row r="37580" s="42" customFormat="1" x14ac:dyDescent="0.25"/>
    <row r="37581" s="42" customFormat="1" x14ac:dyDescent="0.25"/>
    <row r="37582" s="42" customFormat="1" x14ac:dyDescent="0.25"/>
    <row r="37583" s="42" customFormat="1" x14ac:dyDescent="0.25"/>
    <row r="37584" s="42" customFormat="1" x14ac:dyDescent="0.25"/>
    <row r="37585" s="42" customFormat="1" x14ac:dyDescent="0.25"/>
    <row r="37586" s="42" customFormat="1" x14ac:dyDescent="0.25"/>
    <row r="37587" s="42" customFormat="1" x14ac:dyDescent="0.25"/>
    <row r="37588" s="42" customFormat="1" x14ac:dyDescent="0.25"/>
    <row r="37589" s="42" customFormat="1" x14ac:dyDescent="0.25"/>
    <row r="37590" s="42" customFormat="1" x14ac:dyDescent="0.25"/>
    <row r="37591" s="42" customFormat="1" x14ac:dyDescent="0.25"/>
    <row r="37592" s="42" customFormat="1" x14ac:dyDescent="0.25"/>
    <row r="37593" s="42" customFormat="1" x14ac:dyDescent="0.25"/>
    <row r="37594" s="42" customFormat="1" x14ac:dyDescent="0.25"/>
    <row r="37595" s="42" customFormat="1" x14ac:dyDescent="0.25"/>
    <row r="37596" s="42" customFormat="1" x14ac:dyDescent="0.25"/>
    <row r="37597" s="42" customFormat="1" x14ac:dyDescent="0.25"/>
    <row r="37598" s="42" customFormat="1" x14ac:dyDescent="0.25"/>
    <row r="37599" s="42" customFormat="1" x14ac:dyDescent="0.25"/>
    <row r="37600" s="42" customFormat="1" x14ac:dyDescent="0.25"/>
    <row r="37601" s="42" customFormat="1" x14ac:dyDescent="0.25"/>
    <row r="37602" s="42" customFormat="1" x14ac:dyDescent="0.25"/>
    <row r="37603" s="42" customFormat="1" x14ac:dyDescent="0.25"/>
    <row r="37604" s="42" customFormat="1" x14ac:dyDescent="0.25"/>
    <row r="37605" s="42" customFormat="1" x14ac:dyDescent="0.25"/>
    <row r="37606" s="42" customFormat="1" x14ac:dyDescent="0.25"/>
    <row r="37607" s="42" customFormat="1" x14ac:dyDescent="0.25"/>
    <row r="37608" s="42" customFormat="1" x14ac:dyDescent="0.25"/>
    <row r="37609" s="42" customFormat="1" x14ac:dyDescent="0.25"/>
    <row r="37610" s="42" customFormat="1" x14ac:dyDescent="0.25"/>
    <row r="37611" s="42" customFormat="1" x14ac:dyDescent="0.25"/>
    <row r="37612" s="42" customFormat="1" x14ac:dyDescent="0.25"/>
    <row r="37613" s="42" customFormat="1" x14ac:dyDescent="0.25"/>
    <row r="37614" s="42" customFormat="1" x14ac:dyDescent="0.25"/>
    <row r="37615" s="42" customFormat="1" x14ac:dyDescent="0.25"/>
    <row r="37616" s="42" customFormat="1" x14ac:dyDescent="0.25"/>
    <row r="37617" s="42" customFormat="1" x14ac:dyDescent="0.25"/>
    <row r="37618" s="42" customFormat="1" x14ac:dyDescent="0.25"/>
    <row r="37619" s="42" customFormat="1" x14ac:dyDescent="0.25"/>
    <row r="37620" s="42" customFormat="1" x14ac:dyDescent="0.25"/>
    <row r="37621" s="42" customFormat="1" x14ac:dyDescent="0.25"/>
    <row r="37622" s="42" customFormat="1" x14ac:dyDescent="0.25"/>
    <row r="37623" s="42" customFormat="1" x14ac:dyDescent="0.25"/>
    <row r="37624" s="42" customFormat="1" x14ac:dyDescent="0.25"/>
    <row r="37625" s="42" customFormat="1" x14ac:dyDescent="0.25"/>
    <row r="37626" s="42" customFormat="1" x14ac:dyDescent="0.25"/>
    <row r="37627" s="42" customFormat="1" x14ac:dyDescent="0.25"/>
    <row r="37628" s="42" customFormat="1" x14ac:dyDescent="0.25"/>
    <row r="37629" s="42" customFormat="1" x14ac:dyDescent="0.25"/>
    <row r="37630" s="42" customFormat="1" x14ac:dyDescent="0.25"/>
    <row r="37631" s="42" customFormat="1" x14ac:dyDescent="0.25"/>
    <row r="37632" s="42" customFormat="1" x14ac:dyDescent="0.25"/>
    <row r="37633" s="42" customFormat="1" x14ac:dyDescent="0.25"/>
    <row r="37634" s="42" customFormat="1" x14ac:dyDescent="0.25"/>
    <row r="37635" s="42" customFormat="1" x14ac:dyDescent="0.25"/>
    <row r="37636" s="42" customFormat="1" x14ac:dyDescent="0.25"/>
    <row r="37637" s="42" customFormat="1" x14ac:dyDescent="0.25"/>
    <row r="37638" s="42" customFormat="1" x14ac:dyDescent="0.25"/>
    <row r="37639" s="42" customFormat="1" x14ac:dyDescent="0.25"/>
    <row r="37640" s="42" customFormat="1" x14ac:dyDescent="0.25"/>
    <row r="37641" s="42" customFormat="1" x14ac:dyDescent="0.25"/>
    <row r="37642" s="42" customFormat="1" x14ac:dyDescent="0.25"/>
    <row r="37643" s="42" customFormat="1" x14ac:dyDescent="0.25"/>
    <row r="37644" s="42" customFormat="1" x14ac:dyDescent="0.25"/>
    <row r="37645" s="42" customFormat="1" x14ac:dyDescent="0.25"/>
    <row r="37646" s="42" customFormat="1" x14ac:dyDescent="0.25"/>
    <row r="37647" s="42" customFormat="1" x14ac:dyDescent="0.25"/>
    <row r="37648" s="42" customFormat="1" x14ac:dyDescent="0.25"/>
    <row r="37649" s="42" customFormat="1" x14ac:dyDescent="0.25"/>
    <row r="37650" s="42" customFormat="1" x14ac:dyDescent="0.25"/>
    <row r="37651" s="42" customFormat="1" x14ac:dyDescent="0.25"/>
    <row r="37652" s="42" customFormat="1" x14ac:dyDescent="0.25"/>
    <row r="37653" s="42" customFormat="1" x14ac:dyDescent="0.25"/>
    <row r="37654" s="42" customFormat="1" x14ac:dyDescent="0.25"/>
    <row r="37655" s="42" customFormat="1" x14ac:dyDescent="0.25"/>
    <row r="37656" s="42" customFormat="1" x14ac:dyDescent="0.25"/>
    <row r="37657" s="42" customFormat="1" x14ac:dyDescent="0.25"/>
    <row r="37658" s="42" customFormat="1" x14ac:dyDescent="0.25"/>
    <row r="37659" s="42" customFormat="1" x14ac:dyDescent="0.25"/>
    <row r="37660" s="42" customFormat="1" x14ac:dyDescent="0.25"/>
    <row r="37661" s="42" customFormat="1" x14ac:dyDescent="0.25"/>
    <row r="37662" s="42" customFormat="1" x14ac:dyDescent="0.25"/>
    <row r="37663" s="42" customFormat="1" x14ac:dyDescent="0.25"/>
    <row r="37664" s="42" customFormat="1" x14ac:dyDescent="0.25"/>
    <row r="37665" s="42" customFormat="1" x14ac:dyDescent="0.25"/>
    <row r="37666" s="42" customFormat="1" x14ac:dyDescent="0.25"/>
    <row r="37667" s="42" customFormat="1" x14ac:dyDescent="0.25"/>
    <row r="37668" s="42" customFormat="1" x14ac:dyDescent="0.25"/>
    <row r="37669" s="42" customFormat="1" x14ac:dyDescent="0.25"/>
    <row r="37670" s="42" customFormat="1" x14ac:dyDescent="0.25"/>
    <row r="37671" s="42" customFormat="1" x14ac:dyDescent="0.25"/>
    <row r="37672" s="42" customFormat="1" x14ac:dyDescent="0.25"/>
    <row r="37673" s="42" customFormat="1" x14ac:dyDescent="0.25"/>
    <row r="37674" s="42" customFormat="1" x14ac:dyDescent="0.25"/>
    <row r="37675" s="42" customFormat="1" x14ac:dyDescent="0.25"/>
    <row r="37676" s="42" customFormat="1" x14ac:dyDescent="0.25"/>
    <row r="37677" s="42" customFormat="1" x14ac:dyDescent="0.25"/>
    <row r="37678" s="42" customFormat="1" x14ac:dyDescent="0.25"/>
    <row r="37679" s="42" customFormat="1" x14ac:dyDescent="0.25"/>
    <row r="37680" s="42" customFormat="1" x14ac:dyDescent="0.25"/>
    <row r="37681" s="42" customFormat="1" x14ac:dyDescent="0.25"/>
    <row r="37682" s="42" customFormat="1" x14ac:dyDescent="0.25"/>
    <row r="37683" s="42" customFormat="1" x14ac:dyDescent="0.25"/>
    <row r="37684" s="42" customFormat="1" x14ac:dyDescent="0.25"/>
    <row r="37685" s="42" customFormat="1" x14ac:dyDescent="0.25"/>
    <row r="37686" s="42" customFormat="1" x14ac:dyDescent="0.25"/>
    <row r="37687" s="42" customFormat="1" x14ac:dyDescent="0.25"/>
    <row r="37688" s="42" customFormat="1" x14ac:dyDescent="0.25"/>
    <row r="37689" s="42" customFormat="1" x14ac:dyDescent="0.25"/>
    <row r="37690" s="42" customFormat="1" x14ac:dyDescent="0.25"/>
    <row r="37691" s="42" customFormat="1" x14ac:dyDescent="0.25"/>
    <row r="37692" s="42" customFormat="1" x14ac:dyDescent="0.25"/>
    <row r="37693" s="42" customFormat="1" x14ac:dyDescent="0.25"/>
    <row r="37694" s="42" customFormat="1" x14ac:dyDescent="0.25"/>
    <row r="37695" s="42" customFormat="1" x14ac:dyDescent="0.25"/>
    <row r="37696" s="42" customFormat="1" x14ac:dyDescent="0.25"/>
    <row r="37697" s="42" customFormat="1" x14ac:dyDescent="0.25"/>
    <row r="37698" s="42" customFormat="1" x14ac:dyDescent="0.25"/>
    <row r="37699" s="42" customFormat="1" x14ac:dyDescent="0.25"/>
    <row r="37700" s="42" customFormat="1" x14ac:dyDescent="0.25"/>
    <row r="37701" s="42" customFormat="1" x14ac:dyDescent="0.25"/>
    <row r="37702" s="42" customFormat="1" x14ac:dyDescent="0.25"/>
    <row r="37703" s="42" customFormat="1" x14ac:dyDescent="0.25"/>
    <row r="37704" s="42" customFormat="1" x14ac:dyDescent="0.25"/>
    <row r="37705" s="42" customFormat="1" x14ac:dyDescent="0.25"/>
    <row r="37706" s="42" customFormat="1" x14ac:dyDescent="0.25"/>
    <row r="37707" s="42" customFormat="1" x14ac:dyDescent="0.25"/>
    <row r="37708" s="42" customFormat="1" x14ac:dyDescent="0.25"/>
    <row r="37709" s="42" customFormat="1" x14ac:dyDescent="0.25"/>
    <row r="37710" s="42" customFormat="1" x14ac:dyDescent="0.25"/>
    <row r="37711" s="42" customFormat="1" x14ac:dyDescent="0.25"/>
    <row r="37712" s="42" customFormat="1" x14ac:dyDescent="0.25"/>
    <row r="37713" s="42" customFormat="1" x14ac:dyDescent="0.25"/>
    <row r="37714" s="42" customFormat="1" x14ac:dyDescent="0.25"/>
    <row r="37715" s="42" customFormat="1" x14ac:dyDescent="0.25"/>
    <row r="37716" s="42" customFormat="1" x14ac:dyDescent="0.25"/>
    <row r="37717" s="42" customFormat="1" x14ac:dyDescent="0.25"/>
    <row r="37718" s="42" customFormat="1" x14ac:dyDescent="0.25"/>
    <row r="37719" s="42" customFormat="1" x14ac:dyDescent="0.25"/>
    <row r="37720" s="42" customFormat="1" x14ac:dyDescent="0.25"/>
    <row r="37721" s="42" customFormat="1" x14ac:dyDescent="0.25"/>
    <row r="37722" s="42" customFormat="1" x14ac:dyDescent="0.25"/>
    <row r="37723" s="42" customFormat="1" x14ac:dyDescent="0.25"/>
    <row r="37724" s="42" customFormat="1" x14ac:dyDescent="0.25"/>
    <row r="37725" s="42" customFormat="1" x14ac:dyDescent="0.25"/>
    <row r="37726" s="42" customFormat="1" x14ac:dyDescent="0.25"/>
    <row r="37727" s="42" customFormat="1" x14ac:dyDescent="0.25"/>
    <row r="37728" s="42" customFormat="1" x14ac:dyDescent="0.25"/>
    <row r="37729" s="42" customFormat="1" x14ac:dyDescent="0.25"/>
    <row r="37730" s="42" customFormat="1" x14ac:dyDescent="0.25"/>
    <row r="37731" s="42" customFormat="1" x14ac:dyDescent="0.25"/>
    <row r="37732" s="42" customFormat="1" x14ac:dyDescent="0.25"/>
    <row r="37733" s="42" customFormat="1" x14ac:dyDescent="0.25"/>
    <row r="37734" s="42" customFormat="1" x14ac:dyDescent="0.25"/>
    <row r="37735" s="42" customFormat="1" x14ac:dyDescent="0.25"/>
    <row r="37736" s="42" customFormat="1" x14ac:dyDescent="0.25"/>
    <row r="37737" s="42" customFormat="1" x14ac:dyDescent="0.25"/>
    <row r="37738" s="42" customFormat="1" x14ac:dyDescent="0.25"/>
    <row r="37739" s="42" customFormat="1" x14ac:dyDescent="0.25"/>
    <row r="37740" s="42" customFormat="1" x14ac:dyDescent="0.25"/>
    <row r="37741" s="42" customFormat="1" x14ac:dyDescent="0.25"/>
    <row r="37742" s="42" customFormat="1" x14ac:dyDescent="0.25"/>
    <row r="37743" s="42" customFormat="1" x14ac:dyDescent="0.25"/>
    <row r="37744" s="42" customFormat="1" x14ac:dyDescent="0.25"/>
    <row r="37745" s="42" customFormat="1" x14ac:dyDescent="0.25"/>
    <row r="37746" s="42" customFormat="1" x14ac:dyDescent="0.25"/>
    <row r="37747" s="42" customFormat="1" x14ac:dyDescent="0.25"/>
    <row r="37748" s="42" customFormat="1" x14ac:dyDescent="0.25"/>
    <row r="37749" s="42" customFormat="1" x14ac:dyDescent="0.25"/>
    <row r="37750" s="42" customFormat="1" x14ac:dyDescent="0.25"/>
    <row r="37751" s="42" customFormat="1" x14ac:dyDescent="0.25"/>
    <row r="37752" s="42" customFormat="1" x14ac:dyDescent="0.25"/>
    <row r="37753" s="42" customFormat="1" x14ac:dyDescent="0.25"/>
    <row r="37754" s="42" customFormat="1" x14ac:dyDescent="0.25"/>
    <row r="37755" s="42" customFormat="1" x14ac:dyDescent="0.25"/>
    <row r="37756" s="42" customFormat="1" x14ac:dyDescent="0.25"/>
    <row r="37757" s="42" customFormat="1" x14ac:dyDescent="0.25"/>
    <row r="37758" s="42" customFormat="1" x14ac:dyDescent="0.25"/>
    <row r="37759" s="42" customFormat="1" x14ac:dyDescent="0.25"/>
    <row r="37760" s="42" customFormat="1" x14ac:dyDescent="0.25"/>
    <row r="37761" s="42" customFormat="1" x14ac:dyDescent="0.25"/>
    <row r="37762" s="42" customFormat="1" x14ac:dyDescent="0.25"/>
    <row r="37763" s="42" customFormat="1" x14ac:dyDescent="0.25"/>
    <row r="37764" s="42" customFormat="1" x14ac:dyDescent="0.25"/>
    <row r="37765" s="42" customFormat="1" x14ac:dyDescent="0.25"/>
    <row r="37766" s="42" customFormat="1" x14ac:dyDescent="0.25"/>
    <row r="37767" s="42" customFormat="1" x14ac:dyDescent="0.25"/>
    <row r="37768" s="42" customFormat="1" x14ac:dyDescent="0.25"/>
    <row r="37769" s="42" customFormat="1" x14ac:dyDescent="0.25"/>
    <row r="37770" s="42" customFormat="1" x14ac:dyDescent="0.25"/>
    <row r="37771" s="42" customFormat="1" x14ac:dyDescent="0.25"/>
    <row r="37772" s="42" customFormat="1" x14ac:dyDescent="0.25"/>
    <row r="37773" s="42" customFormat="1" x14ac:dyDescent="0.25"/>
    <row r="37774" s="42" customFormat="1" x14ac:dyDescent="0.25"/>
    <row r="37775" s="42" customFormat="1" x14ac:dyDescent="0.25"/>
    <row r="37776" s="42" customFormat="1" x14ac:dyDescent="0.25"/>
    <row r="37777" s="42" customFormat="1" x14ac:dyDescent="0.25"/>
    <row r="37778" s="42" customFormat="1" x14ac:dyDescent="0.25"/>
    <row r="37779" s="42" customFormat="1" x14ac:dyDescent="0.25"/>
    <row r="37780" s="42" customFormat="1" x14ac:dyDescent="0.25"/>
    <row r="37781" s="42" customFormat="1" x14ac:dyDescent="0.25"/>
    <row r="37782" s="42" customFormat="1" x14ac:dyDescent="0.25"/>
    <row r="37783" s="42" customFormat="1" x14ac:dyDescent="0.25"/>
    <row r="37784" s="42" customFormat="1" x14ac:dyDescent="0.25"/>
    <row r="37785" s="42" customFormat="1" x14ac:dyDescent="0.25"/>
    <row r="37786" s="42" customFormat="1" x14ac:dyDescent="0.25"/>
    <row r="37787" s="42" customFormat="1" x14ac:dyDescent="0.25"/>
    <row r="37788" s="42" customFormat="1" x14ac:dyDescent="0.25"/>
    <row r="37789" s="42" customFormat="1" x14ac:dyDescent="0.25"/>
    <row r="37790" s="42" customFormat="1" x14ac:dyDescent="0.25"/>
    <row r="37791" s="42" customFormat="1" x14ac:dyDescent="0.25"/>
    <row r="37792" s="42" customFormat="1" x14ac:dyDescent="0.25"/>
    <row r="37793" s="42" customFormat="1" x14ac:dyDescent="0.25"/>
    <row r="37794" s="42" customFormat="1" x14ac:dyDescent="0.25"/>
    <row r="37795" s="42" customFormat="1" x14ac:dyDescent="0.25"/>
    <row r="37796" s="42" customFormat="1" x14ac:dyDescent="0.25"/>
    <row r="37797" s="42" customFormat="1" x14ac:dyDescent="0.25"/>
    <row r="37798" s="42" customFormat="1" x14ac:dyDescent="0.25"/>
    <row r="37799" s="42" customFormat="1" x14ac:dyDescent="0.25"/>
    <row r="37800" s="42" customFormat="1" x14ac:dyDescent="0.25"/>
    <row r="37801" s="42" customFormat="1" x14ac:dyDescent="0.25"/>
    <row r="37802" s="42" customFormat="1" x14ac:dyDescent="0.25"/>
    <row r="37803" s="42" customFormat="1" x14ac:dyDescent="0.25"/>
    <row r="37804" s="42" customFormat="1" x14ac:dyDescent="0.25"/>
    <row r="37805" s="42" customFormat="1" x14ac:dyDescent="0.25"/>
    <row r="37806" s="42" customFormat="1" x14ac:dyDescent="0.25"/>
    <row r="37807" s="42" customFormat="1" x14ac:dyDescent="0.25"/>
    <row r="37808" s="42" customFormat="1" x14ac:dyDescent="0.25"/>
    <row r="37809" s="42" customFormat="1" x14ac:dyDescent="0.25"/>
    <row r="37810" s="42" customFormat="1" x14ac:dyDescent="0.25"/>
    <row r="37811" s="42" customFormat="1" x14ac:dyDescent="0.25"/>
    <row r="37812" s="42" customFormat="1" x14ac:dyDescent="0.25"/>
    <row r="37813" s="42" customFormat="1" x14ac:dyDescent="0.25"/>
    <row r="37814" s="42" customFormat="1" x14ac:dyDescent="0.25"/>
    <row r="37815" s="42" customFormat="1" x14ac:dyDescent="0.25"/>
    <row r="37816" s="42" customFormat="1" x14ac:dyDescent="0.25"/>
    <row r="37817" s="42" customFormat="1" x14ac:dyDescent="0.25"/>
    <row r="37818" s="42" customFormat="1" x14ac:dyDescent="0.25"/>
    <row r="37819" s="42" customFormat="1" x14ac:dyDescent="0.25"/>
    <row r="37820" s="42" customFormat="1" x14ac:dyDescent="0.25"/>
    <row r="37821" s="42" customFormat="1" x14ac:dyDescent="0.25"/>
    <row r="37822" s="42" customFormat="1" x14ac:dyDescent="0.25"/>
    <row r="37823" s="42" customFormat="1" x14ac:dyDescent="0.25"/>
    <row r="37824" s="42" customFormat="1" x14ac:dyDescent="0.25"/>
    <row r="37825" s="42" customFormat="1" x14ac:dyDescent="0.25"/>
    <row r="37826" s="42" customFormat="1" x14ac:dyDescent="0.25"/>
    <row r="37827" s="42" customFormat="1" x14ac:dyDescent="0.25"/>
    <row r="37828" s="42" customFormat="1" x14ac:dyDescent="0.25"/>
    <row r="37829" s="42" customFormat="1" x14ac:dyDescent="0.25"/>
    <row r="37830" s="42" customFormat="1" x14ac:dyDescent="0.25"/>
    <row r="37831" s="42" customFormat="1" x14ac:dyDescent="0.25"/>
    <row r="37832" s="42" customFormat="1" x14ac:dyDescent="0.25"/>
    <row r="37833" s="42" customFormat="1" x14ac:dyDescent="0.25"/>
    <row r="37834" s="42" customFormat="1" x14ac:dyDescent="0.25"/>
    <row r="37835" s="42" customFormat="1" x14ac:dyDescent="0.25"/>
    <row r="37836" s="42" customFormat="1" x14ac:dyDescent="0.25"/>
    <row r="37837" s="42" customFormat="1" x14ac:dyDescent="0.25"/>
    <row r="37838" s="42" customFormat="1" x14ac:dyDescent="0.25"/>
    <row r="37839" s="42" customFormat="1" x14ac:dyDescent="0.25"/>
    <row r="37840" s="42" customFormat="1" x14ac:dyDescent="0.25"/>
    <row r="37841" s="42" customFormat="1" x14ac:dyDescent="0.25"/>
    <row r="37842" s="42" customFormat="1" x14ac:dyDescent="0.25"/>
    <row r="37843" s="42" customFormat="1" x14ac:dyDescent="0.25"/>
    <row r="37844" s="42" customFormat="1" x14ac:dyDescent="0.25"/>
    <row r="37845" s="42" customFormat="1" x14ac:dyDescent="0.25"/>
    <row r="37846" s="42" customFormat="1" x14ac:dyDescent="0.25"/>
    <row r="37847" s="42" customFormat="1" x14ac:dyDescent="0.25"/>
    <row r="37848" s="42" customFormat="1" x14ac:dyDescent="0.25"/>
    <row r="37849" s="42" customFormat="1" x14ac:dyDescent="0.25"/>
    <row r="37850" s="42" customFormat="1" x14ac:dyDescent="0.25"/>
    <row r="37851" s="42" customFormat="1" x14ac:dyDescent="0.25"/>
    <row r="37852" s="42" customFormat="1" x14ac:dyDescent="0.25"/>
    <row r="37853" s="42" customFormat="1" x14ac:dyDescent="0.25"/>
    <row r="37854" s="42" customFormat="1" x14ac:dyDescent="0.25"/>
    <row r="37855" s="42" customFormat="1" x14ac:dyDescent="0.25"/>
    <row r="37856" s="42" customFormat="1" x14ac:dyDescent="0.25"/>
    <row r="37857" s="42" customFormat="1" x14ac:dyDescent="0.25"/>
    <row r="37858" s="42" customFormat="1" x14ac:dyDescent="0.25"/>
    <row r="37859" s="42" customFormat="1" x14ac:dyDescent="0.25"/>
    <row r="37860" s="42" customFormat="1" x14ac:dyDescent="0.25"/>
    <row r="37861" s="42" customFormat="1" x14ac:dyDescent="0.25"/>
    <row r="37862" s="42" customFormat="1" x14ac:dyDescent="0.25"/>
    <row r="37863" s="42" customFormat="1" x14ac:dyDescent="0.25"/>
    <row r="37864" s="42" customFormat="1" x14ac:dyDescent="0.25"/>
    <row r="37865" s="42" customFormat="1" x14ac:dyDescent="0.25"/>
    <row r="37866" s="42" customFormat="1" x14ac:dyDescent="0.25"/>
    <row r="37867" s="42" customFormat="1" x14ac:dyDescent="0.25"/>
    <row r="37868" s="42" customFormat="1" x14ac:dyDescent="0.25"/>
    <row r="37869" s="42" customFormat="1" x14ac:dyDescent="0.25"/>
    <row r="37870" s="42" customFormat="1" x14ac:dyDescent="0.25"/>
    <row r="37871" s="42" customFormat="1" x14ac:dyDescent="0.25"/>
    <row r="37872" s="42" customFormat="1" x14ac:dyDescent="0.25"/>
    <row r="37873" s="42" customFormat="1" x14ac:dyDescent="0.25"/>
    <row r="37874" s="42" customFormat="1" x14ac:dyDescent="0.25"/>
    <row r="37875" s="42" customFormat="1" x14ac:dyDescent="0.25"/>
    <row r="37876" s="42" customFormat="1" x14ac:dyDescent="0.25"/>
    <row r="37877" s="42" customFormat="1" x14ac:dyDescent="0.25"/>
    <row r="37878" s="42" customFormat="1" x14ac:dyDescent="0.25"/>
    <row r="37879" s="42" customFormat="1" x14ac:dyDescent="0.25"/>
    <row r="37880" s="42" customFormat="1" x14ac:dyDescent="0.25"/>
    <row r="37881" s="42" customFormat="1" x14ac:dyDescent="0.25"/>
    <row r="37882" s="42" customFormat="1" x14ac:dyDescent="0.25"/>
    <row r="37883" s="42" customFormat="1" x14ac:dyDescent="0.25"/>
    <row r="37884" s="42" customFormat="1" x14ac:dyDescent="0.25"/>
    <row r="37885" s="42" customFormat="1" x14ac:dyDescent="0.25"/>
    <row r="37886" s="42" customFormat="1" x14ac:dyDescent="0.25"/>
    <row r="37887" s="42" customFormat="1" x14ac:dyDescent="0.25"/>
    <row r="37888" s="42" customFormat="1" x14ac:dyDescent="0.25"/>
    <row r="37889" s="42" customFormat="1" x14ac:dyDescent="0.25"/>
    <row r="37890" s="42" customFormat="1" x14ac:dyDescent="0.25"/>
    <row r="37891" s="42" customFormat="1" x14ac:dyDescent="0.25"/>
    <row r="37892" s="42" customFormat="1" x14ac:dyDescent="0.25"/>
    <row r="37893" s="42" customFormat="1" x14ac:dyDescent="0.25"/>
    <row r="37894" s="42" customFormat="1" x14ac:dyDescent="0.25"/>
    <row r="37895" s="42" customFormat="1" x14ac:dyDescent="0.25"/>
    <row r="37896" s="42" customFormat="1" x14ac:dyDescent="0.25"/>
    <row r="37897" s="42" customFormat="1" x14ac:dyDescent="0.25"/>
    <row r="37898" s="42" customFormat="1" x14ac:dyDescent="0.25"/>
    <row r="37899" s="42" customFormat="1" x14ac:dyDescent="0.25"/>
    <row r="37900" s="42" customFormat="1" x14ac:dyDescent="0.25"/>
    <row r="37901" s="42" customFormat="1" x14ac:dyDescent="0.25"/>
    <row r="37902" s="42" customFormat="1" x14ac:dyDescent="0.25"/>
    <row r="37903" s="42" customFormat="1" x14ac:dyDescent="0.25"/>
    <row r="37904" s="42" customFormat="1" x14ac:dyDescent="0.25"/>
    <row r="37905" s="42" customFormat="1" x14ac:dyDescent="0.25"/>
    <row r="37906" s="42" customFormat="1" x14ac:dyDescent="0.25"/>
    <row r="37907" s="42" customFormat="1" x14ac:dyDescent="0.25"/>
    <row r="37908" s="42" customFormat="1" x14ac:dyDescent="0.25"/>
    <row r="37909" s="42" customFormat="1" x14ac:dyDescent="0.25"/>
    <row r="37910" s="42" customFormat="1" x14ac:dyDescent="0.25"/>
    <row r="37911" s="42" customFormat="1" x14ac:dyDescent="0.25"/>
    <row r="37912" s="42" customFormat="1" x14ac:dyDescent="0.25"/>
    <row r="37913" s="42" customFormat="1" x14ac:dyDescent="0.25"/>
    <row r="37914" s="42" customFormat="1" x14ac:dyDescent="0.25"/>
    <row r="37915" s="42" customFormat="1" x14ac:dyDescent="0.25"/>
    <row r="37916" s="42" customFormat="1" x14ac:dyDescent="0.25"/>
    <row r="37917" s="42" customFormat="1" x14ac:dyDescent="0.25"/>
    <row r="37918" s="42" customFormat="1" x14ac:dyDescent="0.25"/>
    <row r="37919" s="42" customFormat="1" x14ac:dyDescent="0.25"/>
    <row r="37920" s="42" customFormat="1" x14ac:dyDescent="0.25"/>
    <row r="37921" s="42" customFormat="1" x14ac:dyDescent="0.25"/>
    <row r="37922" s="42" customFormat="1" x14ac:dyDescent="0.25"/>
    <row r="37923" s="42" customFormat="1" x14ac:dyDescent="0.25"/>
    <row r="37924" s="42" customFormat="1" x14ac:dyDescent="0.25"/>
    <row r="37925" s="42" customFormat="1" x14ac:dyDescent="0.25"/>
    <row r="37926" s="42" customFormat="1" x14ac:dyDescent="0.25"/>
    <row r="37927" s="42" customFormat="1" x14ac:dyDescent="0.25"/>
    <row r="37928" s="42" customFormat="1" x14ac:dyDescent="0.25"/>
    <row r="37929" s="42" customFormat="1" x14ac:dyDescent="0.25"/>
    <row r="37930" s="42" customFormat="1" x14ac:dyDescent="0.25"/>
    <row r="37931" s="42" customFormat="1" x14ac:dyDescent="0.25"/>
    <row r="37932" s="42" customFormat="1" x14ac:dyDescent="0.25"/>
    <row r="37933" s="42" customFormat="1" x14ac:dyDescent="0.25"/>
    <row r="37934" s="42" customFormat="1" x14ac:dyDescent="0.25"/>
    <row r="37935" s="42" customFormat="1" x14ac:dyDescent="0.25"/>
    <row r="37936" s="42" customFormat="1" x14ac:dyDescent="0.25"/>
    <row r="37937" s="42" customFormat="1" x14ac:dyDescent="0.25"/>
    <row r="37938" s="42" customFormat="1" x14ac:dyDescent="0.25"/>
    <row r="37939" s="42" customFormat="1" x14ac:dyDescent="0.25"/>
    <row r="37940" s="42" customFormat="1" x14ac:dyDescent="0.25"/>
    <row r="37941" s="42" customFormat="1" x14ac:dyDescent="0.25"/>
    <row r="37942" s="42" customFormat="1" x14ac:dyDescent="0.25"/>
    <row r="37943" s="42" customFormat="1" x14ac:dyDescent="0.25"/>
    <row r="37944" s="42" customFormat="1" x14ac:dyDescent="0.25"/>
    <row r="37945" s="42" customFormat="1" x14ac:dyDescent="0.25"/>
    <row r="37946" s="42" customFormat="1" x14ac:dyDescent="0.25"/>
    <row r="37947" s="42" customFormat="1" x14ac:dyDescent="0.25"/>
    <row r="37948" s="42" customFormat="1" x14ac:dyDescent="0.25"/>
    <row r="37949" s="42" customFormat="1" x14ac:dyDescent="0.25"/>
    <row r="37950" s="42" customFormat="1" x14ac:dyDescent="0.25"/>
    <row r="37951" s="42" customFormat="1" x14ac:dyDescent="0.25"/>
    <row r="37952" s="42" customFormat="1" x14ac:dyDescent="0.25"/>
    <row r="37953" s="42" customFormat="1" x14ac:dyDescent="0.25"/>
    <row r="37954" s="42" customFormat="1" x14ac:dyDescent="0.25"/>
    <row r="37955" s="42" customFormat="1" x14ac:dyDescent="0.25"/>
    <row r="37956" s="42" customFormat="1" x14ac:dyDescent="0.25"/>
    <row r="37957" s="42" customFormat="1" x14ac:dyDescent="0.25"/>
    <row r="37958" s="42" customFormat="1" x14ac:dyDescent="0.25"/>
    <row r="37959" s="42" customFormat="1" x14ac:dyDescent="0.25"/>
    <row r="37960" s="42" customFormat="1" x14ac:dyDescent="0.25"/>
    <row r="37961" s="42" customFormat="1" x14ac:dyDescent="0.25"/>
    <row r="37962" s="42" customFormat="1" x14ac:dyDescent="0.25"/>
    <row r="37963" s="42" customFormat="1" x14ac:dyDescent="0.25"/>
    <row r="37964" s="42" customFormat="1" x14ac:dyDescent="0.25"/>
    <row r="37965" s="42" customFormat="1" x14ac:dyDescent="0.25"/>
    <row r="37966" s="42" customFormat="1" x14ac:dyDescent="0.25"/>
    <row r="37967" s="42" customFormat="1" x14ac:dyDescent="0.25"/>
    <row r="37968" s="42" customFormat="1" x14ac:dyDescent="0.25"/>
    <row r="37969" s="42" customFormat="1" x14ac:dyDescent="0.25"/>
    <row r="37970" s="42" customFormat="1" x14ac:dyDescent="0.25"/>
    <row r="37971" s="42" customFormat="1" x14ac:dyDescent="0.25"/>
    <row r="37972" s="42" customFormat="1" x14ac:dyDescent="0.25"/>
    <row r="37973" s="42" customFormat="1" x14ac:dyDescent="0.25"/>
    <row r="37974" s="42" customFormat="1" x14ac:dyDescent="0.25"/>
    <row r="37975" s="42" customFormat="1" x14ac:dyDescent="0.25"/>
    <row r="37976" s="42" customFormat="1" x14ac:dyDescent="0.25"/>
    <row r="37977" s="42" customFormat="1" x14ac:dyDescent="0.25"/>
    <row r="37978" s="42" customFormat="1" x14ac:dyDescent="0.25"/>
    <row r="37979" s="42" customFormat="1" x14ac:dyDescent="0.25"/>
    <row r="37980" s="42" customFormat="1" x14ac:dyDescent="0.25"/>
    <row r="37981" s="42" customFormat="1" x14ac:dyDescent="0.25"/>
    <row r="37982" s="42" customFormat="1" x14ac:dyDescent="0.25"/>
    <row r="37983" s="42" customFormat="1" x14ac:dyDescent="0.25"/>
    <row r="37984" s="42" customFormat="1" x14ac:dyDescent="0.25"/>
    <row r="37985" s="42" customFormat="1" x14ac:dyDescent="0.25"/>
    <row r="37986" s="42" customFormat="1" x14ac:dyDescent="0.25"/>
    <row r="37987" s="42" customFormat="1" x14ac:dyDescent="0.25"/>
    <row r="37988" s="42" customFormat="1" x14ac:dyDescent="0.25"/>
    <row r="37989" s="42" customFormat="1" x14ac:dyDescent="0.25"/>
    <row r="37990" s="42" customFormat="1" x14ac:dyDescent="0.25"/>
    <row r="37991" s="42" customFormat="1" x14ac:dyDescent="0.25"/>
    <row r="37992" s="42" customFormat="1" x14ac:dyDescent="0.25"/>
    <row r="37993" s="42" customFormat="1" x14ac:dyDescent="0.25"/>
    <row r="37994" s="42" customFormat="1" x14ac:dyDescent="0.25"/>
    <row r="37995" s="42" customFormat="1" x14ac:dyDescent="0.25"/>
    <row r="37996" s="42" customFormat="1" x14ac:dyDescent="0.25"/>
    <row r="37997" s="42" customFormat="1" x14ac:dyDescent="0.25"/>
    <row r="37998" s="42" customFormat="1" x14ac:dyDescent="0.25"/>
    <row r="37999" s="42" customFormat="1" x14ac:dyDescent="0.25"/>
    <row r="38000" s="42" customFormat="1" x14ac:dyDescent="0.25"/>
    <row r="38001" s="42" customFormat="1" x14ac:dyDescent="0.25"/>
    <row r="38002" s="42" customFormat="1" x14ac:dyDescent="0.25"/>
    <row r="38003" s="42" customFormat="1" x14ac:dyDescent="0.25"/>
    <row r="38004" s="42" customFormat="1" x14ac:dyDescent="0.25"/>
    <row r="38005" s="42" customFormat="1" x14ac:dyDescent="0.25"/>
    <row r="38006" s="42" customFormat="1" x14ac:dyDescent="0.25"/>
    <row r="38007" s="42" customFormat="1" x14ac:dyDescent="0.25"/>
    <row r="38008" s="42" customFormat="1" x14ac:dyDescent="0.25"/>
    <row r="38009" s="42" customFormat="1" x14ac:dyDescent="0.25"/>
    <row r="38010" s="42" customFormat="1" x14ac:dyDescent="0.25"/>
    <row r="38011" s="42" customFormat="1" x14ac:dyDescent="0.25"/>
    <row r="38012" s="42" customFormat="1" x14ac:dyDescent="0.25"/>
    <row r="38013" s="42" customFormat="1" x14ac:dyDescent="0.25"/>
    <row r="38014" s="42" customFormat="1" x14ac:dyDescent="0.25"/>
    <row r="38015" s="42" customFormat="1" x14ac:dyDescent="0.25"/>
    <row r="38016" s="42" customFormat="1" x14ac:dyDescent="0.25"/>
    <row r="38017" s="42" customFormat="1" x14ac:dyDescent="0.25"/>
    <row r="38018" s="42" customFormat="1" x14ac:dyDescent="0.25"/>
    <row r="38019" s="42" customFormat="1" x14ac:dyDescent="0.25"/>
    <row r="38020" s="42" customFormat="1" x14ac:dyDescent="0.25"/>
    <row r="38021" s="42" customFormat="1" x14ac:dyDescent="0.25"/>
    <row r="38022" s="42" customFormat="1" x14ac:dyDescent="0.25"/>
    <row r="38023" s="42" customFormat="1" x14ac:dyDescent="0.25"/>
    <row r="38024" s="42" customFormat="1" x14ac:dyDescent="0.25"/>
    <row r="38025" s="42" customFormat="1" x14ac:dyDescent="0.25"/>
    <row r="38026" s="42" customFormat="1" x14ac:dyDescent="0.25"/>
    <row r="38027" s="42" customFormat="1" x14ac:dyDescent="0.25"/>
    <row r="38028" s="42" customFormat="1" x14ac:dyDescent="0.25"/>
    <row r="38029" s="42" customFormat="1" x14ac:dyDescent="0.25"/>
    <row r="38030" s="42" customFormat="1" x14ac:dyDescent="0.25"/>
    <row r="38031" s="42" customFormat="1" x14ac:dyDescent="0.25"/>
    <row r="38032" s="42" customFormat="1" x14ac:dyDescent="0.25"/>
    <row r="38033" s="42" customFormat="1" x14ac:dyDescent="0.25"/>
    <row r="38034" s="42" customFormat="1" x14ac:dyDescent="0.25"/>
    <row r="38035" s="42" customFormat="1" x14ac:dyDescent="0.25"/>
    <row r="38036" s="42" customFormat="1" x14ac:dyDescent="0.25"/>
    <row r="38037" s="42" customFormat="1" x14ac:dyDescent="0.25"/>
    <row r="38038" s="42" customFormat="1" x14ac:dyDescent="0.25"/>
    <row r="38039" s="42" customFormat="1" x14ac:dyDescent="0.25"/>
    <row r="38040" s="42" customFormat="1" x14ac:dyDescent="0.25"/>
    <row r="38041" s="42" customFormat="1" x14ac:dyDescent="0.25"/>
    <row r="38042" s="42" customFormat="1" x14ac:dyDescent="0.25"/>
    <row r="38043" s="42" customFormat="1" x14ac:dyDescent="0.25"/>
    <row r="38044" s="42" customFormat="1" x14ac:dyDescent="0.25"/>
    <row r="38045" s="42" customFormat="1" x14ac:dyDescent="0.25"/>
    <row r="38046" s="42" customFormat="1" x14ac:dyDescent="0.25"/>
    <row r="38047" s="42" customFormat="1" x14ac:dyDescent="0.25"/>
    <row r="38048" s="42" customFormat="1" x14ac:dyDescent="0.25"/>
    <row r="38049" s="42" customFormat="1" x14ac:dyDescent="0.25"/>
    <row r="38050" s="42" customFormat="1" x14ac:dyDescent="0.25"/>
    <row r="38051" s="42" customFormat="1" x14ac:dyDescent="0.25"/>
    <row r="38052" s="42" customFormat="1" x14ac:dyDescent="0.25"/>
    <row r="38053" s="42" customFormat="1" x14ac:dyDescent="0.25"/>
    <row r="38054" s="42" customFormat="1" x14ac:dyDescent="0.25"/>
    <row r="38055" s="42" customFormat="1" x14ac:dyDescent="0.25"/>
    <row r="38056" s="42" customFormat="1" x14ac:dyDescent="0.25"/>
    <row r="38057" s="42" customFormat="1" x14ac:dyDescent="0.25"/>
    <row r="38058" s="42" customFormat="1" x14ac:dyDescent="0.25"/>
    <row r="38059" s="42" customFormat="1" x14ac:dyDescent="0.25"/>
    <row r="38060" s="42" customFormat="1" x14ac:dyDescent="0.25"/>
    <row r="38061" s="42" customFormat="1" x14ac:dyDescent="0.25"/>
    <row r="38062" s="42" customFormat="1" x14ac:dyDescent="0.25"/>
    <row r="38063" s="42" customFormat="1" x14ac:dyDescent="0.25"/>
    <row r="38064" s="42" customFormat="1" x14ac:dyDescent="0.25"/>
    <row r="38065" s="42" customFormat="1" x14ac:dyDescent="0.25"/>
    <row r="38066" s="42" customFormat="1" x14ac:dyDescent="0.25"/>
    <row r="38067" s="42" customFormat="1" x14ac:dyDescent="0.25"/>
    <row r="38068" s="42" customFormat="1" x14ac:dyDescent="0.25"/>
    <row r="38069" s="42" customFormat="1" x14ac:dyDescent="0.25"/>
    <row r="38070" s="42" customFormat="1" x14ac:dyDescent="0.25"/>
    <row r="38071" s="42" customFormat="1" x14ac:dyDescent="0.25"/>
    <row r="38072" s="42" customFormat="1" x14ac:dyDescent="0.25"/>
    <row r="38073" s="42" customFormat="1" x14ac:dyDescent="0.25"/>
    <row r="38074" s="42" customFormat="1" x14ac:dyDescent="0.25"/>
    <row r="38075" s="42" customFormat="1" x14ac:dyDescent="0.25"/>
    <row r="38076" s="42" customFormat="1" x14ac:dyDescent="0.25"/>
    <row r="38077" s="42" customFormat="1" x14ac:dyDescent="0.25"/>
    <row r="38078" s="42" customFormat="1" x14ac:dyDescent="0.25"/>
    <row r="38079" s="42" customFormat="1" x14ac:dyDescent="0.25"/>
    <row r="38080" s="42" customFormat="1" x14ac:dyDescent="0.25"/>
    <row r="38081" s="42" customFormat="1" x14ac:dyDescent="0.25"/>
    <row r="38082" s="42" customFormat="1" x14ac:dyDescent="0.25"/>
    <row r="38083" s="42" customFormat="1" x14ac:dyDescent="0.25"/>
    <row r="38084" s="42" customFormat="1" x14ac:dyDescent="0.25"/>
    <row r="38085" s="42" customFormat="1" x14ac:dyDescent="0.25"/>
    <row r="38086" s="42" customFormat="1" x14ac:dyDescent="0.25"/>
    <row r="38087" s="42" customFormat="1" x14ac:dyDescent="0.25"/>
    <row r="38088" s="42" customFormat="1" x14ac:dyDescent="0.25"/>
    <row r="38089" s="42" customFormat="1" x14ac:dyDescent="0.25"/>
    <row r="38090" s="42" customFormat="1" x14ac:dyDescent="0.25"/>
    <row r="38091" s="42" customFormat="1" x14ac:dyDescent="0.25"/>
    <row r="38092" s="42" customFormat="1" x14ac:dyDescent="0.25"/>
    <row r="38093" s="42" customFormat="1" x14ac:dyDescent="0.25"/>
    <row r="38094" s="42" customFormat="1" x14ac:dyDescent="0.25"/>
    <row r="38095" s="42" customFormat="1" x14ac:dyDescent="0.25"/>
    <row r="38096" s="42" customFormat="1" x14ac:dyDescent="0.25"/>
    <row r="38097" s="42" customFormat="1" x14ac:dyDescent="0.25"/>
    <row r="38098" s="42" customFormat="1" x14ac:dyDescent="0.25"/>
    <row r="38099" s="42" customFormat="1" x14ac:dyDescent="0.25"/>
    <row r="38100" s="42" customFormat="1" x14ac:dyDescent="0.25"/>
    <row r="38101" s="42" customFormat="1" x14ac:dyDescent="0.25"/>
    <row r="38102" s="42" customFormat="1" x14ac:dyDescent="0.25"/>
    <row r="38103" s="42" customFormat="1" x14ac:dyDescent="0.25"/>
    <row r="38104" s="42" customFormat="1" x14ac:dyDescent="0.25"/>
    <row r="38105" s="42" customFormat="1" x14ac:dyDescent="0.25"/>
    <row r="38106" s="42" customFormat="1" x14ac:dyDescent="0.25"/>
    <row r="38107" s="42" customFormat="1" x14ac:dyDescent="0.25"/>
    <row r="38108" s="42" customFormat="1" x14ac:dyDescent="0.25"/>
    <row r="38109" s="42" customFormat="1" x14ac:dyDescent="0.25"/>
    <row r="38110" s="42" customFormat="1" x14ac:dyDescent="0.25"/>
    <row r="38111" s="42" customFormat="1" x14ac:dyDescent="0.25"/>
    <row r="38112" s="42" customFormat="1" x14ac:dyDescent="0.25"/>
    <row r="38113" s="42" customFormat="1" x14ac:dyDescent="0.25"/>
    <row r="38114" s="42" customFormat="1" x14ac:dyDescent="0.25"/>
    <row r="38115" s="42" customFormat="1" x14ac:dyDescent="0.25"/>
    <row r="38116" s="42" customFormat="1" x14ac:dyDescent="0.25"/>
    <row r="38117" s="42" customFormat="1" x14ac:dyDescent="0.25"/>
    <row r="38118" s="42" customFormat="1" x14ac:dyDescent="0.25"/>
    <row r="38119" s="42" customFormat="1" x14ac:dyDescent="0.25"/>
    <row r="38120" s="42" customFormat="1" x14ac:dyDescent="0.25"/>
    <row r="38121" s="42" customFormat="1" x14ac:dyDescent="0.25"/>
    <row r="38122" s="42" customFormat="1" x14ac:dyDescent="0.25"/>
    <row r="38123" s="42" customFormat="1" x14ac:dyDescent="0.25"/>
    <row r="38124" s="42" customFormat="1" x14ac:dyDescent="0.25"/>
    <row r="38125" s="42" customFormat="1" x14ac:dyDescent="0.25"/>
    <row r="38126" s="42" customFormat="1" x14ac:dyDescent="0.25"/>
    <row r="38127" s="42" customFormat="1" x14ac:dyDescent="0.25"/>
    <row r="38128" s="42" customFormat="1" x14ac:dyDescent="0.25"/>
    <row r="38129" s="42" customFormat="1" x14ac:dyDescent="0.25"/>
    <row r="38130" s="42" customFormat="1" x14ac:dyDescent="0.25"/>
    <row r="38131" s="42" customFormat="1" x14ac:dyDescent="0.25"/>
    <row r="38132" s="42" customFormat="1" x14ac:dyDescent="0.25"/>
    <row r="38133" s="42" customFormat="1" x14ac:dyDescent="0.25"/>
    <row r="38134" s="42" customFormat="1" x14ac:dyDescent="0.25"/>
    <row r="38135" s="42" customFormat="1" x14ac:dyDescent="0.25"/>
    <row r="38136" s="42" customFormat="1" x14ac:dyDescent="0.25"/>
    <row r="38137" s="42" customFormat="1" x14ac:dyDescent="0.25"/>
    <row r="38138" s="42" customFormat="1" x14ac:dyDescent="0.25"/>
    <row r="38139" s="42" customFormat="1" x14ac:dyDescent="0.25"/>
    <row r="38140" s="42" customFormat="1" x14ac:dyDescent="0.25"/>
    <row r="38141" s="42" customFormat="1" x14ac:dyDescent="0.25"/>
    <row r="38142" s="42" customFormat="1" x14ac:dyDescent="0.25"/>
    <row r="38143" s="42" customFormat="1" x14ac:dyDescent="0.25"/>
    <row r="38144" s="42" customFormat="1" x14ac:dyDescent="0.25"/>
    <row r="38145" s="42" customFormat="1" x14ac:dyDescent="0.25"/>
    <row r="38146" s="42" customFormat="1" x14ac:dyDescent="0.25"/>
    <row r="38147" s="42" customFormat="1" x14ac:dyDescent="0.25"/>
    <row r="38148" s="42" customFormat="1" x14ac:dyDescent="0.25"/>
    <row r="38149" s="42" customFormat="1" x14ac:dyDescent="0.25"/>
    <row r="38150" s="42" customFormat="1" x14ac:dyDescent="0.25"/>
    <row r="38151" s="42" customFormat="1" x14ac:dyDescent="0.25"/>
    <row r="38152" s="42" customFormat="1" x14ac:dyDescent="0.25"/>
    <row r="38153" s="42" customFormat="1" x14ac:dyDescent="0.25"/>
    <row r="38154" s="42" customFormat="1" x14ac:dyDescent="0.25"/>
    <row r="38155" s="42" customFormat="1" x14ac:dyDescent="0.25"/>
    <row r="38156" s="42" customFormat="1" x14ac:dyDescent="0.25"/>
    <row r="38157" s="42" customFormat="1" x14ac:dyDescent="0.25"/>
    <row r="38158" s="42" customFormat="1" x14ac:dyDescent="0.25"/>
    <row r="38159" s="42" customFormat="1" x14ac:dyDescent="0.25"/>
    <row r="38160" s="42" customFormat="1" x14ac:dyDescent="0.25"/>
    <row r="38161" s="42" customFormat="1" x14ac:dyDescent="0.25"/>
    <row r="38162" s="42" customFormat="1" x14ac:dyDescent="0.25"/>
    <row r="38163" s="42" customFormat="1" x14ac:dyDescent="0.25"/>
    <row r="38164" s="42" customFormat="1" x14ac:dyDescent="0.25"/>
    <row r="38165" s="42" customFormat="1" x14ac:dyDescent="0.25"/>
    <row r="38166" s="42" customFormat="1" x14ac:dyDescent="0.25"/>
    <row r="38167" s="42" customFormat="1" x14ac:dyDescent="0.25"/>
    <row r="38168" s="42" customFormat="1" x14ac:dyDescent="0.25"/>
    <row r="38169" s="42" customFormat="1" x14ac:dyDescent="0.25"/>
    <row r="38170" s="42" customFormat="1" x14ac:dyDescent="0.25"/>
    <row r="38171" s="42" customFormat="1" x14ac:dyDescent="0.25"/>
    <row r="38172" s="42" customFormat="1" x14ac:dyDescent="0.25"/>
    <row r="38173" s="42" customFormat="1" x14ac:dyDescent="0.25"/>
    <row r="38174" s="42" customFormat="1" x14ac:dyDescent="0.25"/>
    <row r="38175" s="42" customFormat="1" x14ac:dyDescent="0.25"/>
    <row r="38176" s="42" customFormat="1" x14ac:dyDescent="0.25"/>
    <row r="38177" s="42" customFormat="1" x14ac:dyDescent="0.25"/>
    <row r="38178" s="42" customFormat="1" x14ac:dyDescent="0.25"/>
    <row r="38179" s="42" customFormat="1" x14ac:dyDescent="0.25"/>
    <row r="38180" s="42" customFormat="1" x14ac:dyDescent="0.25"/>
    <row r="38181" s="42" customFormat="1" x14ac:dyDescent="0.25"/>
    <row r="38182" s="42" customFormat="1" x14ac:dyDescent="0.25"/>
    <row r="38183" s="42" customFormat="1" x14ac:dyDescent="0.25"/>
    <row r="38184" s="42" customFormat="1" x14ac:dyDescent="0.25"/>
    <row r="38185" s="42" customFormat="1" x14ac:dyDescent="0.25"/>
    <row r="38186" s="42" customFormat="1" x14ac:dyDescent="0.25"/>
    <row r="38187" s="42" customFormat="1" x14ac:dyDescent="0.25"/>
    <row r="38188" s="42" customFormat="1" x14ac:dyDescent="0.25"/>
    <row r="38189" s="42" customFormat="1" x14ac:dyDescent="0.25"/>
    <row r="38190" s="42" customFormat="1" x14ac:dyDescent="0.25"/>
    <row r="38191" s="42" customFormat="1" x14ac:dyDescent="0.25"/>
    <row r="38192" s="42" customFormat="1" x14ac:dyDescent="0.25"/>
    <row r="38193" s="42" customFormat="1" x14ac:dyDescent="0.25"/>
    <row r="38194" s="42" customFormat="1" x14ac:dyDescent="0.25"/>
    <row r="38195" s="42" customFormat="1" x14ac:dyDescent="0.25"/>
    <row r="38196" s="42" customFormat="1" x14ac:dyDescent="0.25"/>
    <row r="38197" s="42" customFormat="1" x14ac:dyDescent="0.25"/>
    <row r="38198" s="42" customFormat="1" x14ac:dyDescent="0.25"/>
    <row r="38199" s="42" customFormat="1" x14ac:dyDescent="0.25"/>
    <row r="38200" s="42" customFormat="1" x14ac:dyDescent="0.25"/>
    <row r="38201" s="42" customFormat="1" x14ac:dyDescent="0.25"/>
    <row r="38202" s="42" customFormat="1" x14ac:dyDescent="0.25"/>
    <row r="38203" s="42" customFormat="1" x14ac:dyDescent="0.25"/>
    <row r="38204" s="42" customFormat="1" x14ac:dyDescent="0.25"/>
    <row r="38205" s="42" customFormat="1" x14ac:dyDescent="0.25"/>
    <row r="38206" s="42" customFormat="1" x14ac:dyDescent="0.25"/>
    <row r="38207" s="42" customFormat="1" x14ac:dyDescent="0.25"/>
    <row r="38208" s="42" customFormat="1" x14ac:dyDescent="0.25"/>
    <row r="38209" s="42" customFormat="1" x14ac:dyDescent="0.25"/>
    <row r="38210" s="42" customFormat="1" x14ac:dyDescent="0.25"/>
    <row r="38211" s="42" customFormat="1" x14ac:dyDescent="0.25"/>
    <row r="38212" s="42" customFormat="1" x14ac:dyDescent="0.25"/>
    <row r="38213" s="42" customFormat="1" x14ac:dyDescent="0.25"/>
    <row r="38214" s="42" customFormat="1" x14ac:dyDescent="0.25"/>
    <row r="38215" s="42" customFormat="1" x14ac:dyDescent="0.25"/>
    <row r="38216" s="42" customFormat="1" x14ac:dyDescent="0.25"/>
    <row r="38217" s="42" customFormat="1" x14ac:dyDescent="0.25"/>
    <row r="38218" s="42" customFormat="1" x14ac:dyDescent="0.25"/>
    <row r="38219" s="42" customFormat="1" x14ac:dyDescent="0.25"/>
    <row r="38220" s="42" customFormat="1" x14ac:dyDescent="0.25"/>
    <row r="38221" s="42" customFormat="1" x14ac:dyDescent="0.25"/>
    <row r="38222" s="42" customFormat="1" x14ac:dyDescent="0.25"/>
    <row r="38223" s="42" customFormat="1" x14ac:dyDescent="0.25"/>
    <row r="38224" s="42" customFormat="1" x14ac:dyDescent="0.25"/>
    <row r="38225" s="42" customFormat="1" x14ac:dyDescent="0.25"/>
    <row r="38226" s="42" customFormat="1" x14ac:dyDescent="0.25"/>
    <row r="38227" s="42" customFormat="1" x14ac:dyDescent="0.25"/>
    <row r="38228" s="42" customFormat="1" x14ac:dyDescent="0.25"/>
    <row r="38229" s="42" customFormat="1" x14ac:dyDescent="0.25"/>
    <row r="38230" s="42" customFormat="1" x14ac:dyDescent="0.25"/>
    <row r="38231" s="42" customFormat="1" x14ac:dyDescent="0.25"/>
    <row r="38232" s="42" customFormat="1" x14ac:dyDescent="0.25"/>
    <row r="38233" s="42" customFormat="1" x14ac:dyDescent="0.25"/>
    <row r="38234" s="42" customFormat="1" x14ac:dyDescent="0.25"/>
    <row r="38235" s="42" customFormat="1" x14ac:dyDescent="0.25"/>
    <row r="38236" s="42" customFormat="1" x14ac:dyDescent="0.25"/>
    <row r="38237" s="42" customFormat="1" x14ac:dyDescent="0.25"/>
    <row r="38238" s="42" customFormat="1" x14ac:dyDescent="0.25"/>
    <row r="38239" s="42" customFormat="1" x14ac:dyDescent="0.25"/>
    <row r="38240" s="42" customFormat="1" x14ac:dyDescent="0.25"/>
    <row r="38241" s="42" customFormat="1" x14ac:dyDescent="0.25"/>
    <row r="38242" s="42" customFormat="1" x14ac:dyDescent="0.25"/>
    <row r="38243" s="42" customFormat="1" x14ac:dyDescent="0.25"/>
    <row r="38244" s="42" customFormat="1" x14ac:dyDescent="0.25"/>
    <row r="38245" s="42" customFormat="1" x14ac:dyDescent="0.25"/>
    <row r="38246" s="42" customFormat="1" x14ac:dyDescent="0.25"/>
    <row r="38247" s="42" customFormat="1" x14ac:dyDescent="0.25"/>
    <row r="38248" s="42" customFormat="1" x14ac:dyDescent="0.25"/>
    <row r="38249" s="42" customFormat="1" x14ac:dyDescent="0.25"/>
    <row r="38250" s="42" customFormat="1" x14ac:dyDescent="0.25"/>
    <row r="38251" s="42" customFormat="1" x14ac:dyDescent="0.25"/>
    <row r="38252" s="42" customFormat="1" x14ac:dyDescent="0.25"/>
    <row r="38253" s="42" customFormat="1" x14ac:dyDescent="0.25"/>
    <row r="38254" s="42" customFormat="1" x14ac:dyDescent="0.25"/>
    <row r="38255" s="42" customFormat="1" x14ac:dyDescent="0.25"/>
    <row r="38256" s="42" customFormat="1" x14ac:dyDescent="0.25"/>
    <row r="38257" s="42" customFormat="1" x14ac:dyDescent="0.25"/>
    <row r="38258" s="42" customFormat="1" x14ac:dyDescent="0.25"/>
    <row r="38259" s="42" customFormat="1" x14ac:dyDescent="0.25"/>
    <row r="38260" s="42" customFormat="1" x14ac:dyDescent="0.25"/>
    <row r="38261" s="42" customFormat="1" x14ac:dyDescent="0.25"/>
    <row r="38262" s="42" customFormat="1" x14ac:dyDescent="0.25"/>
    <row r="38263" s="42" customFormat="1" x14ac:dyDescent="0.25"/>
    <row r="38264" s="42" customFormat="1" x14ac:dyDescent="0.25"/>
    <row r="38265" s="42" customFormat="1" x14ac:dyDescent="0.25"/>
    <row r="38266" s="42" customFormat="1" x14ac:dyDescent="0.25"/>
    <row r="38267" s="42" customFormat="1" x14ac:dyDescent="0.25"/>
    <row r="38268" s="42" customFormat="1" x14ac:dyDescent="0.25"/>
    <row r="38269" s="42" customFormat="1" x14ac:dyDescent="0.25"/>
    <row r="38270" s="42" customFormat="1" x14ac:dyDescent="0.25"/>
    <row r="38271" s="42" customFormat="1" x14ac:dyDescent="0.25"/>
    <row r="38272" s="42" customFormat="1" x14ac:dyDescent="0.25"/>
    <row r="38273" s="42" customFormat="1" x14ac:dyDescent="0.25"/>
    <row r="38274" s="42" customFormat="1" x14ac:dyDescent="0.25"/>
    <row r="38275" s="42" customFormat="1" x14ac:dyDescent="0.25"/>
    <row r="38276" s="42" customFormat="1" x14ac:dyDescent="0.25"/>
    <row r="38277" s="42" customFormat="1" x14ac:dyDescent="0.25"/>
    <row r="38278" s="42" customFormat="1" x14ac:dyDescent="0.25"/>
    <row r="38279" s="42" customFormat="1" x14ac:dyDescent="0.25"/>
    <row r="38280" s="42" customFormat="1" x14ac:dyDescent="0.25"/>
    <row r="38281" s="42" customFormat="1" x14ac:dyDescent="0.25"/>
    <row r="38282" s="42" customFormat="1" x14ac:dyDescent="0.25"/>
    <row r="38283" s="42" customFormat="1" x14ac:dyDescent="0.25"/>
    <row r="38284" s="42" customFormat="1" x14ac:dyDescent="0.25"/>
    <row r="38285" s="42" customFormat="1" x14ac:dyDescent="0.25"/>
    <row r="38286" s="42" customFormat="1" x14ac:dyDescent="0.25"/>
    <row r="38287" s="42" customFormat="1" x14ac:dyDescent="0.25"/>
    <row r="38288" s="42" customFormat="1" x14ac:dyDescent="0.25"/>
    <row r="38289" s="42" customFormat="1" x14ac:dyDescent="0.25"/>
    <row r="38290" s="42" customFormat="1" x14ac:dyDescent="0.25"/>
    <row r="38291" s="42" customFormat="1" x14ac:dyDescent="0.25"/>
    <row r="38292" s="42" customFormat="1" x14ac:dyDescent="0.25"/>
    <row r="38293" s="42" customFormat="1" x14ac:dyDescent="0.25"/>
    <row r="38294" s="42" customFormat="1" x14ac:dyDescent="0.25"/>
    <row r="38295" s="42" customFormat="1" x14ac:dyDescent="0.25"/>
    <row r="38296" s="42" customFormat="1" x14ac:dyDescent="0.25"/>
    <row r="38297" s="42" customFormat="1" x14ac:dyDescent="0.25"/>
    <row r="38298" s="42" customFormat="1" x14ac:dyDescent="0.25"/>
    <row r="38299" s="42" customFormat="1" x14ac:dyDescent="0.25"/>
    <row r="38300" s="42" customFormat="1" x14ac:dyDescent="0.25"/>
    <row r="38301" s="42" customFormat="1" x14ac:dyDescent="0.25"/>
    <row r="38302" s="42" customFormat="1" x14ac:dyDescent="0.25"/>
    <row r="38303" s="42" customFormat="1" x14ac:dyDescent="0.25"/>
    <row r="38304" s="42" customFormat="1" x14ac:dyDescent="0.25"/>
    <row r="38305" s="42" customFormat="1" x14ac:dyDescent="0.25"/>
    <row r="38306" s="42" customFormat="1" x14ac:dyDescent="0.25"/>
    <row r="38307" s="42" customFormat="1" x14ac:dyDescent="0.25"/>
    <row r="38308" s="42" customFormat="1" x14ac:dyDescent="0.25"/>
    <row r="38309" s="42" customFormat="1" x14ac:dyDescent="0.25"/>
    <row r="38310" s="42" customFormat="1" x14ac:dyDescent="0.25"/>
    <row r="38311" s="42" customFormat="1" x14ac:dyDescent="0.25"/>
    <row r="38312" s="42" customFormat="1" x14ac:dyDescent="0.25"/>
    <row r="38313" s="42" customFormat="1" x14ac:dyDescent="0.25"/>
    <row r="38314" s="42" customFormat="1" x14ac:dyDescent="0.25"/>
    <row r="38315" s="42" customFormat="1" x14ac:dyDescent="0.25"/>
    <row r="38316" s="42" customFormat="1" x14ac:dyDescent="0.25"/>
    <row r="38317" s="42" customFormat="1" x14ac:dyDescent="0.25"/>
    <row r="38318" s="42" customFormat="1" x14ac:dyDescent="0.25"/>
    <row r="38319" s="42" customFormat="1" x14ac:dyDescent="0.25"/>
    <row r="38320" s="42" customFormat="1" x14ac:dyDescent="0.25"/>
    <row r="38321" s="42" customFormat="1" x14ac:dyDescent="0.25"/>
    <row r="38322" s="42" customFormat="1" x14ac:dyDescent="0.25"/>
    <row r="38323" s="42" customFormat="1" x14ac:dyDescent="0.25"/>
    <row r="38324" s="42" customFormat="1" x14ac:dyDescent="0.25"/>
    <row r="38325" s="42" customFormat="1" x14ac:dyDescent="0.25"/>
    <row r="38326" s="42" customFormat="1" x14ac:dyDescent="0.25"/>
    <row r="38327" s="42" customFormat="1" x14ac:dyDescent="0.25"/>
    <row r="38328" s="42" customFormat="1" x14ac:dyDescent="0.25"/>
    <row r="38329" s="42" customFormat="1" x14ac:dyDescent="0.25"/>
    <row r="38330" s="42" customFormat="1" x14ac:dyDescent="0.25"/>
    <row r="38331" s="42" customFormat="1" x14ac:dyDescent="0.25"/>
    <row r="38332" s="42" customFormat="1" x14ac:dyDescent="0.25"/>
    <row r="38333" s="42" customFormat="1" x14ac:dyDescent="0.25"/>
    <row r="38334" s="42" customFormat="1" x14ac:dyDescent="0.25"/>
    <row r="38335" s="42" customFormat="1" x14ac:dyDescent="0.25"/>
    <row r="38336" s="42" customFormat="1" x14ac:dyDescent="0.25"/>
    <row r="38337" s="42" customFormat="1" x14ac:dyDescent="0.25"/>
    <row r="38338" s="42" customFormat="1" x14ac:dyDescent="0.25"/>
    <row r="38339" s="42" customFormat="1" x14ac:dyDescent="0.25"/>
    <row r="38340" s="42" customFormat="1" x14ac:dyDescent="0.25"/>
    <row r="38341" s="42" customFormat="1" x14ac:dyDescent="0.25"/>
    <row r="38342" s="42" customFormat="1" x14ac:dyDescent="0.25"/>
    <row r="38343" s="42" customFormat="1" x14ac:dyDescent="0.25"/>
    <row r="38344" s="42" customFormat="1" x14ac:dyDescent="0.25"/>
    <row r="38345" s="42" customFormat="1" x14ac:dyDescent="0.25"/>
    <row r="38346" s="42" customFormat="1" x14ac:dyDescent="0.25"/>
    <row r="38347" s="42" customFormat="1" x14ac:dyDescent="0.25"/>
    <row r="38348" s="42" customFormat="1" x14ac:dyDescent="0.25"/>
    <row r="38349" s="42" customFormat="1" x14ac:dyDescent="0.25"/>
    <row r="38350" s="42" customFormat="1" x14ac:dyDescent="0.25"/>
    <row r="38351" s="42" customFormat="1" x14ac:dyDescent="0.25"/>
    <row r="38352" s="42" customFormat="1" x14ac:dyDescent="0.25"/>
    <row r="38353" s="42" customFormat="1" x14ac:dyDescent="0.25"/>
    <row r="38354" s="42" customFormat="1" x14ac:dyDescent="0.25"/>
    <row r="38355" s="42" customFormat="1" x14ac:dyDescent="0.25"/>
    <row r="38356" s="42" customFormat="1" x14ac:dyDescent="0.25"/>
    <row r="38357" s="42" customFormat="1" x14ac:dyDescent="0.25"/>
    <row r="38358" s="42" customFormat="1" x14ac:dyDescent="0.25"/>
    <row r="38359" s="42" customFormat="1" x14ac:dyDescent="0.25"/>
    <row r="38360" s="42" customFormat="1" x14ac:dyDescent="0.25"/>
    <row r="38361" s="42" customFormat="1" x14ac:dyDescent="0.25"/>
    <row r="38362" s="42" customFormat="1" x14ac:dyDescent="0.25"/>
    <row r="38363" s="42" customFormat="1" x14ac:dyDescent="0.25"/>
    <row r="38364" s="42" customFormat="1" x14ac:dyDescent="0.25"/>
    <row r="38365" s="42" customFormat="1" x14ac:dyDescent="0.25"/>
    <row r="38366" s="42" customFormat="1" x14ac:dyDescent="0.25"/>
    <row r="38367" s="42" customFormat="1" x14ac:dyDescent="0.25"/>
    <row r="38368" s="42" customFormat="1" x14ac:dyDescent="0.25"/>
    <row r="38369" s="42" customFormat="1" x14ac:dyDescent="0.25"/>
    <row r="38370" s="42" customFormat="1" x14ac:dyDescent="0.25"/>
    <row r="38371" s="42" customFormat="1" x14ac:dyDescent="0.25"/>
    <row r="38372" s="42" customFormat="1" x14ac:dyDescent="0.25"/>
    <row r="38373" s="42" customFormat="1" x14ac:dyDescent="0.25"/>
    <row r="38374" s="42" customFormat="1" x14ac:dyDescent="0.25"/>
    <row r="38375" s="42" customFormat="1" x14ac:dyDescent="0.25"/>
    <row r="38376" s="42" customFormat="1" x14ac:dyDescent="0.25"/>
    <row r="38377" s="42" customFormat="1" x14ac:dyDescent="0.25"/>
    <row r="38378" s="42" customFormat="1" x14ac:dyDescent="0.25"/>
    <row r="38379" s="42" customFormat="1" x14ac:dyDescent="0.25"/>
    <row r="38380" s="42" customFormat="1" x14ac:dyDescent="0.25"/>
    <row r="38381" s="42" customFormat="1" x14ac:dyDescent="0.25"/>
    <row r="38382" s="42" customFormat="1" x14ac:dyDescent="0.25"/>
    <row r="38383" s="42" customFormat="1" x14ac:dyDescent="0.25"/>
    <row r="38384" s="42" customFormat="1" x14ac:dyDescent="0.25"/>
    <row r="38385" s="42" customFormat="1" x14ac:dyDescent="0.25"/>
    <row r="38386" s="42" customFormat="1" x14ac:dyDescent="0.25"/>
    <row r="38387" s="42" customFormat="1" x14ac:dyDescent="0.25"/>
    <row r="38388" s="42" customFormat="1" x14ac:dyDescent="0.25"/>
    <row r="38389" s="42" customFormat="1" x14ac:dyDescent="0.25"/>
    <row r="38390" s="42" customFormat="1" x14ac:dyDescent="0.25"/>
    <row r="38391" s="42" customFormat="1" x14ac:dyDescent="0.25"/>
    <row r="38392" s="42" customFormat="1" x14ac:dyDescent="0.25"/>
    <row r="38393" s="42" customFormat="1" x14ac:dyDescent="0.25"/>
    <row r="38394" s="42" customFormat="1" x14ac:dyDescent="0.25"/>
    <row r="38395" s="42" customFormat="1" x14ac:dyDescent="0.25"/>
    <row r="38396" s="42" customFormat="1" x14ac:dyDescent="0.25"/>
    <row r="38397" s="42" customFormat="1" x14ac:dyDescent="0.25"/>
    <row r="38398" s="42" customFormat="1" x14ac:dyDescent="0.25"/>
    <row r="38399" s="42" customFormat="1" x14ac:dyDescent="0.25"/>
    <row r="38400" s="42" customFormat="1" x14ac:dyDescent="0.25"/>
    <row r="38401" s="42" customFormat="1" x14ac:dyDescent="0.25"/>
    <row r="38402" s="42" customFormat="1" x14ac:dyDescent="0.25"/>
    <row r="38403" s="42" customFormat="1" x14ac:dyDescent="0.25"/>
    <row r="38404" s="42" customFormat="1" x14ac:dyDescent="0.25"/>
    <row r="38405" s="42" customFormat="1" x14ac:dyDescent="0.25"/>
    <row r="38406" s="42" customFormat="1" x14ac:dyDescent="0.25"/>
    <row r="38407" s="42" customFormat="1" x14ac:dyDescent="0.25"/>
    <row r="38408" s="42" customFormat="1" x14ac:dyDescent="0.25"/>
    <row r="38409" s="42" customFormat="1" x14ac:dyDescent="0.25"/>
    <row r="38410" s="42" customFormat="1" x14ac:dyDescent="0.25"/>
    <row r="38411" s="42" customFormat="1" x14ac:dyDescent="0.25"/>
    <row r="38412" s="42" customFormat="1" x14ac:dyDescent="0.25"/>
    <row r="38413" s="42" customFormat="1" x14ac:dyDescent="0.25"/>
    <row r="38414" s="42" customFormat="1" x14ac:dyDescent="0.25"/>
    <row r="38415" s="42" customFormat="1" x14ac:dyDescent="0.25"/>
    <row r="38416" s="42" customFormat="1" x14ac:dyDescent="0.25"/>
    <row r="38417" s="42" customFormat="1" x14ac:dyDescent="0.25"/>
    <row r="38418" s="42" customFormat="1" x14ac:dyDescent="0.25"/>
    <row r="38419" s="42" customFormat="1" x14ac:dyDescent="0.25"/>
    <row r="38420" s="42" customFormat="1" x14ac:dyDescent="0.25"/>
    <row r="38421" s="42" customFormat="1" x14ac:dyDescent="0.25"/>
    <row r="38422" s="42" customFormat="1" x14ac:dyDescent="0.25"/>
    <row r="38423" s="42" customFormat="1" x14ac:dyDescent="0.25"/>
    <row r="38424" s="42" customFormat="1" x14ac:dyDescent="0.25"/>
    <row r="38425" s="42" customFormat="1" x14ac:dyDescent="0.25"/>
    <row r="38426" s="42" customFormat="1" x14ac:dyDescent="0.25"/>
    <row r="38427" s="42" customFormat="1" x14ac:dyDescent="0.25"/>
    <row r="38428" s="42" customFormat="1" x14ac:dyDescent="0.25"/>
    <row r="38429" s="42" customFormat="1" x14ac:dyDescent="0.25"/>
    <row r="38430" s="42" customFormat="1" x14ac:dyDescent="0.25"/>
    <row r="38431" s="42" customFormat="1" x14ac:dyDescent="0.25"/>
    <row r="38432" s="42" customFormat="1" x14ac:dyDescent="0.25"/>
    <row r="38433" s="42" customFormat="1" x14ac:dyDescent="0.25"/>
    <row r="38434" s="42" customFormat="1" x14ac:dyDescent="0.25"/>
    <row r="38435" s="42" customFormat="1" x14ac:dyDescent="0.25"/>
    <row r="38436" s="42" customFormat="1" x14ac:dyDescent="0.25"/>
    <row r="38437" s="42" customFormat="1" x14ac:dyDescent="0.25"/>
    <row r="38438" s="42" customFormat="1" x14ac:dyDescent="0.25"/>
    <row r="38439" s="42" customFormat="1" x14ac:dyDescent="0.25"/>
    <row r="38440" s="42" customFormat="1" x14ac:dyDescent="0.25"/>
    <row r="38441" s="42" customFormat="1" x14ac:dyDescent="0.25"/>
    <row r="38442" s="42" customFormat="1" x14ac:dyDescent="0.25"/>
    <row r="38443" s="42" customFormat="1" x14ac:dyDescent="0.25"/>
    <row r="38444" s="42" customFormat="1" x14ac:dyDescent="0.25"/>
    <row r="38445" s="42" customFormat="1" x14ac:dyDescent="0.25"/>
    <row r="38446" s="42" customFormat="1" x14ac:dyDescent="0.25"/>
    <row r="38447" s="42" customFormat="1" x14ac:dyDescent="0.25"/>
    <row r="38448" s="42" customFormat="1" x14ac:dyDescent="0.25"/>
    <row r="38449" s="42" customFormat="1" x14ac:dyDescent="0.25"/>
    <row r="38450" s="42" customFormat="1" x14ac:dyDescent="0.25"/>
    <row r="38451" s="42" customFormat="1" x14ac:dyDescent="0.25"/>
    <row r="38452" s="42" customFormat="1" x14ac:dyDescent="0.25"/>
    <row r="38453" s="42" customFormat="1" x14ac:dyDescent="0.25"/>
    <row r="38454" s="42" customFormat="1" x14ac:dyDescent="0.25"/>
    <row r="38455" s="42" customFormat="1" x14ac:dyDescent="0.25"/>
    <row r="38456" s="42" customFormat="1" x14ac:dyDescent="0.25"/>
    <row r="38457" s="42" customFormat="1" x14ac:dyDescent="0.25"/>
    <row r="38458" s="42" customFormat="1" x14ac:dyDescent="0.25"/>
    <row r="38459" s="42" customFormat="1" x14ac:dyDescent="0.25"/>
    <row r="38460" s="42" customFormat="1" x14ac:dyDescent="0.25"/>
    <row r="38461" s="42" customFormat="1" x14ac:dyDescent="0.25"/>
    <row r="38462" s="42" customFormat="1" x14ac:dyDescent="0.25"/>
    <row r="38463" s="42" customFormat="1" x14ac:dyDescent="0.25"/>
    <row r="38464" s="42" customFormat="1" x14ac:dyDescent="0.25"/>
    <row r="38465" s="42" customFormat="1" x14ac:dyDescent="0.25"/>
    <row r="38466" s="42" customFormat="1" x14ac:dyDescent="0.25"/>
    <row r="38467" s="42" customFormat="1" x14ac:dyDescent="0.25"/>
    <row r="38468" s="42" customFormat="1" x14ac:dyDescent="0.25"/>
    <row r="38469" s="42" customFormat="1" x14ac:dyDescent="0.25"/>
    <row r="38470" s="42" customFormat="1" x14ac:dyDescent="0.25"/>
    <row r="38471" s="42" customFormat="1" x14ac:dyDescent="0.25"/>
    <row r="38472" s="42" customFormat="1" x14ac:dyDescent="0.25"/>
    <row r="38473" s="42" customFormat="1" x14ac:dyDescent="0.25"/>
    <row r="38474" s="42" customFormat="1" x14ac:dyDescent="0.25"/>
    <row r="38475" s="42" customFormat="1" x14ac:dyDescent="0.25"/>
    <row r="38476" s="42" customFormat="1" x14ac:dyDescent="0.25"/>
    <row r="38477" s="42" customFormat="1" x14ac:dyDescent="0.25"/>
    <row r="38478" s="42" customFormat="1" x14ac:dyDescent="0.25"/>
    <row r="38479" s="42" customFormat="1" x14ac:dyDescent="0.25"/>
    <row r="38480" s="42" customFormat="1" x14ac:dyDescent="0.25"/>
    <row r="38481" s="42" customFormat="1" x14ac:dyDescent="0.25"/>
    <row r="38482" s="42" customFormat="1" x14ac:dyDescent="0.25"/>
    <row r="38483" s="42" customFormat="1" x14ac:dyDescent="0.25"/>
    <row r="38484" s="42" customFormat="1" x14ac:dyDescent="0.25"/>
    <row r="38485" s="42" customFormat="1" x14ac:dyDescent="0.25"/>
    <row r="38486" s="42" customFormat="1" x14ac:dyDescent="0.25"/>
    <row r="38487" s="42" customFormat="1" x14ac:dyDescent="0.25"/>
    <row r="38488" s="42" customFormat="1" x14ac:dyDescent="0.25"/>
    <row r="38489" s="42" customFormat="1" x14ac:dyDescent="0.25"/>
    <row r="38490" s="42" customFormat="1" x14ac:dyDescent="0.25"/>
    <row r="38491" s="42" customFormat="1" x14ac:dyDescent="0.25"/>
    <row r="38492" s="42" customFormat="1" x14ac:dyDescent="0.25"/>
    <row r="38493" s="42" customFormat="1" x14ac:dyDescent="0.25"/>
    <row r="38494" s="42" customFormat="1" x14ac:dyDescent="0.25"/>
    <row r="38495" s="42" customFormat="1" x14ac:dyDescent="0.25"/>
    <row r="38496" s="42" customFormat="1" x14ac:dyDescent="0.25"/>
    <row r="38497" s="42" customFormat="1" x14ac:dyDescent="0.25"/>
    <row r="38498" s="42" customFormat="1" x14ac:dyDescent="0.25"/>
    <row r="38499" s="42" customFormat="1" x14ac:dyDescent="0.25"/>
    <row r="38500" s="42" customFormat="1" x14ac:dyDescent="0.25"/>
    <row r="38501" s="42" customFormat="1" x14ac:dyDescent="0.25"/>
    <row r="38502" s="42" customFormat="1" x14ac:dyDescent="0.25"/>
    <row r="38503" s="42" customFormat="1" x14ac:dyDescent="0.25"/>
    <row r="38504" s="42" customFormat="1" x14ac:dyDescent="0.25"/>
    <row r="38505" s="42" customFormat="1" x14ac:dyDescent="0.25"/>
    <row r="38506" s="42" customFormat="1" x14ac:dyDescent="0.25"/>
    <row r="38507" s="42" customFormat="1" x14ac:dyDescent="0.25"/>
    <row r="38508" s="42" customFormat="1" x14ac:dyDescent="0.25"/>
    <row r="38509" s="42" customFormat="1" x14ac:dyDescent="0.25"/>
    <row r="38510" s="42" customFormat="1" x14ac:dyDescent="0.25"/>
    <row r="38511" s="42" customFormat="1" x14ac:dyDescent="0.25"/>
    <row r="38512" s="42" customFormat="1" x14ac:dyDescent="0.25"/>
    <row r="38513" s="42" customFormat="1" x14ac:dyDescent="0.25"/>
    <row r="38514" s="42" customFormat="1" x14ac:dyDescent="0.25"/>
    <row r="38515" s="42" customFormat="1" x14ac:dyDescent="0.25"/>
    <row r="38516" s="42" customFormat="1" x14ac:dyDescent="0.25"/>
    <row r="38517" s="42" customFormat="1" x14ac:dyDescent="0.25"/>
    <row r="38518" s="42" customFormat="1" x14ac:dyDescent="0.25"/>
    <row r="38519" s="42" customFormat="1" x14ac:dyDescent="0.25"/>
    <row r="38520" s="42" customFormat="1" x14ac:dyDescent="0.25"/>
    <row r="38521" s="42" customFormat="1" x14ac:dyDescent="0.25"/>
    <row r="38522" s="42" customFormat="1" x14ac:dyDescent="0.25"/>
    <row r="38523" s="42" customFormat="1" x14ac:dyDescent="0.25"/>
    <row r="38524" s="42" customFormat="1" x14ac:dyDescent="0.25"/>
    <row r="38525" s="42" customFormat="1" x14ac:dyDescent="0.25"/>
    <row r="38526" s="42" customFormat="1" x14ac:dyDescent="0.25"/>
    <row r="38527" s="42" customFormat="1" x14ac:dyDescent="0.25"/>
    <row r="38528" s="42" customFormat="1" x14ac:dyDescent="0.25"/>
    <row r="38529" s="42" customFormat="1" x14ac:dyDescent="0.25"/>
    <row r="38530" s="42" customFormat="1" x14ac:dyDescent="0.25"/>
    <row r="38531" s="42" customFormat="1" x14ac:dyDescent="0.25"/>
    <row r="38532" s="42" customFormat="1" x14ac:dyDescent="0.25"/>
    <row r="38533" s="42" customFormat="1" x14ac:dyDescent="0.25"/>
    <row r="38534" s="42" customFormat="1" x14ac:dyDescent="0.25"/>
    <row r="38535" s="42" customFormat="1" x14ac:dyDescent="0.25"/>
    <row r="38536" s="42" customFormat="1" x14ac:dyDescent="0.25"/>
    <row r="38537" s="42" customFormat="1" x14ac:dyDescent="0.25"/>
    <row r="38538" s="42" customFormat="1" x14ac:dyDescent="0.25"/>
    <row r="38539" s="42" customFormat="1" x14ac:dyDescent="0.25"/>
    <row r="38540" s="42" customFormat="1" x14ac:dyDescent="0.25"/>
    <row r="38541" s="42" customFormat="1" x14ac:dyDescent="0.25"/>
    <row r="38542" s="42" customFormat="1" x14ac:dyDescent="0.25"/>
    <row r="38543" s="42" customFormat="1" x14ac:dyDescent="0.25"/>
    <row r="38544" s="42" customFormat="1" x14ac:dyDescent="0.25"/>
    <row r="38545" s="42" customFormat="1" x14ac:dyDescent="0.25"/>
    <row r="38546" s="42" customFormat="1" x14ac:dyDescent="0.25"/>
    <row r="38547" s="42" customFormat="1" x14ac:dyDescent="0.25"/>
    <row r="38548" s="42" customFormat="1" x14ac:dyDescent="0.25"/>
    <row r="38549" s="42" customFormat="1" x14ac:dyDescent="0.25"/>
    <row r="38550" s="42" customFormat="1" x14ac:dyDescent="0.25"/>
    <row r="38551" s="42" customFormat="1" x14ac:dyDescent="0.25"/>
    <row r="38552" s="42" customFormat="1" x14ac:dyDescent="0.25"/>
    <row r="38553" s="42" customFormat="1" x14ac:dyDescent="0.25"/>
    <row r="38554" s="42" customFormat="1" x14ac:dyDescent="0.25"/>
    <row r="38555" s="42" customFormat="1" x14ac:dyDescent="0.25"/>
    <row r="38556" s="42" customFormat="1" x14ac:dyDescent="0.25"/>
    <row r="38557" s="42" customFormat="1" x14ac:dyDescent="0.25"/>
    <row r="38558" s="42" customFormat="1" x14ac:dyDescent="0.25"/>
    <row r="38559" s="42" customFormat="1" x14ac:dyDescent="0.25"/>
    <row r="38560" s="42" customFormat="1" x14ac:dyDescent="0.25"/>
    <row r="38561" s="42" customFormat="1" x14ac:dyDescent="0.25"/>
    <row r="38562" s="42" customFormat="1" x14ac:dyDescent="0.25"/>
    <row r="38563" s="42" customFormat="1" x14ac:dyDescent="0.25"/>
    <row r="38564" s="42" customFormat="1" x14ac:dyDescent="0.25"/>
    <row r="38565" s="42" customFormat="1" x14ac:dyDescent="0.25"/>
    <row r="38566" s="42" customFormat="1" x14ac:dyDescent="0.25"/>
    <row r="38567" s="42" customFormat="1" x14ac:dyDescent="0.25"/>
    <row r="38568" s="42" customFormat="1" x14ac:dyDescent="0.25"/>
    <row r="38569" s="42" customFormat="1" x14ac:dyDescent="0.25"/>
    <row r="38570" s="42" customFormat="1" x14ac:dyDescent="0.25"/>
    <row r="38571" s="42" customFormat="1" x14ac:dyDescent="0.25"/>
    <row r="38572" s="42" customFormat="1" x14ac:dyDescent="0.25"/>
    <row r="38573" s="42" customFormat="1" x14ac:dyDescent="0.25"/>
    <row r="38574" s="42" customFormat="1" x14ac:dyDescent="0.25"/>
    <row r="38575" s="42" customFormat="1" x14ac:dyDescent="0.25"/>
    <row r="38576" s="42" customFormat="1" x14ac:dyDescent="0.25"/>
    <row r="38577" s="42" customFormat="1" x14ac:dyDescent="0.25"/>
    <row r="38578" s="42" customFormat="1" x14ac:dyDescent="0.25"/>
    <row r="38579" s="42" customFormat="1" x14ac:dyDescent="0.25"/>
    <row r="38580" s="42" customFormat="1" x14ac:dyDescent="0.25"/>
    <row r="38581" s="42" customFormat="1" x14ac:dyDescent="0.25"/>
    <row r="38582" s="42" customFormat="1" x14ac:dyDescent="0.25"/>
    <row r="38583" s="42" customFormat="1" x14ac:dyDescent="0.25"/>
    <row r="38584" s="42" customFormat="1" x14ac:dyDescent="0.25"/>
    <row r="38585" s="42" customFormat="1" x14ac:dyDescent="0.25"/>
    <row r="38586" s="42" customFormat="1" x14ac:dyDescent="0.25"/>
    <row r="38587" s="42" customFormat="1" x14ac:dyDescent="0.25"/>
    <row r="38588" s="42" customFormat="1" x14ac:dyDescent="0.25"/>
    <row r="38589" s="42" customFormat="1" x14ac:dyDescent="0.25"/>
    <row r="38590" s="42" customFormat="1" x14ac:dyDescent="0.25"/>
    <row r="38591" s="42" customFormat="1" x14ac:dyDescent="0.25"/>
    <row r="38592" s="42" customFormat="1" x14ac:dyDescent="0.25"/>
    <row r="38593" s="42" customFormat="1" x14ac:dyDescent="0.25"/>
    <row r="38594" s="42" customFormat="1" x14ac:dyDescent="0.25"/>
    <row r="38595" s="42" customFormat="1" x14ac:dyDescent="0.25"/>
    <row r="38596" s="42" customFormat="1" x14ac:dyDescent="0.25"/>
    <row r="38597" s="42" customFormat="1" x14ac:dyDescent="0.25"/>
    <row r="38598" s="42" customFormat="1" x14ac:dyDescent="0.25"/>
    <row r="38599" s="42" customFormat="1" x14ac:dyDescent="0.25"/>
    <row r="38600" s="42" customFormat="1" x14ac:dyDescent="0.25"/>
    <row r="38601" s="42" customFormat="1" x14ac:dyDescent="0.25"/>
    <row r="38602" s="42" customFormat="1" x14ac:dyDescent="0.25"/>
    <row r="38603" s="42" customFormat="1" x14ac:dyDescent="0.25"/>
    <row r="38604" s="42" customFormat="1" x14ac:dyDescent="0.25"/>
    <row r="38605" s="42" customFormat="1" x14ac:dyDescent="0.25"/>
    <row r="38606" s="42" customFormat="1" x14ac:dyDescent="0.25"/>
    <row r="38607" s="42" customFormat="1" x14ac:dyDescent="0.25"/>
    <row r="38608" s="42" customFormat="1" x14ac:dyDescent="0.25"/>
    <row r="38609" s="42" customFormat="1" x14ac:dyDescent="0.25"/>
    <row r="38610" s="42" customFormat="1" x14ac:dyDescent="0.25"/>
    <row r="38611" s="42" customFormat="1" x14ac:dyDescent="0.25"/>
    <row r="38612" s="42" customFormat="1" x14ac:dyDescent="0.25"/>
    <row r="38613" s="42" customFormat="1" x14ac:dyDescent="0.25"/>
    <row r="38614" s="42" customFormat="1" x14ac:dyDescent="0.25"/>
    <row r="38615" s="42" customFormat="1" x14ac:dyDescent="0.25"/>
    <row r="38616" s="42" customFormat="1" x14ac:dyDescent="0.25"/>
    <row r="38617" s="42" customFormat="1" x14ac:dyDescent="0.25"/>
    <row r="38618" s="42" customFormat="1" x14ac:dyDescent="0.25"/>
    <row r="38619" s="42" customFormat="1" x14ac:dyDescent="0.25"/>
    <row r="38620" s="42" customFormat="1" x14ac:dyDescent="0.25"/>
    <row r="38621" s="42" customFormat="1" x14ac:dyDescent="0.25"/>
    <row r="38622" s="42" customFormat="1" x14ac:dyDescent="0.25"/>
    <row r="38623" s="42" customFormat="1" x14ac:dyDescent="0.25"/>
    <row r="38624" s="42" customFormat="1" x14ac:dyDescent="0.25"/>
    <row r="38625" s="42" customFormat="1" x14ac:dyDescent="0.25"/>
    <row r="38626" s="42" customFormat="1" x14ac:dyDescent="0.25"/>
    <row r="38627" s="42" customFormat="1" x14ac:dyDescent="0.25"/>
    <row r="38628" s="42" customFormat="1" x14ac:dyDescent="0.25"/>
    <row r="38629" s="42" customFormat="1" x14ac:dyDescent="0.25"/>
    <row r="38630" s="42" customFormat="1" x14ac:dyDescent="0.25"/>
    <row r="38631" s="42" customFormat="1" x14ac:dyDescent="0.25"/>
    <row r="38632" s="42" customFormat="1" x14ac:dyDescent="0.25"/>
    <row r="38633" s="42" customFormat="1" x14ac:dyDescent="0.25"/>
    <row r="38634" s="42" customFormat="1" x14ac:dyDescent="0.25"/>
    <row r="38635" s="42" customFormat="1" x14ac:dyDescent="0.25"/>
    <row r="38636" s="42" customFormat="1" x14ac:dyDescent="0.25"/>
    <row r="38637" s="42" customFormat="1" x14ac:dyDescent="0.25"/>
    <row r="38638" s="42" customFormat="1" x14ac:dyDescent="0.25"/>
    <row r="38639" s="42" customFormat="1" x14ac:dyDescent="0.25"/>
    <row r="38640" s="42" customFormat="1" x14ac:dyDescent="0.25"/>
    <row r="38641" s="42" customFormat="1" x14ac:dyDescent="0.25"/>
    <row r="38642" s="42" customFormat="1" x14ac:dyDescent="0.25"/>
    <row r="38643" s="42" customFormat="1" x14ac:dyDescent="0.25"/>
    <row r="38644" s="42" customFormat="1" x14ac:dyDescent="0.25"/>
    <row r="38645" s="42" customFormat="1" x14ac:dyDescent="0.25"/>
    <row r="38646" s="42" customFormat="1" x14ac:dyDescent="0.25"/>
    <row r="38647" s="42" customFormat="1" x14ac:dyDescent="0.25"/>
    <row r="38648" s="42" customFormat="1" x14ac:dyDescent="0.25"/>
    <row r="38649" s="42" customFormat="1" x14ac:dyDescent="0.25"/>
    <row r="38650" s="42" customFormat="1" x14ac:dyDescent="0.25"/>
    <row r="38651" s="42" customFormat="1" x14ac:dyDescent="0.25"/>
    <row r="38652" s="42" customFormat="1" x14ac:dyDescent="0.25"/>
    <row r="38653" s="42" customFormat="1" x14ac:dyDescent="0.25"/>
    <row r="38654" s="42" customFormat="1" x14ac:dyDescent="0.25"/>
    <row r="38655" s="42" customFormat="1" x14ac:dyDescent="0.25"/>
    <row r="38656" s="42" customFormat="1" x14ac:dyDescent="0.25"/>
    <row r="38657" s="42" customFormat="1" x14ac:dyDescent="0.25"/>
    <row r="38658" s="42" customFormat="1" x14ac:dyDescent="0.25"/>
    <row r="38659" s="42" customFormat="1" x14ac:dyDescent="0.25"/>
    <row r="38660" s="42" customFormat="1" x14ac:dyDescent="0.25"/>
    <row r="38661" s="42" customFormat="1" x14ac:dyDescent="0.25"/>
    <row r="38662" s="42" customFormat="1" x14ac:dyDescent="0.25"/>
    <row r="38663" s="42" customFormat="1" x14ac:dyDescent="0.25"/>
    <row r="38664" s="42" customFormat="1" x14ac:dyDescent="0.25"/>
    <row r="38665" s="42" customFormat="1" x14ac:dyDescent="0.25"/>
    <row r="38666" s="42" customFormat="1" x14ac:dyDescent="0.25"/>
    <row r="38667" s="42" customFormat="1" x14ac:dyDescent="0.25"/>
    <row r="38668" s="42" customFormat="1" x14ac:dyDescent="0.25"/>
    <row r="38669" s="42" customFormat="1" x14ac:dyDescent="0.25"/>
    <row r="38670" s="42" customFormat="1" x14ac:dyDescent="0.25"/>
    <row r="38671" s="42" customFormat="1" x14ac:dyDescent="0.25"/>
    <row r="38672" s="42" customFormat="1" x14ac:dyDescent="0.25"/>
    <row r="38673" s="42" customFormat="1" x14ac:dyDescent="0.25"/>
    <row r="38674" s="42" customFormat="1" x14ac:dyDescent="0.25"/>
    <row r="38675" s="42" customFormat="1" x14ac:dyDescent="0.25"/>
    <row r="38676" s="42" customFormat="1" x14ac:dyDescent="0.25"/>
    <row r="38677" s="42" customFormat="1" x14ac:dyDescent="0.25"/>
    <row r="38678" s="42" customFormat="1" x14ac:dyDescent="0.25"/>
    <row r="38679" s="42" customFormat="1" x14ac:dyDescent="0.25"/>
    <row r="38680" s="42" customFormat="1" x14ac:dyDescent="0.25"/>
    <row r="38681" s="42" customFormat="1" x14ac:dyDescent="0.25"/>
    <row r="38682" s="42" customFormat="1" x14ac:dyDescent="0.25"/>
    <row r="38683" s="42" customFormat="1" x14ac:dyDescent="0.25"/>
    <row r="38684" s="42" customFormat="1" x14ac:dyDescent="0.25"/>
    <row r="38685" s="42" customFormat="1" x14ac:dyDescent="0.25"/>
    <row r="38686" s="42" customFormat="1" x14ac:dyDescent="0.25"/>
    <row r="38687" s="42" customFormat="1" x14ac:dyDescent="0.25"/>
    <row r="38688" s="42" customFormat="1" x14ac:dyDescent="0.25"/>
    <row r="38689" s="42" customFormat="1" x14ac:dyDescent="0.25"/>
    <row r="38690" s="42" customFormat="1" x14ac:dyDescent="0.25"/>
    <row r="38691" s="42" customFormat="1" x14ac:dyDescent="0.25"/>
    <row r="38692" s="42" customFormat="1" x14ac:dyDescent="0.25"/>
    <row r="38693" s="42" customFormat="1" x14ac:dyDescent="0.25"/>
    <row r="38694" s="42" customFormat="1" x14ac:dyDescent="0.25"/>
    <row r="38695" s="42" customFormat="1" x14ac:dyDescent="0.25"/>
    <row r="38696" s="42" customFormat="1" x14ac:dyDescent="0.25"/>
    <row r="38697" s="42" customFormat="1" x14ac:dyDescent="0.25"/>
    <row r="38698" s="42" customFormat="1" x14ac:dyDescent="0.25"/>
    <row r="38699" s="42" customFormat="1" x14ac:dyDescent="0.25"/>
    <row r="38700" s="42" customFormat="1" x14ac:dyDescent="0.25"/>
    <row r="38701" s="42" customFormat="1" x14ac:dyDescent="0.25"/>
    <row r="38702" s="42" customFormat="1" x14ac:dyDescent="0.25"/>
    <row r="38703" s="42" customFormat="1" x14ac:dyDescent="0.25"/>
    <row r="38704" s="42" customFormat="1" x14ac:dyDescent="0.25"/>
    <row r="38705" s="42" customFormat="1" x14ac:dyDescent="0.25"/>
    <row r="38706" s="42" customFormat="1" x14ac:dyDescent="0.25"/>
    <row r="38707" s="42" customFormat="1" x14ac:dyDescent="0.25"/>
    <row r="38708" s="42" customFormat="1" x14ac:dyDescent="0.25"/>
    <row r="38709" s="42" customFormat="1" x14ac:dyDescent="0.25"/>
    <row r="38710" s="42" customFormat="1" x14ac:dyDescent="0.25"/>
    <row r="38711" s="42" customFormat="1" x14ac:dyDescent="0.25"/>
    <row r="38712" s="42" customFormat="1" x14ac:dyDescent="0.25"/>
    <row r="38713" s="42" customFormat="1" x14ac:dyDescent="0.25"/>
    <row r="38714" s="42" customFormat="1" x14ac:dyDescent="0.25"/>
    <row r="38715" s="42" customFormat="1" x14ac:dyDescent="0.25"/>
    <row r="38716" s="42" customFormat="1" x14ac:dyDescent="0.25"/>
    <row r="38717" s="42" customFormat="1" x14ac:dyDescent="0.25"/>
    <row r="38718" s="42" customFormat="1" x14ac:dyDescent="0.25"/>
    <row r="38719" s="42" customFormat="1" x14ac:dyDescent="0.25"/>
    <row r="38720" s="42" customFormat="1" x14ac:dyDescent="0.25"/>
    <row r="38721" s="42" customFormat="1" x14ac:dyDescent="0.25"/>
    <row r="38722" s="42" customFormat="1" x14ac:dyDescent="0.25"/>
    <row r="38723" s="42" customFormat="1" x14ac:dyDescent="0.25"/>
    <row r="38724" s="42" customFormat="1" x14ac:dyDescent="0.25"/>
    <row r="38725" s="42" customFormat="1" x14ac:dyDescent="0.25"/>
    <row r="38726" s="42" customFormat="1" x14ac:dyDescent="0.25"/>
    <row r="38727" s="42" customFormat="1" x14ac:dyDescent="0.25"/>
    <row r="38728" s="42" customFormat="1" x14ac:dyDescent="0.25"/>
    <row r="38729" s="42" customFormat="1" x14ac:dyDescent="0.25"/>
    <row r="38730" s="42" customFormat="1" x14ac:dyDescent="0.25"/>
    <row r="38731" s="42" customFormat="1" x14ac:dyDescent="0.25"/>
    <row r="38732" s="42" customFormat="1" x14ac:dyDescent="0.25"/>
    <row r="38733" s="42" customFormat="1" x14ac:dyDescent="0.25"/>
    <row r="38734" s="42" customFormat="1" x14ac:dyDescent="0.25"/>
    <row r="38735" s="42" customFormat="1" x14ac:dyDescent="0.25"/>
    <row r="38736" s="42" customFormat="1" x14ac:dyDescent="0.25"/>
    <row r="38737" s="42" customFormat="1" x14ac:dyDescent="0.25"/>
    <row r="38738" s="42" customFormat="1" x14ac:dyDescent="0.25"/>
    <row r="38739" s="42" customFormat="1" x14ac:dyDescent="0.25"/>
    <row r="38740" s="42" customFormat="1" x14ac:dyDescent="0.25"/>
    <row r="38741" s="42" customFormat="1" x14ac:dyDescent="0.25"/>
    <row r="38742" s="42" customFormat="1" x14ac:dyDescent="0.25"/>
    <row r="38743" s="42" customFormat="1" x14ac:dyDescent="0.25"/>
    <row r="38744" s="42" customFormat="1" x14ac:dyDescent="0.25"/>
    <row r="38745" s="42" customFormat="1" x14ac:dyDescent="0.25"/>
    <row r="38746" s="42" customFormat="1" x14ac:dyDescent="0.25"/>
    <row r="38747" s="42" customFormat="1" x14ac:dyDescent="0.25"/>
    <row r="38748" s="42" customFormat="1" x14ac:dyDescent="0.25"/>
    <row r="38749" s="42" customFormat="1" x14ac:dyDescent="0.25"/>
    <row r="38750" s="42" customFormat="1" x14ac:dyDescent="0.25"/>
    <row r="38751" s="42" customFormat="1" x14ac:dyDescent="0.25"/>
    <row r="38752" s="42" customFormat="1" x14ac:dyDescent="0.25"/>
    <row r="38753" s="42" customFormat="1" x14ac:dyDescent="0.25"/>
    <row r="38754" s="42" customFormat="1" x14ac:dyDescent="0.25"/>
    <row r="38755" s="42" customFormat="1" x14ac:dyDescent="0.25"/>
    <row r="38756" s="42" customFormat="1" x14ac:dyDescent="0.25"/>
    <row r="38757" s="42" customFormat="1" x14ac:dyDescent="0.25"/>
    <row r="38758" s="42" customFormat="1" x14ac:dyDescent="0.25"/>
    <row r="38759" s="42" customFormat="1" x14ac:dyDescent="0.25"/>
    <row r="38760" s="42" customFormat="1" x14ac:dyDescent="0.25"/>
    <row r="38761" s="42" customFormat="1" x14ac:dyDescent="0.25"/>
    <row r="38762" s="42" customFormat="1" x14ac:dyDescent="0.25"/>
    <row r="38763" s="42" customFormat="1" x14ac:dyDescent="0.25"/>
    <row r="38764" s="42" customFormat="1" x14ac:dyDescent="0.25"/>
    <row r="38765" s="42" customFormat="1" x14ac:dyDescent="0.25"/>
    <row r="38766" s="42" customFormat="1" x14ac:dyDescent="0.25"/>
    <row r="38767" s="42" customFormat="1" x14ac:dyDescent="0.25"/>
    <row r="38768" s="42" customFormat="1" x14ac:dyDescent="0.25"/>
    <row r="38769" s="42" customFormat="1" x14ac:dyDescent="0.25"/>
    <row r="38770" s="42" customFormat="1" x14ac:dyDescent="0.25"/>
    <row r="38771" s="42" customFormat="1" x14ac:dyDescent="0.25"/>
    <row r="38772" s="42" customFormat="1" x14ac:dyDescent="0.25"/>
    <row r="38773" s="42" customFormat="1" x14ac:dyDescent="0.25"/>
    <row r="38774" s="42" customFormat="1" x14ac:dyDescent="0.25"/>
    <row r="38775" s="42" customFormat="1" x14ac:dyDescent="0.25"/>
    <row r="38776" s="42" customFormat="1" x14ac:dyDescent="0.25"/>
    <row r="38777" s="42" customFormat="1" x14ac:dyDescent="0.25"/>
    <row r="38778" s="42" customFormat="1" x14ac:dyDescent="0.25"/>
    <row r="38779" s="42" customFormat="1" x14ac:dyDescent="0.25"/>
    <row r="38780" s="42" customFormat="1" x14ac:dyDescent="0.25"/>
    <row r="38781" s="42" customFormat="1" x14ac:dyDescent="0.25"/>
    <row r="38782" s="42" customFormat="1" x14ac:dyDescent="0.25"/>
    <row r="38783" s="42" customFormat="1" x14ac:dyDescent="0.25"/>
    <row r="38784" s="42" customFormat="1" x14ac:dyDescent="0.25"/>
    <row r="38785" s="42" customFormat="1" x14ac:dyDescent="0.25"/>
    <row r="38786" s="42" customFormat="1" x14ac:dyDescent="0.25"/>
    <row r="38787" s="42" customFormat="1" x14ac:dyDescent="0.25"/>
    <row r="38788" s="42" customFormat="1" x14ac:dyDescent="0.25"/>
    <row r="38789" s="42" customFormat="1" x14ac:dyDescent="0.25"/>
    <row r="38790" s="42" customFormat="1" x14ac:dyDescent="0.25"/>
    <row r="38791" s="42" customFormat="1" x14ac:dyDescent="0.25"/>
    <row r="38792" s="42" customFormat="1" x14ac:dyDescent="0.25"/>
    <row r="38793" s="42" customFormat="1" x14ac:dyDescent="0.25"/>
    <row r="38794" s="42" customFormat="1" x14ac:dyDescent="0.25"/>
    <row r="38795" s="42" customFormat="1" x14ac:dyDescent="0.25"/>
    <row r="38796" s="42" customFormat="1" x14ac:dyDescent="0.25"/>
    <row r="38797" s="42" customFormat="1" x14ac:dyDescent="0.25"/>
    <row r="38798" s="42" customFormat="1" x14ac:dyDescent="0.25"/>
    <row r="38799" s="42" customFormat="1" x14ac:dyDescent="0.25"/>
    <row r="38800" s="42" customFormat="1" x14ac:dyDescent="0.25"/>
    <row r="38801" s="42" customFormat="1" x14ac:dyDescent="0.25"/>
    <row r="38802" s="42" customFormat="1" x14ac:dyDescent="0.25"/>
    <row r="38803" s="42" customFormat="1" x14ac:dyDescent="0.25"/>
    <row r="38804" s="42" customFormat="1" x14ac:dyDescent="0.25"/>
    <row r="38805" s="42" customFormat="1" x14ac:dyDescent="0.25"/>
    <row r="38806" s="42" customFormat="1" x14ac:dyDescent="0.25"/>
    <row r="38807" s="42" customFormat="1" x14ac:dyDescent="0.25"/>
    <row r="38808" s="42" customFormat="1" x14ac:dyDescent="0.25"/>
    <row r="38809" s="42" customFormat="1" x14ac:dyDescent="0.25"/>
    <row r="38810" s="42" customFormat="1" x14ac:dyDescent="0.25"/>
    <row r="38811" s="42" customFormat="1" x14ac:dyDescent="0.25"/>
    <row r="38812" s="42" customFormat="1" x14ac:dyDescent="0.25"/>
    <row r="38813" s="42" customFormat="1" x14ac:dyDescent="0.25"/>
    <row r="38814" s="42" customFormat="1" x14ac:dyDescent="0.25"/>
    <row r="38815" s="42" customFormat="1" x14ac:dyDescent="0.25"/>
    <row r="38816" s="42" customFormat="1" x14ac:dyDescent="0.25"/>
    <row r="38817" s="42" customFormat="1" x14ac:dyDescent="0.25"/>
    <row r="38818" s="42" customFormat="1" x14ac:dyDescent="0.25"/>
    <row r="38819" s="42" customFormat="1" x14ac:dyDescent="0.25"/>
    <row r="38820" s="42" customFormat="1" x14ac:dyDescent="0.25"/>
    <row r="38821" s="42" customFormat="1" x14ac:dyDescent="0.25"/>
    <row r="38822" s="42" customFormat="1" x14ac:dyDescent="0.25"/>
    <row r="38823" s="42" customFormat="1" x14ac:dyDescent="0.25"/>
    <row r="38824" s="42" customFormat="1" x14ac:dyDescent="0.25"/>
    <row r="38825" s="42" customFormat="1" x14ac:dyDescent="0.25"/>
    <row r="38826" s="42" customFormat="1" x14ac:dyDescent="0.25"/>
    <row r="38827" s="42" customFormat="1" x14ac:dyDescent="0.25"/>
    <row r="38828" s="42" customFormat="1" x14ac:dyDescent="0.25"/>
    <row r="38829" s="42" customFormat="1" x14ac:dyDescent="0.25"/>
    <row r="38830" s="42" customFormat="1" x14ac:dyDescent="0.25"/>
    <row r="38831" s="42" customFormat="1" x14ac:dyDescent="0.25"/>
    <row r="38832" s="42" customFormat="1" x14ac:dyDescent="0.25"/>
    <row r="38833" s="42" customFormat="1" x14ac:dyDescent="0.25"/>
    <row r="38834" s="42" customFormat="1" x14ac:dyDescent="0.25"/>
    <row r="38835" s="42" customFormat="1" x14ac:dyDescent="0.25"/>
    <row r="38836" s="42" customFormat="1" x14ac:dyDescent="0.25"/>
    <row r="38837" s="42" customFormat="1" x14ac:dyDescent="0.25"/>
    <row r="38838" s="42" customFormat="1" x14ac:dyDescent="0.25"/>
    <row r="38839" s="42" customFormat="1" x14ac:dyDescent="0.25"/>
    <row r="38840" s="42" customFormat="1" x14ac:dyDescent="0.25"/>
    <row r="38841" s="42" customFormat="1" x14ac:dyDescent="0.25"/>
    <row r="38842" s="42" customFormat="1" x14ac:dyDescent="0.25"/>
    <row r="38843" s="42" customFormat="1" x14ac:dyDescent="0.25"/>
    <row r="38844" s="42" customFormat="1" x14ac:dyDescent="0.25"/>
    <row r="38845" s="42" customFormat="1" x14ac:dyDescent="0.25"/>
    <row r="38846" s="42" customFormat="1" x14ac:dyDescent="0.25"/>
    <row r="38847" s="42" customFormat="1" x14ac:dyDescent="0.25"/>
    <row r="38848" s="42" customFormat="1" x14ac:dyDescent="0.25"/>
    <row r="38849" s="42" customFormat="1" x14ac:dyDescent="0.25"/>
    <row r="38850" s="42" customFormat="1" x14ac:dyDescent="0.25"/>
    <row r="38851" s="42" customFormat="1" x14ac:dyDescent="0.25"/>
    <row r="38852" s="42" customFormat="1" x14ac:dyDescent="0.25"/>
    <row r="38853" s="42" customFormat="1" x14ac:dyDescent="0.25"/>
    <row r="38854" s="42" customFormat="1" x14ac:dyDescent="0.25"/>
    <row r="38855" s="42" customFormat="1" x14ac:dyDescent="0.25"/>
    <row r="38856" s="42" customFormat="1" x14ac:dyDescent="0.25"/>
    <row r="38857" s="42" customFormat="1" x14ac:dyDescent="0.25"/>
    <row r="38858" s="42" customFormat="1" x14ac:dyDescent="0.25"/>
    <row r="38859" s="42" customFormat="1" x14ac:dyDescent="0.25"/>
    <row r="38860" s="42" customFormat="1" x14ac:dyDescent="0.25"/>
    <row r="38861" s="42" customFormat="1" x14ac:dyDescent="0.25"/>
    <row r="38862" s="42" customFormat="1" x14ac:dyDescent="0.25"/>
    <row r="38863" s="42" customFormat="1" x14ac:dyDescent="0.25"/>
    <row r="38864" s="42" customFormat="1" x14ac:dyDescent="0.25"/>
    <row r="38865" s="42" customFormat="1" x14ac:dyDescent="0.25"/>
    <row r="38866" s="42" customFormat="1" x14ac:dyDescent="0.25"/>
    <row r="38867" s="42" customFormat="1" x14ac:dyDescent="0.25"/>
    <row r="38868" s="42" customFormat="1" x14ac:dyDescent="0.25"/>
    <row r="38869" s="42" customFormat="1" x14ac:dyDescent="0.25"/>
    <row r="38870" s="42" customFormat="1" x14ac:dyDescent="0.25"/>
    <row r="38871" s="42" customFormat="1" x14ac:dyDescent="0.25"/>
    <row r="38872" s="42" customFormat="1" x14ac:dyDescent="0.25"/>
    <row r="38873" s="42" customFormat="1" x14ac:dyDescent="0.25"/>
    <row r="38874" s="42" customFormat="1" x14ac:dyDescent="0.25"/>
    <row r="38875" s="42" customFormat="1" x14ac:dyDescent="0.25"/>
    <row r="38876" s="42" customFormat="1" x14ac:dyDescent="0.25"/>
    <row r="38877" s="42" customFormat="1" x14ac:dyDescent="0.25"/>
    <row r="38878" s="42" customFormat="1" x14ac:dyDescent="0.25"/>
    <row r="38879" s="42" customFormat="1" x14ac:dyDescent="0.25"/>
    <row r="38880" s="42" customFormat="1" x14ac:dyDescent="0.25"/>
    <row r="38881" s="42" customFormat="1" x14ac:dyDescent="0.25"/>
    <row r="38882" s="42" customFormat="1" x14ac:dyDescent="0.25"/>
    <row r="38883" s="42" customFormat="1" x14ac:dyDescent="0.25"/>
    <row r="38884" s="42" customFormat="1" x14ac:dyDescent="0.25"/>
    <row r="38885" s="42" customFormat="1" x14ac:dyDescent="0.25"/>
    <row r="38886" s="42" customFormat="1" x14ac:dyDescent="0.25"/>
    <row r="38887" s="42" customFormat="1" x14ac:dyDescent="0.25"/>
    <row r="38888" s="42" customFormat="1" x14ac:dyDescent="0.25"/>
    <row r="38889" s="42" customFormat="1" x14ac:dyDescent="0.25"/>
    <row r="38890" s="42" customFormat="1" x14ac:dyDescent="0.25"/>
    <row r="38891" s="42" customFormat="1" x14ac:dyDescent="0.25"/>
    <row r="38892" s="42" customFormat="1" x14ac:dyDescent="0.25"/>
    <row r="38893" s="42" customFormat="1" x14ac:dyDescent="0.25"/>
    <row r="38894" s="42" customFormat="1" x14ac:dyDescent="0.25"/>
    <row r="38895" s="42" customFormat="1" x14ac:dyDescent="0.25"/>
    <row r="38896" s="42" customFormat="1" x14ac:dyDescent="0.25"/>
    <row r="38897" s="42" customFormat="1" x14ac:dyDescent="0.25"/>
    <row r="38898" s="42" customFormat="1" x14ac:dyDescent="0.25"/>
    <row r="38899" s="42" customFormat="1" x14ac:dyDescent="0.25"/>
    <row r="38900" s="42" customFormat="1" x14ac:dyDescent="0.25"/>
    <row r="38901" s="42" customFormat="1" x14ac:dyDescent="0.25"/>
    <row r="38902" s="42" customFormat="1" x14ac:dyDescent="0.25"/>
    <row r="38903" s="42" customFormat="1" x14ac:dyDescent="0.25"/>
    <row r="38904" s="42" customFormat="1" x14ac:dyDescent="0.25"/>
    <row r="38905" s="42" customFormat="1" x14ac:dyDescent="0.25"/>
    <row r="38906" s="42" customFormat="1" x14ac:dyDescent="0.25"/>
    <row r="38907" s="42" customFormat="1" x14ac:dyDescent="0.25"/>
    <row r="38908" s="42" customFormat="1" x14ac:dyDescent="0.25"/>
    <row r="38909" s="42" customFormat="1" x14ac:dyDescent="0.25"/>
    <row r="38910" s="42" customFormat="1" x14ac:dyDescent="0.25"/>
    <row r="38911" s="42" customFormat="1" x14ac:dyDescent="0.25"/>
    <row r="38912" s="42" customFormat="1" x14ac:dyDescent="0.25"/>
    <row r="38913" s="42" customFormat="1" x14ac:dyDescent="0.25"/>
    <row r="38914" s="42" customFormat="1" x14ac:dyDescent="0.25"/>
    <row r="38915" s="42" customFormat="1" x14ac:dyDescent="0.25"/>
    <row r="38916" s="42" customFormat="1" x14ac:dyDescent="0.25"/>
    <row r="38917" s="42" customFormat="1" x14ac:dyDescent="0.25"/>
    <row r="38918" s="42" customFormat="1" x14ac:dyDescent="0.25"/>
    <row r="38919" s="42" customFormat="1" x14ac:dyDescent="0.25"/>
    <row r="38920" s="42" customFormat="1" x14ac:dyDescent="0.25"/>
    <row r="38921" s="42" customFormat="1" x14ac:dyDescent="0.25"/>
    <row r="38922" s="42" customFormat="1" x14ac:dyDescent="0.25"/>
    <row r="38923" s="42" customFormat="1" x14ac:dyDescent="0.25"/>
    <row r="38924" s="42" customFormat="1" x14ac:dyDescent="0.25"/>
    <row r="38925" s="42" customFormat="1" x14ac:dyDescent="0.25"/>
    <row r="38926" s="42" customFormat="1" x14ac:dyDescent="0.25"/>
    <row r="38927" s="42" customFormat="1" x14ac:dyDescent="0.25"/>
    <row r="38928" s="42" customFormat="1" x14ac:dyDescent="0.25"/>
    <row r="38929" s="42" customFormat="1" x14ac:dyDescent="0.25"/>
    <row r="38930" s="42" customFormat="1" x14ac:dyDescent="0.25"/>
    <row r="38931" s="42" customFormat="1" x14ac:dyDescent="0.25"/>
    <row r="38932" s="42" customFormat="1" x14ac:dyDescent="0.25"/>
    <row r="38933" s="42" customFormat="1" x14ac:dyDescent="0.25"/>
    <row r="38934" s="42" customFormat="1" x14ac:dyDescent="0.25"/>
    <row r="38935" s="42" customFormat="1" x14ac:dyDescent="0.25"/>
    <row r="38936" s="42" customFormat="1" x14ac:dyDescent="0.25"/>
    <row r="38937" s="42" customFormat="1" x14ac:dyDescent="0.25"/>
    <row r="38938" s="42" customFormat="1" x14ac:dyDescent="0.25"/>
    <row r="38939" s="42" customFormat="1" x14ac:dyDescent="0.25"/>
    <row r="38940" s="42" customFormat="1" x14ac:dyDescent="0.25"/>
    <row r="38941" s="42" customFormat="1" x14ac:dyDescent="0.25"/>
    <row r="38942" s="42" customFormat="1" x14ac:dyDescent="0.25"/>
    <row r="38943" s="42" customFormat="1" x14ac:dyDescent="0.25"/>
    <row r="38944" s="42" customFormat="1" x14ac:dyDescent="0.25"/>
    <row r="38945" s="42" customFormat="1" x14ac:dyDescent="0.25"/>
    <row r="38946" s="42" customFormat="1" x14ac:dyDescent="0.25"/>
    <row r="38947" s="42" customFormat="1" x14ac:dyDescent="0.25"/>
    <row r="38948" s="42" customFormat="1" x14ac:dyDescent="0.25"/>
    <row r="38949" s="42" customFormat="1" x14ac:dyDescent="0.25"/>
    <row r="38950" s="42" customFormat="1" x14ac:dyDescent="0.25"/>
    <row r="38951" s="42" customFormat="1" x14ac:dyDescent="0.25"/>
    <row r="38952" s="42" customFormat="1" x14ac:dyDescent="0.25"/>
    <row r="38953" s="42" customFormat="1" x14ac:dyDescent="0.25"/>
    <row r="38954" s="42" customFormat="1" x14ac:dyDescent="0.25"/>
    <row r="38955" s="42" customFormat="1" x14ac:dyDescent="0.25"/>
    <row r="38956" s="42" customFormat="1" x14ac:dyDescent="0.25"/>
    <row r="38957" s="42" customFormat="1" x14ac:dyDescent="0.25"/>
    <row r="38958" s="42" customFormat="1" x14ac:dyDescent="0.25"/>
    <row r="38959" s="42" customFormat="1" x14ac:dyDescent="0.25"/>
    <row r="38960" s="42" customFormat="1" x14ac:dyDescent="0.25"/>
    <row r="38961" s="42" customFormat="1" x14ac:dyDescent="0.25"/>
    <row r="38962" s="42" customFormat="1" x14ac:dyDescent="0.25"/>
    <row r="38963" s="42" customFormat="1" x14ac:dyDescent="0.25"/>
    <row r="38964" s="42" customFormat="1" x14ac:dyDescent="0.25"/>
    <row r="38965" s="42" customFormat="1" x14ac:dyDescent="0.25"/>
    <row r="38966" s="42" customFormat="1" x14ac:dyDescent="0.25"/>
    <row r="38967" s="42" customFormat="1" x14ac:dyDescent="0.25"/>
    <row r="38968" s="42" customFormat="1" x14ac:dyDescent="0.25"/>
    <row r="38969" s="42" customFormat="1" x14ac:dyDescent="0.25"/>
    <row r="38970" s="42" customFormat="1" x14ac:dyDescent="0.25"/>
    <row r="38971" s="42" customFormat="1" x14ac:dyDescent="0.25"/>
    <row r="38972" s="42" customFormat="1" x14ac:dyDescent="0.25"/>
    <row r="38973" s="42" customFormat="1" x14ac:dyDescent="0.25"/>
    <row r="38974" s="42" customFormat="1" x14ac:dyDescent="0.25"/>
    <row r="38975" s="42" customFormat="1" x14ac:dyDescent="0.25"/>
    <row r="38976" s="42" customFormat="1" x14ac:dyDescent="0.25"/>
    <row r="38977" s="42" customFormat="1" x14ac:dyDescent="0.25"/>
    <row r="38978" s="42" customFormat="1" x14ac:dyDescent="0.25"/>
    <row r="38979" s="42" customFormat="1" x14ac:dyDescent="0.25"/>
    <row r="38980" s="42" customFormat="1" x14ac:dyDescent="0.25"/>
    <row r="38981" s="42" customFormat="1" x14ac:dyDescent="0.25"/>
    <row r="38982" s="42" customFormat="1" x14ac:dyDescent="0.25"/>
    <row r="38983" s="42" customFormat="1" x14ac:dyDescent="0.25"/>
    <row r="38984" s="42" customFormat="1" x14ac:dyDescent="0.25"/>
    <row r="38985" s="42" customFormat="1" x14ac:dyDescent="0.25"/>
    <row r="38986" s="42" customFormat="1" x14ac:dyDescent="0.25"/>
    <row r="38987" s="42" customFormat="1" x14ac:dyDescent="0.25"/>
    <row r="38988" s="42" customFormat="1" x14ac:dyDescent="0.25"/>
    <row r="38989" s="42" customFormat="1" x14ac:dyDescent="0.25"/>
    <row r="38990" s="42" customFormat="1" x14ac:dyDescent="0.25"/>
    <row r="38991" s="42" customFormat="1" x14ac:dyDescent="0.25"/>
    <row r="38992" s="42" customFormat="1" x14ac:dyDescent="0.25"/>
    <row r="38993" s="42" customFormat="1" x14ac:dyDescent="0.25"/>
    <row r="38994" s="42" customFormat="1" x14ac:dyDescent="0.25"/>
    <row r="38995" s="42" customFormat="1" x14ac:dyDescent="0.25"/>
    <row r="38996" s="42" customFormat="1" x14ac:dyDescent="0.25"/>
    <row r="38997" s="42" customFormat="1" x14ac:dyDescent="0.25"/>
    <row r="38998" s="42" customFormat="1" x14ac:dyDescent="0.25"/>
    <row r="38999" s="42" customFormat="1" x14ac:dyDescent="0.25"/>
    <row r="39000" s="42" customFormat="1" x14ac:dyDescent="0.25"/>
    <row r="39001" s="42" customFormat="1" x14ac:dyDescent="0.25"/>
    <row r="39002" s="42" customFormat="1" x14ac:dyDescent="0.25"/>
    <row r="39003" s="42" customFormat="1" x14ac:dyDescent="0.25"/>
    <row r="39004" s="42" customFormat="1" x14ac:dyDescent="0.25"/>
    <row r="39005" s="42" customFormat="1" x14ac:dyDescent="0.25"/>
    <row r="39006" s="42" customFormat="1" x14ac:dyDescent="0.25"/>
    <row r="39007" s="42" customFormat="1" x14ac:dyDescent="0.25"/>
    <row r="39008" s="42" customFormat="1" x14ac:dyDescent="0.25"/>
    <row r="39009" s="42" customFormat="1" x14ac:dyDescent="0.25"/>
    <row r="39010" s="42" customFormat="1" x14ac:dyDescent="0.25"/>
    <row r="39011" s="42" customFormat="1" x14ac:dyDescent="0.25"/>
    <row r="39012" s="42" customFormat="1" x14ac:dyDescent="0.25"/>
    <row r="39013" s="42" customFormat="1" x14ac:dyDescent="0.25"/>
    <row r="39014" s="42" customFormat="1" x14ac:dyDescent="0.25"/>
    <row r="39015" s="42" customFormat="1" x14ac:dyDescent="0.25"/>
    <row r="39016" s="42" customFormat="1" x14ac:dyDescent="0.25"/>
    <row r="39017" s="42" customFormat="1" x14ac:dyDescent="0.25"/>
    <row r="39018" s="42" customFormat="1" x14ac:dyDescent="0.25"/>
    <row r="39019" s="42" customFormat="1" x14ac:dyDescent="0.25"/>
    <row r="39020" s="42" customFormat="1" x14ac:dyDescent="0.25"/>
    <row r="39021" s="42" customFormat="1" x14ac:dyDescent="0.25"/>
    <row r="39022" s="42" customFormat="1" x14ac:dyDescent="0.25"/>
    <row r="39023" s="42" customFormat="1" x14ac:dyDescent="0.25"/>
    <row r="39024" s="42" customFormat="1" x14ac:dyDescent="0.25"/>
    <row r="39025" s="42" customFormat="1" x14ac:dyDescent="0.25"/>
    <row r="39026" s="42" customFormat="1" x14ac:dyDescent="0.25"/>
    <row r="39027" s="42" customFormat="1" x14ac:dyDescent="0.25"/>
    <row r="39028" s="42" customFormat="1" x14ac:dyDescent="0.25"/>
    <row r="39029" s="42" customFormat="1" x14ac:dyDescent="0.25"/>
    <row r="39030" s="42" customFormat="1" x14ac:dyDescent="0.25"/>
    <row r="39031" s="42" customFormat="1" x14ac:dyDescent="0.25"/>
    <row r="39032" s="42" customFormat="1" x14ac:dyDescent="0.25"/>
    <row r="39033" s="42" customFormat="1" x14ac:dyDescent="0.25"/>
    <row r="39034" s="42" customFormat="1" x14ac:dyDescent="0.25"/>
    <row r="39035" s="42" customFormat="1" x14ac:dyDescent="0.25"/>
    <row r="39036" s="42" customFormat="1" x14ac:dyDescent="0.25"/>
    <row r="39037" s="42" customFormat="1" x14ac:dyDescent="0.25"/>
    <row r="39038" s="42" customFormat="1" x14ac:dyDescent="0.25"/>
    <row r="39039" s="42" customFormat="1" x14ac:dyDescent="0.25"/>
    <row r="39040" s="42" customFormat="1" x14ac:dyDescent="0.25"/>
    <row r="39041" s="42" customFormat="1" x14ac:dyDescent="0.25"/>
    <row r="39042" s="42" customFormat="1" x14ac:dyDescent="0.25"/>
    <row r="39043" s="42" customFormat="1" x14ac:dyDescent="0.25"/>
    <row r="39044" s="42" customFormat="1" x14ac:dyDescent="0.25"/>
    <row r="39045" s="42" customFormat="1" x14ac:dyDescent="0.25"/>
    <row r="39046" s="42" customFormat="1" x14ac:dyDescent="0.25"/>
    <row r="39047" s="42" customFormat="1" x14ac:dyDescent="0.25"/>
    <row r="39048" s="42" customFormat="1" x14ac:dyDescent="0.25"/>
    <row r="39049" s="42" customFormat="1" x14ac:dyDescent="0.25"/>
    <row r="39050" s="42" customFormat="1" x14ac:dyDescent="0.25"/>
    <row r="39051" s="42" customFormat="1" x14ac:dyDescent="0.25"/>
    <row r="39052" s="42" customFormat="1" x14ac:dyDescent="0.25"/>
    <row r="39053" s="42" customFormat="1" x14ac:dyDescent="0.25"/>
    <row r="39054" s="42" customFormat="1" x14ac:dyDescent="0.25"/>
    <row r="39055" s="42" customFormat="1" x14ac:dyDescent="0.25"/>
    <row r="39056" s="42" customFormat="1" x14ac:dyDescent="0.25"/>
    <row r="39057" s="42" customFormat="1" x14ac:dyDescent="0.25"/>
    <row r="39058" s="42" customFormat="1" x14ac:dyDescent="0.25"/>
    <row r="39059" s="42" customFormat="1" x14ac:dyDescent="0.25"/>
    <row r="39060" s="42" customFormat="1" x14ac:dyDescent="0.25"/>
    <row r="39061" s="42" customFormat="1" x14ac:dyDescent="0.25"/>
    <row r="39062" s="42" customFormat="1" x14ac:dyDescent="0.25"/>
    <row r="39063" s="42" customFormat="1" x14ac:dyDescent="0.25"/>
    <row r="39064" s="42" customFormat="1" x14ac:dyDescent="0.25"/>
    <row r="39065" s="42" customFormat="1" x14ac:dyDescent="0.25"/>
    <row r="39066" s="42" customFormat="1" x14ac:dyDescent="0.25"/>
    <row r="39067" s="42" customFormat="1" x14ac:dyDescent="0.25"/>
    <row r="39068" s="42" customFormat="1" x14ac:dyDescent="0.25"/>
    <row r="39069" s="42" customFormat="1" x14ac:dyDescent="0.25"/>
    <row r="39070" s="42" customFormat="1" x14ac:dyDescent="0.25"/>
    <row r="39071" s="42" customFormat="1" x14ac:dyDescent="0.25"/>
    <row r="39072" s="42" customFormat="1" x14ac:dyDescent="0.25"/>
    <row r="39073" s="42" customFormat="1" x14ac:dyDescent="0.25"/>
    <row r="39074" s="42" customFormat="1" x14ac:dyDescent="0.25"/>
    <row r="39075" s="42" customFormat="1" x14ac:dyDescent="0.25"/>
    <row r="39076" s="42" customFormat="1" x14ac:dyDescent="0.25"/>
    <row r="39077" s="42" customFormat="1" x14ac:dyDescent="0.25"/>
    <row r="39078" s="42" customFormat="1" x14ac:dyDescent="0.25"/>
    <row r="39079" s="42" customFormat="1" x14ac:dyDescent="0.25"/>
    <row r="39080" s="42" customFormat="1" x14ac:dyDescent="0.25"/>
    <row r="39081" s="42" customFormat="1" x14ac:dyDescent="0.25"/>
    <row r="39082" s="42" customFormat="1" x14ac:dyDescent="0.25"/>
    <row r="39083" s="42" customFormat="1" x14ac:dyDescent="0.25"/>
    <row r="39084" s="42" customFormat="1" x14ac:dyDescent="0.25"/>
    <row r="39085" s="42" customFormat="1" x14ac:dyDescent="0.25"/>
    <row r="39086" s="42" customFormat="1" x14ac:dyDescent="0.25"/>
    <row r="39087" s="42" customFormat="1" x14ac:dyDescent="0.25"/>
    <row r="39088" s="42" customFormat="1" x14ac:dyDescent="0.25"/>
    <row r="39089" s="42" customFormat="1" x14ac:dyDescent="0.25"/>
    <row r="39090" s="42" customFormat="1" x14ac:dyDescent="0.25"/>
    <row r="39091" s="42" customFormat="1" x14ac:dyDescent="0.25"/>
    <row r="39092" s="42" customFormat="1" x14ac:dyDescent="0.25"/>
    <row r="39093" s="42" customFormat="1" x14ac:dyDescent="0.25"/>
    <row r="39094" s="42" customFormat="1" x14ac:dyDescent="0.25"/>
    <row r="39095" s="42" customFormat="1" x14ac:dyDescent="0.25"/>
    <row r="39096" s="42" customFormat="1" x14ac:dyDescent="0.25"/>
    <row r="39097" s="42" customFormat="1" x14ac:dyDescent="0.25"/>
    <row r="39098" s="42" customFormat="1" x14ac:dyDescent="0.25"/>
    <row r="39099" s="42" customFormat="1" x14ac:dyDescent="0.25"/>
    <row r="39100" s="42" customFormat="1" x14ac:dyDescent="0.25"/>
    <row r="39101" s="42" customFormat="1" x14ac:dyDescent="0.25"/>
    <row r="39102" s="42" customFormat="1" x14ac:dyDescent="0.25"/>
    <row r="39103" s="42" customFormat="1" x14ac:dyDescent="0.25"/>
    <row r="39104" s="42" customFormat="1" x14ac:dyDescent="0.25"/>
    <row r="39105" s="42" customFormat="1" x14ac:dyDescent="0.25"/>
    <row r="39106" s="42" customFormat="1" x14ac:dyDescent="0.25"/>
    <row r="39107" s="42" customFormat="1" x14ac:dyDescent="0.25"/>
    <row r="39108" s="42" customFormat="1" x14ac:dyDescent="0.25"/>
    <row r="39109" s="42" customFormat="1" x14ac:dyDescent="0.25"/>
    <row r="39110" s="42" customFormat="1" x14ac:dyDescent="0.25"/>
    <row r="39111" s="42" customFormat="1" x14ac:dyDescent="0.25"/>
    <row r="39112" s="42" customFormat="1" x14ac:dyDescent="0.25"/>
    <row r="39113" s="42" customFormat="1" x14ac:dyDescent="0.25"/>
    <row r="39114" s="42" customFormat="1" x14ac:dyDescent="0.25"/>
    <row r="39115" s="42" customFormat="1" x14ac:dyDescent="0.25"/>
    <row r="39116" s="42" customFormat="1" x14ac:dyDescent="0.25"/>
    <row r="39117" s="42" customFormat="1" x14ac:dyDescent="0.25"/>
    <row r="39118" s="42" customFormat="1" x14ac:dyDescent="0.25"/>
    <row r="39119" s="42" customFormat="1" x14ac:dyDescent="0.25"/>
    <row r="39120" s="42" customFormat="1" x14ac:dyDescent="0.25"/>
    <row r="39121" s="42" customFormat="1" x14ac:dyDescent="0.25"/>
    <row r="39122" s="42" customFormat="1" x14ac:dyDescent="0.25"/>
    <row r="39123" s="42" customFormat="1" x14ac:dyDescent="0.25"/>
    <row r="39124" s="42" customFormat="1" x14ac:dyDescent="0.25"/>
    <row r="39125" s="42" customFormat="1" x14ac:dyDescent="0.25"/>
    <row r="39126" s="42" customFormat="1" x14ac:dyDescent="0.25"/>
    <row r="39127" s="42" customFormat="1" x14ac:dyDescent="0.25"/>
    <row r="39128" s="42" customFormat="1" x14ac:dyDescent="0.25"/>
    <row r="39129" s="42" customFormat="1" x14ac:dyDescent="0.25"/>
    <row r="39130" s="42" customFormat="1" x14ac:dyDescent="0.25"/>
    <row r="39131" s="42" customFormat="1" x14ac:dyDescent="0.25"/>
    <row r="39132" s="42" customFormat="1" x14ac:dyDescent="0.25"/>
    <row r="39133" s="42" customFormat="1" x14ac:dyDescent="0.25"/>
    <row r="39134" s="42" customFormat="1" x14ac:dyDescent="0.25"/>
    <row r="39135" s="42" customFormat="1" x14ac:dyDescent="0.25"/>
    <row r="39136" s="42" customFormat="1" x14ac:dyDescent="0.25"/>
    <row r="39137" s="42" customFormat="1" x14ac:dyDescent="0.25"/>
    <row r="39138" s="42" customFormat="1" x14ac:dyDescent="0.25"/>
    <row r="39139" s="42" customFormat="1" x14ac:dyDescent="0.25"/>
    <row r="39140" s="42" customFormat="1" x14ac:dyDescent="0.25"/>
    <row r="39141" s="42" customFormat="1" x14ac:dyDescent="0.25"/>
    <row r="39142" s="42" customFormat="1" x14ac:dyDescent="0.25"/>
    <row r="39143" s="42" customFormat="1" x14ac:dyDescent="0.25"/>
    <row r="39144" s="42" customFormat="1" x14ac:dyDescent="0.25"/>
    <row r="39145" s="42" customFormat="1" x14ac:dyDescent="0.25"/>
    <row r="39146" s="42" customFormat="1" x14ac:dyDescent="0.25"/>
    <row r="39147" s="42" customFormat="1" x14ac:dyDescent="0.25"/>
    <row r="39148" s="42" customFormat="1" x14ac:dyDescent="0.25"/>
    <row r="39149" s="42" customFormat="1" x14ac:dyDescent="0.25"/>
    <row r="39150" s="42" customFormat="1" x14ac:dyDescent="0.25"/>
    <row r="39151" s="42" customFormat="1" x14ac:dyDescent="0.25"/>
    <row r="39152" s="42" customFormat="1" x14ac:dyDescent="0.25"/>
    <row r="39153" s="42" customFormat="1" x14ac:dyDescent="0.25"/>
    <row r="39154" s="42" customFormat="1" x14ac:dyDescent="0.25"/>
    <row r="39155" s="42" customFormat="1" x14ac:dyDescent="0.25"/>
    <row r="39156" s="42" customFormat="1" x14ac:dyDescent="0.25"/>
    <row r="39157" s="42" customFormat="1" x14ac:dyDescent="0.25"/>
    <row r="39158" s="42" customFormat="1" x14ac:dyDescent="0.25"/>
    <row r="39159" s="42" customFormat="1" x14ac:dyDescent="0.25"/>
    <row r="39160" s="42" customFormat="1" x14ac:dyDescent="0.25"/>
    <row r="39161" s="42" customFormat="1" x14ac:dyDescent="0.25"/>
    <row r="39162" s="42" customFormat="1" x14ac:dyDescent="0.25"/>
    <row r="39163" s="42" customFormat="1" x14ac:dyDescent="0.25"/>
    <row r="39164" s="42" customFormat="1" x14ac:dyDescent="0.25"/>
    <row r="39165" s="42" customFormat="1" x14ac:dyDescent="0.25"/>
    <row r="39166" s="42" customFormat="1" x14ac:dyDescent="0.25"/>
    <row r="39167" s="42" customFormat="1" x14ac:dyDescent="0.25"/>
    <row r="39168" s="42" customFormat="1" x14ac:dyDescent="0.25"/>
    <row r="39169" s="42" customFormat="1" x14ac:dyDescent="0.25"/>
    <row r="39170" s="42" customFormat="1" x14ac:dyDescent="0.25"/>
    <row r="39171" s="42" customFormat="1" x14ac:dyDescent="0.25"/>
    <row r="39172" s="42" customFormat="1" x14ac:dyDescent="0.25"/>
    <row r="39173" s="42" customFormat="1" x14ac:dyDescent="0.25"/>
    <row r="39174" s="42" customFormat="1" x14ac:dyDescent="0.25"/>
    <row r="39175" s="42" customFormat="1" x14ac:dyDescent="0.25"/>
    <row r="39176" s="42" customFormat="1" x14ac:dyDescent="0.25"/>
    <row r="39177" s="42" customFormat="1" x14ac:dyDescent="0.25"/>
    <row r="39178" s="42" customFormat="1" x14ac:dyDescent="0.25"/>
    <row r="39179" s="42" customFormat="1" x14ac:dyDescent="0.25"/>
    <row r="39180" s="42" customFormat="1" x14ac:dyDescent="0.25"/>
    <row r="39181" s="42" customFormat="1" x14ac:dyDescent="0.25"/>
    <row r="39182" s="42" customFormat="1" x14ac:dyDescent="0.25"/>
    <row r="39183" s="42" customFormat="1" x14ac:dyDescent="0.25"/>
    <row r="39184" s="42" customFormat="1" x14ac:dyDescent="0.25"/>
    <row r="39185" s="42" customFormat="1" x14ac:dyDescent="0.25"/>
    <row r="39186" s="42" customFormat="1" x14ac:dyDescent="0.25"/>
    <row r="39187" s="42" customFormat="1" x14ac:dyDescent="0.25"/>
    <row r="39188" s="42" customFormat="1" x14ac:dyDescent="0.25"/>
    <row r="39189" s="42" customFormat="1" x14ac:dyDescent="0.25"/>
    <row r="39190" s="42" customFormat="1" x14ac:dyDescent="0.25"/>
    <row r="39191" s="42" customFormat="1" x14ac:dyDescent="0.25"/>
    <row r="39192" s="42" customFormat="1" x14ac:dyDescent="0.25"/>
    <row r="39193" s="42" customFormat="1" x14ac:dyDescent="0.25"/>
    <row r="39194" s="42" customFormat="1" x14ac:dyDescent="0.25"/>
    <row r="39195" s="42" customFormat="1" x14ac:dyDescent="0.25"/>
    <row r="39196" s="42" customFormat="1" x14ac:dyDescent="0.25"/>
    <row r="39197" s="42" customFormat="1" x14ac:dyDescent="0.25"/>
    <row r="39198" s="42" customFormat="1" x14ac:dyDescent="0.25"/>
    <row r="39199" s="42" customFormat="1" x14ac:dyDescent="0.25"/>
    <row r="39200" s="42" customFormat="1" x14ac:dyDescent="0.25"/>
    <row r="39201" s="42" customFormat="1" x14ac:dyDescent="0.25"/>
    <row r="39202" s="42" customFormat="1" x14ac:dyDescent="0.25"/>
    <row r="39203" s="42" customFormat="1" x14ac:dyDescent="0.25"/>
    <row r="39204" s="42" customFormat="1" x14ac:dyDescent="0.25"/>
    <row r="39205" s="42" customFormat="1" x14ac:dyDescent="0.25"/>
    <row r="39206" s="42" customFormat="1" x14ac:dyDescent="0.25"/>
    <row r="39207" s="42" customFormat="1" x14ac:dyDescent="0.25"/>
    <row r="39208" s="42" customFormat="1" x14ac:dyDescent="0.25"/>
    <row r="39209" s="42" customFormat="1" x14ac:dyDescent="0.25"/>
    <row r="39210" s="42" customFormat="1" x14ac:dyDescent="0.25"/>
    <row r="39211" s="42" customFormat="1" x14ac:dyDescent="0.25"/>
    <row r="39212" s="42" customFormat="1" x14ac:dyDescent="0.25"/>
    <row r="39213" s="42" customFormat="1" x14ac:dyDescent="0.25"/>
    <row r="39214" s="42" customFormat="1" x14ac:dyDescent="0.25"/>
    <row r="39215" s="42" customFormat="1" x14ac:dyDescent="0.25"/>
    <row r="39216" s="42" customFormat="1" x14ac:dyDescent="0.25"/>
    <row r="39217" s="42" customFormat="1" x14ac:dyDescent="0.25"/>
    <row r="39218" s="42" customFormat="1" x14ac:dyDescent="0.25"/>
    <row r="39219" s="42" customFormat="1" x14ac:dyDescent="0.25"/>
    <row r="39220" s="42" customFormat="1" x14ac:dyDescent="0.25"/>
    <row r="39221" s="42" customFormat="1" x14ac:dyDescent="0.25"/>
    <row r="39222" s="42" customFormat="1" x14ac:dyDescent="0.25"/>
    <row r="39223" s="42" customFormat="1" x14ac:dyDescent="0.25"/>
    <row r="39224" s="42" customFormat="1" x14ac:dyDescent="0.25"/>
    <row r="39225" s="42" customFormat="1" x14ac:dyDescent="0.25"/>
    <row r="39226" s="42" customFormat="1" x14ac:dyDescent="0.25"/>
    <row r="39227" s="42" customFormat="1" x14ac:dyDescent="0.25"/>
    <row r="39228" s="42" customFormat="1" x14ac:dyDescent="0.25"/>
    <row r="39229" s="42" customFormat="1" x14ac:dyDescent="0.25"/>
    <row r="39230" s="42" customFormat="1" x14ac:dyDescent="0.25"/>
    <row r="39231" s="42" customFormat="1" x14ac:dyDescent="0.25"/>
    <row r="39232" s="42" customFormat="1" x14ac:dyDescent="0.25"/>
    <row r="39233" s="42" customFormat="1" x14ac:dyDescent="0.25"/>
    <row r="39234" s="42" customFormat="1" x14ac:dyDescent="0.25"/>
    <row r="39235" s="42" customFormat="1" x14ac:dyDescent="0.25"/>
    <row r="39236" s="42" customFormat="1" x14ac:dyDescent="0.25"/>
    <row r="39237" s="42" customFormat="1" x14ac:dyDescent="0.25"/>
    <row r="39238" s="42" customFormat="1" x14ac:dyDescent="0.25"/>
    <row r="39239" s="42" customFormat="1" x14ac:dyDescent="0.25"/>
    <row r="39240" s="42" customFormat="1" x14ac:dyDescent="0.25"/>
    <row r="39241" s="42" customFormat="1" x14ac:dyDescent="0.25"/>
    <row r="39242" s="42" customFormat="1" x14ac:dyDescent="0.25"/>
    <row r="39243" s="42" customFormat="1" x14ac:dyDescent="0.25"/>
    <row r="39244" s="42" customFormat="1" x14ac:dyDescent="0.25"/>
    <row r="39245" s="42" customFormat="1" x14ac:dyDescent="0.25"/>
    <row r="39246" s="42" customFormat="1" x14ac:dyDescent="0.25"/>
    <row r="39247" s="42" customFormat="1" x14ac:dyDescent="0.25"/>
    <row r="39248" s="42" customFormat="1" x14ac:dyDescent="0.25"/>
    <row r="39249" s="42" customFormat="1" x14ac:dyDescent="0.25"/>
    <row r="39250" s="42" customFormat="1" x14ac:dyDescent="0.25"/>
    <row r="39251" s="42" customFormat="1" x14ac:dyDescent="0.25"/>
    <row r="39252" s="42" customFormat="1" x14ac:dyDescent="0.25"/>
    <row r="39253" s="42" customFormat="1" x14ac:dyDescent="0.25"/>
    <row r="39254" s="42" customFormat="1" x14ac:dyDescent="0.25"/>
    <row r="39255" s="42" customFormat="1" x14ac:dyDescent="0.25"/>
    <row r="39256" s="42" customFormat="1" x14ac:dyDescent="0.25"/>
    <row r="39257" s="42" customFormat="1" x14ac:dyDescent="0.25"/>
    <row r="39258" s="42" customFormat="1" x14ac:dyDescent="0.25"/>
    <row r="39259" s="42" customFormat="1" x14ac:dyDescent="0.25"/>
    <row r="39260" s="42" customFormat="1" x14ac:dyDescent="0.25"/>
    <row r="39261" s="42" customFormat="1" x14ac:dyDescent="0.25"/>
    <row r="39262" s="42" customFormat="1" x14ac:dyDescent="0.25"/>
    <row r="39263" s="42" customFormat="1" x14ac:dyDescent="0.25"/>
    <row r="39264" s="42" customFormat="1" x14ac:dyDescent="0.25"/>
    <row r="39265" s="42" customFormat="1" x14ac:dyDescent="0.25"/>
    <row r="39266" s="42" customFormat="1" x14ac:dyDescent="0.25"/>
    <row r="39267" s="42" customFormat="1" x14ac:dyDescent="0.25"/>
    <row r="39268" s="42" customFormat="1" x14ac:dyDescent="0.25"/>
    <row r="39269" s="42" customFormat="1" x14ac:dyDescent="0.25"/>
    <row r="39270" s="42" customFormat="1" x14ac:dyDescent="0.25"/>
    <row r="39271" s="42" customFormat="1" x14ac:dyDescent="0.25"/>
    <row r="39272" s="42" customFormat="1" x14ac:dyDescent="0.25"/>
    <row r="39273" s="42" customFormat="1" x14ac:dyDescent="0.25"/>
    <row r="39274" s="42" customFormat="1" x14ac:dyDescent="0.25"/>
    <row r="39275" s="42" customFormat="1" x14ac:dyDescent="0.25"/>
    <row r="39276" s="42" customFormat="1" x14ac:dyDescent="0.25"/>
    <row r="39277" s="42" customFormat="1" x14ac:dyDescent="0.25"/>
    <row r="39278" s="42" customFormat="1" x14ac:dyDescent="0.25"/>
    <row r="39279" s="42" customFormat="1" x14ac:dyDescent="0.25"/>
    <row r="39280" s="42" customFormat="1" x14ac:dyDescent="0.25"/>
    <row r="39281" s="42" customFormat="1" x14ac:dyDescent="0.25"/>
    <row r="39282" s="42" customFormat="1" x14ac:dyDescent="0.25"/>
    <row r="39283" s="42" customFormat="1" x14ac:dyDescent="0.25"/>
    <row r="39284" s="42" customFormat="1" x14ac:dyDescent="0.25"/>
    <row r="39285" s="42" customFormat="1" x14ac:dyDescent="0.25"/>
    <row r="39286" s="42" customFormat="1" x14ac:dyDescent="0.25"/>
    <row r="39287" s="42" customFormat="1" x14ac:dyDescent="0.25"/>
    <row r="39288" s="42" customFormat="1" x14ac:dyDescent="0.25"/>
    <row r="39289" s="42" customFormat="1" x14ac:dyDescent="0.25"/>
    <row r="39290" s="42" customFormat="1" x14ac:dyDescent="0.25"/>
    <row r="39291" s="42" customFormat="1" x14ac:dyDescent="0.25"/>
    <row r="39292" s="42" customFormat="1" x14ac:dyDescent="0.25"/>
    <row r="39293" s="42" customFormat="1" x14ac:dyDescent="0.25"/>
    <row r="39294" s="42" customFormat="1" x14ac:dyDescent="0.25"/>
    <row r="39295" s="42" customFormat="1" x14ac:dyDescent="0.25"/>
    <row r="39296" s="42" customFormat="1" x14ac:dyDescent="0.25"/>
    <row r="39297" s="42" customFormat="1" x14ac:dyDescent="0.25"/>
    <row r="39298" s="42" customFormat="1" x14ac:dyDescent="0.25"/>
    <row r="39299" s="42" customFormat="1" x14ac:dyDescent="0.25"/>
    <row r="39300" s="42" customFormat="1" x14ac:dyDescent="0.25"/>
    <row r="39301" s="42" customFormat="1" x14ac:dyDescent="0.25"/>
    <row r="39302" s="42" customFormat="1" x14ac:dyDescent="0.25"/>
    <row r="39303" s="42" customFormat="1" x14ac:dyDescent="0.25"/>
    <row r="39304" s="42" customFormat="1" x14ac:dyDescent="0.25"/>
    <row r="39305" s="42" customFormat="1" x14ac:dyDescent="0.25"/>
    <row r="39306" s="42" customFormat="1" x14ac:dyDescent="0.25"/>
    <row r="39307" s="42" customFormat="1" x14ac:dyDescent="0.25"/>
    <row r="39308" s="42" customFormat="1" x14ac:dyDescent="0.25"/>
    <row r="39309" s="42" customFormat="1" x14ac:dyDescent="0.25"/>
    <row r="39310" s="42" customFormat="1" x14ac:dyDescent="0.25"/>
    <row r="39311" s="42" customFormat="1" x14ac:dyDescent="0.25"/>
    <row r="39312" s="42" customFormat="1" x14ac:dyDescent="0.25"/>
    <row r="39313" s="42" customFormat="1" x14ac:dyDescent="0.25"/>
    <row r="39314" s="42" customFormat="1" x14ac:dyDescent="0.25"/>
    <row r="39315" s="42" customFormat="1" x14ac:dyDescent="0.25"/>
    <row r="39316" s="42" customFormat="1" x14ac:dyDescent="0.25"/>
    <row r="39317" s="42" customFormat="1" x14ac:dyDescent="0.25"/>
    <row r="39318" s="42" customFormat="1" x14ac:dyDescent="0.25"/>
    <row r="39319" s="42" customFormat="1" x14ac:dyDescent="0.25"/>
    <row r="39320" s="42" customFormat="1" x14ac:dyDescent="0.25"/>
    <row r="39321" s="42" customFormat="1" x14ac:dyDescent="0.25"/>
    <row r="39322" s="42" customFormat="1" x14ac:dyDescent="0.25"/>
    <row r="39323" s="42" customFormat="1" x14ac:dyDescent="0.25"/>
    <row r="39324" s="42" customFormat="1" x14ac:dyDescent="0.25"/>
    <row r="39325" s="42" customFormat="1" x14ac:dyDescent="0.25"/>
    <row r="39326" s="42" customFormat="1" x14ac:dyDescent="0.25"/>
    <row r="39327" s="42" customFormat="1" x14ac:dyDescent="0.25"/>
    <row r="39328" s="42" customFormat="1" x14ac:dyDescent="0.25"/>
    <row r="39329" s="42" customFormat="1" x14ac:dyDescent="0.25"/>
    <row r="39330" s="42" customFormat="1" x14ac:dyDescent="0.25"/>
    <row r="39331" s="42" customFormat="1" x14ac:dyDescent="0.25"/>
    <row r="39332" s="42" customFormat="1" x14ac:dyDescent="0.25"/>
    <row r="39333" s="42" customFormat="1" x14ac:dyDescent="0.25"/>
    <row r="39334" s="42" customFormat="1" x14ac:dyDescent="0.25"/>
    <row r="39335" s="42" customFormat="1" x14ac:dyDescent="0.25"/>
    <row r="39336" s="42" customFormat="1" x14ac:dyDescent="0.25"/>
    <row r="39337" s="42" customFormat="1" x14ac:dyDescent="0.25"/>
    <row r="39338" s="42" customFormat="1" x14ac:dyDescent="0.25"/>
    <row r="39339" s="42" customFormat="1" x14ac:dyDescent="0.25"/>
    <row r="39340" s="42" customFormat="1" x14ac:dyDescent="0.25"/>
    <row r="39341" s="42" customFormat="1" x14ac:dyDescent="0.25"/>
    <row r="39342" s="42" customFormat="1" x14ac:dyDescent="0.25"/>
    <row r="39343" s="42" customFormat="1" x14ac:dyDescent="0.25"/>
    <row r="39344" s="42" customFormat="1" x14ac:dyDescent="0.25"/>
    <row r="39345" s="42" customFormat="1" x14ac:dyDescent="0.25"/>
    <row r="39346" s="42" customFormat="1" x14ac:dyDescent="0.25"/>
    <row r="39347" s="42" customFormat="1" x14ac:dyDescent="0.25"/>
    <row r="39348" s="42" customFormat="1" x14ac:dyDescent="0.25"/>
    <row r="39349" s="42" customFormat="1" x14ac:dyDescent="0.25"/>
    <row r="39350" s="42" customFormat="1" x14ac:dyDescent="0.25"/>
    <row r="39351" s="42" customFormat="1" x14ac:dyDescent="0.25"/>
    <row r="39352" s="42" customFormat="1" x14ac:dyDescent="0.25"/>
    <row r="39353" s="42" customFormat="1" x14ac:dyDescent="0.25"/>
    <row r="39354" s="42" customFormat="1" x14ac:dyDescent="0.25"/>
    <row r="39355" s="42" customFormat="1" x14ac:dyDescent="0.25"/>
    <row r="39356" s="42" customFormat="1" x14ac:dyDescent="0.25"/>
    <row r="39357" s="42" customFormat="1" x14ac:dyDescent="0.25"/>
    <row r="39358" s="42" customFormat="1" x14ac:dyDescent="0.25"/>
    <row r="39359" s="42" customFormat="1" x14ac:dyDescent="0.25"/>
    <row r="39360" s="42" customFormat="1" x14ac:dyDescent="0.25"/>
    <row r="39361" s="42" customFormat="1" x14ac:dyDescent="0.25"/>
    <row r="39362" s="42" customFormat="1" x14ac:dyDescent="0.25"/>
    <row r="39363" s="42" customFormat="1" x14ac:dyDescent="0.25"/>
    <row r="39364" s="42" customFormat="1" x14ac:dyDescent="0.25"/>
    <row r="39365" s="42" customFormat="1" x14ac:dyDescent="0.25"/>
    <row r="39366" s="42" customFormat="1" x14ac:dyDescent="0.25"/>
    <row r="39367" s="42" customFormat="1" x14ac:dyDescent="0.25"/>
    <row r="39368" s="42" customFormat="1" x14ac:dyDescent="0.25"/>
    <row r="39369" s="42" customFormat="1" x14ac:dyDescent="0.25"/>
    <row r="39370" s="42" customFormat="1" x14ac:dyDescent="0.25"/>
    <row r="39371" s="42" customFormat="1" x14ac:dyDescent="0.25"/>
    <row r="39372" s="42" customFormat="1" x14ac:dyDescent="0.25"/>
    <row r="39373" s="42" customFormat="1" x14ac:dyDescent="0.25"/>
    <row r="39374" s="42" customFormat="1" x14ac:dyDescent="0.25"/>
    <row r="39375" s="42" customFormat="1" x14ac:dyDescent="0.25"/>
    <row r="39376" s="42" customFormat="1" x14ac:dyDescent="0.25"/>
    <row r="39377" s="42" customFormat="1" x14ac:dyDescent="0.25"/>
    <row r="39378" s="42" customFormat="1" x14ac:dyDescent="0.25"/>
    <row r="39379" s="42" customFormat="1" x14ac:dyDescent="0.25"/>
    <row r="39380" s="42" customFormat="1" x14ac:dyDescent="0.25"/>
    <row r="39381" s="42" customFormat="1" x14ac:dyDescent="0.25"/>
    <row r="39382" s="42" customFormat="1" x14ac:dyDescent="0.25"/>
    <row r="39383" s="42" customFormat="1" x14ac:dyDescent="0.25"/>
    <row r="39384" s="42" customFormat="1" x14ac:dyDescent="0.25"/>
    <row r="39385" s="42" customFormat="1" x14ac:dyDescent="0.25"/>
    <row r="39386" s="42" customFormat="1" x14ac:dyDescent="0.25"/>
    <row r="39387" s="42" customFormat="1" x14ac:dyDescent="0.25"/>
    <row r="39388" s="42" customFormat="1" x14ac:dyDescent="0.25"/>
    <row r="39389" s="42" customFormat="1" x14ac:dyDescent="0.25"/>
    <row r="39390" s="42" customFormat="1" x14ac:dyDescent="0.25"/>
    <row r="39391" s="42" customFormat="1" x14ac:dyDescent="0.25"/>
    <row r="39392" s="42" customFormat="1" x14ac:dyDescent="0.25"/>
    <row r="39393" s="42" customFormat="1" x14ac:dyDescent="0.25"/>
    <row r="39394" s="42" customFormat="1" x14ac:dyDescent="0.25"/>
    <row r="39395" s="42" customFormat="1" x14ac:dyDescent="0.25"/>
    <row r="39396" s="42" customFormat="1" x14ac:dyDescent="0.25"/>
    <row r="39397" s="42" customFormat="1" x14ac:dyDescent="0.25"/>
    <row r="39398" s="42" customFormat="1" x14ac:dyDescent="0.25"/>
    <row r="39399" s="42" customFormat="1" x14ac:dyDescent="0.25"/>
    <row r="39400" s="42" customFormat="1" x14ac:dyDescent="0.25"/>
    <row r="39401" s="42" customFormat="1" x14ac:dyDescent="0.25"/>
    <row r="39402" s="42" customFormat="1" x14ac:dyDescent="0.25"/>
    <row r="39403" s="42" customFormat="1" x14ac:dyDescent="0.25"/>
    <row r="39404" s="42" customFormat="1" x14ac:dyDescent="0.25"/>
    <row r="39405" s="42" customFormat="1" x14ac:dyDescent="0.25"/>
    <row r="39406" s="42" customFormat="1" x14ac:dyDescent="0.25"/>
    <row r="39407" s="42" customFormat="1" x14ac:dyDescent="0.25"/>
    <row r="39408" s="42" customFormat="1" x14ac:dyDescent="0.25"/>
    <row r="39409" s="42" customFormat="1" x14ac:dyDescent="0.25"/>
    <row r="39410" s="42" customFormat="1" x14ac:dyDescent="0.25"/>
    <row r="39411" s="42" customFormat="1" x14ac:dyDescent="0.25"/>
    <row r="39412" s="42" customFormat="1" x14ac:dyDescent="0.25"/>
    <row r="39413" s="42" customFormat="1" x14ac:dyDescent="0.25"/>
    <row r="39414" s="42" customFormat="1" x14ac:dyDescent="0.25"/>
    <row r="39415" s="42" customFormat="1" x14ac:dyDescent="0.25"/>
    <row r="39416" s="42" customFormat="1" x14ac:dyDescent="0.25"/>
    <row r="39417" s="42" customFormat="1" x14ac:dyDescent="0.25"/>
    <row r="39418" s="42" customFormat="1" x14ac:dyDescent="0.25"/>
    <row r="39419" s="42" customFormat="1" x14ac:dyDescent="0.25"/>
    <row r="39420" s="42" customFormat="1" x14ac:dyDescent="0.25"/>
    <row r="39421" s="42" customFormat="1" x14ac:dyDescent="0.25"/>
    <row r="39422" s="42" customFormat="1" x14ac:dyDescent="0.25"/>
    <row r="39423" s="42" customFormat="1" x14ac:dyDescent="0.25"/>
    <row r="39424" s="42" customFormat="1" x14ac:dyDescent="0.25"/>
    <row r="39425" s="42" customFormat="1" x14ac:dyDescent="0.25"/>
    <row r="39426" s="42" customFormat="1" x14ac:dyDescent="0.25"/>
    <row r="39427" s="42" customFormat="1" x14ac:dyDescent="0.25"/>
    <row r="39428" s="42" customFormat="1" x14ac:dyDescent="0.25"/>
    <row r="39429" s="42" customFormat="1" x14ac:dyDescent="0.25"/>
    <row r="39430" s="42" customFormat="1" x14ac:dyDescent="0.25"/>
    <row r="39431" s="42" customFormat="1" x14ac:dyDescent="0.25"/>
    <row r="39432" s="42" customFormat="1" x14ac:dyDescent="0.25"/>
    <row r="39433" s="42" customFormat="1" x14ac:dyDescent="0.25"/>
    <row r="39434" s="42" customFormat="1" x14ac:dyDescent="0.25"/>
    <row r="39435" s="42" customFormat="1" x14ac:dyDescent="0.25"/>
    <row r="39436" s="42" customFormat="1" x14ac:dyDescent="0.25"/>
    <row r="39437" s="42" customFormat="1" x14ac:dyDescent="0.25"/>
    <row r="39438" s="42" customFormat="1" x14ac:dyDescent="0.25"/>
    <row r="39439" s="42" customFormat="1" x14ac:dyDescent="0.25"/>
    <row r="39440" s="42" customFormat="1" x14ac:dyDescent="0.25"/>
    <row r="39441" s="42" customFormat="1" x14ac:dyDescent="0.25"/>
    <row r="39442" s="42" customFormat="1" x14ac:dyDescent="0.25"/>
    <row r="39443" s="42" customFormat="1" x14ac:dyDescent="0.25"/>
    <row r="39444" s="42" customFormat="1" x14ac:dyDescent="0.25"/>
    <row r="39445" s="42" customFormat="1" x14ac:dyDescent="0.25"/>
    <row r="39446" s="42" customFormat="1" x14ac:dyDescent="0.25"/>
    <row r="39447" s="42" customFormat="1" x14ac:dyDescent="0.25"/>
    <row r="39448" s="42" customFormat="1" x14ac:dyDescent="0.25"/>
    <row r="39449" s="42" customFormat="1" x14ac:dyDescent="0.25"/>
    <row r="39450" s="42" customFormat="1" x14ac:dyDescent="0.25"/>
    <row r="39451" s="42" customFormat="1" x14ac:dyDescent="0.25"/>
    <row r="39452" s="42" customFormat="1" x14ac:dyDescent="0.25"/>
    <row r="39453" s="42" customFormat="1" x14ac:dyDescent="0.25"/>
    <row r="39454" s="42" customFormat="1" x14ac:dyDescent="0.25"/>
    <row r="39455" s="42" customFormat="1" x14ac:dyDescent="0.25"/>
    <row r="39456" s="42" customFormat="1" x14ac:dyDescent="0.25"/>
    <row r="39457" s="42" customFormat="1" x14ac:dyDescent="0.25"/>
    <row r="39458" s="42" customFormat="1" x14ac:dyDescent="0.25"/>
    <row r="39459" s="42" customFormat="1" x14ac:dyDescent="0.25"/>
    <row r="39460" s="42" customFormat="1" x14ac:dyDescent="0.25"/>
    <row r="39461" s="42" customFormat="1" x14ac:dyDescent="0.25"/>
    <row r="39462" s="42" customFormat="1" x14ac:dyDescent="0.25"/>
    <row r="39463" s="42" customFormat="1" x14ac:dyDescent="0.25"/>
    <row r="39464" s="42" customFormat="1" x14ac:dyDescent="0.25"/>
    <row r="39465" s="42" customFormat="1" x14ac:dyDescent="0.25"/>
    <row r="39466" s="42" customFormat="1" x14ac:dyDescent="0.25"/>
    <row r="39467" s="42" customFormat="1" x14ac:dyDescent="0.25"/>
    <row r="39468" s="42" customFormat="1" x14ac:dyDescent="0.25"/>
    <row r="39469" s="42" customFormat="1" x14ac:dyDescent="0.25"/>
    <row r="39470" s="42" customFormat="1" x14ac:dyDescent="0.25"/>
    <row r="39471" s="42" customFormat="1" x14ac:dyDescent="0.25"/>
    <row r="39472" s="42" customFormat="1" x14ac:dyDescent="0.25"/>
    <row r="39473" s="42" customFormat="1" x14ac:dyDescent="0.25"/>
    <row r="39474" s="42" customFormat="1" x14ac:dyDescent="0.25"/>
    <row r="39475" s="42" customFormat="1" x14ac:dyDescent="0.25"/>
    <row r="39476" s="42" customFormat="1" x14ac:dyDescent="0.25"/>
    <row r="39477" s="42" customFormat="1" x14ac:dyDescent="0.25"/>
    <row r="39478" s="42" customFormat="1" x14ac:dyDescent="0.25"/>
    <row r="39479" s="42" customFormat="1" x14ac:dyDescent="0.25"/>
    <row r="39480" s="42" customFormat="1" x14ac:dyDescent="0.25"/>
    <row r="39481" s="42" customFormat="1" x14ac:dyDescent="0.25"/>
    <row r="39482" s="42" customFormat="1" x14ac:dyDescent="0.25"/>
    <row r="39483" s="42" customFormat="1" x14ac:dyDescent="0.25"/>
    <row r="39484" s="42" customFormat="1" x14ac:dyDescent="0.25"/>
    <row r="39485" s="42" customFormat="1" x14ac:dyDescent="0.25"/>
    <row r="39486" s="42" customFormat="1" x14ac:dyDescent="0.25"/>
    <row r="39487" s="42" customFormat="1" x14ac:dyDescent="0.25"/>
    <row r="39488" s="42" customFormat="1" x14ac:dyDescent="0.25"/>
    <row r="39489" s="42" customFormat="1" x14ac:dyDescent="0.25"/>
    <row r="39490" s="42" customFormat="1" x14ac:dyDescent="0.25"/>
    <row r="39491" s="42" customFormat="1" x14ac:dyDescent="0.25"/>
    <row r="39492" s="42" customFormat="1" x14ac:dyDescent="0.25"/>
    <row r="39493" s="42" customFormat="1" x14ac:dyDescent="0.25"/>
    <row r="39494" s="42" customFormat="1" x14ac:dyDescent="0.25"/>
    <row r="39495" s="42" customFormat="1" x14ac:dyDescent="0.25"/>
    <row r="39496" s="42" customFormat="1" x14ac:dyDescent="0.25"/>
    <row r="39497" s="42" customFormat="1" x14ac:dyDescent="0.25"/>
    <row r="39498" s="42" customFormat="1" x14ac:dyDescent="0.25"/>
    <row r="39499" s="42" customFormat="1" x14ac:dyDescent="0.25"/>
    <row r="39500" s="42" customFormat="1" x14ac:dyDescent="0.25"/>
    <row r="39501" s="42" customFormat="1" x14ac:dyDescent="0.25"/>
    <row r="39502" s="42" customFormat="1" x14ac:dyDescent="0.25"/>
    <row r="39503" s="42" customFormat="1" x14ac:dyDescent="0.25"/>
    <row r="39504" s="42" customFormat="1" x14ac:dyDescent="0.25"/>
    <row r="39505" s="42" customFormat="1" x14ac:dyDescent="0.25"/>
    <row r="39506" s="42" customFormat="1" x14ac:dyDescent="0.25"/>
    <row r="39507" s="42" customFormat="1" x14ac:dyDescent="0.25"/>
    <row r="39508" s="42" customFormat="1" x14ac:dyDescent="0.25"/>
    <row r="39509" s="42" customFormat="1" x14ac:dyDescent="0.25"/>
    <row r="39510" s="42" customFormat="1" x14ac:dyDescent="0.25"/>
    <row r="39511" s="42" customFormat="1" x14ac:dyDescent="0.25"/>
    <row r="39512" s="42" customFormat="1" x14ac:dyDescent="0.25"/>
    <row r="39513" s="42" customFormat="1" x14ac:dyDescent="0.25"/>
    <row r="39514" s="42" customFormat="1" x14ac:dyDescent="0.25"/>
    <row r="39515" s="42" customFormat="1" x14ac:dyDescent="0.25"/>
    <row r="39516" s="42" customFormat="1" x14ac:dyDescent="0.25"/>
    <row r="39517" s="42" customFormat="1" x14ac:dyDescent="0.25"/>
    <row r="39518" s="42" customFormat="1" x14ac:dyDescent="0.25"/>
    <row r="39519" s="42" customFormat="1" x14ac:dyDescent="0.25"/>
    <row r="39520" s="42" customFormat="1" x14ac:dyDescent="0.25"/>
    <row r="39521" s="42" customFormat="1" x14ac:dyDescent="0.25"/>
    <row r="39522" s="42" customFormat="1" x14ac:dyDescent="0.25"/>
    <row r="39523" s="42" customFormat="1" x14ac:dyDescent="0.25"/>
    <row r="39524" s="42" customFormat="1" x14ac:dyDescent="0.25"/>
    <row r="39525" s="42" customFormat="1" x14ac:dyDescent="0.25"/>
    <row r="39526" s="42" customFormat="1" x14ac:dyDescent="0.25"/>
    <row r="39527" s="42" customFormat="1" x14ac:dyDescent="0.25"/>
    <row r="39528" s="42" customFormat="1" x14ac:dyDescent="0.25"/>
    <row r="39529" s="42" customFormat="1" x14ac:dyDescent="0.25"/>
    <row r="39530" s="42" customFormat="1" x14ac:dyDescent="0.25"/>
    <row r="39531" s="42" customFormat="1" x14ac:dyDescent="0.25"/>
    <row r="39532" s="42" customFormat="1" x14ac:dyDescent="0.25"/>
    <row r="39533" s="42" customFormat="1" x14ac:dyDescent="0.25"/>
    <row r="39534" s="42" customFormat="1" x14ac:dyDescent="0.25"/>
    <row r="39535" s="42" customFormat="1" x14ac:dyDescent="0.25"/>
    <row r="39536" s="42" customFormat="1" x14ac:dyDescent="0.25"/>
    <row r="39537" s="42" customFormat="1" x14ac:dyDescent="0.25"/>
    <row r="39538" s="42" customFormat="1" x14ac:dyDescent="0.25"/>
    <row r="39539" s="42" customFormat="1" x14ac:dyDescent="0.25"/>
    <row r="39540" s="42" customFormat="1" x14ac:dyDescent="0.25"/>
    <row r="39541" s="42" customFormat="1" x14ac:dyDescent="0.25"/>
    <row r="39542" s="42" customFormat="1" x14ac:dyDescent="0.25"/>
    <row r="39543" s="42" customFormat="1" x14ac:dyDescent="0.25"/>
    <row r="39544" s="42" customFormat="1" x14ac:dyDescent="0.25"/>
    <row r="39545" s="42" customFormat="1" x14ac:dyDescent="0.25"/>
    <row r="39546" s="42" customFormat="1" x14ac:dyDescent="0.25"/>
    <row r="39547" s="42" customFormat="1" x14ac:dyDescent="0.25"/>
    <row r="39548" s="42" customFormat="1" x14ac:dyDescent="0.25"/>
    <row r="39549" s="42" customFormat="1" x14ac:dyDescent="0.25"/>
    <row r="39550" s="42" customFormat="1" x14ac:dyDescent="0.25"/>
    <row r="39551" s="42" customFormat="1" x14ac:dyDescent="0.25"/>
    <row r="39552" s="42" customFormat="1" x14ac:dyDescent="0.25"/>
    <row r="39553" s="42" customFormat="1" x14ac:dyDescent="0.25"/>
    <row r="39554" s="42" customFormat="1" x14ac:dyDescent="0.25"/>
    <row r="39555" s="42" customFormat="1" x14ac:dyDescent="0.25"/>
    <row r="39556" s="42" customFormat="1" x14ac:dyDescent="0.25"/>
    <row r="39557" s="42" customFormat="1" x14ac:dyDescent="0.25"/>
    <row r="39558" s="42" customFormat="1" x14ac:dyDescent="0.25"/>
    <row r="39559" s="42" customFormat="1" x14ac:dyDescent="0.25"/>
    <row r="39560" s="42" customFormat="1" x14ac:dyDescent="0.25"/>
    <row r="39561" s="42" customFormat="1" x14ac:dyDescent="0.25"/>
    <row r="39562" s="42" customFormat="1" x14ac:dyDescent="0.25"/>
    <row r="39563" s="42" customFormat="1" x14ac:dyDescent="0.25"/>
    <row r="39564" s="42" customFormat="1" x14ac:dyDescent="0.25"/>
    <row r="39565" s="42" customFormat="1" x14ac:dyDescent="0.25"/>
    <row r="39566" s="42" customFormat="1" x14ac:dyDescent="0.25"/>
    <row r="39567" s="42" customFormat="1" x14ac:dyDescent="0.25"/>
    <row r="39568" s="42" customFormat="1" x14ac:dyDescent="0.25"/>
    <row r="39569" s="42" customFormat="1" x14ac:dyDescent="0.25"/>
    <row r="39570" s="42" customFormat="1" x14ac:dyDescent="0.25"/>
    <row r="39571" s="42" customFormat="1" x14ac:dyDescent="0.25"/>
    <row r="39572" s="42" customFormat="1" x14ac:dyDescent="0.25"/>
    <row r="39573" s="42" customFormat="1" x14ac:dyDescent="0.25"/>
    <row r="39574" s="42" customFormat="1" x14ac:dyDescent="0.25"/>
    <row r="39575" s="42" customFormat="1" x14ac:dyDescent="0.25"/>
    <row r="39576" s="42" customFormat="1" x14ac:dyDescent="0.25"/>
    <row r="39577" s="42" customFormat="1" x14ac:dyDescent="0.25"/>
    <row r="39578" s="42" customFormat="1" x14ac:dyDescent="0.25"/>
    <row r="39579" s="42" customFormat="1" x14ac:dyDescent="0.25"/>
    <row r="39580" s="42" customFormat="1" x14ac:dyDescent="0.25"/>
    <row r="39581" s="42" customFormat="1" x14ac:dyDescent="0.25"/>
    <row r="39582" s="42" customFormat="1" x14ac:dyDescent="0.25"/>
    <row r="39583" s="42" customFormat="1" x14ac:dyDescent="0.25"/>
    <row r="39584" s="42" customFormat="1" x14ac:dyDescent="0.25"/>
    <row r="39585" s="42" customFormat="1" x14ac:dyDescent="0.25"/>
    <row r="39586" s="42" customFormat="1" x14ac:dyDescent="0.25"/>
    <row r="39587" s="42" customFormat="1" x14ac:dyDescent="0.25"/>
    <row r="39588" s="42" customFormat="1" x14ac:dyDescent="0.25"/>
    <row r="39589" s="42" customFormat="1" x14ac:dyDescent="0.25"/>
    <row r="39590" s="42" customFormat="1" x14ac:dyDescent="0.25"/>
    <row r="39591" s="42" customFormat="1" x14ac:dyDescent="0.25"/>
    <row r="39592" s="42" customFormat="1" x14ac:dyDescent="0.25"/>
    <row r="39593" s="42" customFormat="1" x14ac:dyDescent="0.25"/>
    <row r="39594" s="42" customFormat="1" x14ac:dyDescent="0.25"/>
    <row r="39595" s="42" customFormat="1" x14ac:dyDescent="0.25"/>
    <row r="39596" s="42" customFormat="1" x14ac:dyDescent="0.25"/>
    <row r="39597" s="42" customFormat="1" x14ac:dyDescent="0.25"/>
    <row r="39598" s="42" customFormat="1" x14ac:dyDescent="0.25"/>
    <row r="39599" s="42" customFormat="1" x14ac:dyDescent="0.25"/>
    <row r="39600" s="42" customFormat="1" x14ac:dyDescent="0.25"/>
    <row r="39601" s="42" customFormat="1" x14ac:dyDescent="0.25"/>
    <row r="39602" s="42" customFormat="1" x14ac:dyDescent="0.25"/>
    <row r="39603" s="42" customFormat="1" x14ac:dyDescent="0.25"/>
    <row r="39604" s="42" customFormat="1" x14ac:dyDescent="0.25"/>
    <row r="39605" s="42" customFormat="1" x14ac:dyDescent="0.25"/>
    <row r="39606" s="42" customFormat="1" x14ac:dyDescent="0.25"/>
    <row r="39607" s="42" customFormat="1" x14ac:dyDescent="0.25"/>
    <row r="39608" s="42" customFormat="1" x14ac:dyDescent="0.25"/>
    <row r="39609" s="42" customFormat="1" x14ac:dyDescent="0.25"/>
    <row r="39610" s="42" customFormat="1" x14ac:dyDescent="0.25"/>
    <row r="39611" s="42" customFormat="1" x14ac:dyDescent="0.25"/>
    <row r="39612" s="42" customFormat="1" x14ac:dyDescent="0.25"/>
    <row r="39613" s="42" customFormat="1" x14ac:dyDescent="0.25"/>
    <row r="39614" s="42" customFormat="1" x14ac:dyDescent="0.25"/>
    <row r="39615" s="42" customFormat="1" x14ac:dyDescent="0.25"/>
    <row r="39616" s="42" customFormat="1" x14ac:dyDescent="0.25"/>
    <row r="39617" s="42" customFormat="1" x14ac:dyDescent="0.25"/>
    <row r="39618" s="42" customFormat="1" x14ac:dyDescent="0.25"/>
    <row r="39619" s="42" customFormat="1" x14ac:dyDescent="0.25"/>
    <row r="39620" s="42" customFormat="1" x14ac:dyDescent="0.25"/>
    <row r="39621" s="42" customFormat="1" x14ac:dyDescent="0.25"/>
    <row r="39622" s="42" customFormat="1" x14ac:dyDescent="0.25"/>
    <row r="39623" s="42" customFormat="1" x14ac:dyDescent="0.25"/>
    <row r="39624" s="42" customFormat="1" x14ac:dyDescent="0.25"/>
    <row r="39625" s="42" customFormat="1" x14ac:dyDescent="0.25"/>
    <row r="39626" s="42" customFormat="1" x14ac:dyDescent="0.25"/>
    <row r="39627" s="42" customFormat="1" x14ac:dyDescent="0.25"/>
    <row r="39628" s="42" customFormat="1" x14ac:dyDescent="0.25"/>
    <row r="39629" s="42" customFormat="1" x14ac:dyDescent="0.25"/>
    <row r="39630" s="42" customFormat="1" x14ac:dyDescent="0.25"/>
    <row r="39631" s="42" customFormat="1" x14ac:dyDescent="0.25"/>
    <row r="39632" s="42" customFormat="1" x14ac:dyDescent="0.25"/>
    <row r="39633" s="42" customFormat="1" x14ac:dyDescent="0.25"/>
    <row r="39634" s="42" customFormat="1" x14ac:dyDescent="0.25"/>
    <row r="39635" s="42" customFormat="1" x14ac:dyDescent="0.25"/>
    <row r="39636" s="42" customFormat="1" x14ac:dyDescent="0.25"/>
    <row r="39637" s="42" customFormat="1" x14ac:dyDescent="0.25"/>
    <row r="39638" s="42" customFormat="1" x14ac:dyDescent="0.25"/>
    <row r="39639" s="42" customFormat="1" x14ac:dyDescent="0.25"/>
    <row r="39640" s="42" customFormat="1" x14ac:dyDescent="0.25"/>
    <row r="39641" s="42" customFormat="1" x14ac:dyDescent="0.25"/>
    <row r="39642" s="42" customFormat="1" x14ac:dyDescent="0.25"/>
    <row r="39643" s="42" customFormat="1" x14ac:dyDescent="0.25"/>
    <row r="39644" s="42" customFormat="1" x14ac:dyDescent="0.25"/>
    <row r="39645" s="42" customFormat="1" x14ac:dyDescent="0.25"/>
    <row r="39646" s="42" customFormat="1" x14ac:dyDescent="0.25"/>
    <row r="39647" s="42" customFormat="1" x14ac:dyDescent="0.25"/>
    <row r="39648" s="42" customFormat="1" x14ac:dyDescent="0.25"/>
    <row r="39649" s="42" customFormat="1" x14ac:dyDescent="0.25"/>
    <row r="39650" s="42" customFormat="1" x14ac:dyDescent="0.25"/>
    <row r="39651" s="42" customFormat="1" x14ac:dyDescent="0.25"/>
    <row r="39652" s="42" customFormat="1" x14ac:dyDescent="0.25"/>
    <row r="39653" s="42" customFormat="1" x14ac:dyDescent="0.25"/>
    <row r="39654" s="42" customFormat="1" x14ac:dyDescent="0.25"/>
    <row r="39655" s="42" customFormat="1" x14ac:dyDescent="0.25"/>
    <row r="39656" s="42" customFormat="1" x14ac:dyDescent="0.25"/>
    <row r="39657" s="42" customFormat="1" x14ac:dyDescent="0.25"/>
    <row r="39658" s="42" customFormat="1" x14ac:dyDescent="0.25"/>
    <row r="39659" s="42" customFormat="1" x14ac:dyDescent="0.25"/>
    <row r="39660" s="42" customFormat="1" x14ac:dyDescent="0.25"/>
    <row r="39661" s="42" customFormat="1" x14ac:dyDescent="0.25"/>
    <row r="39662" s="42" customFormat="1" x14ac:dyDescent="0.25"/>
    <row r="39663" s="42" customFormat="1" x14ac:dyDescent="0.25"/>
    <row r="39664" s="42" customFormat="1" x14ac:dyDescent="0.25"/>
    <row r="39665" s="42" customFormat="1" x14ac:dyDescent="0.25"/>
    <row r="39666" s="42" customFormat="1" x14ac:dyDescent="0.25"/>
    <row r="39667" s="42" customFormat="1" x14ac:dyDescent="0.25"/>
    <row r="39668" s="42" customFormat="1" x14ac:dyDescent="0.25"/>
    <row r="39669" s="42" customFormat="1" x14ac:dyDescent="0.25"/>
    <row r="39670" s="42" customFormat="1" x14ac:dyDescent="0.25"/>
    <row r="39671" s="42" customFormat="1" x14ac:dyDescent="0.25"/>
    <row r="39672" s="42" customFormat="1" x14ac:dyDescent="0.25"/>
    <row r="39673" s="42" customFormat="1" x14ac:dyDescent="0.25"/>
    <row r="39674" s="42" customFormat="1" x14ac:dyDescent="0.25"/>
    <row r="39675" s="42" customFormat="1" x14ac:dyDescent="0.25"/>
    <row r="39676" s="42" customFormat="1" x14ac:dyDescent="0.25"/>
    <row r="39677" s="42" customFormat="1" x14ac:dyDescent="0.25"/>
    <row r="39678" s="42" customFormat="1" x14ac:dyDescent="0.25"/>
    <row r="39679" s="42" customFormat="1" x14ac:dyDescent="0.25"/>
    <row r="39680" s="42" customFormat="1" x14ac:dyDescent="0.25"/>
    <row r="39681" s="42" customFormat="1" x14ac:dyDescent="0.25"/>
    <row r="39682" s="42" customFormat="1" x14ac:dyDescent="0.25"/>
    <row r="39683" s="42" customFormat="1" x14ac:dyDescent="0.25"/>
    <row r="39684" s="42" customFormat="1" x14ac:dyDescent="0.25"/>
    <row r="39685" s="42" customFormat="1" x14ac:dyDescent="0.25"/>
    <row r="39686" s="42" customFormat="1" x14ac:dyDescent="0.25"/>
    <row r="39687" s="42" customFormat="1" x14ac:dyDescent="0.25"/>
    <row r="39688" s="42" customFormat="1" x14ac:dyDescent="0.25"/>
    <row r="39689" s="42" customFormat="1" x14ac:dyDescent="0.25"/>
    <row r="39690" s="42" customFormat="1" x14ac:dyDescent="0.25"/>
    <row r="39691" s="42" customFormat="1" x14ac:dyDescent="0.25"/>
    <row r="39692" s="42" customFormat="1" x14ac:dyDescent="0.25"/>
    <row r="39693" s="42" customFormat="1" x14ac:dyDescent="0.25"/>
    <row r="39694" s="42" customFormat="1" x14ac:dyDescent="0.25"/>
    <row r="39695" s="42" customFormat="1" x14ac:dyDescent="0.25"/>
    <row r="39696" s="42" customFormat="1" x14ac:dyDescent="0.25"/>
    <row r="39697" s="42" customFormat="1" x14ac:dyDescent="0.25"/>
    <row r="39698" s="42" customFormat="1" x14ac:dyDescent="0.25"/>
    <row r="39699" s="42" customFormat="1" x14ac:dyDescent="0.25"/>
    <row r="39700" s="42" customFormat="1" x14ac:dyDescent="0.25"/>
    <row r="39701" s="42" customFormat="1" x14ac:dyDescent="0.25"/>
    <row r="39702" s="42" customFormat="1" x14ac:dyDescent="0.25"/>
    <row r="39703" s="42" customFormat="1" x14ac:dyDescent="0.25"/>
    <row r="39704" s="42" customFormat="1" x14ac:dyDescent="0.25"/>
    <row r="39705" s="42" customFormat="1" x14ac:dyDescent="0.25"/>
    <row r="39706" s="42" customFormat="1" x14ac:dyDescent="0.25"/>
    <row r="39707" s="42" customFormat="1" x14ac:dyDescent="0.25"/>
    <row r="39708" s="42" customFormat="1" x14ac:dyDescent="0.25"/>
    <row r="39709" s="42" customFormat="1" x14ac:dyDescent="0.25"/>
    <row r="39710" s="42" customFormat="1" x14ac:dyDescent="0.25"/>
    <row r="39711" s="42" customFormat="1" x14ac:dyDescent="0.25"/>
    <row r="39712" s="42" customFormat="1" x14ac:dyDescent="0.25"/>
    <row r="39713" s="42" customFormat="1" x14ac:dyDescent="0.25"/>
    <row r="39714" s="42" customFormat="1" x14ac:dyDescent="0.25"/>
    <row r="39715" s="42" customFormat="1" x14ac:dyDescent="0.25"/>
    <row r="39716" s="42" customFormat="1" x14ac:dyDescent="0.25"/>
    <row r="39717" s="42" customFormat="1" x14ac:dyDescent="0.25"/>
    <row r="39718" s="42" customFormat="1" x14ac:dyDescent="0.25"/>
    <row r="39719" s="42" customFormat="1" x14ac:dyDescent="0.25"/>
    <row r="39720" s="42" customFormat="1" x14ac:dyDescent="0.25"/>
    <row r="39721" s="42" customFormat="1" x14ac:dyDescent="0.25"/>
    <row r="39722" s="42" customFormat="1" x14ac:dyDescent="0.25"/>
    <row r="39723" s="42" customFormat="1" x14ac:dyDescent="0.25"/>
    <row r="39724" s="42" customFormat="1" x14ac:dyDescent="0.25"/>
    <row r="39725" s="42" customFormat="1" x14ac:dyDescent="0.25"/>
    <row r="39726" s="42" customFormat="1" x14ac:dyDescent="0.25"/>
    <row r="39727" s="42" customFormat="1" x14ac:dyDescent="0.25"/>
    <row r="39728" s="42" customFormat="1" x14ac:dyDescent="0.25"/>
    <row r="39729" s="42" customFormat="1" x14ac:dyDescent="0.25"/>
    <row r="39730" s="42" customFormat="1" x14ac:dyDescent="0.25"/>
    <row r="39731" s="42" customFormat="1" x14ac:dyDescent="0.25"/>
    <row r="39732" s="42" customFormat="1" x14ac:dyDescent="0.25"/>
    <row r="39733" s="42" customFormat="1" x14ac:dyDescent="0.25"/>
    <row r="39734" s="42" customFormat="1" x14ac:dyDescent="0.25"/>
    <row r="39735" s="42" customFormat="1" x14ac:dyDescent="0.25"/>
    <row r="39736" s="42" customFormat="1" x14ac:dyDescent="0.25"/>
    <row r="39737" s="42" customFormat="1" x14ac:dyDescent="0.25"/>
    <row r="39738" s="42" customFormat="1" x14ac:dyDescent="0.25"/>
    <row r="39739" s="42" customFormat="1" x14ac:dyDescent="0.25"/>
    <row r="39740" s="42" customFormat="1" x14ac:dyDescent="0.25"/>
    <row r="39741" s="42" customFormat="1" x14ac:dyDescent="0.25"/>
    <row r="39742" s="42" customFormat="1" x14ac:dyDescent="0.25"/>
    <row r="39743" s="42" customFormat="1" x14ac:dyDescent="0.25"/>
    <row r="39744" s="42" customFormat="1" x14ac:dyDescent="0.25"/>
    <row r="39745" s="42" customFormat="1" x14ac:dyDescent="0.25"/>
    <row r="39746" s="42" customFormat="1" x14ac:dyDescent="0.25"/>
    <row r="39747" s="42" customFormat="1" x14ac:dyDescent="0.25"/>
    <row r="39748" s="42" customFormat="1" x14ac:dyDescent="0.25"/>
    <row r="39749" s="42" customFormat="1" x14ac:dyDescent="0.25"/>
    <row r="39750" s="42" customFormat="1" x14ac:dyDescent="0.25"/>
    <row r="39751" s="42" customFormat="1" x14ac:dyDescent="0.25"/>
    <row r="39752" s="42" customFormat="1" x14ac:dyDescent="0.25"/>
    <row r="39753" s="42" customFormat="1" x14ac:dyDescent="0.25"/>
    <row r="39754" s="42" customFormat="1" x14ac:dyDescent="0.25"/>
    <row r="39755" s="42" customFormat="1" x14ac:dyDescent="0.25"/>
    <row r="39756" s="42" customFormat="1" x14ac:dyDescent="0.25"/>
    <row r="39757" s="42" customFormat="1" x14ac:dyDescent="0.25"/>
    <row r="39758" s="42" customFormat="1" x14ac:dyDescent="0.25"/>
    <row r="39759" s="42" customFormat="1" x14ac:dyDescent="0.25"/>
    <row r="39760" s="42" customFormat="1" x14ac:dyDescent="0.25"/>
    <row r="39761" s="42" customFormat="1" x14ac:dyDescent="0.25"/>
    <row r="39762" s="42" customFormat="1" x14ac:dyDescent="0.25"/>
    <row r="39763" s="42" customFormat="1" x14ac:dyDescent="0.25"/>
    <row r="39764" s="42" customFormat="1" x14ac:dyDescent="0.25"/>
    <row r="39765" s="42" customFormat="1" x14ac:dyDescent="0.25"/>
    <row r="39766" s="42" customFormat="1" x14ac:dyDescent="0.25"/>
    <row r="39767" s="42" customFormat="1" x14ac:dyDescent="0.25"/>
    <row r="39768" s="42" customFormat="1" x14ac:dyDescent="0.25"/>
    <row r="39769" s="42" customFormat="1" x14ac:dyDescent="0.25"/>
    <row r="39770" s="42" customFormat="1" x14ac:dyDescent="0.25"/>
    <row r="39771" s="42" customFormat="1" x14ac:dyDescent="0.25"/>
    <row r="39772" s="42" customFormat="1" x14ac:dyDescent="0.25"/>
    <row r="39773" s="42" customFormat="1" x14ac:dyDescent="0.25"/>
    <row r="39774" s="42" customFormat="1" x14ac:dyDescent="0.25"/>
    <row r="39775" s="42" customFormat="1" x14ac:dyDescent="0.25"/>
    <row r="39776" s="42" customFormat="1" x14ac:dyDescent="0.25"/>
    <row r="39777" s="42" customFormat="1" x14ac:dyDescent="0.25"/>
    <row r="39778" s="42" customFormat="1" x14ac:dyDescent="0.25"/>
    <row r="39779" s="42" customFormat="1" x14ac:dyDescent="0.25"/>
    <row r="39780" s="42" customFormat="1" x14ac:dyDescent="0.25"/>
    <row r="39781" s="42" customFormat="1" x14ac:dyDescent="0.25"/>
    <row r="39782" s="42" customFormat="1" x14ac:dyDescent="0.25"/>
    <row r="39783" s="42" customFormat="1" x14ac:dyDescent="0.25"/>
    <row r="39784" s="42" customFormat="1" x14ac:dyDescent="0.25"/>
    <row r="39785" s="42" customFormat="1" x14ac:dyDescent="0.25"/>
    <row r="39786" s="42" customFormat="1" x14ac:dyDescent="0.25"/>
    <row r="39787" s="42" customFormat="1" x14ac:dyDescent="0.25"/>
    <row r="39788" s="42" customFormat="1" x14ac:dyDescent="0.25"/>
    <row r="39789" s="42" customFormat="1" x14ac:dyDescent="0.25"/>
    <row r="39790" s="42" customFormat="1" x14ac:dyDescent="0.25"/>
    <row r="39791" s="42" customFormat="1" x14ac:dyDescent="0.25"/>
    <row r="39792" s="42" customFormat="1" x14ac:dyDescent="0.25"/>
    <row r="39793" s="42" customFormat="1" x14ac:dyDescent="0.25"/>
    <row r="39794" s="42" customFormat="1" x14ac:dyDescent="0.25"/>
    <row r="39795" s="42" customFormat="1" x14ac:dyDescent="0.25"/>
    <row r="39796" s="42" customFormat="1" x14ac:dyDescent="0.25"/>
    <row r="39797" s="42" customFormat="1" x14ac:dyDescent="0.25"/>
    <row r="39798" s="42" customFormat="1" x14ac:dyDescent="0.25"/>
    <row r="39799" s="42" customFormat="1" x14ac:dyDescent="0.25"/>
    <row r="39800" s="42" customFormat="1" x14ac:dyDescent="0.25"/>
    <row r="39801" s="42" customFormat="1" x14ac:dyDescent="0.25"/>
    <row r="39802" s="42" customFormat="1" x14ac:dyDescent="0.25"/>
    <row r="39803" s="42" customFormat="1" x14ac:dyDescent="0.25"/>
    <row r="39804" s="42" customFormat="1" x14ac:dyDescent="0.25"/>
    <row r="39805" s="42" customFormat="1" x14ac:dyDescent="0.25"/>
    <row r="39806" s="42" customFormat="1" x14ac:dyDescent="0.25"/>
    <row r="39807" s="42" customFormat="1" x14ac:dyDescent="0.25"/>
    <row r="39808" s="42" customFormat="1" x14ac:dyDescent="0.25"/>
    <row r="39809" s="42" customFormat="1" x14ac:dyDescent="0.25"/>
    <row r="39810" s="42" customFormat="1" x14ac:dyDescent="0.25"/>
    <row r="39811" s="42" customFormat="1" x14ac:dyDescent="0.25"/>
    <row r="39812" s="42" customFormat="1" x14ac:dyDescent="0.25"/>
    <row r="39813" s="42" customFormat="1" x14ac:dyDescent="0.25"/>
    <row r="39814" s="42" customFormat="1" x14ac:dyDescent="0.25"/>
    <row r="39815" s="42" customFormat="1" x14ac:dyDescent="0.25"/>
    <row r="39816" s="42" customFormat="1" x14ac:dyDescent="0.25"/>
    <row r="39817" s="42" customFormat="1" x14ac:dyDescent="0.25"/>
    <row r="39818" s="42" customFormat="1" x14ac:dyDescent="0.25"/>
    <row r="39819" s="42" customFormat="1" x14ac:dyDescent="0.25"/>
    <row r="39820" s="42" customFormat="1" x14ac:dyDescent="0.25"/>
    <row r="39821" s="42" customFormat="1" x14ac:dyDescent="0.25"/>
    <row r="39822" s="42" customFormat="1" x14ac:dyDescent="0.25"/>
    <row r="39823" s="42" customFormat="1" x14ac:dyDescent="0.25"/>
    <row r="39824" s="42" customFormat="1" x14ac:dyDescent="0.25"/>
    <row r="39825" s="42" customFormat="1" x14ac:dyDescent="0.25"/>
    <row r="39826" s="42" customFormat="1" x14ac:dyDescent="0.25"/>
    <row r="39827" s="42" customFormat="1" x14ac:dyDescent="0.25"/>
    <row r="39828" s="42" customFormat="1" x14ac:dyDescent="0.25"/>
    <row r="39829" s="42" customFormat="1" x14ac:dyDescent="0.25"/>
    <row r="39830" s="42" customFormat="1" x14ac:dyDescent="0.25"/>
    <row r="39831" s="42" customFormat="1" x14ac:dyDescent="0.25"/>
    <row r="39832" s="42" customFormat="1" x14ac:dyDescent="0.25"/>
    <row r="39833" s="42" customFormat="1" x14ac:dyDescent="0.25"/>
    <row r="39834" s="42" customFormat="1" x14ac:dyDescent="0.25"/>
    <row r="39835" s="42" customFormat="1" x14ac:dyDescent="0.25"/>
    <row r="39836" s="42" customFormat="1" x14ac:dyDescent="0.25"/>
    <row r="39837" s="42" customFormat="1" x14ac:dyDescent="0.25"/>
    <row r="39838" s="42" customFormat="1" x14ac:dyDescent="0.25"/>
    <row r="39839" s="42" customFormat="1" x14ac:dyDescent="0.25"/>
    <row r="39840" s="42" customFormat="1" x14ac:dyDescent="0.25"/>
    <row r="39841" s="42" customFormat="1" x14ac:dyDescent="0.25"/>
    <row r="39842" s="42" customFormat="1" x14ac:dyDescent="0.25"/>
    <row r="39843" s="42" customFormat="1" x14ac:dyDescent="0.25"/>
    <row r="39844" s="42" customFormat="1" x14ac:dyDescent="0.25"/>
    <row r="39845" s="42" customFormat="1" x14ac:dyDescent="0.25"/>
    <row r="39846" s="42" customFormat="1" x14ac:dyDescent="0.25"/>
    <row r="39847" s="42" customFormat="1" x14ac:dyDescent="0.25"/>
    <row r="39848" s="42" customFormat="1" x14ac:dyDescent="0.25"/>
    <row r="39849" s="42" customFormat="1" x14ac:dyDescent="0.25"/>
    <row r="39850" s="42" customFormat="1" x14ac:dyDescent="0.25"/>
    <row r="39851" s="42" customFormat="1" x14ac:dyDescent="0.25"/>
    <row r="39852" s="42" customFormat="1" x14ac:dyDescent="0.25"/>
    <row r="39853" s="42" customFormat="1" x14ac:dyDescent="0.25"/>
    <row r="39854" s="42" customFormat="1" x14ac:dyDescent="0.25"/>
    <row r="39855" s="42" customFormat="1" x14ac:dyDescent="0.25"/>
    <row r="39856" s="42" customFormat="1" x14ac:dyDescent="0.25"/>
    <row r="39857" s="42" customFormat="1" x14ac:dyDescent="0.25"/>
    <row r="39858" s="42" customFormat="1" x14ac:dyDescent="0.25"/>
    <row r="39859" s="42" customFormat="1" x14ac:dyDescent="0.25"/>
    <row r="39860" s="42" customFormat="1" x14ac:dyDescent="0.25"/>
    <row r="39861" s="42" customFormat="1" x14ac:dyDescent="0.25"/>
    <row r="39862" s="42" customFormat="1" x14ac:dyDescent="0.25"/>
    <row r="39863" s="42" customFormat="1" x14ac:dyDescent="0.25"/>
    <row r="39864" s="42" customFormat="1" x14ac:dyDescent="0.25"/>
    <row r="39865" s="42" customFormat="1" x14ac:dyDescent="0.25"/>
    <row r="39866" s="42" customFormat="1" x14ac:dyDescent="0.25"/>
    <row r="39867" s="42" customFormat="1" x14ac:dyDescent="0.25"/>
    <row r="39868" s="42" customFormat="1" x14ac:dyDescent="0.25"/>
    <row r="39869" s="42" customFormat="1" x14ac:dyDescent="0.25"/>
    <row r="39870" s="42" customFormat="1" x14ac:dyDescent="0.25"/>
    <row r="39871" s="42" customFormat="1" x14ac:dyDescent="0.25"/>
    <row r="39872" s="42" customFormat="1" x14ac:dyDescent="0.25"/>
    <row r="39873" s="42" customFormat="1" x14ac:dyDescent="0.25"/>
    <row r="39874" s="42" customFormat="1" x14ac:dyDescent="0.25"/>
    <row r="39875" s="42" customFormat="1" x14ac:dyDescent="0.25"/>
    <row r="39876" s="42" customFormat="1" x14ac:dyDescent="0.25"/>
    <row r="39877" s="42" customFormat="1" x14ac:dyDescent="0.25"/>
    <row r="39878" s="42" customFormat="1" x14ac:dyDescent="0.25"/>
    <row r="39879" s="42" customFormat="1" x14ac:dyDescent="0.25"/>
    <row r="39880" s="42" customFormat="1" x14ac:dyDescent="0.25"/>
    <row r="39881" s="42" customFormat="1" x14ac:dyDescent="0.25"/>
    <row r="39882" s="42" customFormat="1" x14ac:dyDescent="0.25"/>
    <row r="39883" s="42" customFormat="1" x14ac:dyDescent="0.25"/>
    <row r="39884" s="42" customFormat="1" x14ac:dyDescent="0.25"/>
    <row r="39885" s="42" customFormat="1" x14ac:dyDescent="0.25"/>
    <row r="39886" s="42" customFormat="1" x14ac:dyDescent="0.25"/>
    <row r="39887" s="42" customFormat="1" x14ac:dyDescent="0.25"/>
    <row r="39888" s="42" customFormat="1" x14ac:dyDescent="0.25"/>
    <row r="39889" s="42" customFormat="1" x14ac:dyDescent="0.25"/>
    <row r="39890" s="42" customFormat="1" x14ac:dyDescent="0.25"/>
    <row r="39891" s="42" customFormat="1" x14ac:dyDescent="0.25"/>
    <row r="39892" s="42" customFormat="1" x14ac:dyDescent="0.25"/>
    <row r="39893" s="42" customFormat="1" x14ac:dyDescent="0.25"/>
    <row r="39894" s="42" customFormat="1" x14ac:dyDescent="0.25"/>
    <row r="39895" s="42" customFormat="1" x14ac:dyDescent="0.25"/>
    <row r="39896" s="42" customFormat="1" x14ac:dyDescent="0.25"/>
    <row r="39897" s="42" customFormat="1" x14ac:dyDescent="0.25"/>
    <row r="39898" s="42" customFormat="1" x14ac:dyDescent="0.25"/>
    <row r="39899" s="42" customFormat="1" x14ac:dyDescent="0.25"/>
    <row r="39900" s="42" customFormat="1" x14ac:dyDescent="0.25"/>
    <row r="39901" s="42" customFormat="1" x14ac:dyDescent="0.25"/>
    <row r="39902" s="42" customFormat="1" x14ac:dyDescent="0.25"/>
    <row r="39903" s="42" customFormat="1" x14ac:dyDescent="0.25"/>
    <row r="39904" s="42" customFormat="1" x14ac:dyDescent="0.25"/>
    <row r="39905" s="42" customFormat="1" x14ac:dyDescent="0.25"/>
    <row r="39906" s="42" customFormat="1" x14ac:dyDescent="0.25"/>
    <row r="39907" s="42" customFormat="1" x14ac:dyDescent="0.25"/>
    <row r="39908" s="42" customFormat="1" x14ac:dyDescent="0.25"/>
    <row r="39909" s="42" customFormat="1" x14ac:dyDescent="0.25"/>
    <row r="39910" s="42" customFormat="1" x14ac:dyDescent="0.25"/>
    <row r="39911" s="42" customFormat="1" x14ac:dyDescent="0.25"/>
    <row r="39912" s="42" customFormat="1" x14ac:dyDescent="0.25"/>
    <row r="39913" s="42" customFormat="1" x14ac:dyDescent="0.25"/>
    <row r="39914" s="42" customFormat="1" x14ac:dyDescent="0.25"/>
    <row r="39915" s="42" customFormat="1" x14ac:dyDescent="0.25"/>
    <row r="39916" s="42" customFormat="1" x14ac:dyDescent="0.25"/>
    <row r="39917" s="42" customFormat="1" x14ac:dyDescent="0.25"/>
    <row r="39918" s="42" customFormat="1" x14ac:dyDescent="0.25"/>
    <row r="39919" s="42" customFormat="1" x14ac:dyDescent="0.25"/>
    <row r="39920" s="42" customFormat="1" x14ac:dyDescent="0.25"/>
    <row r="39921" s="42" customFormat="1" x14ac:dyDescent="0.25"/>
    <row r="39922" s="42" customFormat="1" x14ac:dyDescent="0.25"/>
    <row r="39923" s="42" customFormat="1" x14ac:dyDescent="0.25"/>
    <row r="39924" s="42" customFormat="1" x14ac:dyDescent="0.25"/>
    <row r="39925" s="42" customFormat="1" x14ac:dyDescent="0.25"/>
    <row r="39926" s="42" customFormat="1" x14ac:dyDescent="0.25"/>
    <row r="39927" s="42" customFormat="1" x14ac:dyDescent="0.25"/>
    <row r="39928" s="42" customFormat="1" x14ac:dyDescent="0.25"/>
    <row r="39929" s="42" customFormat="1" x14ac:dyDescent="0.25"/>
    <row r="39930" s="42" customFormat="1" x14ac:dyDescent="0.25"/>
    <row r="39931" s="42" customFormat="1" x14ac:dyDescent="0.25"/>
    <row r="39932" s="42" customFormat="1" x14ac:dyDescent="0.25"/>
    <row r="39933" s="42" customFormat="1" x14ac:dyDescent="0.25"/>
    <row r="39934" s="42" customFormat="1" x14ac:dyDescent="0.25"/>
    <row r="39935" s="42" customFormat="1" x14ac:dyDescent="0.25"/>
    <row r="39936" s="42" customFormat="1" x14ac:dyDescent="0.25"/>
    <row r="39937" s="42" customFormat="1" x14ac:dyDescent="0.25"/>
    <row r="39938" s="42" customFormat="1" x14ac:dyDescent="0.25"/>
    <row r="39939" s="42" customFormat="1" x14ac:dyDescent="0.25"/>
    <row r="39940" s="42" customFormat="1" x14ac:dyDescent="0.25"/>
    <row r="39941" s="42" customFormat="1" x14ac:dyDescent="0.25"/>
    <row r="39942" s="42" customFormat="1" x14ac:dyDescent="0.25"/>
    <row r="39943" s="42" customFormat="1" x14ac:dyDescent="0.25"/>
    <row r="39944" s="42" customFormat="1" x14ac:dyDescent="0.25"/>
    <row r="39945" s="42" customFormat="1" x14ac:dyDescent="0.25"/>
    <row r="39946" s="42" customFormat="1" x14ac:dyDescent="0.25"/>
    <row r="39947" s="42" customFormat="1" x14ac:dyDescent="0.25"/>
    <row r="39948" s="42" customFormat="1" x14ac:dyDescent="0.25"/>
    <row r="39949" s="42" customFormat="1" x14ac:dyDescent="0.25"/>
    <row r="39950" s="42" customFormat="1" x14ac:dyDescent="0.25"/>
    <row r="39951" s="42" customFormat="1" x14ac:dyDescent="0.25"/>
    <row r="39952" s="42" customFormat="1" x14ac:dyDescent="0.25"/>
    <row r="39953" s="42" customFormat="1" x14ac:dyDescent="0.25"/>
    <row r="39954" s="42" customFormat="1" x14ac:dyDescent="0.25"/>
    <row r="39955" s="42" customFormat="1" x14ac:dyDescent="0.25"/>
    <row r="39956" s="42" customFormat="1" x14ac:dyDescent="0.25"/>
    <row r="39957" s="42" customFormat="1" x14ac:dyDescent="0.25"/>
    <row r="39958" s="42" customFormat="1" x14ac:dyDescent="0.25"/>
    <row r="39959" s="42" customFormat="1" x14ac:dyDescent="0.25"/>
    <row r="39960" s="42" customFormat="1" x14ac:dyDescent="0.25"/>
    <row r="39961" s="42" customFormat="1" x14ac:dyDescent="0.25"/>
    <row r="39962" s="42" customFormat="1" x14ac:dyDescent="0.25"/>
    <row r="39963" s="42" customFormat="1" x14ac:dyDescent="0.25"/>
    <row r="39964" s="42" customFormat="1" x14ac:dyDescent="0.25"/>
    <row r="39965" s="42" customFormat="1" x14ac:dyDescent="0.25"/>
    <row r="39966" s="42" customFormat="1" x14ac:dyDescent="0.25"/>
    <row r="39967" s="42" customFormat="1" x14ac:dyDescent="0.25"/>
    <row r="39968" s="42" customFormat="1" x14ac:dyDescent="0.25"/>
    <row r="39969" s="42" customFormat="1" x14ac:dyDescent="0.25"/>
    <row r="39970" s="42" customFormat="1" x14ac:dyDescent="0.25"/>
    <row r="39971" s="42" customFormat="1" x14ac:dyDescent="0.25"/>
    <row r="39972" s="42" customFormat="1" x14ac:dyDescent="0.25"/>
    <row r="39973" s="42" customFormat="1" x14ac:dyDescent="0.25"/>
    <row r="39974" s="42" customFormat="1" x14ac:dyDescent="0.25"/>
    <row r="39975" s="42" customFormat="1" x14ac:dyDescent="0.25"/>
    <row r="39976" s="42" customFormat="1" x14ac:dyDescent="0.25"/>
    <row r="39977" s="42" customFormat="1" x14ac:dyDescent="0.25"/>
    <row r="39978" s="42" customFormat="1" x14ac:dyDescent="0.25"/>
    <row r="39979" s="42" customFormat="1" x14ac:dyDescent="0.25"/>
    <row r="39980" s="42" customFormat="1" x14ac:dyDescent="0.25"/>
    <row r="39981" s="42" customFormat="1" x14ac:dyDescent="0.25"/>
    <row r="39982" s="42" customFormat="1" x14ac:dyDescent="0.25"/>
    <row r="39983" s="42" customFormat="1" x14ac:dyDescent="0.25"/>
    <row r="39984" s="42" customFormat="1" x14ac:dyDescent="0.25"/>
    <row r="39985" s="42" customFormat="1" x14ac:dyDescent="0.25"/>
    <row r="39986" s="42" customFormat="1" x14ac:dyDescent="0.25"/>
    <row r="39987" s="42" customFormat="1" x14ac:dyDescent="0.25"/>
    <row r="39988" s="42" customFormat="1" x14ac:dyDescent="0.25"/>
    <row r="39989" s="42" customFormat="1" x14ac:dyDescent="0.25"/>
    <row r="39990" s="42" customFormat="1" x14ac:dyDescent="0.25"/>
    <row r="39991" s="42" customFormat="1" x14ac:dyDescent="0.25"/>
    <row r="39992" s="42" customFormat="1" x14ac:dyDescent="0.25"/>
    <row r="39993" s="42" customFormat="1" x14ac:dyDescent="0.25"/>
    <row r="39994" s="42" customFormat="1" x14ac:dyDescent="0.25"/>
    <row r="39995" s="42" customFormat="1" x14ac:dyDescent="0.25"/>
    <row r="39996" s="42" customFormat="1" x14ac:dyDescent="0.25"/>
    <row r="39997" s="42" customFormat="1" x14ac:dyDescent="0.25"/>
    <row r="39998" s="42" customFormat="1" x14ac:dyDescent="0.25"/>
    <row r="39999" s="42" customFormat="1" x14ac:dyDescent="0.25"/>
    <row r="40000" s="42" customFormat="1" x14ac:dyDescent="0.25"/>
    <row r="40001" s="42" customFormat="1" x14ac:dyDescent="0.25"/>
    <row r="40002" s="42" customFormat="1" x14ac:dyDescent="0.25"/>
    <row r="40003" s="42" customFormat="1" x14ac:dyDescent="0.25"/>
    <row r="40004" s="42" customFormat="1" x14ac:dyDescent="0.25"/>
    <row r="40005" s="42" customFormat="1" x14ac:dyDescent="0.25"/>
    <row r="40006" s="42" customFormat="1" x14ac:dyDescent="0.25"/>
    <row r="40007" s="42" customFormat="1" x14ac:dyDescent="0.25"/>
    <row r="40008" s="42" customFormat="1" x14ac:dyDescent="0.25"/>
    <row r="40009" s="42" customFormat="1" x14ac:dyDescent="0.25"/>
    <row r="40010" s="42" customFormat="1" x14ac:dyDescent="0.25"/>
    <row r="40011" s="42" customFormat="1" x14ac:dyDescent="0.25"/>
    <row r="40012" s="42" customFormat="1" x14ac:dyDescent="0.25"/>
    <row r="40013" s="42" customFormat="1" x14ac:dyDescent="0.25"/>
    <row r="40014" s="42" customFormat="1" x14ac:dyDescent="0.25"/>
    <row r="40015" s="42" customFormat="1" x14ac:dyDescent="0.25"/>
    <row r="40016" s="42" customFormat="1" x14ac:dyDescent="0.25"/>
    <row r="40017" s="42" customFormat="1" x14ac:dyDescent="0.25"/>
    <row r="40018" s="42" customFormat="1" x14ac:dyDescent="0.25"/>
    <row r="40019" s="42" customFormat="1" x14ac:dyDescent="0.25"/>
    <row r="40020" s="42" customFormat="1" x14ac:dyDescent="0.25"/>
    <row r="40021" s="42" customFormat="1" x14ac:dyDescent="0.25"/>
    <row r="40022" s="42" customFormat="1" x14ac:dyDescent="0.25"/>
    <row r="40023" s="42" customFormat="1" x14ac:dyDescent="0.25"/>
    <row r="40024" s="42" customFormat="1" x14ac:dyDescent="0.25"/>
    <row r="40025" s="42" customFormat="1" x14ac:dyDescent="0.25"/>
    <row r="40026" s="42" customFormat="1" x14ac:dyDescent="0.25"/>
    <row r="40027" s="42" customFormat="1" x14ac:dyDescent="0.25"/>
    <row r="40028" s="42" customFormat="1" x14ac:dyDescent="0.25"/>
    <row r="40029" s="42" customFormat="1" x14ac:dyDescent="0.25"/>
    <row r="40030" s="42" customFormat="1" x14ac:dyDescent="0.25"/>
    <row r="40031" s="42" customFormat="1" x14ac:dyDescent="0.25"/>
    <row r="40032" s="42" customFormat="1" x14ac:dyDescent="0.25"/>
    <row r="40033" s="42" customFormat="1" x14ac:dyDescent="0.25"/>
    <row r="40034" s="42" customFormat="1" x14ac:dyDescent="0.25"/>
    <row r="40035" s="42" customFormat="1" x14ac:dyDescent="0.25"/>
    <row r="40036" s="42" customFormat="1" x14ac:dyDescent="0.25"/>
    <row r="40037" s="42" customFormat="1" x14ac:dyDescent="0.25"/>
    <row r="40038" s="42" customFormat="1" x14ac:dyDescent="0.25"/>
    <row r="40039" s="42" customFormat="1" x14ac:dyDescent="0.25"/>
    <row r="40040" s="42" customFormat="1" x14ac:dyDescent="0.25"/>
    <row r="40041" s="42" customFormat="1" x14ac:dyDescent="0.25"/>
    <row r="40042" s="42" customFormat="1" x14ac:dyDescent="0.25"/>
    <row r="40043" s="42" customFormat="1" x14ac:dyDescent="0.25"/>
    <row r="40044" s="42" customFormat="1" x14ac:dyDescent="0.25"/>
    <row r="40045" s="42" customFormat="1" x14ac:dyDescent="0.25"/>
    <row r="40046" s="42" customFormat="1" x14ac:dyDescent="0.25"/>
    <row r="40047" s="42" customFormat="1" x14ac:dyDescent="0.25"/>
    <row r="40048" s="42" customFormat="1" x14ac:dyDescent="0.25"/>
    <row r="40049" s="42" customFormat="1" x14ac:dyDescent="0.25"/>
    <row r="40050" s="42" customFormat="1" x14ac:dyDescent="0.25"/>
    <row r="40051" s="42" customFormat="1" x14ac:dyDescent="0.25"/>
    <row r="40052" s="42" customFormat="1" x14ac:dyDescent="0.25"/>
    <row r="40053" s="42" customFormat="1" x14ac:dyDescent="0.25"/>
    <row r="40054" s="42" customFormat="1" x14ac:dyDescent="0.25"/>
    <row r="40055" s="42" customFormat="1" x14ac:dyDescent="0.25"/>
    <row r="40056" s="42" customFormat="1" x14ac:dyDescent="0.25"/>
    <row r="40057" s="42" customFormat="1" x14ac:dyDescent="0.25"/>
    <row r="40058" s="42" customFormat="1" x14ac:dyDescent="0.25"/>
    <row r="40059" s="42" customFormat="1" x14ac:dyDescent="0.25"/>
    <row r="40060" s="42" customFormat="1" x14ac:dyDescent="0.25"/>
    <row r="40061" s="42" customFormat="1" x14ac:dyDescent="0.25"/>
    <row r="40062" s="42" customFormat="1" x14ac:dyDescent="0.25"/>
    <row r="40063" s="42" customFormat="1" x14ac:dyDescent="0.25"/>
    <row r="40064" s="42" customFormat="1" x14ac:dyDescent="0.25"/>
    <row r="40065" s="42" customFormat="1" x14ac:dyDescent="0.25"/>
    <row r="40066" s="42" customFormat="1" x14ac:dyDescent="0.25"/>
    <row r="40067" s="42" customFormat="1" x14ac:dyDescent="0.25"/>
    <row r="40068" s="42" customFormat="1" x14ac:dyDescent="0.25"/>
    <row r="40069" s="42" customFormat="1" x14ac:dyDescent="0.25"/>
    <row r="40070" s="42" customFormat="1" x14ac:dyDescent="0.25"/>
    <row r="40071" s="42" customFormat="1" x14ac:dyDescent="0.25"/>
    <row r="40072" s="42" customFormat="1" x14ac:dyDescent="0.25"/>
    <row r="40073" s="42" customFormat="1" x14ac:dyDescent="0.25"/>
    <row r="40074" s="42" customFormat="1" x14ac:dyDescent="0.25"/>
    <row r="40075" s="42" customFormat="1" x14ac:dyDescent="0.25"/>
    <row r="40076" s="42" customFormat="1" x14ac:dyDescent="0.25"/>
    <row r="40077" s="42" customFormat="1" x14ac:dyDescent="0.25"/>
    <row r="40078" s="42" customFormat="1" x14ac:dyDescent="0.25"/>
    <row r="40079" s="42" customFormat="1" x14ac:dyDescent="0.25"/>
    <row r="40080" s="42" customFormat="1" x14ac:dyDescent="0.25"/>
    <row r="40081" s="42" customFormat="1" x14ac:dyDescent="0.25"/>
    <row r="40082" s="42" customFormat="1" x14ac:dyDescent="0.25"/>
    <row r="40083" s="42" customFormat="1" x14ac:dyDescent="0.25"/>
    <row r="40084" s="42" customFormat="1" x14ac:dyDescent="0.25"/>
    <row r="40085" s="42" customFormat="1" x14ac:dyDescent="0.25"/>
    <row r="40086" s="42" customFormat="1" x14ac:dyDescent="0.25"/>
    <row r="40087" s="42" customFormat="1" x14ac:dyDescent="0.25"/>
    <row r="40088" s="42" customFormat="1" x14ac:dyDescent="0.25"/>
    <row r="40089" s="42" customFormat="1" x14ac:dyDescent="0.25"/>
    <row r="40090" s="42" customFormat="1" x14ac:dyDescent="0.25"/>
    <row r="40091" s="42" customFormat="1" x14ac:dyDescent="0.25"/>
    <row r="40092" s="42" customFormat="1" x14ac:dyDescent="0.25"/>
    <row r="40093" s="42" customFormat="1" x14ac:dyDescent="0.25"/>
    <row r="40094" s="42" customFormat="1" x14ac:dyDescent="0.25"/>
    <row r="40095" s="42" customFormat="1" x14ac:dyDescent="0.25"/>
    <row r="40096" s="42" customFormat="1" x14ac:dyDescent="0.25"/>
    <row r="40097" s="42" customFormat="1" x14ac:dyDescent="0.25"/>
    <row r="40098" s="42" customFormat="1" x14ac:dyDescent="0.25"/>
    <row r="40099" s="42" customFormat="1" x14ac:dyDescent="0.25"/>
    <row r="40100" s="42" customFormat="1" x14ac:dyDescent="0.25"/>
    <row r="40101" s="42" customFormat="1" x14ac:dyDescent="0.25"/>
    <row r="40102" s="42" customFormat="1" x14ac:dyDescent="0.25"/>
    <row r="40103" s="42" customFormat="1" x14ac:dyDescent="0.25"/>
    <row r="40104" s="42" customFormat="1" x14ac:dyDescent="0.25"/>
    <row r="40105" s="42" customFormat="1" x14ac:dyDescent="0.25"/>
    <row r="40106" s="42" customFormat="1" x14ac:dyDescent="0.25"/>
    <row r="40107" s="42" customFormat="1" x14ac:dyDescent="0.25"/>
    <row r="40108" s="42" customFormat="1" x14ac:dyDescent="0.25"/>
    <row r="40109" s="42" customFormat="1" x14ac:dyDescent="0.25"/>
    <row r="40110" s="42" customFormat="1" x14ac:dyDescent="0.25"/>
    <row r="40111" s="42" customFormat="1" x14ac:dyDescent="0.25"/>
    <row r="40112" s="42" customFormat="1" x14ac:dyDescent="0.25"/>
    <row r="40113" s="42" customFormat="1" x14ac:dyDescent="0.25"/>
    <row r="40114" s="42" customFormat="1" x14ac:dyDescent="0.25"/>
    <row r="40115" s="42" customFormat="1" x14ac:dyDescent="0.25"/>
    <row r="40116" s="42" customFormat="1" x14ac:dyDescent="0.25"/>
    <row r="40117" s="42" customFormat="1" x14ac:dyDescent="0.25"/>
    <row r="40118" s="42" customFormat="1" x14ac:dyDescent="0.25"/>
    <row r="40119" s="42" customFormat="1" x14ac:dyDescent="0.25"/>
    <row r="40120" s="42" customFormat="1" x14ac:dyDescent="0.25"/>
    <row r="40121" s="42" customFormat="1" x14ac:dyDescent="0.25"/>
    <row r="40122" s="42" customFormat="1" x14ac:dyDescent="0.25"/>
    <row r="40123" s="42" customFormat="1" x14ac:dyDescent="0.25"/>
    <row r="40124" s="42" customFormat="1" x14ac:dyDescent="0.25"/>
    <row r="40125" s="42" customFormat="1" x14ac:dyDescent="0.25"/>
    <row r="40126" s="42" customFormat="1" x14ac:dyDescent="0.25"/>
    <row r="40127" s="42" customFormat="1" x14ac:dyDescent="0.25"/>
    <row r="40128" s="42" customFormat="1" x14ac:dyDescent="0.25"/>
    <row r="40129" s="42" customFormat="1" x14ac:dyDescent="0.25"/>
    <row r="40130" s="42" customFormat="1" x14ac:dyDescent="0.25"/>
    <row r="40131" s="42" customFormat="1" x14ac:dyDescent="0.25"/>
    <row r="40132" s="42" customFormat="1" x14ac:dyDescent="0.25"/>
    <row r="40133" s="42" customFormat="1" x14ac:dyDescent="0.25"/>
    <row r="40134" s="42" customFormat="1" x14ac:dyDescent="0.25"/>
    <row r="40135" s="42" customFormat="1" x14ac:dyDescent="0.25"/>
    <row r="40136" s="42" customFormat="1" x14ac:dyDescent="0.25"/>
    <row r="40137" s="42" customFormat="1" x14ac:dyDescent="0.25"/>
    <row r="40138" s="42" customFormat="1" x14ac:dyDescent="0.25"/>
    <row r="40139" s="42" customFormat="1" x14ac:dyDescent="0.25"/>
    <row r="40140" s="42" customFormat="1" x14ac:dyDescent="0.25"/>
    <row r="40141" s="42" customFormat="1" x14ac:dyDescent="0.25"/>
    <row r="40142" s="42" customFormat="1" x14ac:dyDescent="0.25"/>
    <row r="40143" s="42" customFormat="1" x14ac:dyDescent="0.25"/>
    <row r="40144" s="42" customFormat="1" x14ac:dyDescent="0.25"/>
    <row r="40145" s="42" customFormat="1" x14ac:dyDescent="0.25"/>
    <row r="40146" s="42" customFormat="1" x14ac:dyDescent="0.25"/>
    <row r="40147" s="42" customFormat="1" x14ac:dyDescent="0.25"/>
    <row r="40148" s="42" customFormat="1" x14ac:dyDescent="0.25"/>
    <row r="40149" s="42" customFormat="1" x14ac:dyDescent="0.25"/>
    <row r="40150" s="42" customFormat="1" x14ac:dyDescent="0.25"/>
    <row r="40151" s="42" customFormat="1" x14ac:dyDescent="0.25"/>
    <row r="40152" s="42" customFormat="1" x14ac:dyDescent="0.25"/>
    <row r="40153" s="42" customFormat="1" x14ac:dyDescent="0.25"/>
    <row r="40154" s="42" customFormat="1" x14ac:dyDescent="0.25"/>
    <row r="40155" s="42" customFormat="1" x14ac:dyDescent="0.25"/>
    <row r="40156" s="42" customFormat="1" x14ac:dyDescent="0.25"/>
    <row r="40157" s="42" customFormat="1" x14ac:dyDescent="0.25"/>
    <row r="40158" s="42" customFormat="1" x14ac:dyDescent="0.25"/>
    <row r="40159" s="42" customFormat="1" x14ac:dyDescent="0.25"/>
    <row r="40160" s="42" customFormat="1" x14ac:dyDescent="0.25"/>
    <row r="40161" s="42" customFormat="1" x14ac:dyDescent="0.25"/>
    <row r="40162" s="42" customFormat="1" x14ac:dyDescent="0.25"/>
    <row r="40163" s="42" customFormat="1" x14ac:dyDescent="0.25"/>
    <row r="40164" s="42" customFormat="1" x14ac:dyDescent="0.25"/>
    <row r="40165" s="42" customFormat="1" x14ac:dyDescent="0.25"/>
    <row r="40166" s="42" customFormat="1" x14ac:dyDescent="0.25"/>
    <row r="40167" s="42" customFormat="1" x14ac:dyDescent="0.25"/>
    <row r="40168" s="42" customFormat="1" x14ac:dyDescent="0.25"/>
    <row r="40169" s="42" customFormat="1" x14ac:dyDescent="0.25"/>
    <row r="40170" s="42" customFormat="1" x14ac:dyDescent="0.25"/>
    <row r="40171" s="42" customFormat="1" x14ac:dyDescent="0.25"/>
    <row r="40172" s="42" customFormat="1" x14ac:dyDescent="0.25"/>
    <row r="40173" s="42" customFormat="1" x14ac:dyDescent="0.25"/>
    <row r="40174" s="42" customFormat="1" x14ac:dyDescent="0.25"/>
    <row r="40175" s="42" customFormat="1" x14ac:dyDescent="0.25"/>
    <row r="40176" s="42" customFormat="1" x14ac:dyDescent="0.25"/>
    <row r="40177" s="42" customFormat="1" x14ac:dyDescent="0.25"/>
    <row r="40178" s="42" customFormat="1" x14ac:dyDescent="0.25"/>
    <row r="40179" s="42" customFormat="1" x14ac:dyDescent="0.25"/>
    <row r="40180" s="42" customFormat="1" x14ac:dyDescent="0.25"/>
    <row r="40181" s="42" customFormat="1" x14ac:dyDescent="0.25"/>
    <row r="40182" s="42" customFormat="1" x14ac:dyDescent="0.25"/>
    <row r="40183" s="42" customFormat="1" x14ac:dyDescent="0.25"/>
    <row r="40184" s="42" customFormat="1" x14ac:dyDescent="0.25"/>
    <row r="40185" s="42" customFormat="1" x14ac:dyDescent="0.25"/>
    <row r="40186" s="42" customFormat="1" x14ac:dyDescent="0.25"/>
    <row r="40187" s="42" customFormat="1" x14ac:dyDescent="0.25"/>
    <row r="40188" s="42" customFormat="1" x14ac:dyDescent="0.25"/>
    <row r="40189" s="42" customFormat="1" x14ac:dyDescent="0.25"/>
    <row r="40190" s="42" customFormat="1" x14ac:dyDescent="0.25"/>
    <row r="40191" s="42" customFormat="1" x14ac:dyDescent="0.25"/>
    <row r="40192" s="42" customFormat="1" x14ac:dyDescent="0.25"/>
    <row r="40193" s="42" customFormat="1" x14ac:dyDescent="0.25"/>
    <row r="40194" s="42" customFormat="1" x14ac:dyDescent="0.25"/>
    <row r="40195" s="42" customFormat="1" x14ac:dyDescent="0.25"/>
    <row r="40196" s="42" customFormat="1" x14ac:dyDescent="0.25"/>
    <row r="40197" s="42" customFormat="1" x14ac:dyDescent="0.25"/>
    <row r="40198" s="42" customFormat="1" x14ac:dyDescent="0.25"/>
    <row r="40199" s="42" customFormat="1" x14ac:dyDescent="0.25"/>
    <row r="40200" s="42" customFormat="1" x14ac:dyDescent="0.25"/>
    <row r="40201" s="42" customFormat="1" x14ac:dyDescent="0.25"/>
    <row r="40202" s="42" customFormat="1" x14ac:dyDescent="0.25"/>
    <row r="40203" s="42" customFormat="1" x14ac:dyDescent="0.25"/>
    <row r="40204" s="42" customFormat="1" x14ac:dyDescent="0.25"/>
    <row r="40205" s="42" customFormat="1" x14ac:dyDescent="0.25"/>
    <row r="40206" s="42" customFormat="1" x14ac:dyDescent="0.25"/>
    <row r="40207" s="42" customFormat="1" x14ac:dyDescent="0.25"/>
    <row r="40208" s="42" customFormat="1" x14ac:dyDescent="0.25"/>
    <row r="40209" s="42" customFormat="1" x14ac:dyDescent="0.25"/>
    <row r="40210" s="42" customFormat="1" x14ac:dyDescent="0.25"/>
    <row r="40211" s="42" customFormat="1" x14ac:dyDescent="0.25"/>
    <row r="40212" s="42" customFormat="1" x14ac:dyDescent="0.25"/>
    <row r="40213" s="42" customFormat="1" x14ac:dyDescent="0.25"/>
    <row r="40214" s="42" customFormat="1" x14ac:dyDescent="0.25"/>
    <row r="40215" s="42" customFormat="1" x14ac:dyDescent="0.25"/>
    <row r="40216" s="42" customFormat="1" x14ac:dyDescent="0.25"/>
    <row r="40217" s="42" customFormat="1" x14ac:dyDescent="0.25"/>
    <row r="40218" s="42" customFormat="1" x14ac:dyDescent="0.25"/>
    <row r="40219" s="42" customFormat="1" x14ac:dyDescent="0.25"/>
    <row r="40220" s="42" customFormat="1" x14ac:dyDescent="0.25"/>
    <row r="40221" s="42" customFormat="1" x14ac:dyDescent="0.25"/>
    <row r="40222" s="42" customFormat="1" x14ac:dyDescent="0.25"/>
    <row r="40223" s="42" customFormat="1" x14ac:dyDescent="0.25"/>
    <row r="40224" s="42" customFormat="1" x14ac:dyDescent="0.25"/>
    <row r="40225" s="42" customFormat="1" x14ac:dyDescent="0.25"/>
    <row r="40226" s="42" customFormat="1" x14ac:dyDescent="0.25"/>
    <row r="40227" s="42" customFormat="1" x14ac:dyDescent="0.25"/>
    <row r="40228" s="42" customFormat="1" x14ac:dyDescent="0.25"/>
    <row r="40229" s="42" customFormat="1" x14ac:dyDescent="0.25"/>
    <row r="40230" s="42" customFormat="1" x14ac:dyDescent="0.25"/>
    <row r="40231" s="42" customFormat="1" x14ac:dyDescent="0.25"/>
    <row r="40232" s="42" customFormat="1" x14ac:dyDescent="0.25"/>
    <row r="40233" s="42" customFormat="1" x14ac:dyDescent="0.25"/>
    <row r="40234" s="42" customFormat="1" x14ac:dyDescent="0.25"/>
    <row r="40235" s="42" customFormat="1" x14ac:dyDescent="0.25"/>
    <row r="40236" s="42" customFormat="1" x14ac:dyDescent="0.25"/>
    <row r="40237" s="42" customFormat="1" x14ac:dyDescent="0.25"/>
    <row r="40238" s="42" customFormat="1" x14ac:dyDescent="0.25"/>
    <row r="40239" s="42" customFormat="1" x14ac:dyDescent="0.25"/>
    <row r="40240" s="42" customFormat="1" x14ac:dyDescent="0.25"/>
    <row r="40241" s="42" customFormat="1" x14ac:dyDescent="0.25"/>
    <row r="40242" s="42" customFormat="1" x14ac:dyDescent="0.25"/>
    <row r="40243" s="42" customFormat="1" x14ac:dyDescent="0.25"/>
    <row r="40244" s="42" customFormat="1" x14ac:dyDescent="0.25"/>
    <row r="40245" s="42" customFormat="1" x14ac:dyDescent="0.25"/>
    <row r="40246" s="42" customFormat="1" x14ac:dyDescent="0.25"/>
    <row r="40247" s="42" customFormat="1" x14ac:dyDescent="0.25"/>
    <row r="40248" s="42" customFormat="1" x14ac:dyDescent="0.25"/>
    <row r="40249" s="42" customFormat="1" x14ac:dyDescent="0.25"/>
    <row r="40250" s="42" customFormat="1" x14ac:dyDescent="0.25"/>
    <row r="40251" s="42" customFormat="1" x14ac:dyDescent="0.25"/>
    <row r="40252" s="42" customFormat="1" x14ac:dyDescent="0.25"/>
    <row r="40253" s="42" customFormat="1" x14ac:dyDescent="0.25"/>
    <row r="40254" s="42" customFormat="1" x14ac:dyDescent="0.25"/>
    <row r="40255" s="42" customFormat="1" x14ac:dyDescent="0.25"/>
    <row r="40256" s="42" customFormat="1" x14ac:dyDescent="0.25"/>
    <row r="40257" s="42" customFormat="1" x14ac:dyDescent="0.25"/>
    <row r="40258" s="42" customFormat="1" x14ac:dyDescent="0.25"/>
    <row r="40259" s="42" customFormat="1" x14ac:dyDescent="0.25"/>
    <row r="40260" s="42" customFormat="1" x14ac:dyDescent="0.25"/>
    <row r="40261" s="42" customFormat="1" x14ac:dyDescent="0.25"/>
    <row r="40262" s="42" customFormat="1" x14ac:dyDescent="0.25"/>
    <row r="40263" s="42" customFormat="1" x14ac:dyDescent="0.25"/>
    <row r="40264" s="42" customFormat="1" x14ac:dyDescent="0.25"/>
    <row r="40265" s="42" customFormat="1" x14ac:dyDescent="0.25"/>
    <row r="40266" s="42" customFormat="1" x14ac:dyDescent="0.25"/>
    <row r="40267" s="42" customFormat="1" x14ac:dyDescent="0.25"/>
    <row r="40268" s="42" customFormat="1" x14ac:dyDescent="0.25"/>
    <row r="40269" s="42" customFormat="1" x14ac:dyDescent="0.25"/>
    <row r="40270" s="42" customFormat="1" x14ac:dyDescent="0.25"/>
    <row r="40271" s="42" customFormat="1" x14ac:dyDescent="0.25"/>
    <row r="40272" s="42" customFormat="1" x14ac:dyDescent="0.25"/>
    <row r="40273" s="42" customFormat="1" x14ac:dyDescent="0.25"/>
    <row r="40274" s="42" customFormat="1" x14ac:dyDescent="0.25"/>
    <row r="40275" s="42" customFormat="1" x14ac:dyDescent="0.25"/>
    <row r="40276" s="42" customFormat="1" x14ac:dyDescent="0.25"/>
    <row r="40277" s="42" customFormat="1" x14ac:dyDescent="0.25"/>
    <row r="40278" s="42" customFormat="1" x14ac:dyDescent="0.25"/>
    <row r="40279" s="42" customFormat="1" x14ac:dyDescent="0.25"/>
    <row r="40280" s="42" customFormat="1" x14ac:dyDescent="0.25"/>
    <row r="40281" s="42" customFormat="1" x14ac:dyDescent="0.25"/>
    <row r="40282" s="42" customFormat="1" x14ac:dyDescent="0.25"/>
    <row r="40283" s="42" customFormat="1" x14ac:dyDescent="0.25"/>
    <row r="40284" s="42" customFormat="1" x14ac:dyDescent="0.25"/>
    <row r="40285" s="42" customFormat="1" x14ac:dyDescent="0.25"/>
    <row r="40286" s="42" customFormat="1" x14ac:dyDescent="0.25"/>
    <row r="40287" s="42" customFormat="1" x14ac:dyDescent="0.25"/>
    <row r="40288" s="42" customFormat="1" x14ac:dyDescent="0.25"/>
    <row r="40289" s="42" customFormat="1" x14ac:dyDescent="0.25"/>
    <row r="40290" s="42" customFormat="1" x14ac:dyDescent="0.25"/>
    <row r="40291" s="42" customFormat="1" x14ac:dyDescent="0.25"/>
    <row r="40292" s="42" customFormat="1" x14ac:dyDescent="0.25"/>
    <row r="40293" s="42" customFormat="1" x14ac:dyDescent="0.25"/>
    <row r="40294" s="42" customFormat="1" x14ac:dyDescent="0.25"/>
    <row r="40295" s="42" customFormat="1" x14ac:dyDescent="0.25"/>
    <row r="40296" s="42" customFormat="1" x14ac:dyDescent="0.25"/>
    <row r="40297" s="42" customFormat="1" x14ac:dyDescent="0.25"/>
    <row r="40298" s="42" customFormat="1" x14ac:dyDescent="0.25"/>
    <row r="40299" s="42" customFormat="1" x14ac:dyDescent="0.25"/>
    <row r="40300" s="42" customFormat="1" x14ac:dyDescent="0.25"/>
    <row r="40301" s="42" customFormat="1" x14ac:dyDescent="0.25"/>
    <row r="40302" s="42" customFormat="1" x14ac:dyDescent="0.25"/>
    <row r="40303" s="42" customFormat="1" x14ac:dyDescent="0.25"/>
    <row r="40304" s="42" customFormat="1" x14ac:dyDescent="0.25"/>
    <row r="40305" s="42" customFormat="1" x14ac:dyDescent="0.25"/>
    <row r="40306" s="42" customFormat="1" x14ac:dyDescent="0.25"/>
    <row r="40307" s="42" customFormat="1" x14ac:dyDescent="0.25"/>
    <row r="40308" s="42" customFormat="1" x14ac:dyDescent="0.25"/>
    <row r="40309" s="42" customFormat="1" x14ac:dyDescent="0.25"/>
    <row r="40310" s="42" customFormat="1" x14ac:dyDescent="0.25"/>
    <row r="40311" s="42" customFormat="1" x14ac:dyDescent="0.25"/>
    <row r="40312" s="42" customFormat="1" x14ac:dyDescent="0.25"/>
    <row r="40313" s="42" customFormat="1" x14ac:dyDescent="0.25"/>
    <row r="40314" s="42" customFormat="1" x14ac:dyDescent="0.25"/>
    <row r="40315" s="42" customFormat="1" x14ac:dyDescent="0.25"/>
    <row r="40316" s="42" customFormat="1" x14ac:dyDescent="0.25"/>
    <row r="40317" s="42" customFormat="1" x14ac:dyDescent="0.25"/>
    <row r="40318" s="42" customFormat="1" x14ac:dyDescent="0.25"/>
    <row r="40319" s="42" customFormat="1" x14ac:dyDescent="0.25"/>
    <row r="40320" s="42" customFormat="1" x14ac:dyDescent="0.25"/>
    <row r="40321" s="42" customFormat="1" x14ac:dyDescent="0.25"/>
    <row r="40322" s="42" customFormat="1" x14ac:dyDescent="0.25"/>
    <row r="40323" s="42" customFormat="1" x14ac:dyDescent="0.25"/>
    <row r="40324" s="42" customFormat="1" x14ac:dyDescent="0.25"/>
    <row r="40325" s="42" customFormat="1" x14ac:dyDescent="0.25"/>
    <row r="40326" s="42" customFormat="1" x14ac:dyDescent="0.25"/>
    <row r="40327" s="42" customFormat="1" x14ac:dyDescent="0.25"/>
    <row r="40328" s="42" customFormat="1" x14ac:dyDescent="0.25"/>
    <row r="40329" s="42" customFormat="1" x14ac:dyDescent="0.25"/>
    <row r="40330" s="42" customFormat="1" x14ac:dyDescent="0.25"/>
    <row r="40331" s="42" customFormat="1" x14ac:dyDescent="0.25"/>
    <row r="40332" s="42" customFormat="1" x14ac:dyDescent="0.25"/>
    <row r="40333" s="42" customFormat="1" x14ac:dyDescent="0.25"/>
    <row r="40334" s="42" customFormat="1" x14ac:dyDescent="0.25"/>
    <row r="40335" s="42" customFormat="1" x14ac:dyDescent="0.25"/>
    <row r="40336" s="42" customFormat="1" x14ac:dyDescent="0.25"/>
    <row r="40337" s="42" customFormat="1" x14ac:dyDescent="0.25"/>
    <row r="40338" s="42" customFormat="1" x14ac:dyDescent="0.25"/>
    <row r="40339" s="42" customFormat="1" x14ac:dyDescent="0.25"/>
    <row r="40340" s="42" customFormat="1" x14ac:dyDescent="0.25"/>
    <row r="40341" s="42" customFormat="1" x14ac:dyDescent="0.25"/>
    <row r="40342" s="42" customFormat="1" x14ac:dyDescent="0.25"/>
    <row r="40343" s="42" customFormat="1" x14ac:dyDescent="0.25"/>
    <row r="40344" s="42" customFormat="1" x14ac:dyDescent="0.25"/>
    <row r="40345" s="42" customFormat="1" x14ac:dyDescent="0.25"/>
    <row r="40346" s="42" customFormat="1" x14ac:dyDescent="0.25"/>
    <row r="40347" s="42" customFormat="1" x14ac:dyDescent="0.25"/>
    <row r="40348" s="42" customFormat="1" x14ac:dyDescent="0.25"/>
    <row r="40349" s="42" customFormat="1" x14ac:dyDescent="0.25"/>
    <row r="40350" s="42" customFormat="1" x14ac:dyDescent="0.25"/>
    <row r="40351" s="42" customFormat="1" x14ac:dyDescent="0.25"/>
    <row r="40352" s="42" customFormat="1" x14ac:dyDescent="0.25"/>
    <row r="40353" s="42" customFormat="1" x14ac:dyDescent="0.25"/>
    <row r="40354" s="42" customFormat="1" x14ac:dyDescent="0.25"/>
    <row r="40355" s="42" customFormat="1" x14ac:dyDescent="0.25"/>
    <row r="40356" s="42" customFormat="1" x14ac:dyDescent="0.25"/>
    <row r="40357" s="42" customFormat="1" x14ac:dyDescent="0.25"/>
    <row r="40358" s="42" customFormat="1" x14ac:dyDescent="0.25"/>
    <row r="40359" s="42" customFormat="1" x14ac:dyDescent="0.25"/>
    <row r="40360" s="42" customFormat="1" x14ac:dyDescent="0.25"/>
    <row r="40361" s="42" customFormat="1" x14ac:dyDescent="0.25"/>
    <row r="40362" s="42" customFormat="1" x14ac:dyDescent="0.25"/>
    <row r="40363" s="42" customFormat="1" x14ac:dyDescent="0.25"/>
    <row r="40364" s="42" customFormat="1" x14ac:dyDescent="0.25"/>
    <row r="40365" s="42" customFormat="1" x14ac:dyDescent="0.25"/>
    <row r="40366" s="42" customFormat="1" x14ac:dyDescent="0.25"/>
    <row r="40367" s="42" customFormat="1" x14ac:dyDescent="0.25"/>
    <row r="40368" s="42" customFormat="1" x14ac:dyDescent="0.25"/>
    <row r="40369" s="42" customFormat="1" x14ac:dyDescent="0.25"/>
    <row r="40370" s="42" customFormat="1" x14ac:dyDescent="0.25"/>
    <row r="40371" s="42" customFormat="1" x14ac:dyDescent="0.25"/>
    <row r="40372" s="42" customFormat="1" x14ac:dyDescent="0.25"/>
    <row r="40373" s="42" customFormat="1" x14ac:dyDescent="0.25"/>
    <row r="40374" s="42" customFormat="1" x14ac:dyDescent="0.25"/>
    <row r="40375" s="42" customFormat="1" x14ac:dyDescent="0.25"/>
    <row r="40376" s="42" customFormat="1" x14ac:dyDescent="0.25"/>
    <row r="40377" s="42" customFormat="1" x14ac:dyDescent="0.25"/>
    <row r="40378" s="42" customFormat="1" x14ac:dyDescent="0.25"/>
    <row r="40379" s="42" customFormat="1" x14ac:dyDescent="0.25"/>
    <row r="40380" s="42" customFormat="1" x14ac:dyDescent="0.25"/>
    <row r="40381" s="42" customFormat="1" x14ac:dyDescent="0.25"/>
    <row r="40382" s="42" customFormat="1" x14ac:dyDescent="0.25"/>
    <row r="40383" s="42" customFormat="1" x14ac:dyDescent="0.25"/>
    <row r="40384" s="42" customFormat="1" x14ac:dyDescent="0.25"/>
    <row r="40385" s="42" customFormat="1" x14ac:dyDescent="0.25"/>
    <row r="40386" s="42" customFormat="1" x14ac:dyDescent="0.25"/>
    <row r="40387" s="42" customFormat="1" x14ac:dyDescent="0.25"/>
    <row r="40388" s="42" customFormat="1" x14ac:dyDescent="0.25"/>
    <row r="40389" s="42" customFormat="1" x14ac:dyDescent="0.25"/>
    <row r="40390" s="42" customFormat="1" x14ac:dyDescent="0.25"/>
    <row r="40391" s="42" customFormat="1" x14ac:dyDescent="0.25"/>
    <row r="40392" s="42" customFormat="1" x14ac:dyDescent="0.25"/>
    <row r="40393" s="42" customFormat="1" x14ac:dyDescent="0.25"/>
    <row r="40394" s="42" customFormat="1" x14ac:dyDescent="0.25"/>
    <row r="40395" s="42" customFormat="1" x14ac:dyDescent="0.25"/>
    <row r="40396" s="42" customFormat="1" x14ac:dyDescent="0.25"/>
    <row r="40397" s="42" customFormat="1" x14ac:dyDescent="0.25"/>
    <row r="40398" s="42" customFormat="1" x14ac:dyDescent="0.25"/>
    <row r="40399" s="42" customFormat="1" x14ac:dyDescent="0.25"/>
    <row r="40400" s="42" customFormat="1" x14ac:dyDescent="0.25"/>
    <row r="40401" s="42" customFormat="1" x14ac:dyDescent="0.25"/>
    <row r="40402" s="42" customFormat="1" x14ac:dyDescent="0.25"/>
    <row r="40403" s="42" customFormat="1" x14ac:dyDescent="0.25"/>
    <row r="40404" s="42" customFormat="1" x14ac:dyDescent="0.25"/>
    <row r="40405" s="42" customFormat="1" x14ac:dyDescent="0.25"/>
    <row r="40406" s="42" customFormat="1" x14ac:dyDescent="0.25"/>
    <row r="40407" s="42" customFormat="1" x14ac:dyDescent="0.25"/>
    <row r="40408" s="42" customFormat="1" x14ac:dyDescent="0.25"/>
    <row r="40409" s="42" customFormat="1" x14ac:dyDescent="0.25"/>
    <row r="40410" s="42" customFormat="1" x14ac:dyDescent="0.25"/>
    <row r="40411" s="42" customFormat="1" x14ac:dyDescent="0.25"/>
    <row r="40412" s="42" customFormat="1" x14ac:dyDescent="0.25"/>
    <row r="40413" s="42" customFormat="1" x14ac:dyDescent="0.25"/>
    <row r="40414" s="42" customFormat="1" x14ac:dyDescent="0.25"/>
    <row r="40415" s="42" customFormat="1" x14ac:dyDescent="0.25"/>
    <row r="40416" s="42" customFormat="1" x14ac:dyDescent="0.25"/>
    <row r="40417" s="42" customFormat="1" x14ac:dyDescent="0.25"/>
    <row r="40418" s="42" customFormat="1" x14ac:dyDescent="0.25"/>
    <row r="40419" s="42" customFormat="1" x14ac:dyDescent="0.25"/>
    <row r="40420" s="42" customFormat="1" x14ac:dyDescent="0.25"/>
    <row r="40421" s="42" customFormat="1" x14ac:dyDescent="0.25"/>
    <row r="40422" s="42" customFormat="1" x14ac:dyDescent="0.25"/>
    <row r="40423" s="42" customFormat="1" x14ac:dyDescent="0.25"/>
    <row r="40424" s="42" customFormat="1" x14ac:dyDescent="0.25"/>
    <row r="40425" s="42" customFormat="1" x14ac:dyDescent="0.25"/>
    <row r="40426" s="42" customFormat="1" x14ac:dyDescent="0.25"/>
    <row r="40427" s="42" customFormat="1" x14ac:dyDescent="0.25"/>
    <row r="40428" s="42" customFormat="1" x14ac:dyDescent="0.25"/>
    <row r="40429" s="42" customFormat="1" x14ac:dyDescent="0.25"/>
    <row r="40430" s="42" customFormat="1" x14ac:dyDescent="0.25"/>
    <row r="40431" s="42" customFormat="1" x14ac:dyDescent="0.25"/>
    <row r="40432" s="42" customFormat="1" x14ac:dyDescent="0.25"/>
    <row r="40433" s="42" customFormat="1" x14ac:dyDescent="0.25"/>
    <row r="40434" s="42" customFormat="1" x14ac:dyDescent="0.25"/>
    <row r="40435" s="42" customFormat="1" x14ac:dyDescent="0.25"/>
    <row r="40436" s="42" customFormat="1" x14ac:dyDescent="0.25"/>
    <row r="40437" s="42" customFormat="1" x14ac:dyDescent="0.25"/>
    <row r="40438" s="42" customFormat="1" x14ac:dyDescent="0.25"/>
    <row r="40439" s="42" customFormat="1" x14ac:dyDescent="0.25"/>
    <row r="40440" s="42" customFormat="1" x14ac:dyDescent="0.25"/>
    <row r="40441" s="42" customFormat="1" x14ac:dyDescent="0.25"/>
    <row r="40442" s="42" customFormat="1" x14ac:dyDescent="0.25"/>
    <row r="40443" s="42" customFormat="1" x14ac:dyDescent="0.25"/>
    <row r="40444" s="42" customFormat="1" x14ac:dyDescent="0.25"/>
    <row r="40445" s="42" customFormat="1" x14ac:dyDescent="0.25"/>
    <row r="40446" s="42" customFormat="1" x14ac:dyDescent="0.25"/>
    <row r="40447" s="42" customFormat="1" x14ac:dyDescent="0.25"/>
    <row r="40448" s="42" customFormat="1" x14ac:dyDescent="0.25"/>
    <row r="40449" s="42" customFormat="1" x14ac:dyDescent="0.25"/>
    <row r="40450" s="42" customFormat="1" x14ac:dyDescent="0.25"/>
    <row r="40451" s="42" customFormat="1" x14ac:dyDescent="0.25"/>
    <row r="40452" s="42" customFormat="1" x14ac:dyDescent="0.25"/>
    <row r="40453" s="42" customFormat="1" x14ac:dyDescent="0.25"/>
    <row r="40454" s="42" customFormat="1" x14ac:dyDescent="0.25"/>
    <row r="40455" s="42" customFormat="1" x14ac:dyDescent="0.25"/>
    <row r="40456" s="42" customFormat="1" x14ac:dyDescent="0.25"/>
    <row r="40457" s="42" customFormat="1" x14ac:dyDescent="0.25"/>
    <row r="40458" s="42" customFormat="1" x14ac:dyDescent="0.25"/>
    <row r="40459" s="42" customFormat="1" x14ac:dyDescent="0.25"/>
    <row r="40460" s="42" customFormat="1" x14ac:dyDescent="0.25"/>
    <row r="40461" s="42" customFormat="1" x14ac:dyDescent="0.25"/>
    <row r="40462" s="42" customFormat="1" x14ac:dyDescent="0.25"/>
    <row r="40463" s="42" customFormat="1" x14ac:dyDescent="0.25"/>
    <row r="40464" s="42" customFormat="1" x14ac:dyDescent="0.25"/>
    <row r="40465" s="42" customFormat="1" x14ac:dyDescent="0.25"/>
    <row r="40466" s="42" customFormat="1" x14ac:dyDescent="0.25"/>
    <row r="40467" s="42" customFormat="1" x14ac:dyDescent="0.25"/>
    <row r="40468" s="42" customFormat="1" x14ac:dyDescent="0.25"/>
    <row r="40469" s="42" customFormat="1" x14ac:dyDescent="0.25"/>
    <row r="40470" s="42" customFormat="1" x14ac:dyDescent="0.25"/>
    <row r="40471" s="42" customFormat="1" x14ac:dyDescent="0.25"/>
    <row r="40472" s="42" customFormat="1" x14ac:dyDescent="0.25"/>
    <row r="40473" s="42" customFormat="1" x14ac:dyDescent="0.25"/>
    <row r="40474" s="42" customFormat="1" x14ac:dyDescent="0.25"/>
    <row r="40475" s="42" customFormat="1" x14ac:dyDescent="0.25"/>
    <row r="40476" s="42" customFormat="1" x14ac:dyDescent="0.25"/>
    <row r="40477" s="42" customFormat="1" x14ac:dyDescent="0.25"/>
    <row r="40478" s="42" customFormat="1" x14ac:dyDescent="0.25"/>
    <row r="40479" s="42" customFormat="1" x14ac:dyDescent="0.25"/>
    <row r="40480" s="42" customFormat="1" x14ac:dyDescent="0.25"/>
    <row r="40481" s="42" customFormat="1" x14ac:dyDescent="0.25"/>
    <row r="40482" s="42" customFormat="1" x14ac:dyDescent="0.25"/>
    <row r="40483" s="42" customFormat="1" x14ac:dyDescent="0.25"/>
    <row r="40484" s="42" customFormat="1" x14ac:dyDescent="0.25"/>
    <row r="40485" s="42" customFormat="1" x14ac:dyDescent="0.25"/>
    <row r="40486" s="42" customFormat="1" x14ac:dyDescent="0.25"/>
    <row r="40487" s="42" customFormat="1" x14ac:dyDescent="0.25"/>
    <row r="40488" s="42" customFormat="1" x14ac:dyDescent="0.25"/>
    <row r="40489" s="42" customFormat="1" x14ac:dyDescent="0.25"/>
    <row r="40490" s="42" customFormat="1" x14ac:dyDescent="0.25"/>
    <row r="40491" s="42" customFormat="1" x14ac:dyDescent="0.25"/>
    <row r="40492" s="42" customFormat="1" x14ac:dyDescent="0.25"/>
    <row r="40493" s="42" customFormat="1" x14ac:dyDescent="0.25"/>
    <row r="40494" s="42" customFormat="1" x14ac:dyDescent="0.25"/>
    <row r="40495" s="42" customFormat="1" x14ac:dyDescent="0.25"/>
    <row r="40496" s="42" customFormat="1" x14ac:dyDescent="0.25"/>
    <row r="40497" s="42" customFormat="1" x14ac:dyDescent="0.25"/>
    <row r="40498" s="42" customFormat="1" x14ac:dyDescent="0.25"/>
    <row r="40499" s="42" customFormat="1" x14ac:dyDescent="0.25"/>
    <row r="40500" s="42" customFormat="1" x14ac:dyDescent="0.25"/>
    <row r="40501" s="42" customFormat="1" x14ac:dyDescent="0.25"/>
    <row r="40502" s="42" customFormat="1" x14ac:dyDescent="0.25"/>
    <row r="40503" s="42" customFormat="1" x14ac:dyDescent="0.25"/>
    <row r="40504" s="42" customFormat="1" x14ac:dyDescent="0.25"/>
    <row r="40505" s="42" customFormat="1" x14ac:dyDescent="0.25"/>
    <row r="40506" s="42" customFormat="1" x14ac:dyDescent="0.25"/>
    <row r="40507" s="42" customFormat="1" x14ac:dyDescent="0.25"/>
    <row r="40508" s="42" customFormat="1" x14ac:dyDescent="0.25"/>
    <row r="40509" s="42" customFormat="1" x14ac:dyDescent="0.25"/>
    <row r="40510" s="42" customFormat="1" x14ac:dyDescent="0.25"/>
    <row r="40511" s="42" customFormat="1" x14ac:dyDescent="0.25"/>
    <row r="40512" s="42" customFormat="1" x14ac:dyDescent="0.25"/>
    <row r="40513" s="42" customFormat="1" x14ac:dyDescent="0.25"/>
    <row r="40514" s="42" customFormat="1" x14ac:dyDescent="0.25"/>
    <row r="40515" s="42" customFormat="1" x14ac:dyDescent="0.25"/>
    <row r="40516" s="42" customFormat="1" x14ac:dyDescent="0.25"/>
    <row r="40517" s="42" customFormat="1" x14ac:dyDescent="0.25"/>
    <row r="40518" s="42" customFormat="1" x14ac:dyDescent="0.25"/>
    <row r="40519" s="42" customFormat="1" x14ac:dyDescent="0.25"/>
    <row r="40520" s="42" customFormat="1" x14ac:dyDescent="0.25"/>
    <row r="40521" s="42" customFormat="1" x14ac:dyDescent="0.25"/>
    <row r="40522" s="42" customFormat="1" x14ac:dyDescent="0.25"/>
    <row r="40523" s="42" customFormat="1" x14ac:dyDescent="0.25"/>
    <row r="40524" s="42" customFormat="1" x14ac:dyDescent="0.25"/>
    <row r="40525" s="42" customFormat="1" x14ac:dyDescent="0.25"/>
    <row r="40526" s="42" customFormat="1" x14ac:dyDescent="0.25"/>
    <row r="40527" s="42" customFormat="1" x14ac:dyDescent="0.25"/>
    <row r="40528" s="42" customFormat="1" x14ac:dyDescent="0.25"/>
    <row r="40529" s="42" customFormat="1" x14ac:dyDescent="0.25"/>
    <row r="40530" s="42" customFormat="1" x14ac:dyDescent="0.25"/>
    <row r="40531" s="42" customFormat="1" x14ac:dyDescent="0.25"/>
    <row r="40532" s="42" customFormat="1" x14ac:dyDescent="0.25"/>
    <row r="40533" s="42" customFormat="1" x14ac:dyDescent="0.25"/>
    <row r="40534" s="42" customFormat="1" x14ac:dyDescent="0.25"/>
    <row r="40535" s="42" customFormat="1" x14ac:dyDescent="0.25"/>
    <row r="40536" s="42" customFormat="1" x14ac:dyDescent="0.25"/>
    <row r="40537" s="42" customFormat="1" x14ac:dyDescent="0.25"/>
    <row r="40538" s="42" customFormat="1" x14ac:dyDescent="0.25"/>
    <row r="40539" s="42" customFormat="1" x14ac:dyDescent="0.25"/>
    <row r="40540" s="42" customFormat="1" x14ac:dyDescent="0.25"/>
    <row r="40541" s="42" customFormat="1" x14ac:dyDescent="0.25"/>
    <row r="40542" s="42" customFormat="1" x14ac:dyDescent="0.25"/>
    <row r="40543" s="42" customFormat="1" x14ac:dyDescent="0.25"/>
    <row r="40544" s="42" customFormat="1" x14ac:dyDescent="0.25"/>
    <row r="40545" s="42" customFormat="1" x14ac:dyDescent="0.25"/>
    <row r="40546" s="42" customFormat="1" x14ac:dyDescent="0.25"/>
    <row r="40547" s="42" customFormat="1" x14ac:dyDescent="0.25"/>
    <row r="40548" s="42" customFormat="1" x14ac:dyDescent="0.25"/>
    <row r="40549" s="42" customFormat="1" x14ac:dyDescent="0.25"/>
    <row r="40550" s="42" customFormat="1" x14ac:dyDescent="0.25"/>
    <row r="40551" s="42" customFormat="1" x14ac:dyDescent="0.25"/>
    <row r="40552" s="42" customFormat="1" x14ac:dyDescent="0.25"/>
    <row r="40553" s="42" customFormat="1" x14ac:dyDescent="0.25"/>
    <row r="40554" s="42" customFormat="1" x14ac:dyDescent="0.25"/>
    <row r="40555" s="42" customFormat="1" x14ac:dyDescent="0.25"/>
    <row r="40556" s="42" customFormat="1" x14ac:dyDescent="0.25"/>
    <row r="40557" s="42" customFormat="1" x14ac:dyDescent="0.25"/>
    <row r="40558" s="42" customFormat="1" x14ac:dyDescent="0.25"/>
    <row r="40559" s="42" customFormat="1" x14ac:dyDescent="0.25"/>
    <row r="40560" s="42" customFormat="1" x14ac:dyDescent="0.25"/>
    <row r="40561" s="42" customFormat="1" x14ac:dyDescent="0.25"/>
    <row r="40562" s="42" customFormat="1" x14ac:dyDescent="0.25"/>
    <row r="40563" s="42" customFormat="1" x14ac:dyDescent="0.25"/>
    <row r="40564" s="42" customFormat="1" x14ac:dyDescent="0.25"/>
    <row r="40565" s="42" customFormat="1" x14ac:dyDescent="0.25"/>
    <row r="40566" s="42" customFormat="1" x14ac:dyDescent="0.25"/>
    <row r="40567" s="42" customFormat="1" x14ac:dyDescent="0.25"/>
    <row r="40568" s="42" customFormat="1" x14ac:dyDescent="0.25"/>
    <row r="40569" s="42" customFormat="1" x14ac:dyDescent="0.25"/>
    <row r="40570" s="42" customFormat="1" x14ac:dyDescent="0.25"/>
    <row r="40571" s="42" customFormat="1" x14ac:dyDescent="0.25"/>
    <row r="40572" s="42" customFormat="1" x14ac:dyDescent="0.25"/>
    <row r="40573" s="42" customFormat="1" x14ac:dyDescent="0.25"/>
    <row r="40574" s="42" customFormat="1" x14ac:dyDescent="0.25"/>
    <row r="40575" s="42" customFormat="1" x14ac:dyDescent="0.25"/>
    <row r="40576" s="42" customFormat="1" x14ac:dyDescent="0.25"/>
    <row r="40577" s="42" customFormat="1" x14ac:dyDescent="0.25"/>
    <row r="40578" s="42" customFormat="1" x14ac:dyDescent="0.25"/>
    <row r="40579" s="42" customFormat="1" x14ac:dyDescent="0.25"/>
    <row r="40580" s="42" customFormat="1" x14ac:dyDescent="0.25"/>
    <row r="40581" s="42" customFormat="1" x14ac:dyDescent="0.25"/>
    <row r="40582" s="42" customFormat="1" x14ac:dyDescent="0.25"/>
    <row r="40583" s="42" customFormat="1" x14ac:dyDescent="0.25"/>
    <row r="40584" s="42" customFormat="1" x14ac:dyDescent="0.25"/>
    <row r="40585" s="42" customFormat="1" x14ac:dyDescent="0.25"/>
    <row r="40586" s="42" customFormat="1" x14ac:dyDescent="0.25"/>
    <row r="40587" s="42" customFormat="1" x14ac:dyDescent="0.25"/>
    <row r="40588" s="42" customFormat="1" x14ac:dyDescent="0.25"/>
    <row r="40589" s="42" customFormat="1" x14ac:dyDescent="0.25"/>
    <row r="40590" s="42" customFormat="1" x14ac:dyDescent="0.25"/>
    <row r="40591" s="42" customFormat="1" x14ac:dyDescent="0.25"/>
    <row r="40592" s="42" customFormat="1" x14ac:dyDescent="0.25"/>
    <row r="40593" s="42" customFormat="1" x14ac:dyDescent="0.25"/>
    <row r="40594" s="42" customFormat="1" x14ac:dyDescent="0.25"/>
    <row r="40595" s="42" customFormat="1" x14ac:dyDescent="0.25"/>
    <row r="40596" s="42" customFormat="1" x14ac:dyDescent="0.25"/>
    <row r="40597" s="42" customFormat="1" x14ac:dyDescent="0.25"/>
    <row r="40598" s="42" customFormat="1" x14ac:dyDescent="0.25"/>
    <row r="40599" s="42" customFormat="1" x14ac:dyDescent="0.25"/>
    <row r="40600" s="42" customFormat="1" x14ac:dyDescent="0.25"/>
    <row r="40601" s="42" customFormat="1" x14ac:dyDescent="0.25"/>
    <row r="40602" s="42" customFormat="1" x14ac:dyDescent="0.25"/>
    <row r="40603" s="42" customFormat="1" x14ac:dyDescent="0.25"/>
    <row r="40604" s="42" customFormat="1" x14ac:dyDescent="0.25"/>
    <row r="40605" s="42" customFormat="1" x14ac:dyDescent="0.25"/>
    <row r="40606" s="42" customFormat="1" x14ac:dyDescent="0.25"/>
    <row r="40607" s="42" customFormat="1" x14ac:dyDescent="0.25"/>
    <row r="40608" s="42" customFormat="1" x14ac:dyDescent="0.25"/>
    <row r="40609" s="42" customFormat="1" x14ac:dyDescent="0.25"/>
    <row r="40610" s="42" customFormat="1" x14ac:dyDescent="0.25"/>
    <row r="40611" s="42" customFormat="1" x14ac:dyDescent="0.25"/>
    <row r="40612" s="42" customFormat="1" x14ac:dyDescent="0.25"/>
    <row r="40613" s="42" customFormat="1" x14ac:dyDescent="0.25"/>
    <row r="40614" s="42" customFormat="1" x14ac:dyDescent="0.25"/>
    <row r="40615" s="42" customFormat="1" x14ac:dyDescent="0.25"/>
    <row r="40616" s="42" customFormat="1" x14ac:dyDescent="0.25"/>
    <row r="40617" s="42" customFormat="1" x14ac:dyDescent="0.25"/>
    <row r="40618" s="42" customFormat="1" x14ac:dyDescent="0.25"/>
    <row r="40619" s="42" customFormat="1" x14ac:dyDescent="0.25"/>
    <row r="40620" s="42" customFormat="1" x14ac:dyDescent="0.25"/>
    <row r="40621" s="42" customFormat="1" x14ac:dyDescent="0.25"/>
    <row r="40622" s="42" customFormat="1" x14ac:dyDescent="0.25"/>
    <row r="40623" s="42" customFormat="1" x14ac:dyDescent="0.25"/>
    <row r="40624" s="42" customFormat="1" x14ac:dyDescent="0.25"/>
    <row r="40625" s="42" customFormat="1" x14ac:dyDescent="0.25"/>
    <row r="40626" s="42" customFormat="1" x14ac:dyDescent="0.25"/>
    <row r="40627" s="42" customFormat="1" x14ac:dyDescent="0.25"/>
    <row r="40628" s="42" customFormat="1" x14ac:dyDescent="0.25"/>
    <row r="40629" s="42" customFormat="1" x14ac:dyDescent="0.25"/>
    <row r="40630" s="42" customFormat="1" x14ac:dyDescent="0.25"/>
    <row r="40631" s="42" customFormat="1" x14ac:dyDescent="0.25"/>
    <row r="40632" s="42" customFormat="1" x14ac:dyDescent="0.25"/>
    <row r="40633" s="42" customFormat="1" x14ac:dyDescent="0.25"/>
    <row r="40634" s="42" customFormat="1" x14ac:dyDescent="0.25"/>
    <row r="40635" s="42" customFormat="1" x14ac:dyDescent="0.25"/>
    <row r="40636" s="42" customFormat="1" x14ac:dyDescent="0.25"/>
    <row r="40637" s="42" customFormat="1" x14ac:dyDescent="0.25"/>
    <row r="40638" s="42" customFormat="1" x14ac:dyDescent="0.25"/>
    <row r="40639" s="42" customFormat="1" x14ac:dyDescent="0.25"/>
    <row r="40640" s="42" customFormat="1" x14ac:dyDescent="0.25"/>
    <row r="40641" s="42" customFormat="1" x14ac:dyDescent="0.25"/>
    <row r="40642" s="42" customFormat="1" x14ac:dyDescent="0.25"/>
    <row r="40643" s="42" customFormat="1" x14ac:dyDescent="0.25"/>
    <row r="40644" s="42" customFormat="1" x14ac:dyDescent="0.25"/>
    <row r="40645" s="42" customFormat="1" x14ac:dyDescent="0.25"/>
    <row r="40646" s="42" customFormat="1" x14ac:dyDescent="0.25"/>
    <row r="40647" s="42" customFormat="1" x14ac:dyDescent="0.25"/>
    <row r="40648" s="42" customFormat="1" x14ac:dyDescent="0.25"/>
    <row r="40649" s="42" customFormat="1" x14ac:dyDescent="0.25"/>
    <row r="40650" s="42" customFormat="1" x14ac:dyDescent="0.25"/>
    <row r="40651" s="42" customFormat="1" x14ac:dyDescent="0.25"/>
    <row r="40652" s="42" customFormat="1" x14ac:dyDescent="0.25"/>
    <row r="40653" s="42" customFormat="1" x14ac:dyDescent="0.25"/>
    <row r="40654" s="42" customFormat="1" x14ac:dyDescent="0.25"/>
    <row r="40655" s="42" customFormat="1" x14ac:dyDescent="0.25"/>
    <row r="40656" s="42" customFormat="1" x14ac:dyDescent="0.25"/>
    <row r="40657" s="42" customFormat="1" x14ac:dyDescent="0.25"/>
    <row r="40658" s="42" customFormat="1" x14ac:dyDescent="0.25"/>
    <row r="40659" s="42" customFormat="1" x14ac:dyDescent="0.25"/>
    <row r="40660" s="42" customFormat="1" x14ac:dyDescent="0.25"/>
    <row r="40661" s="42" customFormat="1" x14ac:dyDescent="0.25"/>
    <row r="40662" s="42" customFormat="1" x14ac:dyDescent="0.25"/>
    <row r="40663" s="42" customFormat="1" x14ac:dyDescent="0.25"/>
    <row r="40664" s="42" customFormat="1" x14ac:dyDescent="0.25"/>
    <row r="40665" s="42" customFormat="1" x14ac:dyDescent="0.25"/>
    <row r="40666" s="42" customFormat="1" x14ac:dyDescent="0.25"/>
    <row r="40667" s="42" customFormat="1" x14ac:dyDescent="0.25"/>
    <row r="40668" s="42" customFormat="1" x14ac:dyDescent="0.25"/>
    <row r="40669" s="42" customFormat="1" x14ac:dyDescent="0.25"/>
    <row r="40670" s="42" customFormat="1" x14ac:dyDescent="0.25"/>
    <row r="40671" s="42" customFormat="1" x14ac:dyDescent="0.25"/>
    <row r="40672" s="42" customFormat="1" x14ac:dyDescent="0.25"/>
    <row r="40673" s="42" customFormat="1" x14ac:dyDescent="0.25"/>
    <row r="40674" s="42" customFormat="1" x14ac:dyDescent="0.25"/>
    <row r="40675" s="42" customFormat="1" x14ac:dyDescent="0.25"/>
    <row r="40676" s="42" customFormat="1" x14ac:dyDescent="0.25"/>
    <row r="40677" s="42" customFormat="1" x14ac:dyDescent="0.25"/>
    <row r="40678" s="42" customFormat="1" x14ac:dyDescent="0.25"/>
    <row r="40679" s="42" customFormat="1" x14ac:dyDescent="0.25"/>
    <row r="40680" s="42" customFormat="1" x14ac:dyDescent="0.25"/>
    <row r="40681" s="42" customFormat="1" x14ac:dyDescent="0.25"/>
    <row r="40682" s="42" customFormat="1" x14ac:dyDescent="0.25"/>
    <row r="40683" s="42" customFormat="1" x14ac:dyDescent="0.25"/>
    <row r="40684" s="42" customFormat="1" x14ac:dyDescent="0.25"/>
    <row r="40685" s="42" customFormat="1" x14ac:dyDescent="0.25"/>
    <row r="40686" s="42" customFormat="1" x14ac:dyDescent="0.25"/>
    <row r="40687" s="42" customFormat="1" x14ac:dyDescent="0.25"/>
    <row r="40688" s="42" customFormat="1" x14ac:dyDescent="0.25"/>
    <row r="40689" s="42" customFormat="1" x14ac:dyDescent="0.25"/>
    <row r="40690" s="42" customFormat="1" x14ac:dyDescent="0.25"/>
    <row r="40691" s="42" customFormat="1" x14ac:dyDescent="0.25"/>
    <row r="40692" s="42" customFormat="1" x14ac:dyDescent="0.25"/>
    <row r="40693" s="42" customFormat="1" x14ac:dyDescent="0.25"/>
    <row r="40694" s="42" customFormat="1" x14ac:dyDescent="0.25"/>
    <row r="40695" s="42" customFormat="1" x14ac:dyDescent="0.25"/>
    <row r="40696" s="42" customFormat="1" x14ac:dyDescent="0.25"/>
    <row r="40697" s="42" customFormat="1" x14ac:dyDescent="0.25"/>
    <row r="40698" s="42" customFormat="1" x14ac:dyDescent="0.25"/>
    <row r="40699" s="42" customFormat="1" x14ac:dyDescent="0.25"/>
    <row r="40700" s="42" customFormat="1" x14ac:dyDescent="0.25"/>
    <row r="40701" s="42" customFormat="1" x14ac:dyDescent="0.25"/>
    <row r="40702" s="42" customFormat="1" x14ac:dyDescent="0.25"/>
    <row r="40703" s="42" customFormat="1" x14ac:dyDescent="0.25"/>
    <row r="40704" s="42" customFormat="1" x14ac:dyDescent="0.25"/>
    <row r="40705" s="42" customFormat="1" x14ac:dyDescent="0.25"/>
    <row r="40706" s="42" customFormat="1" x14ac:dyDescent="0.25"/>
    <row r="40707" s="42" customFormat="1" x14ac:dyDescent="0.25"/>
    <row r="40708" s="42" customFormat="1" x14ac:dyDescent="0.25"/>
    <row r="40709" s="42" customFormat="1" x14ac:dyDescent="0.25"/>
    <row r="40710" s="42" customFormat="1" x14ac:dyDescent="0.25"/>
    <row r="40711" s="42" customFormat="1" x14ac:dyDescent="0.25"/>
    <row r="40712" s="42" customFormat="1" x14ac:dyDescent="0.25"/>
    <row r="40713" s="42" customFormat="1" x14ac:dyDescent="0.25"/>
    <row r="40714" s="42" customFormat="1" x14ac:dyDescent="0.25"/>
    <row r="40715" s="42" customFormat="1" x14ac:dyDescent="0.25"/>
    <row r="40716" s="42" customFormat="1" x14ac:dyDescent="0.25"/>
    <row r="40717" s="42" customFormat="1" x14ac:dyDescent="0.25"/>
    <row r="40718" s="42" customFormat="1" x14ac:dyDescent="0.25"/>
    <row r="40719" s="42" customFormat="1" x14ac:dyDescent="0.25"/>
    <row r="40720" s="42" customFormat="1" x14ac:dyDescent="0.25"/>
    <row r="40721" s="42" customFormat="1" x14ac:dyDescent="0.25"/>
    <row r="40722" s="42" customFormat="1" x14ac:dyDescent="0.25"/>
    <row r="40723" s="42" customFormat="1" x14ac:dyDescent="0.25"/>
    <row r="40724" s="42" customFormat="1" x14ac:dyDescent="0.25"/>
    <row r="40725" s="42" customFormat="1" x14ac:dyDescent="0.25"/>
    <row r="40726" s="42" customFormat="1" x14ac:dyDescent="0.25"/>
    <row r="40727" s="42" customFormat="1" x14ac:dyDescent="0.25"/>
    <row r="40728" s="42" customFormat="1" x14ac:dyDescent="0.25"/>
    <row r="40729" s="42" customFormat="1" x14ac:dyDescent="0.25"/>
    <row r="40730" s="42" customFormat="1" x14ac:dyDescent="0.25"/>
    <row r="40731" s="42" customFormat="1" x14ac:dyDescent="0.25"/>
    <row r="40732" s="42" customFormat="1" x14ac:dyDescent="0.25"/>
    <row r="40733" s="42" customFormat="1" x14ac:dyDescent="0.25"/>
    <row r="40734" s="42" customFormat="1" x14ac:dyDescent="0.25"/>
    <row r="40735" s="42" customFormat="1" x14ac:dyDescent="0.25"/>
    <row r="40736" s="42" customFormat="1" x14ac:dyDescent="0.25"/>
    <row r="40737" s="42" customFormat="1" x14ac:dyDescent="0.25"/>
    <row r="40738" s="42" customFormat="1" x14ac:dyDescent="0.25"/>
    <row r="40739" s="42" customFormat="1" x14ac:dyDescent="0.25"/>
    <row r="40740" s="42" customFormat="1" x14ac:dyDescent="0.25"/>
    <row r="40741" s="42" customFormat="1" x14ac:dyDescent="0.25"/>
    <row r="40742" s="42" customFormat="1" x14ac:dyDescent="0.25"/>
    <row r="40743" s="42" customFormat="1" x14ac:dyDescent="0.25"/>
    <row r="40744" s="42" customFormat="1" x14ac:dyDescent="0.25"/>
    <row r="40745" s="42" customFormat="1" x14ac:dyDescent="0.25"/>
    <row r="40746" s="42" customFormat="1" x14ac:dyDescent="0.25"/>
    <row r="40747" s="42" customFormat="1" x14ac:dyDescent="0.25"/>
    <row r="40748" s="42" customFormat="1" x14ac:dyDescent="0.25"/>
    <row r="40749" s="42" customFormat="1" x14ac:dyDescent="0.25"/>
    <row r="40750" s="42" customFormat="1" x14ac:dyDescent="0.25"/>
    <row r="40751" s="42" customFormat="1" x14ac:dyDescent="0.25"/>
    <row r="40752" s="42" customFormat="1" x14ac:dyDescent="0.25"/>
    <row r="40753" s="42" customFormat="1" x14ac:dyDescent="0.25"/>
    <row r="40754" s="42" customFormat="1" x14ac:dyDescent="0.25"/>
    <row r="40755" s="42" customFormat="1" x14ac:dyDescent="0.25"/>
    <row r="40756" s="42" customFormat="1" x14ac:dyDescent="0.25"/>
    <row r="40757" s="42" customFormat="1" x14ac:dyDescent="0.25"/>
    <row r="40758" s="42" customFormat="1" x14ac:dyDescent="0.25"/>
    <row r="40759" s="42" customFormat="1" x14ac:dyDescent="0.25"/>
    <row r="40760" s="42" customFormat="1" x14ac:dyDescent="0.25"/>
    <row r="40761" s="42" customFormat="1" x14ac:dyDescent="0.25"/>
    <row r="40762" s="42" customFormat="1" x14ac:dyDescent="0.25"/>
    <row r="40763" s="42" customFormat="1" x14ac:dyDescent="0.25"/>
    <row r="40764" s="42" customFormat="1" x14ac:dyDescent="0.25"/>
    <row r="40765" s="42" customFormat="1" x14ac:dyDescent="0.25"/>
    <row r="40766" s="42" customFormat="1" x14ac:dyDescent="0.25"/>
    <row r="40767" s="42" customFormat="1" x14ac:dyDescent="0.25"/>
    <row r="40768" s="42" customFormat="1" x14ac:dyDescent="0.25"/>
    <row r="40769" s="42" customFormat="1" x14ac:dyDescent="0.25"/>
    <row r="40770" s="42" customFormat="1" x14ac:dyDescent="0.25"/>
    <row r="40771" s="42" customFormat="1" x14ac:dyDescent="0.25"/>
    <row r="40772" s="42" customFormat="1" x14ac:dyDescent="0.25"/>
    <row r="40773" s="42" customFormat="1" x14ac:dyDescent="0.25"/>
    <row r="40774" s="42" customFormat="1" x14ac:dyDescent="0.25"/>
    <row r="40775" s="42" customFormat="1" x14ac:dyDescent="0.25"/>
    <row r="40776" s="42" customFormat="1" x14ac:dyDescent="0.25"/>
    <row r="40777" s="42" customFormat="1" x14ac:dyDescent="0.25"/>
    <row r="40778" s="42" customFormat="1" x14ac:dyDescent="0.25"/>
    <row r="40779" s="42" customFormat="1" x14ac:dyDescent="0.25"/>
    <row r="40780" s="42" customFormat="1" x14ac:dyDescent="0.25"/>
    <row r="40781" s="42" customFormat="1" x14ac:dyDescent="0.25"/>
    <row r="40782" s="42" customFormat="1" x14ac:dyDescent="0.25"/>
    <row r="40783" s="42" customFormat="1" x14ac:dyDescent="0.25"/>
    <row r="40784" s="42" customFormat="1" x14ac:dyDescent="0.25"/>
    <row r="40785" s="42" customFormat="1" x14ac:dyDescent="0.25"/>
    <row r="40786" s="42" customFormat="1" x14ac:dyDescent="0.25"/>
    <row r="40787" s="42" customFormat="1" x14ac:dyDescent="0.25"/>
    <row r="40788" s="42" customFormat="1" x14ac:dyDescent="0.25"/>
    <row r="40789" s="42" customFormat="1" x14ac:dyDescent="0.25"/>
    <row r="40790" s="42" customFormat="1" x14ac:dyDescent="0.25"/>
    <row r="40791" s="42" customFormat="1" x14ac:dyDescent="0.25"/>
    <row r="40792" s="42" customFormat="1" x14ac:dyDescent="0.25"/>
    <row r="40793" s="42" customFormat="1" x14ac:dyDescent="0.25"/>
    <row r="40794" s="42" customFormat="1" x14ac:dyDescent="0.25"/>
    <row r="40795" s="42" customFormat="1" x14ac:dyDescent="0.25"/>
    <row r="40796" s="42" customFormat="1" x14ac:dyDescent="0.25"/>
    <row r="40797" s="42" customFormat="1" x14ac:dyDescent="0.25"/>
    <row r="40798" s="42" customFormat="1" x14ac:dyDescent="0.25"/>
    <row r="40799" s="42" customFormat="1" x14ac:dyDescent="0.25"/>
    <row r="40800" s="42" customFormat="1" x14ac:dyDescent="0.25"/>
    <row r="40801" s="42" customFormat="1" x14ac:dyDescent="0.25"/>
    <row r="40802" s="42" customFormat="1" x14ac:dyDescent="0.25"/>
    <row r="40803" s="42" customFormat="1" x14ac:dyDescent="0.25"/>
    <row r="40804" s="42" customFormat="1" x14ac:dyDescent="0.25"/>
    <row r="40805" s="42" customFormat="1" x14ac:dyDescent="0.25"/>
    <row r="40806" s="42" customFormat="1" x14ac:dyDescent="0.25"/>
    <row r="40807" s="42" customFormat="1" x14ac:dyDescent="0.25"/>
    <row r="40808" s="42" customFormat="1" x14ac:dyDescent="0.25"/>
    <row r="40809" s="42" customFormat="1" x14ac:dyDescent="0.25"/>
    <row r="40810" s="42" customFormat="1" x14ac:dyDescent="0.25"/>
    <row r="40811" s="42" customFormat="1" x14ac:dyDescent="0.25"/>
    <row r="40812" s="42" customFormat="1" x14ac:dyDescent="0.25"/>
    <row r="40813" s="42" customFormat="1" x14ac:dyDescent="0.25"/>
    <row r="40814" s="42" customFormat="1" x14ac:dyDescent="0.25"/>
    <row r="40815" s="42" customFormat="1" x14ac:dyDescent="0.25"/>
    <row r="40816" s="42" customFormat="1" x14ac:dyDescent="0.25"/>
    <row r="40817" s="42" customFormat="1" x14ac:dyDescent="0.25"/>
    <row r="40818" s="42" customFormat="1" x14ac:dyDescent="0.25"/>
    <row r="40819" s="42" customFormat="1" x14ac:dyDescent="0.25"/>
    <row r="40820" s="42" customFormat="1" x14ac:dyDescent="0.25"/>
    <row r="40821" s="42" customFormat="1" x14ac:dyDescent="0.25"/>
    <row r="40822" s="42" customFormat="1" x14ac:dyDescent="0.25"/>
    <row r="40823" s="42" customFormat="1" x14ac:dyDescent="0.25"/>
    <row r="40824" s="42" customFormat="1" x14ac:dyDescent="0.25"/>
    <row r="40825" s="42" customFormat="1" x14ac:dyDescent="0.25"/>
    <row r="40826" s="42" customFormat="1" x14ac:dyDescent="0.25"/>
    <row r="40827" s="42" customFormat="1" x14ac:dyDescent="0.25"/>
    <row r="40828" s="42" customFormat="1" x14ac:dyDescent="0.25"/>
    <row r="40829" s="42" customFormat="1" x14ac:dyDescent="0.25"/>
    <row r="40830" s="42" customFormat="1" x14ac:dyDescent="0.25"/>
    <row r="40831" s="42" customFormat="1" x14ac:dyDescent="0.25"/>
    <row r="40832" s="42" customFormat="1" x14ac:dyDescent="0.25"/>
    <row r="40833" s="42" customFormat="1" x14ac:dyDescent="0.25"/>
    <row r="40834" s="42" customFormat="1" x14ac:dyDescent="0.25"/>
    <row r="40835" s="42" customFormat="1" x14ac:dyDescent="0.25"/>
    <row r="40836" s="42" customFormat="1" x14ac:dyDescent="0.25"/>
    <row r="40837" s="42" customFormat="1" x14ac:dyDescent="0.25"/>
    <row r="40838" s="42" customFormat="1" x14ac:dyDescent="0.25"/>
    <row r="40839" s="42" customFormat="1" x14ac:dyDescent="0.25"/>
    <row r="40840" s="42" customFormat="1" x14ac:dyDescent="0.25"/>
    <row r="40841" s="42" customFormat="1" x14ac:dyDescent="0.25"/>
    <row r="40842" s="42" customFormat="1" x14ac:dyDescent="0.25"/>
    <row r="40843" s="42" customFormat="1" x14ac:dyDescent="0.25"/>
    <row r="40844" s="42" customFormat="1" x14ac:dyDescent="0.25"/>
    <row r="40845" s="42" customFormat="1" x14ac:dyDescent="0.25"/>
    <row r="40846" s="42" customFormat="1" x14ac:dyDescent="0.25"/>
    <row r="40847" s="42" customFormat="1" x14ac:dyDescent="0.25"/>
    <row r="40848" s="42" customFormat="1" x14ac:dyDescent="0.25"/>
    <row r="40849" s="42" customFormat="1" x14ac:dyDescent="0.25"/>
    <row r="40850" s="42" customFormat="1" x14ac:dyDescent="0.25"/>
    <row r="40851" s="42" customFormat="1" x14ac:dyDescent="0.25"/>
    <row r="40852" s="42" customFormat="1" x14ac:dyDescent="0.25"/>
    <row r="40853" s="42" customFormat="1" x14ac:dyDescent="0.25"/>
    <row r="40854" s="42" customFormat="1" x14ac:dyDescent="0.25"/>
    <row r="40855" s="42" customFormat="1" x14ac:dyDescent="0.25"/>
    <row r="40856" s="42" customFormat="1" x14ac:dyDescent="0.25"/>
    <row r="40857" s="42" customFormat="1" x14ac:dyDescent="0.25"/>
    <row r="40858" s="42" customFormat="1" x14ac:dyDescent="0.25"/>
    <row r="40859" s="42" customFormat="1" x14ac:dyDescent="0.25"/>
    <row r="40860" s="42" customFormat="1" x14ac:dyDescent="0.25"/>
    <row r="40861" s="42" customFormat="1" x14ac:dyDescent="0.25"/>
    <row r="40862" s="42" customFormat="1" x14ac:dyDescent="0.25"/>
    <row r="40863" s="42" customFormat="1" x14ac:dyDescent="0.25"/>
    <row r="40864" s="42" customFormat="1" x14ac:dyDescent="0.25"/>
    <row r="40865" s="42" customFormat="1" x14ac:dyDescent="0.25"/>
    <row r="40866" s="42" customFormat="1" x14ac:dyDescent="0.25"/>
    <row r="40867" s="42" customFormat="1" x14ac:dyDescent="0.25"/>
    <row r="40868" s="42" customFormat="1" x14ac:dyDescent="0.25"/>
    <row r="40869" s="42" customFormat="1" x14ac:dyDescent="0.25"/>
    <row r="40870" s="42" customFormat="1" x14ac:dyDescent="0.25"/>
    <row r="40871" s="42" customFormat="1" x14ac:dyDescent="0.25"/>
    <row r="40872" s="42" customFormat="1" x14ac:dyDescent="0.25"/>
    <row r="40873" s="42" customFormat="1" x14ac:dyDescent="0.25"/>
    <row r="40874" s="42" customFormat="1" x14ac:dyDescent="0.25"/>
    <row r="40875" s="42" customFormat="1" x14ac:dyDescent="0.25"/>
    <row r="40876" s="42" customFormat="1" x14ac:dyDescent="0.25"/>
    <row r="40877" s="42" customFormat="1" x14ac:dyDescent="0.25"/>
    <row r="40878" s="42" customFormat="1" x14ac:dyDescent="0.25"/>
    <row r="40879" s="42" customFormat="1" x14ac:dyDescent="0.25"/>
    <row r="40880" s="42" customFormat="1" x14ac:dyDescent="0.25"/>
    <row r="40881" s="42" customFormat="1" x14ac:dyDescent="0.25"/>
    <row r="40882" s="42" customFormat="1" x14ac:dyDescent="0.25"/>
    <row r="40883" s="42" customFormat="1" x14ac:dyDescent="0.25"/>
    <row r="40884" s="42" customFormat="1" x14ac:dyDescent="0.25"/>
    <row r="40885" s="42" customFormat="1" x14ac:dyDescent="0.25"/>
    <row r="40886" s="42" customFormat="1" x14ac:dyDescent="0.25"/>
    <row r="40887" s="42" customFormat="1" x14ac:dyDescent="0.25"/>
    <row r="40888" s="42" customFormat="1" x14ac:dyDescent="0.25"/>
    <row r="40889" s="42" customFormat="1" x14ac:dyDescent="0.25"/>
    <row r="40890" s="42" customFormat="1" x14ac:dyDescent="0.25"/>
    <row r="40891" s="42" customFormat="1" x14ac:dyDescent="0.25"/>
    <row r="40892" s="42" customFormat="1" x14ac:dyDescent="0.25"/>
    <row r="40893" s="42" customFormat="1" x14ac:dyDescent="0.25"/>
    <row r="40894" s="42" customFormat="1" x14ac:dyDescent="0.25"/>
    <row r="40895" s="42" customFormat="1" x14ac:dyDescent="0.25"/>
    <row r="40896" s="42" customFormat="1" x14ac:dyDescent="0.25"/>
    <row r="40897" s="42" customFormat="1" x14ac:dyDescent="0.25"/>
    <row r="40898" s="42" customFormat="1" x14ac:dyDescent="0.25"/>
    <row r="40899" s="42" customFormat="1" x14ac:dyDescent="0.25"/>
    <row r="40900" s="42" customFormat="1" x14ac:dyDescent="0.25"/>
    <row r="40901" s="42" customFormat="1" x14ac:dyDescent="0.25"/>
    <row r="40902" s="42" customFormat="1" x14ac:dyDescent="0.25"/>
    <row r="40903" s="42" customFormat="1" x14ac:dyDescent="0.25"/>
    <row r="40904" s="42" customFormat="1" x14ac:dyDescent="0.25"/>
    <row r="40905" s="42" customFormat="1" x14ac:dyDescent="0.25"/>
    <row r="40906" s="42" customFormat="1" x14ac:dyDescent="0.25"/>
    <row r="40907" s="42" customFormat="1" x14ac:dyDescent="0.25"/>
    <row r="40908" s="42" customFormat="1" x14ac:dyDescent="0.25"/>
    <row r="40909" s="42" customFormat="1" x14ac:dyDescent="0.25"/>
    <row r="40910" s="42" customFormat="1" x14ac:dyDescent="0.25"/>
    <row r="40911" s="42" customFormat="1" x14ac:dyDescent="0.25"/>
    <row r="40912" s="42" customFormat="1" x14ac:dyDescent="0.25"/>
    <row r="40913" s="42" customFormat="1" x14ac:dyDescent="0.25"/>
    <row r="40914" s="42" customFormat="1" x14ac:dyDescent="0.25"/>
    <row r="40915" s="42" customFormat="1" x14ac:dyDescent="0.25"/>
    <row r="40916" s="42" customFormat="1" x14ac:dyDescent="0.25"/>
    <row r="40917" s="42" customFormat="1" x14ac:dyDescent="0.25"/>
    <row r="40918" s="42" customFormat="1" x14ac:dyDescent="0.25"/>
    <row r="40919" s="42" customFormat="1" x14ac:dyDescent="0.25"/>
    <row r="40920" s="42" customFormat="1" x14ac:dyDescent="0.25"/>
    <row r="40921" s="42" customFormat="1" x14ac:dyDescent="0.25"/>
    <row r="40922" s="42" customFormat="1" x14ac:dyDescent="0.25"/>
    <row r="40923" s="42" customFormat="1" x14ac:dyDescent="0.25"/>
    <row r="40924" s="42" customFormat="1" x14ac:dyDescent="0.25"/>
    <row r="40925" s="42" customFormat="1" x14ac:dyDescent="0.25"/>
    <row r="40926" s="42" customFormat="1" x14ac:dyDescent="0.25"/>
    <row r="40927" s="42" customFormat="1" x14ac:dyDescent="0.25"/>
    <row r="40928" s="42" customFormat="1" x14ac:dyDescent="0.25"/>
    <row r="40929" s="42" customFormat="1" x14ac:dyDescent="0.25"/>
    <row r="40930" s="42" customFormat="1" x14ac:dyDescent="0.25"/>
    <row r="40931" s="42" customFormat="1" x14ac:dyDescent="0.25"/>
    <row r="40932" s="42" customFormat="1" x14ac:dyDescent="0.25"/>
    <row r="40933" s="42" customFormat="1" x14ac:dyDescent="0.25"/>
    <row r="40934" s="42" customFormat="1" x14ac:dyDescent="0.25"/>
    <row r="40935" s="42" customFormat="1" x14ac:dyDescent="0.25"/>
    <row r="40936" s="42" customFormat="1" x14ac:dyDescent="0.25"/>
    <row r="40937" s="42" customFormat="1" x14ac:dyDescent="0.25"/>
    <row r="40938" s="42" customFormat="1" x14ac:dyDescent="0.25"/>
    <row r="40939" s="42" customFormat="1" x14ac:dyDescent="0.25"/>
    <row r="40940" s="42" customFormat="1" x14ac:dyDescent="0.25"/>
    <row r="40941" s="42" customFormat="1" x14ac:dyDescent="0.25"/>
    <row r="40942" s="42" customFormat="1" x14ac:dyDescent="0.25"/>
    <row r="40943" s="42" customFormat="1" x14ac:dyDescent="0.25"/>
    <row r="40944" s="42" customFormat="1" x14ac:dyDescent="0.25"/>
    <row r="40945" s="42" customFormat="1" x14ac:dyDescent="0.25"/>
    <row r="40946" s="42" customFormat="1" x14ac:dyDescent="0.25"/>
    <row r="40947" s="42" customFormat="1" x14ac:dyDescent="0.25"/>
    <row r="40948" s="42" customFormat="1" x14ac:dyDescent="0.25"/>
    <row r="40949" s="42" customFormat="1" x14ac:dyDescent="0.25"/>
    <row r="40950" s="42" customFormat="1" x14ac:dyDescent="0.25"/>
    <row r="40951" s="42" customFormat="1" x14ac:dyDescent="0.25"/>
    <row r="40952" s="42" customFormat="1" x14ac:dyDescent="0.25"/>
    <row r="40953" s="42" customFormat="1" x14ac:dyDescent="0.25"/>
    <row r="40954" s="42" customFormat="1" x14ac:dyDescent="0.25"/>
    <row r="40955" s="42" customFormat="1" x14ac:dyDescent="0.25"/>
    <row r="40956" s="42" customFormat="1" x14ac:dyDescent="0.25"/>
    <row r="40957" s="42" customFormat="1" x14ac:dyDescent="0.25"/>
    <row r="40958" s="42" customFormat="1" x14ac:dyDescent="0.25"/>
    <row r="40959" s="42" customFormat="1" x14ac:dyDescent="0.25"/>
    <row r="40960" s="42" customFormat="1" x14ac:dyDescent="0.25"/>
    <row r="40961" s="42" customFormat="1" x14ac:dyDescent="0.25"/>
    <row r="40962" s="42" customFormat="1" x14ac:dyDescent="0.25"/>
    <row r="40963" s="42" customFormat="1" x14ac:dyDescent="0.25"/>
    <row r="40964" s="42" customFormat="1" x14ac:dyDescent="0.25"/>
    <row r="40965" s="42" customFormat="1" x14ac:dyDescent="0.25"/>
    <row r="40966" s="42" customFormat="1" x14ac:dyDescent="0.25"/>
    <row r="40967" s="42" customFormat="1" x14ac:dyDescent="0.25"/>
    <row r="40968" s="42" customFormat="1" x14ac:dyDescent="0.25"/>
    <row r="40969" s="42" customFormat="1" x14ac:dyDescent="0.25"/>
    <row r="40970" s="42" customFormat="1" x14ac:dyDescent="0.25"/>
    <row r="40971" s="42" customFormat="1" x14ac:dyDescent="0.25"/>
    <row r="40972" s="42" customFormat="1" x14ac:dyDescent="0.25"/>
    <row r="40973" s="42" customFormat="1" x14ac:dyDescent="0.25"/>
    <row r="40974" s="42" customFormat="1" x14ac:dyDescent="0.25"/>
    <row r="40975" s="42" customFormat="1" x14ac:dyDescent="0.25"/>
    <row r="40976" s="42" customFormat="1" x14ac:dyDescent="0.25"/>
    <row r="40977" s="42" customFormat="1" x14ac:dyDescent="0.25"/>
    <row r="40978" s="42" customFormat="1" x14ac:dyDescent="0.25"/>
    <row r="40979" s="42" customFormat="1" x14ac:dyDescent="0.25"/>
    <row r="40980" s="42" customFormat="1" x14ac:dyDescent="0.25"/>
    <row r="40981" s="42" customFormat="1" x14ac:dyDescent="0.25"/>
    <row r="40982" s="42" customFormat="1" x14ac:dyDescent="0.25"/>
    <row r="40983" s="42" customFormat="1" x14ac:dyDescent="0.25"/>
    <row r="40984" s="42" customFormat="1" x14ac:dyDescent="0.25"/>
    <row r="40985" s="42" customFormat="1" x14ac:dyDescent="0.25"/>
    <row r="40986" s="42" customFormat="1" x14ac:dyDescent="0.25"/>
    <row r="40987" s="42" customFormat="1" x14ac:dyDescent="0.25"/>
    <row r="40988" s="42" customFormat="1" x14ac:dyDescent="0.25"/>
    <row r="40989" s="42" customFormat="1" x14ac:dyDescent="0.25"/>
    <row r="40990" s="42" customFormat="1" x14ac:dyDescent="0.25"/>
    <row r="40991" s="42" customFormat="1" x14ac:dyDescent="0.25"/>
    <row r="40992" s="42" customFormat="1" x14ac:dyDescent="0.25"/>
    <row r="40993" s="42" customFormat="1" x14ac:dyDescent="0.25"/>
    <row r="40994" s="42" customFormat="1" x14ac:dyDescent="0.25"/>
    <row r="40995" s="42" customFormat="1" x14ac:dyDescent="0.25"/>
    <row r="40996" s="42" customFormat="1" x14ac:dyDescent="0.25"/>
    <row r="40997" s="42" customFormat="1" x14ac:dyDescent="0.25"/>
    <row r="40998" s="42" customFormat="1" x14ac:dyDescent="0.25"/>
    <row r="40999" s="42" customFormat="1" x14ac:dyDescent="0.25"/>
    <row r="41000" s="42" customFormat="1" x14ac:dyDescent="0.25"/>
    <row r="41001" s="42" customFormat="1" x14ac:dyDescent="0.25"/>
    <row r="41002" s="42" customFormat="1" x14ac:dyDescent="0.25"/>
    <row r="41003" s="42" customFormat="1" x14ac:dyDescent="0.25"/>
    <row r="41004" s="42" customFormat="1" x14ac:dyDescent="0.25"/>
    <row r="41005" s="42" customFormat="1" x14ac:dyDescent="0.25"/>
    <row r="41006" s="42" customFormat="1" x14ac:dyDescent="0.25"/>
    <row r="41007" s="42" customFormat="1" x14ac:dyDescent="0.25"/>
    <row r="41008" s="42" customFormat="1" x14ac:dyDescent="0.25"/>
    <row r="41009" s="42" customFormat="1" x14ac:dyDescent="0.25"/>
    <row r="41010" s="42" customFormat="1" x14ac:dyDescent="0.25"/>
    <row r="41011" s="42" customFormat="1" x14ac:dyDescent="0.25"/>
    <row r="41012" s="42" customFormat="1" x14ac:dyDescent="0.25"/>
    <row r="41013" s="42" customFormat="1" x14ac:dyDescent="0.25"/>
    <row r="41014" s="42" customFormat="1" x14ac:dyDescent="0.25"/>
    <row r="41015" s="42" customFormat="1" x14ac:dyDescent="0.25"/>
    <row r="41016" s="42" customFormat="1" x14ac:dyDescent="0.25"/>
    <row r="41017" s="42" customFormat="1" x14ac:dyDescent="0.25"/>
    <row r="41018" s="42" customFormat="1" x14ac:dyDescent="0.25"/>
    <row r="41019" s="42" customFormat="1" x14ac:dyDescent="0.25"/>
    <row r="41020" s="42" customFormat="1" x14ac:dyDescent="0.25"/>
    <row r="41021" s="42" customFormat="1" x14ac:dyDescent="0.25"/>
    <row r="41022" s="42" customFormat="1" x14ac:dyDescent="0.25"/>
    <row r="41023" s="42" customFormat="1" x14ac:dyDescent="0.25"/>
    <row r="41024" s="42" customFormat="1" x14ac:dyDescent="0.25"/>
    <row r="41025" s="42" customFormat="1" x14ac:dyDescent="0.25"/>
    <row r="41026" s="42" customFormat="1" x14ac:dyDescent="0.25"/>
    <row r="41027" s="42" customFormat="1" x14ac:dyDescent="0.25"/>
    <row r="41028" s="42" customFormat="1" x14ac:dyDescent="0.25"/>
    <row r="41029" s="42" customFormat="1" x14ac:dyDescent="0.25"/>
    <row r="41030" s="42" customFormat="1" x14ac:dyDescent="0.25"/>
    <row r="41031" s="42" customFormat="1" x14ac:dyDescent="0.25"/>
    <row r="41032" s="42" customFormat="1" x14ac:dyDescent="0.25"/>
    <row r="41033" s="42" customFormat="1" x14ac:dyDescent="0.25"/>
    <row r="41034" s="42" customFormat="1" x14ac:dyDescent="0.25"/>
    <row r="41035" s="42" customFormat="1" x14ac:dyDescent="0.25"/>
    <row r="41036" s="42" customFormat="1" x14ac:dyDescent="0.25"/>
    <row r="41037" s="42" customFormat="1" x14ac:dyDescent="0.25"/>
    <row r="41038" s="42" customFormat="1" x14ac:dyDescent="0.25"/>
    <row r="41039" s="42" customFormat="1" x14ac:dyDescent="0.25"/>
    <row r="41040" s="42" customFormat="1" x14ac:dyDescent="0.25"/>
    <row r="41041" s="42" customFormat="1" x14ac:dyDescent="0.25"/>
    <row r="41042" s="42" customFormat="1" x14ac:dyDescent="0.25"/>
    <row r="41043" s="42" customFormat="1" x14ac:dyDescent="0.25"/>
    <row r="41044" s="42" customFormat="1" x14ac:dyDescent="0.25"/>
    <row r="41045" s="42" customFormat="1" x14ac:dyDescent="0.25"/>
    <row r="41046" s="42" customFormat="1" x14ac:dyDescent="0.25"/>
    <row r="41047" s="42" customFormat="1" x14ac:dyDescent="0.25"/>
    <row r="41048" s="42" customFormat="1" x14ac:dyDescent="0.25"/>
    <row r="41049" s="42" customFormat="1" x14ac:dyDescent="0.25"/>
    <row r="41050" s="42" customFormat="1" x14ac:dyDescent="0.25"/>
    <row r="41051" s="42" customFormat="1" x14ac:dyDescent="0.25"/>
    <row r="41052" s="42" customFormat="1" x14ac:dyDescent="0.25"/>
    <row r="41053" s="42" customFormat="1" x14ac:dyDescent="0.25"/>
    <row r="41054" s="42" customFormat="1" x14ac:dyDescent="0.25"/>
    <row r="41055" s="42" customFormat="1" x14ac:dyDescent="0.25"/>
    <row r="41056" s="42" customFormat="1" x14ac:dyDescent="0.25"/>
    <row r="41057" s="42" customFormat="1" x14ac:dyDescent="0.25"/>
    <row r="41058" s="42" customFormat="1" x14ac:dyDescent="0.25"/>
    <row r="41059" s="42" customFormat="1" x14ac:dyDescent="0.25"/>
    <row r="41060" s="42" customFormat="1" x14ac:dyDescent="0.25"/>
    <row r="41061" s="42" customFormat="1" x14ac:dyDescent="0.25"/>
    <row r="41062" s="42" customFormat="1" x14ac:dyDescent="0.25"/>
    <row r="41063" s="42" customFormat="1" x14ac:dyDescent="0.25"/>
    <row r="41064" s="42" customFormat="1" x14ac:dyDescent="0.25"/>
    <row r="41065" s="42" customFormat="1" x14ac:dyDescent="0.25"/>
    <row r="41066" s="42" customFormat="1" x14ac:dyDescent="0.25"/>
    <row r="41067" s="42" customFormat="1" x14ac:dyDescent="0.25"/>
    <row r="41068" s="42" customFormat="1" x14ac:dyDescent="0.25"/>
    <row r="41069" s="42" customFormat="1" x14ac:dyDescent="0.25"/>
    <row r="41070" s="42" customFormat="1" x14ac:dyDescent="0.25"/>
    <row r="41071" s="42" customFormat="1" x14ac:dyDescent="0.25"/>
    <row r="41072" s="42" customFormat="1" x14ac:dyDescent="0.25"/>
    <row r="41073" s="42" customFormat="1" x14ac:dyDescent="0.25"/>
    <row r="41074" s="42" customFormat="1" x14ac:dyDescent="0.25"/>
    <row r="41075" s="42" customFormat="1" x14ac:dyDescent="0.25"/>
    <row r="41076" s="42" customFormat="1" x14ac:dyDescent="0.25"/>
    <row r="41077" s="42" customFormat="1" x14ac:dyDescent="0.25"/>
    <row r="41078" s="42" customFormat="1" x14ac:dyDescent="0.25"/>
    <row r="41079" s="42" customFormat="1" x14ac:dyDescent="0.25"/>
    <row r="41080" s="42" customFormat="1" x14ac:dyDescent="0.25"/>
    <row r="41081" s="42" customFormat="1" x14ac:dyDescent="0.25"/>
    <row r="41082" s="42" customFormat="1" x14ac:dyDescent="0.25"/>
    <row r="41083" s="42" customFormat="1" x14ac:dyDescent="0.25"/>
    <row r="41084" s="42" customFormat="1" x14ac:dyDescent="0.25"/>
    <row r="41085" s="42" customFormat="1" x14ac:dyDescent="0.25"/>
    <row r="41086" s="42" customFormat="1" x14ac:dyDescent="0.25"/>
    <row r="41087" s="42" customFormat="1" x14ac:dyDescent="0.25"/>
    <row r="41088" s="42" customFormat="1" x14ac:dyDescent="0.25"/>
    <row r="41089" s="42" customFormat="1" x14ac:dyDescent="0.25"/>
    <row r="41090" s="42" customFormat="1" x14ac:dyDescent="0.25"/>
    <row r="41091" s="42" customFormat="1" x14ac:dyDescent="0.25"/>
    <row r="41092" s="42" customFormat="1" x14ac:dyDescent="0.25"/>
    <row r="41093" s="42" customFormat="1" x14ac:dyDescent="0.25"/>
    <row r="41094" s="42" customFormat="1" x14ac:dyDescent="0.25"/>
    <row r="41095" s="42" customFormat="1" x14ac:dyDescent="0.25"/>
    <row r="41096" s="42" customFormat="1" x14ac:dyDescent="0.25"/>
    <row r="41097" s="42" customFormat="1" x14ac:dyDescent="0.25"/>
    <row r="41098" s="42" customFormat="1" x14ac:dyDescent="0.25"/>
    <row r="41099" s="42" customFormat="1" x14ac:dyDescent="0.25"/>
    <row r="41100" s="42" customFormat="1" x14ac:dyDescent="0.25"/>
    <row r="41101" s="42" customFormat="1" x14ac:dyDescent="0.25"/>
    <row r="41102" s="42" customFormat="1" x14ac:dyDescent="0.25"/>
    <row r="41103" s="42" customFormat="1" x14ac:dyDescent="0.25"/>
    <row r="41104" s="42" customFormat="1" x14ac:dyDescent="0.25"/>
    <row r="41105" s="42" customFormat="1" x14ac:dyDescent="0.25"/>
    <row r="41106" s="42" customFormat="1" x14ac:dyDescent="0.25"/>
    <row r="41107" s="42" customFormat="1" x14ac:dyDescent="0.25"/>
    <row r="41108" s="42" customFormat="1" x14ac:dyDescent="0.25"/>
    <row r="41109" s="42" customFormat="1" x14ac:dyDescent="0.25"/>
    <row r="41110" s="42" customFormat="1" x14ac:dyDescent="0.25"/>
    <row r="41111" s="42" customFormat="1" x14ac:dyDescent="0.25"/>
    <row r="41112" s="42" customFormat="1" x14ac:dyDescent="0.25"/>
    <row r="41113" s="42" customFormat="1" x14ac:dyDescent="0.25"/>
    <row r="41114" s="42" customFormat="1" x14ac:dyDescent="0.25"/>
    <row r="41115" s="42" customFormat="1" x14ac:dyDescent="0.25"/>
    <row r="41116" s="42" customFormat="1" x14ac:dyDescent="0.25"/>
    <row r="41117" s="42" customFormat="1" x14ac:dyDescent="0.25"/>
    <row r="41118" s="42" customFormat="1" x14ac:dyDescent="0.25"/>
    <row r="41119" s="42" customFormat="1" x14ac:dyDescent="0.25"/>
    <row r="41120" s="42" customFormat="1" x14ac:dyDescent="0.25"/>
    <row r="41121" s="42" customFormat="1" x14ac:dyDescent="0.25"/>
    <row r="41122" s="42" customFormat="1" x14ac:dyDescent="0.25"/>
    <row r="41123" s="42" customFormat="1" x14ac:dyDescent="0.25"/>
    <row r="41124" s="42" customFormat="1" x14ac:dyDescent="0.25"/>
    <row r="41125" s="42" customFormat="1" x14ac:dyDescent="0.25"/>
    <row r="41126" s="42" customFormat="1" x14ac:dyDescent="0.25"/>
    <row r="41127" s="42" customFormat="1" x14ac:dyDescent="0.25"/>
    <row r="41128" s="42" customFormat="1" x14ac:dyDescent="0.25"/>
    <row r="41129" s="42" customFormat="1" x14ac:dyDescent="0.25"/>
    <row r="41130" s="42" customFormat="1" x14ac:dyDescent="0.25"/>
    <row r="41131" s="42" customFormat="1" x14ac:dyDescent="0.25"/>
    <row r="41132" s="42" customFormat="1" x14ac:dyDescent="0.25"/>
    <row r="41133" s="42" customFormat="1" x14ac:dyDescent="0.25"/>
    <row r="41134" s="42" customFormat="1" x14ac:dyDescent="0.25"/>
    <row r="41135" s="42" customFormat="1" x14ac:dyDescent="0.25"/>
    <row r="41136" s="42" customFormat="1" x14ac:dyDescent="0.25"/>
    <row r="41137" s="42" customFormat="1" x14ac:dyDescent="0.25"/>
    <row r="41138" s="42" customFormat="1" x14ac:dyDescent="0.25"/>
    <row r="41139" s="42" customFormat="1" x14ac:dyDescent="0.25"/>
    <row r="41140" s="42" customFormat="1" x14ac:dyDescent="0.25"/>
    <row r="41141" s="42" customFormat="1" x14ac:dyDescent="0.25"/>
    <row r="41142" s="42" customFormat="1" x14ac:dyDescent="0.25"/>
    <row r="41143" s="42" customFormat="1" x14ac:dyDescent="0.25"/>
    <row r="41144" s="42" customFormat="1" x14ac:dyDescent="0.25"/>
    <row r="41145" s="42" customFormat="1" x14ac:dyDescent="0.25"/>
    <row r="41146" s="42" customFormat="1" x14ac:dyDescent="0.25"/>
    <row r="41147" s="42" customFormat="1" x14ac:dyDescent="0.25"/>
    <row r="41148" s="42" customFormat="1" x14ac:dyDescent="0.25"/>
    <row r="41149" s="42" customFormat="1" x14ac:dyDescent="0.25"/>
    <row r="41150" s="42" customFormat="1" x14ac:dyDescent="0.25"/>
    <row r="41151" s="42" customFormat="1" x14ac:dyDescent="0.25"/>
    <row r="41152" s="42" customFormat="1" x14ac:dyDescent="0.25"/>
    <row r="41153" s="42" customFormat="1" x14ac:dyDescent="0.25"/>
    <row r="41154" s="42" customFormat="1" x14ac:dyDescent="0.25"/>
    <row r="41155" s="42" customFormat="1" x14ac:dyDescent="0.25"/>
    <row r="41156" s="42" customFormat="1" x14ac:dyDescent="0.25"/>
    <row r="41157" s="42" customFormat="1" x14ac:dyDescent="0.25"/>
    <row r="41158" s="42" customFormat="1" x14ac:dyDescent="0.25"/>
    <row r="41159" s="42" customFormat="1" x14ac:dyDescent="0.25"/>
    <row r="41160" s="42" customFormat="1" x14ac:dyDescent="0.25"/>
    <row r="41161" s="42" customFormat="1" x14ac:dyDescent="0.25"/>
    <row r="41162" s="42" customFormat="1" x14ac:dyDescent="0.25"/>
    <row r="41163" s="42" customFormat="1" x14ac:dyDescent="0.25"/>
    <row r="41164" s="42" customFormat="1" x14ac:dyDescent="0.25"/>
    <row r="41165" s="42" customFormat="1" x14ac:dyDescent="0.25"/>
    <row r="41166" s="42" customFormat="1" x14ac:dyDescent="0.25"/>
    <row r="41167" s="42" customFormat="1" x14ac:dyDescent="0.25"/>
    <row r="41168" s="42" customFormat="1" x14ac:dyDescent="0.25"/>
    <row r="41169" s="42" customFormat="1" x14ac:dyDescent="0.25"/>
    <row r="41170" s="42" customFormat="1" x14ac:dyDescent="0.25"/>
    <row r="41171" s="42" customFormat="1" x14ac:dyDescent="0.25"/>
    <row r="41172" s="42" customFormat="1" x14ac:dyDescent="0.25"/>
    <row r="41173" s="42" customFormat="1" x14ac:dyDescent="0.25"/>
    <row r="41174" s="42" customFormat="1" x14ac:dyDescent="0.25"/>
    <row r="41175" s="42" customFormat="1" x14ac:dyDescent="0.25"/>
    <row r="41176" s="42" customFormat="1" x14ac:dyDescent="0.25"/>
    <row r="41177" s="42" customFormat="1" x14ac:dyDescent="0.25"/>
    <row r="41178" s="42" customFormat="1" x14ac:dyDescent="0.25"/>
    <row r="41179" s="42" customFormat="1" x14ac:dyDescent="0.25"/>
    <row r="41180" s="42" customFormat="1" x14ac:dyDescent="0.25"/>
    <row r="41181" s="42" customFormat="1" x14ac:dyDescent="0.25"/>
    <row r="41182" s="42" customFormat="1" x14ac:dyDescent="0.25"/>
    <row r="41183" s="42" customFormat="1" x14ac:dyDescent="0.25"/>
    <row r="41184" s="42" customFormat="1" x14ac:dyDescent="0.25"/>
    <row r="41185" s="42" customFormat="1" x14ac:dyDescent="0.25"/>
    <row r="41186" s="42" customFormat="1" x14ac:dyDescent="0.25"/>
    <row r="41187" s="42" customFormat="1" x14ac:dyDescent="0.25"/>
    <row r="41188" s="42" customFormat="1" x14ac:dyDescent="0.25"/>
    <row r="41189" s="42" customFormat="1" x14ac:dyDescent="0.25"/>
    <row r="41190" s="42" customFormat="1" x14ac:dyDescent="0.25"/>
    <row r="41191" s="42" customFormat="1" x14ac:dyDescent="0.25"/>
    <row r="41192" s="42" customFormat="1" x14ac:dyDescent="0.25"/>
    <row r="41193" s="42" customFormat="1" x14ac:dyDescent="0.25"/>
    <row r="41194" s="42" customFormat="1" x14ac:dyDescent="0.25"/>
    <row r="41195" s="42" customFormat="1" x14ac:dyDescent="0.25"/>
    <row r="41196" s="42" customFormat="1" x14ac:dyDescent="0.25"/>
    <row r="41197" s="42" customFormat="1" x14ac:dyDescent="0.25"/>
    <row r="41198" s="42" customFormat="1" x14ac:dyDescent="0.25"/>
    <row r="41199" s="42" customFormat="1" x14ac:dyDescent="0.25"/>
    <row r="41200" s="42" customFormat="1" x14ac:dyDescent="0.25"/>
    <row r="41201" s="42" customFormat="1" x14ac:dyDescent="0.25"/>
    <row r="41202" s="42" customFormat="1" x14ac:dyDescent="0.25"/>
    <row r="41203" s="42" customFormat="1" x14ac:dyDescent="0.25"/>
    <row r="41204" s="42" customFormat="1" x14ac:dyDescent="0.25"/>
    <row r="41205" s="42" customFormat="1" x14ac:dyDescent="0.25"/>
    <row r="41206" s="42" customFormat="1" x14ac:dyDescent="0.25"/>
    <row r="41207" s="42" customFormat="1" x14ac:dyDescent="0.25"/>
    <row r="41208" s="42" customFormat="1" x14ac:dyDescent="0.25"/>
    <row r="41209" s="42" customFormat="1" x14ac:dyDescent="0.25"/>
    <row r="41210" s="42" customFormat="1" x14ac:dyDescent="0.25"/>
    <row r="41211" s="42" customFormat="1" x14ac:dyDescent="0.25"/>
    <row r="41212" s="42" customFormat="1" x14ac:dyDescent="0.25"/>
    <row r="41213" s="42" customFormat="1" x14ac:dyDescent="0.25"/>
    <row r="41214" s="42" customFormat="1" x14ac:dyDescent="0.25"/>
    <row r="41215" s="42" customFormat="1" x14ac:dyDescent="0.25"/>
    <row r="41216" s="42" customFormat="1" x14ac:dyDescent="0.25"/>
    <row r="41217" s="42" customFormat="1" x14ac:dyDescent="0.25"/>
    <row r="41218" s="42" customFormat="1" x14ac:dyDescent="0.25"/>
    <row r="41219" s="42" customFormat="1" x14ac:dyDescent="0.25"/>
    <row r="41220" s="42" customFormat="1" x14ac:dyDescent="0.25"/>
    <row r="41221" s="42" customFormat="1" x14ac:dyDescent="0.25"/>
    <row r="41222" s="42" customFormat="1" x14ac:dyDescent="0.25"/>
    <row r="41223" s="42" customFormat="1" x14ac:dyDescent="0.25"/>
    <row r="41224" s="42" customFormat="1" x14ac:dyDescent="0.25"/>
    <row r="41225" s="42" customFormat="1" x14ac:dyDescent="0.25"/>
    <row r="41226" s="42" customFormat="1" x14ac:dyDescent="0.25"/>
    <row r="41227" s="42" customFormat="1" x14ac:dyDescent="0.25"/>
    <row r="41228" s="42" customFormat="1" x14ac:dyDescent="0.25"/>
    <row r="41229" s="42" customFormat="1" x14ac:dyDescent="0.25"/>
    <row r="41230" s="42" customFormat="1" x14ac:dyDescent="0.25"/>
    <row r="41231" s="42" customFormat="1" x14ac:dyDescent="0.25"/>
    <row r="41232" s="42" customFormat="1" x14ac:dyDescent="0.25"/>
    <row r="41233" s="42" customFormat="1" x14ac:dyDescent="0.25"/>
    <row r="41234" s="42" customFormat="1" x14ac:dyDescent="0.25"/>
    <row r="41235" s="42" customFormat="1" x14ac:dyDescent="0.25"/>
    <row r="41236" s="42" customFormat="1" x14ac:dyDescent="0.25"/>
    <row r="41237" s="42" customFormat="1" x14ac:dyDescent="0.25"/>
    <row r="41238" s="42" customFormat="1" x14ac:dyDescent="0.25"/>
    <row r="41239" s="42" customFormat="1" x14ac:dyDescent="0.25"/>
    <row r="41240" s="42" customFormat="1" x14ac:dyDescent="0.25"/>
    <row r="41241" s="42" customFormat="1" x14ac:dyDescent="0.25"/>
    <row r="41242" s="42" customFormat="1" x14ac:dyDescent="0.25"/>
    <row r="41243" s="42" customFormat="1" x14ac:dyDescent="0.25"/>
    <row r="41244" s="42" customFormat="1" x14ac:dyDescent="0.25"/>
    <row r="41245" s="42" customFormat="1" x14ac:dyDescent="0.25"/>
    <row r="41246" s="42" customFormat="1" x14ac:dyDescent="0.25"/>
    <row r="41247" s="42" customFormat="1" x14ac:dyDescent="0.25"/>
    <row r="41248" s="42" customFormat="1" x14ac:dyDescent="0.25"/>
    <row r="41249" s="42" customFormat="1" x14ac:dyDescent="0.25"/>
    <row r="41250" s="42" customFormat="1" x14ac:dyDescent="0.25"/>
    <row r="41251" s="42" customFormat="1" x14ac:dyDescent="0.25"/>
    <row r="41252" s="42" customFormat="1" x14ac:dyDescent="0.25"/>
    <row r="41253" s="42" customFormat="1" x14ac:dyDescent="0.25"/>
    <row r="41254" s="42" customFormat="1" x14ac:dyDescent="0.25"/>
    <row r="41255" s="42" customFormat="1" x14ac:dyDescent="0.25"/>
    <row r="41256" s="42" customFormat="1" x14ac:dyDescent="0.25"/>
    <row r="41257" s="42" customFormat="1" x14ac:dyDescent="0.25"/>
    <row r="41258" s="42" customFormat="1" x14ac:dyDescent="0.25"/>
    <row r="41259" s="42" customFormat="1" x14ac:dyDescent="0.25"/>
    <row r="41260" s="42" customFormat="1" x14ac:dyDescent="0.25"/>
    <row r="41261" s="42" customFormat="1" x14ac:dyDescent="0.25"/>
    <row r="41262" s="42" customFormat="1" x14ac:dyDescent="0.25"/>
    <row r="41263" s="42" customFormat="1" x14ac:dyDescent="0.25"/>
    <row r="41264" s="42" customFormat="1" x14ac:dyDescent="0.25"/>
    <row r="41265" s="42" customFormat="1" x14ac:dyDescent="0.25"/>
    <row r="41266" s="42" customFormat="1" x14ac:dyDescent="0.25"/>
    <row r="41267" s="42" customFormat="1" x14ac:dyDescent="0.25"/>
    <row r="41268" s="42" customFormat="1" x14ac:dyDescent="0.25"/>
    <row r="41269" s="42" customFormat="1" x14ac:dyDescent="0.25"/>
    <row r="41270" s="42" customFormat="1" x14ac:dyDescent="0.25"/>
    <row r="41271" s="42" customFormat="1" x14ac:dyDescent="0.25"/>
    <row r="41272" s="42" customFormat="1" x14ac:dyDescent="0.25"/>
    <row r="41273" s="42" customFormat="1" x14ac:dyDescent="0.25"/>
    <row r="41274" s="42" customFormat="1" x14ac:dyDescent="0.25"/>
    <row r="41275" s="42" customFormat="1" x14ac:dyDescent="0.25"/>
    <row r="41276" s="42" customFormat="1" x14ac:dyDescent="0.25"/>
    <row r="41277" s="42" customFormat="1" x14ac:dyDescent="0.25"/>
    <row r="41278" s="42" customFormat="1" x14ac:dyDescent="0.25"/>
    <row r="41279" s="42" customFormat="1" x14ac:dyDescent="0.25"/>
    <row r="41280" s="42" customFormat="1" x14ac:dyDescent="0.25"/>
    <row r="41281" s="42" customFormat="1" x14ac:dyDescent="0.25"/>
    <row r="41282" s="42" customFormat="1" x14ac:dyDescent="0.25"/>
    <row r="41283" s="42" customFormat="1" x14ac:dyDescent="0.25"/>
    <row r="41284" s="42" customFormat="1" x14ac:dyDescent="0.25"/>
    <row r="41285" s="42" customFormat="1" x14ac:dyDescent="0.25"/>
    <row r="41286" s="42" customFormat="1" x14ac:dyDescent="0.25"/>
    <row r="41287" s="42" customFormat="1" x14ac:dyDescent="0.25"/>
    <row r="41288" s="42" customFormat="1" x14ac:dyDescent="0.25"/>
    <row r="41289" s="42" customFormat="1" x14ac:dyDescent="0.25"/>
    <row r="41290" s="42" customFormat="1" x14ac:dyDescent="0.25"/>
    <row r="41291" s="42" customFormat="1" x14ac:dyDescent="0.25"/>
    <row r="41292" s="42" customFormat="1" x14ac:dyDescent="0.25"/>
    <row r="41293" s="42" customFormat="1" x14ac:dyDescent="0.25"/>
    <row r="41294" s="42" customFormat="1" x14ac:dyDescent="0.25"/>
    <row r="41295" s="42" customFormat="1" x14ac:dyDescent="0.25"/>
    <row r="41296" s="42" customFormat="1" x14ac:dyDescent="0.25"/>
    <row r="41297" s="42" customFormat="1" x14ac:dyDescent="0.25"/>
    <row r="41298" s="42" customFormat="1" x14ac:dyDescent="0.25"/>
    <row r="41299" s="42" customFormat="1" x14ac:dyDescent="0.25"/>
    <row r="41300" s="42" customFormat="1" x14ac:dyDescent="0.25"/>
    <row r="41301" s="42" customFormat="1" x14ac:dyDescent="0.25"/>
    <row r="41302" s="42" customFormat="1" x14ac:dyDescent="0.25"/>
    <row r="41303" s="42" customFormat="1" x14ac:dyDescent="0.25"/>
    <row r="41304" s="42" customFormat="1" x14ac:dyDescent="0.25"/>
    <row r="41305" s="42" customFormat="1" x14ac:dyDescent="0.25"/>
    <row r="41306" s="42" customFormat="1" x14ac:dyDescent="0.25"/>
    <row r="41307" s="42" customFormat="1" x14ac:dyDescent="0.25"/>
    <row r="41308" s="42" customFormat="1" x14ac:dyDescent="0.25"/>
    <row r="41309" s="42" customFormat="1" x14ac:dyDescent="0.25"/>
    <row r="41310" s="42" customFormat="1" x14ac:dyDescent="0.25"/>
    <row r="41311" s="42" customFormat="1" x14ac:dyDescent="0.25"/>
    <row r="41312" s="42" customFormat="1" x14ac:dyDescent="0.25"/>
    <row r="41313" s="42" customFormat="1" x14ac:dyDescent="0.25"/>
    <row r="41314" s="42" customFormat="1" x14ac:dyDescent="0.25"/>
    <row r="41315" s="42" customFormat="1" x14ac:dyDescent="0.25"/>
    <row r="41316" s="42" customFormat="1" x14ac:dyDescent="0.25"/>
    <row r="41317" s="42" customFormat="1" x14ac:dyDescent="0.25"/>
    <row r="41318" s="42" customFormat="1" x14ac:dyDescent="0.25"/>
    <row r="41319" s="42" customFormat="1" x14ac:dyDescent="0.25"/>
    <row r="41320" s="42" customFormat="1" x14ac:dyDescent="0.25"/>
    <row r="41321" s="42" customFormat="1" x14ac:dyDescent="0.25"/>
    <row r="41322" s="42" customFormat="1" x14ac:dyDescent="0.25"/>
    <row r="41323" s="42" customFormat="1" x14ac:dyDescent="0.25"/>
    <row r="41324" s="42" customFormat="1" x14ac:dyDescent="0.25"/>
    <row r="41325" s="42" customFormat="1" x14ac:dyDescent="0.25"/>
    <row r="41326" s="42" customFormat="1" x14ac:dyDescent="0.25"/>
    <row r="41327" s="42" customFormat="1" x14ac:dyDescent="0.25"/>
    <row r="41328" s="42" customFormat="1" x14ac:dyDescent="0.25"/>
    <row r="41329" s="42" customFormat="1" x14ac:dyDescent="0.25"/>
    <row r="41330" s="42" customFormat="1" x14ac:dyDescent="0.25"/>
    <row r="41331" s="42" customFormat="1" x14ac:dyDescent="0.25"/>
    <row r="41332" s="42" customFormat="1" x14ac:dyDescent="0.25"/>
    <row r="41333" s="42" customFormat="1" x14ac:dyDescent="0.25"/>
    <row r="41334" s="42" customFormat="1" x14ac:dyDescent="0.25"/>
    <row r="41335" s="42" customFormat="1" x14ac:dyDescent="0.25"/>
    <row r="41336" s="42" customFormat="1" x14ac:dyDescent="0.25"/>
    <row r="41337" s="42" customFormat="1" x14ac:dyDescent="0.25"/>
    <row r="41338" s="42" customFormat="1" x14ac:dyDescent="0.25"/>
    <row r="41339" s="42" customFormat="1" x14ac:dyDescent="0.25"/>
    <row r="41340" s="42" customFormat="1" x14ac:dyDescent="0.25"/>
    <row r="41341" s="42" customFormat="1" x14ac:dyDescent="0.25"/>
    <row r="41342" s="42" customFormat="1" x14ac:dyDescent="0.25"/>
    <row r="41343" s="42" customFormat="1" x14ac:dyDescent="0.25"/>
    <row r="41344" s="42" customFormat="1" x14ac:dyDescent="0.25"/>
    <row r="41345" s="42" customFormat="1" x14ac:dyDescent="0.25"/>
    <row r="41346" s="42" customFormat="1" x14ac:dyDescent="0.25"/>
    <row r="41347" s="42" customFormat="1" x14ac:dyDescent="0.25"/>
    <row r="41348" s="42" customFormat="1" x14ac:dyDescent="0.25"/>
    <row r="41349" s="42" customFormat="1" x14ac:dyDescent="0.25"/>
    <row r="41350" s="42" customFormat="1" x14ac:dyDescent="0.25"/>
    <row r="41351" s="42" customFormat="1" x14ac:dyDescent="0.25"/>
    <row r="41352" s="42" customFormat="1" x14ac:dyDescent="0.25"/>
    <row r="41353" s="42" customFormat="1" x14ac:dyDescent="0.25"/>
    <row r="41354" s="42" customFormat="1" x14ac:dyDescent="0.25"/>
    <row r="41355" s="42" customFormat="1" x14ac:dyDescent="0.25"/>
    <row r="41356" s="42" customFormat="1" x14ac:dyDescent="0.25"/>
    <row r="41357" s="42" customFormat="1" x14ac:dyDescent="0.25"/>
    <row r="41358" s="42" customFormat="1" x14ac:dyDescent="0.25"/>
    <row r="41359" s="42" customFormat="1" x14ac:dyDescent="0.25"/>
    <row r="41360" s="42" customFormat="1" x14ac:dyDescent="0.25"/>
    <row r="41361" s="42" customFormat="1" x14ac:dyDescent="0.25"/>
    <row r="41362" s="42" customFormat="1" x14ac:dyDescent="0.25"/>
    <row r="41363" s="42" customFormat="1" x14ac:dyDescent="0.25"/>
    <row r="41364" s="42" customFormat="1" x14ac:dyDescent="0.25"/>
    <row r="41365" s="42" customFormat="1" x14ac:dyDescent="0.25"/>
    <row r="41366" s="42" customFormat="1" x14ac:dyDescent="0.25"/>
    <row r="41367" s="42" customFormat="1" x14ac:dyDescent="0.25"/>
    <row r="41368" s="42" customFormat="1" x14ac:dyDescent="0.25"/>
    <row r="41369" s="42" customFormat="1" x14ac:dyDescent="0.25"/>
    <row r="41370" s="42" customFormat="1" x14ac:dyDescent="0.25"/>
    <row r="41371" s="42" customFormat="1" x14ac:dyDescent="0.25"/>
    <row r="41372" s="42" customFormat="1" x14ac:dyDescent="0.25"/>
    <row r="41373" s="42" customFormat="1" x14ac:dyDescent="0.25"/>
    <row r="41374" s="42" customFormat="1" x14ac:dyDescent="0.25"/>
    <row r="41375" s="42" customFormat="1" x14ac:dyDescent="0.25"/>
    <row r="41376" s="42" customFormat="1" x14ac:dyDescent="0.25"/>
    <row r="41377" s="42" customFormat="1" x14ac:dyDescent="0.25"/>
    <row r="41378" s="42" customFormat="1" x14ac:dyDescent="0.25"/>
    <row r="41379" s="42" customFormat="1" x14ac:dyDescent="0.25"/>
    <row r="41380" s="42" customFormat="1" x14ac:dyDescent="0.25"/>
    <row r="41381" s="42" customFormat="1" x14ac:dyDescent="0.25"/>
    <row r="41382" s="42" customFormat="1" x14ac:dyDescent="0.25"/>
    <row r="41383" s="42" customFormat="1" x14ac:dyDescent="0.25"/>
    <row r="41384" s="42" customFormat="1" x14ac:dyDescent="0.25"/>
    <row r="41385" s="42" customFormat="1" x14ac:dyDescent="0.25"/>
    <row r="41386" s="42" customFormat="1" x14ac:dyDescent="0.25"/>
    <row r="41387" s="42" customFormat="1" x14ac:dyDescent="0.25"/>
    <row r="41388" s="42" customFormat="1" x14ac:dyDescent="0.25"/>
    <row r="41389" s="42" customFormat="1" x14ac:dyDescent="0.25"/>
    <row r="41390" s="42" customFormat="1" x14ac:dyDescent="0.25"/>
    <row r="41391" s="42" customFormat="1" x14ac:dyDescent="0.25"/>
    <row r="41392" s="42" customFormat="1" x14ac:dyDescent="0.25"/>
    <row r="41393" s="42" customFormat="1" x14ac:dyDescent="0.25"/>
    <row r="41394" s="42" customFormat="1" x14ac:dyDescent="0.25"/>
    <row r="41395" s="42" customFormat="1" x14ac:dyDescent="0.25"/>
    <row r="41396" s="42" customFormat="1" x14ac:dyDescent="0.25"/>
    <row r="41397" s="42" customFormat="1" x14ac:dyDescent="0.25"/>
    <row r="41398" s="42" customFormat="1" x14ac:dyDescent="0.25"/>
    <row r="41399" s="42" customFormat="1" x14ac:dyDescent="0.25"/>
    <row r="41400" s="42" customFormat="1" x14ac:dyDescent="0.25"/>
    <row r="41401" s="42" customFormat="1" x14ac:dyDescent="0.25"/>
    <row r="41402" s="42" customFormat="1" x14ac:dyDescent="0.25"/>
    <row r="41403" s="42" customFormat="1" x14ac:dyDescent="0.25"/>
    <row r="41404" s="42" customFormat="1" x14ac:dyDescent="0.25"/>
    <row r="41405" s="42" customFormat="1" x14ac:dyDescent="0.25"/>
    <row r="41406" s="42" customFormat="1" x14ac:dyDescent="0.25"/>
    <row r="41407" s="42" customFormat="1" x14ac:dyDescent="0.25"/>
    <row r="41408" s="42" customFormat="1" x14ac:dyDescent="0.25"/>
    <row r="41409" s="42" customFormat="1" x14ac:dyDescent="0.25"/>
    <row r="41410" s="42" customFormat="1" x14ac:dyDescent="0.25"/>
    <row r="41411" s="42" customFormat="1" x14ac:dyDescent="0.25"/>
    <row r="41412" s="42" customFormat="1" x14ac:dyDescent="0.25"/>
    <row r="41413" s="42" customFormat="1" x14ac:dyDescent="0.25"/>
    <row r="41414" s="42" customFormat="1" x14ac:dyDescent="0.25"/>
    <row r="41415" s="42" customFormat="1" x14ac:dyDescent="0.25"/>
    <row r="41416" s="42" customFormat="1" x14ac:dyDescent="0.25"/>
    <row r="41417" s="42" customFormat="1" x14ac:dyDescent="0.25"/>
    <row r="41418" s="42" customFormat="1" x14ac:dyDescent="0.25"/>
    <row r="41419" s="42" customFormat="1" x14ac:dyDescent="0.25"/>
    <row r="41420" s="42" customFormat="1" x14ac:dyDescent="0.25"/>
    <row r="41421" s="42" customFormat="1" x14ac:dyDescent="0.25"/>
    <row r="41422" s="42" customFormat="1" x14ac:dyDescent="0.25"/>
    <row r="41423" s="42" customFormat="1" x14ac:dyDescent="0.25"/>
    <row r="41424" s="42" customFormat="1" x14ac:dyDescent="0.25"/>
    <row r="41425" s="42" customFormat="1" x14ac:dyDescent="0.25"/>
    <row r="41426" s="42" customFormat="1" x14ac:dyDescent="0.25"/>
    <row r="41427" s="42" customFormat="1" x14ac:dyDescent="0.25"/>
    <row r="41428" s="42" customFormat="1" x14ac:dyDescent="0.25"/>
    <row r="41429" s="42" customFormat="1" x14ac:dyDescent="0.25"/>
    <row r="41430" s="42" customFormat="1" x14ac:dyDescent="0.25"/>
    <row r="41431" s="42" customFormat="1" x14ac:dyDescent="0.25"/>
    <row r="41432" s="42" customFormat="1" x14ac:dyDescent="0.25"/>
    <row r="41433" s="42" customFormat="1" x14ac:dyDescent="0.25"/>
    <row r="41434" s="42" customFormat="1" x14ac:dyDescent="0.25"/>
    <row r="41435" s="42" customFormat="1" x14ac:dyDescent="0.25"/>
    <row r="41436" s="42" customFormat="1" x14ac:dyDescent="0.25"/>
    <row r="41437" s="42" customFormat="1" x14ac:dyDescent="0.25"/>
    <row r="41438" s="42" customFormat="1" x14ac:dyDescent="0.25"/>
    <row r="41439" s="42" customFormat="1" x14ac:dyDescent="0.25"/>
    <row r="41440" s="42" customFormat="1" x14ac:dyDescent="0.25"/>
    <row r="41441" s="42" customFormat="1" x14ac:dyDescent="0.25"/>
    <row r="41442" s="42" customFormat="1" x14ac:dyDescent="0.25"/>
    <row r="41443" s="42" customFormat="1" x14ac:dyDescent="0.25"/>
    <row r="41444" s="42" customFormat="1" x14ac:dyDescent="0.25"/>
    <row r="41445" s="42" customFormat="1" x14ac:dyDescent="0.25"/>
    <row r="41446" s="42" customFormat="1" x14ac:dyDescent="0.25"/>
    <row r="41447" s="42" customFormat="1" x14ac:dyDescent="0.25"/>
    <row r="41448" s="42" customFormat="1" x14ac:dyDescent="0.25"/>
    <row r="41449" s="42" customFormat="1" x14ac:dyDescent="0.25"/>
    <row r="41450" s="42" customFormat="1" x14ac:dyDescent="0.25"/>
    <row r="41451" s="42" customFormat="1" x14ac:dyDescent="0.25"/>
    <row r="41452" s="42" customFormat="1" x14ac:dyDescent="0.25"/>
    <row r="41453" s="42" customFormat="1" x14ac:dyDescent="0.25"/>
    <row r="41454" s="42" customFormat="1" x14ac:dyDescent="0.25"/>
    <row r="41455" s="42" customFormat="1" x14ac:dyDescent="0.25"/>
    <row r="41456" s="42" customFormat="1" x14ac:dyDescent="0.25"/>
    <row r="41457" s="42" customFormat="1" x14ac:dyDescent="0.25"/>
    <row r="41458" s="42" customFormat="1" x14ac:dyDescent="0.25"/>
    <row r="41459" s="42" customFormat="1" x14ac:dyDescent="0.25"/>
    <row r="41460" s="42" customFormat="1" x14ac:dyDescent="0.25"/>
    <row r="41461" s="42" customFormat="1" x14ac:dyDescent="0.25"/>
    <row r="41462" s="42" customFormat="1" x14ac:dyDescent="0.25"/>
    <row r="41463" s="42" customFormat="1" x14ac:dyDescent="0.25"/>
    <row r="41464" s="42" customFormat="1" x14ac:dyDescent="0.25"/>
    <row r="41465" s="42" customFormat="1" x14ac:dyDescent="0.25"/>
    <row r="41466" s="42" customFormat="1" x14ac:dyDescent="0.25"/>
    <row r="41467" s="42" customFormat="1" x14ac:dyDescent="0.25"/>
    <row r="41468" s="42" customFormat="1" x14ac:dyDescent="0.25"/>
    <row r="41469" s="42" customFormat="1" x14ac:dyDescent="0.25"/>
    <row r="41470" s="42" customFormat="1" x14ac:dyDescent="0.25"/>
    <row r="41471" s="42" customFormat="1" x14ac:dyDescent="0.25"/>
    <row r="41472" s="42" customFormat="1" x14ac:dyDescent="0.25"/>
    <row r="41473" s="42" customFormat="1" x14ac:dyDescent="0.25"/>
    <row r="41474" s="42" customFormat="1" x14ac:dyDescent="0.25"/>
    <row r="41475" s="42" customFormat="1" x14ac:dyDescent="0.25"/>
    <row r="41476" s="42" customFormat="1" x14ac:dyDescent="0.25"/>
    <row r="41477" s="42" customFormat="1" x14ac:dyDescent="0.25"/>
    <row r="41478" s="42" customFormat="1" x14ac:dyDescent="0.25"/>
    <row r="41479" s="42" customFormat="1" x14ac:dyDescent="0.25"/>
    <row r="41480" s="42" customFormat="1" x14ac:dyDescent="0.25"/>
    <row r="41481" s="42" customFormat="1" x14ac:dyDescent="0.25"/>
    <row r="41482" s="42" customFormat="1" x14ac:dyDescent="0.25"/>
    <row r="41483" s="42" customFormat="1" x14ac:dyDescent="0.25"/>
    <row r="41484" s="42" customFormat="1" x14ac:dyDescent="0.25"/>
    <row r="41485" s="42" customFormat="1" x14ac:dyDescent="0.25"/>
    <row r="41486" s="42" customFormat="1" x14ac:dyDescent="0.25"/>
    <row r="41487" s="42" customFormat="1" x14ac:dyDescent="0.25"/>
    <row r="41488" s="42" customFormat="1" x14ac:dyDescent="0.25"/>
    <row r="41489" s="42" customFormat="1" x14ac:dyDescent="0.25"/>
    <row r="41490" s="42" customFormat="1" x14ac:dyDescent="0.25"/>
    <row r="41491" s="42" customFormat="1" x14ac:dyDescent="0.25"/>
    <row r="41492" s="42" customFormat="1" x14ac:dyDescent="0.25"/>
    <row r="41493" s="42" customFormat="1" x14ac:dyDescent="0.25"/>
    <row r="41494" s="42" customFormat="1" x14ac:dyDescent="0.25"/>
    <row r="41495" s="42" customFormat="1" x14ac:dyDescent="0.25"/>
    <row r="41496" s="42" customFormat="1" x14ac:dyDescent="0.25"/>
    <row r="41497" s="42" customFormat="1" x14ac:dyDescent="0.25"/>
    <row r="41498" s="42" customFormat="1" x14ac:dyDescent="0.25"/>
    <row r="41499" s="42" customFormat="1" x14ac:dyDescent="0.25"/>
    <row r="41500" s="42" customFormat="1" x14ac:dyDescent="0.25"/>
    <row r="41501" s="42" customFormat="1" x14ac:dyDescent="0.25"/>
    <row r="41502" s="42" customFormat="1" x14ac:dyDescent="0.25"/>
    <row r="41503" s="42" customFormat="1" x14ac:dyDescent="0.25"/>
    <row r="41504" s="42" customFormat="1" x14ac:dyDescent="0.25"/>
    <row r="41505" s="42" customFormat="1" x14ac:dyDescent="0.25"/>
    <row r="41506" s="42" customFormat="1" x14ac:dyDescent="0.25"/>
    <row r="41507" s="42" customFormat="1" x14ac:dyDescent="0.25"/>
    <row r="41508" s="42" customFormat="1" x14ac:dyDescent="0.25"/>
    <row r="41509" s="42" customFormat="1" x14ac:dyDescent="0.25"/>
    <row r="41510" s="42" customFormat="1" x14ac:dyDescent="0.25"/>
    <row r="41511" s="42" customFormat="1" x14ac:dyDescent="0.25"/>
    <row r="41512" s="42" customFormat="1" x14ac:dyDescent="0.25"/>
    <row r="41513" s="42" customFormat="1" x14ac:dyDescent="0.25"/>
    <row r="41514" s="42" customFormat="1" x14ac:dyDescent="0.25"/>
    <row r="41515" s="42" customFormat="1" x14ac:dyDescent="0.25"/>
    <row r="41516" s="42" customFormat="1" x14ac:dyDescent="0.25"/>
    <row r="41517" s="42" customFormat="1" x14ac:dyDescent="0.25"/>
    <row r="41518" s="42" customFormat="1" x14ac:dyDescent="0.25"/>
    <row r="41519" s="42" customFormat="1" x14ac:dyDescent="0.25"/>
    <row r="41520" s="42" customFormat="1" x14ac:dyDescent="0.25"/>
    <row r="41521" s="42" customFormat="1" x14ac:dyDescent="0.25"/>
    <row r="41522" s="42" customFormat="1" x14ac:dyDescent="0.25"/>
    <row r="41523" s="42" customFormat="1" x14ac:dyDescent="0.25"/>
    <row r="41524" s="42" customFormat="1" x14ac:dyDescent="0.25"/>
    <row r="41525" s="42" customFormat="1" x14ac:dyDescent="0.25"/>
    <row r="41526" s="42" customFormat="1" x14ac:dyDescent="0.25"/>
    <row r="41527" s="42" customFormat="1" x14ac:dyDescent="0.25"/>
    <row r="41528" s="42" customFormat="1" x14ac:dyDescent="0.25"/>
    <row r="41529" s="42" customFormat="1" x14ac:dyDescent="0.25"/>
    <row r="41530" s="42" customFormat="1" x14ac:dyDescent="0.25"/>
    <row r="41531" s="42" customFormat="1" x14ac:dyDescent="0.25"/>
    <row r="41532" s="42" customFormat="1" x14ac:dyDescent="0.25"/>
    <row r="41533" s="42" customFormat="1" x14ac:dyDescent="0.25"/>
    <row r="41534" s="42" customFormat="1" x14ac:dyDescent="0.25"/>
    <row r="41535" s="42" customFormat="1" x14ac:dyDescent="0.25"/>
    <row r="41536" s="42" customFormat="1" x14ac:dyDescent="0.25"/>
    <row r="41537" s="42" customFormat="1" x14ac:dyDescent="0.25"/>
    <row r="41538" s="42" customFormat="1" x14ac:dyDescent="0.25"/>
    <row r="41539" s="42" customFormat="1" x14ac:dyDescent="0.25"/>
    <row r="41540" s="42" customFormat="1" x14ac:dyDescent="0.25"/>
    <row r="41541" s="42" customFormat="1" x14ac:dyDescent="0.25"/>
    <row r="41542" s="42" customFormat="1" x14ac:dyDescent="0.25"/>
    <row r="41543" s="42" customFormat="1" x14ac:dyDescent="0.25"/>
    <row r="41544" s="42" customFormat="1" x14ac:dyDescent="0.25"/>
    <row r="41545" s="42" customFormat="1" x14ac:dyDescent="0.25"/>
    <row r="41546" s="42" customFormat="1" x14ac:dyDescent="0.25"/>
    <row r="41547" s="42" customFormat="1" x14ac:dyDescent="0.25"/>
    <row r="41548" s="42" customFormat="1" x14ac:dyDescent="0.25"/>
    <row r="41549" s="42" customFormat="1" x14ac:dyDescent="0.25"/>
    <row r="41550" s="42" customFormat="1" x14ac:dyDescent="0.25"/>
    <row r="41551" s="42" customFormat="1" x14ac:dyDescent="0.25"/>
    <row r="41552" s="42" customFormat="1" x14ac:dyDescent="0.25"/>
    <row r="41553" s="42" customFormat="1" x14ac:dyDescent="0.25"/>
    <row r="41554" s="42" customFormat="1" x14ac:dyDescent="0.25"/>
    <row r="41555" s="42" customFormat="1" x14ac:dyDescent="0.25"/>
    <row r="41556" s="42" customFormat="1" x14ac:dyDescent="0.25"/>
    <row r="41557" s="42" customFormat="1" x14ac:dyDescent="0.25"/>
    <row r="41558" s="42" customFormat="1" x14ac:dyDescent="0.25"/>
    <row r="41559" s="42" customFormat="1" x14ac:dyDescent="0.25"/>
    <row r="41560" s="42" customFormat="1" x14ac:dyDescent="0.25"/>
    <row r="41561" s="42" customFormat="1" x14ac:dyDescent="0.25"/>
    <row r="41562" s="42" customFormat="1" x14ac:dyDescent="0.25"/>
    <row r="41563" s="42" customFormat="1" x14ac:dyDescent="0.25"/>
    <row r="41564" s="42" customFormat="1" x14ac:dyDescent="0.25"/>
    <row r="41565" s="42" customFormat="1" x14ac:dyDescent="0.25"/>
    <row r="41566" s="42" customFormat="1" x14ac:dyDescent="0.25"/>
    <row r="41567" s="42" customFormat="1" x14ac:dyDescent="0.25"/>
    <row r="41568" s="42" customFormat="1" x14ac:dyDescent="0.25"/>
    <row r="41569" s="42" customFormat="1" x14ac:dyDescent="0.25"/>
    <row r="41570" s="42" customFormat="1" x14ac:dyDescent="0.25"/>
    <row r="41571" s="42" customFormat="1" x14ac:dyDescent="0.25"/>
    <row r="41572" s="42" customFormat="1" x14ac:dyDescent="0.25"/>
    <row r="41573" s="42" customFormat="1" x14ac:dyDescent="0.25"/>
    <row r="41574" s="42" customFormat="1" x14ac:dyDescent="0.25"/>
    <row r="41575" s="42" customFormat="1" x14ac:dyDescent="0.25"/>
    <row r="41576" s="42" customFormat="1" x14ac:dyDescent="0.25"/>
    <row r="41577" s="42" customFormat="1" x14ac:dyDescent="0.25"/>
    <row r="41578" s="42" customFormat="1" x14ac:dyDescent="0.25"/>
    <row r="41579" s="42" customFormat="1" x14ac:dyDescent="0.25"/>
    <row r="41580" s="42" customFormat="1" x14ac:dyDescent="0.25"/>
    <row r="41581" s="42" customFormat="1" x14ac:dyDescent="0.25"/>
    <row r="41582" s="42" customFormat="1" x14ac:dyDescent="0.25"/>
    <row r="41583" s="42" customFormat="1" x14ac:dyDescent="0.25"/>
    <row r="41584" s="42" customFormat="1" x14ac:dyDescent="0.25"/>
    <row r="41585" s="42" customFormat="1" x14ac:dyDescent="0.25"/>
    <row r="41586" s="42" customFormat="1" x14ac:dyDescent="0.25"/>
    <row r="41587" s="42" customFormat="1" x14ac:dyDescent="0.25"/>
    <row r="41588" s="42" customFormat="1" x14ac:dyDescent="0.25"/>
    <row r="41589" s="42" customFormat="1" x14ac:dyDescent="0.25"/>
    <row r="41590" s="42" customFormat="1" x14ac:dyDescent="0.25"/>
    <row r="41591" s="42" customFormat="1" x14ac:dyDescent="0.25"/>
    <row r="41592" s="42" customFormat="1" x14ac:dyDescent="0.25"/>
    <row r="41593" s="42" customFormat="1" x14ac:dyDescent="0.25"/>
    <row r="41594" s="42" customFormat="1" x14ac:dyDescent="0.25"/>
    <row r="41595" s="42" customFormat="1" x14ac:dyDescent="0.25"/>
    <row r="41596" s="42" customFormat="1" x14ac:dyDescent="0.25"/>
    <row r="41597" s="42" customFormat="1" x14ac:dyDescent="0.25"/>
    <row r="41598" s="42" customFormat="1" x14ac:dyDescent="0.25"/>
    <row r="41599" s="42" customFormat="1" x14ac:dyDescent="0.25"/>
    <row r="41600" s="42" customFormat="1" x14ac:dyDescent="0.25"/>
    <row r="41601" s="42" customFormat="1" x14ac:dyDescent="0.25"/>
    <row r="41602" s="42" customFormat="1" x14ac:dyDescent="0.25"/>
    <row r="41603" s="42" customFormat="1" x14ac:dyDescent="0.25"/>
    <row r="41604" s="42" customFormat="1" x14ac:dyDescent="0.25"/>
    <row r="41605" s="42" customFormat="1" x14ac:dyDescent="0.25"/>
    <row r="41606" s="42" customFormat="1" x14ac:dyDescent="0.25"/>
    <row r="41607" s="42" customFormat="1" x14ac:dyDescent="0.25"/>
    <row r="41608" s="42" customFormat="1" x14ac:dyDescent="0.25"/>
    <row r="41609" s="42" customFormat="1" x14ac:dyDescent="0.25"/>
    <row r="41610" s="42" customFormat="1" x14ac:dyDescent="0.25"/>
    <row r="41611" s="42" customFormat="1" x14ac:dyDescent="0.25"/>
    <row r="41612" s="42" customFormat="1" x14ac:dyDescent="0.25"/>
    <row r="41613" s="42" customFormat="1" x14ac:dyDescent="0.25"/>
    <row r="41614" s="42" customFormat="1" x14ac:dyDescent="0.25"/>
    <row r="41615" s="42" customFormat="1" x14ac:dyDescent="0.25"/>
    <row r="41616" s="42" customFormat="1" x14ac:dyDescent="0.25"/>
    <row r="41617" s="42" customFormat="1" x14ac:dyDescent="0.25"/>
    <row r="41618" s="42" customFormat="1" x14ac:dyDescent="0.25"/>
    <row r="41619" s="42" customFormat="1" x14ac:dyDescent="0.25"/>
    <row r="41620" s="42" customFormat="1" x14ac:dyDescent="0.25"/>
    <row r="41621" s="42" customFormat="1" x14ac:dyDescent="0.25"/>
    <row r="41622" s="42" customFormat="1" x14ac:dyDescent="0.25"/>
    <row r="41623" s="42" customFormat="1" x14ac:dyDescent="0.25"/>
    <row r="41624" s="42" customFormat="1" x14ac:dyDescent="0.25"/>
    <row r="41625" s="42" customFormat="1" x14ac:dyDescent="0.25"/>
    <row r="41626" s="42" customFormat="1" x14ac:dyDescent="0.25"/>
    <row r="41627" s="42" customFormat="1" x14ac:dyDescent="0.25"/>
    <row r="41628" s="42" customFormat="1" x14ac:dyDescent="0.25"/>
    <row r="41629" s="42" customFormat="1" x14ac:dyDescent="0.25"/>
    <row r="41630" s="42" customFormat="1" x14ac:dyDescent="0.25"/>
    <row r="41631" s="42" customFormat="1" x14ac:dyDescent="0.25"/>
    <row r="41632" s="42" customFormat="1" x14ac:dyDescent="0.25"/>
    <row r="41633" s="42" customFormat="1" x14ac:dyDescent="0.25"/>
    <row r="41634" s="42" customFormat="1" x14ac:dyDescent="0.25"/>
    <row r="41635" s="42" customFormat="1" x14ac:dyDescent="0.25"/>
    <row r="41636" s="42" customFormat="1" x14ac:dyDescent="0.25"/>
    <row r="41637" s="42" customFormat="1" x14ac:dyDescent="0.25"/>
    <row r="41638" s="42" customFormat="1" x14ac:dyDescent="0.25"/>
    <row r="41639" s="42" customFormat="1" x14ac:dyDescent="0.25"/>
    <row r="41640" s="42" customFormat="1" x14ac:dyDescent="0.25"/>
    <row r="41641" s="42" customFormat="1" x14ac:dyDescent="0.25"/>
    <row r="41642" s="42" customFormat="1" x14ac:dyDescent="0.25"/>
    <row r="41643" s="42" customFormat="1" x14ac:dyDescent="0.25"/>
    <row r="41644" s="42" customFormat="1" x14ac:dyDescent="0.25"/>
    <row r="41645" s="42" customFormat="1" x14ac:dyDescent="0.25"/>
    <row r="41646" s="42" customFormat="1" x14ac:dyDescent="0.25"/>
    <row r="41647" s="42" customFormat="1" x14ac:dyDescent="0.25"/>
    <row r="41648" s="42" customFormat="1" x14ac:dyDescent="0.25"/>
    <row r="41649" s="42" customFormat="1" x14ac:dyDescent="0.25"/>
    <row r="41650" s="42" customFormat="1" x14ac:dyDescent="0.25"/>
    <row r="41651" s="42" customFormat="1" x14ac:dyDescent="0.25"/>
    <row r="41652" s="42" customFormat="1" x14ac:dyDescent="0.25"/>
    <row r="41653" s="42" customFormat="1" x14ac:dyDescent="0.25"/>
    <row r="41654" s="42" customFormat="1" x14ac:dyDescent="0.25"/>
    <row r="41655" s="42" customFormat="1" x14ac:dyDescent="0.25"/>
    <row r="41656" s="42" customFormat="1" x14ac:dyDescent="0.25"/>
    <row r="41657" s="42" customFormat="1" x14ac:dyDescent="0.25"/>
    <row r="41658" s="42" customFormat="1" x14ac:dyDescent="0.25"/>
    <row r="41659" s="42" customFormat="1" x14ac:dyDescent="0.25"/>
    <row r="41660" s="42" customFormat="1" x14ac:dyDescent="0.25"/>
    <row r="41661" s="42" customFormat="1" x14ac:dyDescent="0.25"/>
    <row r="41662" s="42" customFormat="1" x14ac:dyDescent="0.25"/>
    <row r="41663" s="42" customFormat="1" x14ac:dyDescent="0.25"/>
    <row r="41664" s="42" customFormat="1" x14ac:dyDescent="0.25"/>
    <row r="41665" s="42" customFormat="1" x14ac:dyDescent="0.25"/>
    <row r="41666" s="42" customFormat="1" x14ac:dyDescent="0.25"/>
    <row r="41667" s="42" customFormat="1" x14ac:dyDescent="0.25"/>
    <row r="41668" s="42" customFormat="1" x14ac:dyDescent="0.25"/>
    <row r="41669" s="42" customFormat="1" x14ac:dyDescent="0.25"/>
    <row r="41670" s="42" customFormat="1" x14ac:dyDescent="0.25"/>
    <row r="41671" s="42" customFormat="1" x14ac:dyDescent="0.25"/>
    <row r="41672" s="42" customFormat="1" x14ac:dyDescent="0.25"/>
    <row r="41673" s="42" customFormat="1" x14ac:dyDescent="0.25"/>
    <row r="41674" s="42" customFormat="1" x14ac:dyDescent="0.25"/>
    <row r="41675" s="42" customFormat="1" x14ac:dyDescent="0.25"/>
    <row r="41676" s="42" customFormat="1" x14ac:dyDescent="0.25"/>
    <row r="41677" s="42" customFormat="1" x14ac:dyDescent="0.25"/>
    <row r="41678" s="42" customFormat="1" x14ac:dyDescent="0.25"/>
    <row r="41679" s="42" customFormat="1" x14ac:dyDescent="0.25"/>
    <row r="41680" s="42" customFormat="1" x14ac:dyDescent="0.25"/>
    <row r="41681" s="42" customFormat="1" x14ac:dyDescent="0.25"/>
    <row r="41682" s="42" customFormat="1" x14ac:dyDescent="0.25"/>
    <row r="41683" s="42" customFormat="1" x14ac:dyDescent="0.25"/>
    <row r="41684" s="42" customFormat="1" x14ac:dyDescent="0.25"/>
    <row r="41685" s="42" customFormat="1" x14ac:dyDescent="0.25"/>
    <row r="41686" s="42" customFormat="1" x14ac:dyDescent="0.25"/>
    <row r="41687" s="42" customFormat="1" x14ac:dyDescent="0.25"/>
    <row r="41688" s="42" customFormat="1" x14ac:dyDescent="0.25"/>
    <row r="41689" s="42" customFormat="1" x14ac:dyDescent="0.25"/>
    <row r="41690" s="42" customFormat="1" x14ac:dyDescent="0.25"/>
    <row r="41691" s="42" customFormat="1" x14ac:dyDescent="0.25"/>
    <row r="41692" s="42" customFormat="1" x14ac:dyDescent="0.25"/>
    <row r="41693" s="42" customFormat="1" x14ac:dyDescent="0.25"/>
    <row r="41694" s="42" customFormat="1" x14ac:dyDescent="0.25"/>
    <row r="41695" s="42" customFormat="1" x14ac:dyDescent="0.25"/>
    <row r="41696" s="42" customFormat="1" x14ac:dyDescent="0.25"/>
    <row r="41697" s="42" customFormat="1" x14ac:dyDescent="0.25"/>
    <row r="41698" s="42" customFormat="1" x14ac:dyDescent="0.25"/>
    <row r="41699" s="42" customFormat="1" x14ac:dyDescent="0.25"/>
    <row r="41700" s="42" customFormat="1" x14ac:dyDescent="0.25"/>
    <row r="41701" s="42" customFormat="1" x14ac:dyDescent="0.25"/>
    <row r="41702" s="42" customFormat="1" x14ac:dyDescent="0.25"/>
    <row r="41703" s="42" customFormat="1" x14ac:dyDescent="0.25"/>
    <row r="41704" s="42" customFormat="1" x14ac:dyDescent="0.25"/>
    <row r="41705" s="42" customFormat="1" x14ac:dyDescent="0.25"/>
    <row r="41706" s="42" customFormat="1" x14ac:dyDescent="0.25"/>
    <row r="41707" s="42" customFormat="1" x14ac:dyDescent="0.25"/>
    <row r="41708" s="42" customFormat="1" x14ac:dyDescent="0.25"/>
    <row r="41709" s="42" customFormat="1" x14ac:dyDescent="0.25"/>
    <row r="41710" s="42" customFormat="1" x14ac:dyDescent="0.25"/>
    <row r="41711" s="42" customFormat="1" x14ac:dyDescent="0.25"/>
    <row r="41712" s="42" customFormat="1" x14ac:dyDescent="0.25"/>
    <row r="41713" s="42" customFormat="1" x14ac:dyDescent="0.25"/>
    <row r="41714" s="42" customFormat="1" x14ac:dyDescent="0.25"/>
    <row r="41715" s="42" customFormat="1" x14ac:dyDescent="0.25"/>
    <row r="41716" s="42" customFormat="1" x14ac:dyDescent="0.25"/>
    <row r="41717" s="42" customFormat="1" x14ac:dyDescent="0.25"/>
    <row r="41718" s="42" customFormat="1" x14ac:dyDescent="0.25"/>
    <row r="41719" s="42" customFormat="1" x14ac:dyDescent="0.25"/>
    <row r="41720" s="42" customFormat="1" x14ac:dyDescent="0.25"/>
    <row r="41721" s="42" customFormat="1" x14ac:dyDescent="0.25"/>
    <row r="41722" s="42" customFormat="1" x14ac:dyDescent="0.25"/>
    <row r="41723" s="42" customFormat="1" x14ac:dyDescent="0.25"/>
    <row r="41724" s="42" customFormat="1" x14ac:dyDescent="0.25"/>
    <row r="41725" s="42" customFormat="1" x14ac:dyDescent="0.25"/>
    <row r="41726" s="42" customFormat="1" x14ac:dyDescent="0.25"/>
    <row r="41727" s="42" customFormat="1" x14ac:dyDescent="0.25"/>
    <row r="41728" s="42" customFormat="1" x14ac:dyDescent="0.25"/>
    <row r="41729" s="42" customFormat="1" x14ac:dyDescent="0.25"/>
    <row r="41730" s="42" customFormat="1" x14ac:dyDescent="0.25"/>
    <row r="41731" s="42" customFormat="1" x14ac:dyDescent="0.25"/>
    <row r="41732" s="42" customFormat="1" x14ac:dyDescent="0.25"/>
    <row r="41733" s="42" customFormat="1" x14ac:dyDescent="0.25"/>
    <row r="41734" s="42" customFormat="1" x14ac:dyDescent="0.25"/>
    <row r="41735" s="42" customFormat="1" x14ac:dyDescent="0.25"/>
    <row r="41736" s="42" customFormat="1" x14ac:dyDescent="0.25"/>
    <row r="41737" s="42" customFormat="1" x14ac:dyDescent="0.25"/>
    <row r="41738" s="42" customFormat="1" x14ac:dyDescent="0.25"/>
    <row r="41739" s="42" customFormat="1" x14ac:dyDescent="0.25"/>
    <row r="41740" s="42" customFormat="1" x14ac:dyDescent="0.25"/>
    <row r="41741" s="42" customFormat="1" x14ac:dyDescent="0.25"/>
    <row r="41742" s="42" customFormat="1" x14ac:dyDescent="0.25"/>
    <row r="41743" s="42" customFormat="1" x14ac:dyDescent="0.25"/>
    <row r="41744" s="42" customFormat="1" x14ac:dyDescent="0.25"/>
    <row r="41745" s="42" customFormat="1" x14ac:dyDescent="0.25"/>
    <row r="41746" s="42" customFormat="1" x14ac:dyDescent="0.25"/>
    <row r="41747" s="42" customFormat="1" x14ac:dyDescent="0.25"/>
    <row r="41748" s="42" customFormat="1" x14ac:dyDescent="0.25"/>
    <row r="41749" s="42" customFormat="1" x14ac:dyDescent="0.25"/>
    <row r="41750" s="42" customFormat="1" x14ac:dyDescent="0.25"/>
    <row r="41751" s="42" customFormat="1" x14ac:dyDescent="0.25"/>
    <row r="41752" s="42" customFormat="1" x14ac:dyDescent="0.25"/>
    <row r="41753" s="42" customFormat="1" x14ac:dyDescent="0.25"/>
    <row r="41754" s="42" customFormat="1" x14ac:dyDescent="0.25"/>
    <row r="41755" s="42" customFormat="1" x14ac:dyDescent="0.25"/>
    <row r="41756" s="42" customFormat="1" x14ac:dyDescent="0.25"/>
    <row r="41757" s="42" customFormat="1" x14ac:dyDescent="0.25"/>
    <row r="41758" s="42" customFormat="1" x14ac:dyDescent="0.25"/>
    <row r="41759" s="42" customFormat="1" x14ac:dyDescent="0.25"/>
    <row r="41760" s="42" customFormat="1" x14ac:dyDescent="0.25"/>
    <row r="41761" s="42" customFormat="1" x14ac:dyDescent="0.25"/>
    <row r="41762" s="42" customFormat="1" x14ac:dyDescent="0.25"/>
    <row r="41763" s="42" customFormat="1" x14ac:dyDescent="0.25"/>
    <row r="41764" s="42" customFormat="1" x14ac:dyDescent="0.25"/>
    <row r="41765" s="42" customFormat="1" x14ac:dyDescent="0.25"/>
    <row r="41766" s="42" customFormat="1" x14ac:dyDescent="0.25"/>
    <row r="41767" s="42" customFormat="1" x14ac:dyDescent="0.25"/>
    <row r="41768" s="42" customFormat="1" x14ac:dyDescent="0.25"/>
    <row r="41769" s="42" customFormat="1" x14ac:dyDescent="0.25"/>
    <row r="41770" s="42" customFormat="1" x14ac:dyDescent="0.25"/>
    <row r="41771" s="42" customFormat="1" x14ac:dyDescent="0.25"/>
    <row r="41772" s="42" customFormat="1" x14ac:dyDescent="0.25"/>
    <row r="41773" s="42" customFormat="1" x14ac:dyDescent="0.25"/>
    <row r="41774" s="42" customFormat="1" x14ac:dyDescent="0.25"/>
    <row r="41775" s="42" customFormat="1" x14ac:dyDescent="0.25"/>
    <row r="41776" s="42" customFormat="1" x14ac:dyDescent="0.25"/>
    <row r="41777" s="42" customFormat="1" x14ac:dyDescent="0.25"/>
    <row r="41778" s="42" customFormat="1" x14ac:dyDescent="0.25"/>
    <row r="41779" s="42" customFormat="1" x14ac:dyDescent="0.25"/>
    <row r="41780" s="42" customFormat="1" x14ac:dyDescent="0.25"/>
    <row r="41781" s="42" customFormat="1" x14ac:dyDescent="0.25"/>
    <row r="41782" s="42" customFormat="1" x14ac:dyDescent="0.25"/>
    <row r="41783" s="42" customFormat="1" x14ac:dyDescent="0.25"/>
    <row r="41784" s="42" customFormat="1" x14ac:dyDescent="0.25"/>
    <row r="41785" s="42" customFormat="1" x14ac:dyDescent="0.25"/>
    <row r="41786" s="42" customFormat="1" x14ac:dyDescent="0.25"/>
    <row r="41787" s="42" customFormat="1" x14ac:dyDescent="0.25"/>
    <row r="41788" s="42" customFormat="1" x14ac:dyDescent="0.25"/>
    <row r="41789" s="42" customFormat="1" x14ac:dyDescent="0.25"/>
    <row r="41790" s="42" customFormat="1" x14ac:dyDescent="0.25"/>
    <row r="41791" s="42" customFormat="1" x14ac:dyDescent="0.25"/>
    <row r="41792" s="42" customFormat="1" x14ac:dyDescent="0.25"/>
    <row r="41793" s="42" customFormat="1" x14ac:dyDescent="0.25"/>
    <row r="41794" s="42" customFormat="1" x14ac:dyDescent="0.25"/>
    <row r="41795" s="42" customFormat="1" x14ac:dyDescent="0.25"/>
    <row r="41796" s="42" customFormat="1" x14ac:dyDescent="0.25"/>
    <row r="41797" s="42" customFormat="1" x14ac:dyDescent="0.25"/>
    <row r="41798" s="42" customFormat="1" x14ac:dyDescent="0.25"/>
    <row r="41799" s="42" customFormat="1" x14ac:dyDescent="0.25"/>
    <row r="41800" s="42" customFormat="1" x14ac:dyDescent="0.25"/>
    <row r="41801" s="42" customFormat="1" x14ac:dyDescent="0.25"/>
    <row r="41802" s="42" customFormat="1" x14ac:dyDescent="0.25"/>
    <row r="41803" s="42" customFormat="1" x14ac:dyDescent="0.25"/>
    <row r="41804" s="42" customFormat="1" x14ac:dyDescent="0.25"/>
    <row r="41805" s="42" customFormat="1" x14ac:dyDescent="0.25"/>
    <row r="41806" s="42" customFormat="1" x14ac:dyDescent="0.25"/>
    <row r="41807" s="42" customFormat="1" x14ac:dyDescent="0.25"/>
    <row r="41808" s="42" customFormat="1" x14ac:dyDescent="0.25"/>
    <row r="41809" s="42" customFormat="1" x14ac:dyDescent="0.25"/>
    <row r="41810" s="42" customFormat="1" x14ac:dyDescent="0.25"/>
    <row r="41811" s="42" customFormat="1" x14ac:dyDescent="0.25"/>
    <row r="41812" s="42" customFormat="1" x14ac:dyDescent="0.25"/>
    <row r="41813" s="42" customFormat="1" x14ac:dyDescent="0.25"/>
    <row r="41814" s="42" customFormat="1" x14ac:dyDescent="0.25"/>
    <row r="41815" s="42" customFormat="1" x14ac:dyDescent="0.25"/>
    <row r="41816" s="42" customFormat="1" x14ac:dyDescent="0.25"/>
    <row r="41817" s="42" customFormat="1" x14ac:dyDescent="0.25"/>
    <row r="41818" s="42" customFormat="1" x14ac:dyDescent="0.25"/>
    <row r="41819" s="42" customFormat="1" x14ac:dyDescent="0.25"/>
    <row r="41820" s="42" customFormat="1" x14ac:dyDescent="0.25"/>
    <row r="41821" s="42" customFormat="1" x14ac:dyDescent="0.25"/>
    <row r="41822" s="42" customFormat="1" x14ac:dyDescent="0.25"/>
    <row r="41823" s="42" customFormat="1" x14ac:dyDescent="0.25"/>
    <row r="41824" s="42" customFormat="1" x14ac:dyDescent="0.25"/>
    <row r="41825" s="42" customFormat="1" x14ac:dyDescent="0.25"/>
    <row r="41826" s="42" customFormat="1" x14ac:dyDescent="0.25"/>
    <row r="41827" s="42" customFormat="1" x14ac:dyDescent="0.25"/>
    <row r="41828" s="42" customFormat="1" x14ac:dyDescent="0.25"/>
    <row r="41829" s="42" customFormat="1" x14ac:dyDescent="0.25"/>
    <row r="41830" s="42" customFormat="1" x14ac:dyDescent="0.25"/>
    <row r="41831" s="42" customFormat="1" x14ac:dyDescent="0.25"/>
    <row r="41832" s="42" customFormat="1" x14ac:dyDescent="0.25"/>
    <row r="41833" s="42" customFormat="1" x14ac:dyDescent="0.25"/>
    <row r="41834" s="42" customFormat="1" x14ac:dyDescent="0.25"/>
    <row r="41835" s="42" customFormat="1" x14ac:dyDescent="0.25"/>
    <row r="41836" s="42" customFormat="1" x14ac:dyDescent="0.25"/>
    <row r="41837" s="42" customFormat="1" x14ac:dyDescent="0.25"/>
    <row r="41838" s="42" customFormat="1" x14ac:dyDescent="0.25"/>
    <row r="41839" s="42" customFormat="1" x14ac:dyDescent="0.25"/>
    <row r="41840" s="42" customFormat="1" x14ac:dyDescent="0.25"/>
    <row r="41841" s="42" customFormat="1" x14ac:dyDescent="0.25"/>
    <row r="41842" s="42" customFormat="1" x14ac:dyDescent="0.25"/>
    <row r="41843" s="42" customFormat="1" x14ac:dyDescent="0.25"/>
    <row r="41844" s="42" customFormat="1" x14ac:dyDescent="0.25"/>
    <row r="41845" s="42" customFormat="1" x14ac:dyDescent="0.25"/>
    <row r="41846" s="42" customFormat="1" x14ac:dyDescent="0.25"/>
    <row r="41847" s="42" customFormat="1" x14ac:dyDescent="0.25"/>
    <row r="41848" s="42" customFormat="1" x14ac:dyDescent="0.25"/>
    <row r="41849" s="42" customFormat="1" x14ac:dyDescent="0.25"/>
    <row r="41850" s="42" customFormat="1" x14ac:dyDescent="0.25"/>
    <row r="41851" s="42" customFormat="1" x14ac:dyDescent="0.25"/>
    <row r="41852" s="42" customFormat="1" x14ac:dyDescent="0.25"/>
    <row r="41853" s="42" customFormat="1" x14ac:dyDescent="0.25"/>
    <row r="41854" s="42" customFormat="1" x14ac:dyDescent="0.25"/>
    <row r="41855" s="42" customFormat="1" x14ac:dyDescent="0.25"/>
    <row r="41856" s="42" customFormat="1" x14ac:dyDescent="0.25"/>
    <row r="41857" s="42" customFormat="1" x14ac:dyDescent="0.25"/>
    <row r="41858" s="42" customFormat="1" x14ac:dyDescent="0.25"/>
    <row r="41859" s="42" customFormat="1" x14ac:dyDescent="0.25"/>
    <row r="41860" s="42" customFormat="1" x14ac:dyDescent="0.25"/>
    <row r="41861" s="42" customFormat="1" x14ac:dyDescent="0.25"/>
    <row r="41862" s="42" customFormat="1" x14ac:dyDescent="0.25"/>
    <row r="41863" s="42" customFormat="1" x14ac:dyDescent="0.25"/>
    <row r="41864" s="42" customFormat="1" x14ac:dyDescent="0.25"/>
    <row r="41865" s="42" customFormat="1" x14ac:dyDescent="0.25"/>
    <row r="41866" s="42" customFormat="1" x14ac:dyDescent="0.25"/>
    <row r="41867" s="42" customFormat="1" x14ac:dyDescent="0.25"/>
    <row r="41868" s="42" customFormat="1" x14ac:dyDescent="0.25"/>
    <row r="41869" s="42" customFormat="1" x14ac:dyDescent="0.25"/>
    <row r="41870" s="42" customFormat="1" x14ac:dyDescent="0.25"/>
    <row r="41871" s="42" customFormat="1" x14ac:dyDescent="0.25"/>
    <row r="41872" s="42" customFormat="1" x14ac:dyDescent="0.25"/>
    <row r="41873" s="42" customFormat="1" x14ac:dyDescent="0.25"/>
    <row r="41874" s="42" customFormat="1" x14ac:dyDescent="0.25"/>
    <row r="41875" s="42" customFormat="1" x14ac:dyDescent="0.25"/>
    <row r="41876" s="42" customFormat="1" x14ac:dyDescent="0.25"/>
    <row r="41877" s="42" customFormat="1" x14ac:dyDescent="0.25"/>
    <row r="41878" s="42" customFormat="1" x14ac:dyDescent="0.25"/>
    <row r="41879" s="42" customFormat="1" x14ac:dyDescent="0.25"/>
    <row r="41880" s="42" customFormat="1" x14ac:dyDescent="0.25"/>
    <row r="41881" s="42" customFormat="1" x14ac:dyDescent="0.25"/>
    <row r="41882" s="42" customFormat="1" x14ac:dyDescent="0.25"/>
    <row r="41883" s="42" customFormat="1" x14ac:dyDescent="0.25"/>
    <row r="41884" s="42" customFormat="1" x14ac:dyDescent="0.25"/>
    <row r="41885" s="42" customFormat="1" x14ac:dyDescent="0.25"/>
    <row r="41886" s="42" customFormat="1" x14ac:dyDescent="0.25"/>
    <row r="41887" s="42" customFormat="1" x14ac:dyDescent="0.25"/>
    <row r="41888" s="42" customFormat="1" x14ac:dyDescent="0.25"/>
    <row r="41889" s="42" customFormat="1" x14ac:dyDescent="0.25"/>
    <row r="41890" s="42" customFormat="1" x14ac:dyDescent="0.25"/>
    <row r="41891" s="42" customFormat="1" x14ac:dyDescent="0.25"/>
    <row r="41892" s="42" customFormat="1" x14ac:dyDescent="0.25"/>
    <row r="41893" s="42" customFormat="1" x14ac:dyDescent="0.25"/>
    <row r="41894" s="42" customFormat="1" x14ac:dyDescent="0.25"/>
    <row r="41895" s="42" customFormat="1" x14ac:dyDescent="0.25"/>
    <row r="41896" s="42" customFormat="1" x14ac:dyDescent="0.25"/>
    <row r="41897" s="42" customFormat="1" x14ac:dyDescent="0.25"/>
    <row r="41898" s="42" customFormat="1" x14ac:dyDescent="0.25"/>
    <row r="41899" s="42" customFormat="1" x14ac:dyDescent="0.25"/>
    <row r="41900" s="42" customFormat="1" x14ac:dyDescent="0.25"/>
    <row r="41901" s="42" customFormat="1" x14ac:dyDescent="0.25"/>
    <row r="41902" s="42" customFormat="1" x14ac:dyDescent="0.25"/>
    <row r="41903" s="42" customFormat="1" x14ac:dyDescent="0.25"/>
    <row r="41904" s="42" customFormat="1" x14ac:dyDescent="0.25"/>
    <row r="41905" s="42" customFormat="1" x14ac:dyDescent="0.25"/>
    <row r="41906" s="42" customFormat="1" x14ac:dyDescent="0.25"/>
    <row r="41907" s="42" customFormat="1" x14ac:dyDescent="0.25"/>
    <row r="41908" s="42" customFormat="1" x14ac:dyDescent="0.25"/>
    <row r="41909" s="42" customFormat="1" x14ac:dyDescent="0.25"/>
    <row r="41910" s="42" customFormat="1" x14ac:dyDescent="0.25"/>
    <row r="41911" s="42" customFormat="1" x14ac:dyDescent="0.25"/>
    <row r="41912" s="42" customFormat="1" x14ac:dyDescent="0.25"/>
    <row r="41913" s="42" customFormat="1" x14ac:dyDescent="0.25"/>
    <row r="41914" s="42" customFormat="1" x14ac:dyDescent="0.25"/>
    <row r="41915" s="42" customFormat="1" x14ac:dyDescent="0.25"/>
    <row r="41916" s="42" customFormat="1" x14ac:dyDescent="0.25"/>
    <row r="41917" s="42" customFormat="1" x14ac:dyDescent="0.25"/>
    <row r="41918" s="42" customFormat="1" x14ac:dyDescent="0.25"/>
    <row r="41919" s="42" customFormat="1" x14ac:dyDescent="0.25"/>
    <row r="41920" s="42" customFormat="1" x14ac:dyDescent="0.25"/>
    <row r="41921" s="42" customFormat="1" x14ac:dyDescent="0.25"/>
    <row r="41922" s="42" customFormat="1" x14ac:dyDescent="0.25"/>
    <row r="41923" s="42" customFormat="1" x14ac:dyDescent="0.25"/>
    <row r="41924" s="42" customFormat="1" x14ac:dyDescent="0.25"/>
    <row r="41925" s="42" customFormat="1" x14ac:dyDescent="0.25"/>
    <row r="41926" s="42" customFormat="1" x14ac:dyDescent="0.25"/>
    <row r="41927" s="42" customFormat="1" x14ac:dyDescent="0.25"/>
    <row r="41928" s="42" customFormat="1" x14ac:dyDescent="0.25"/>
    <row r="41929" s="42" customFormat="1" x14ac:dyDescent="0.25"/>
    <row r="41930" s="42" customFormat="1" x14ac:dyDescent="0.25"/>
    <row r="41931" s="42" customFormat="1" x14ac:dyDescent="0.25"/>
    <row r="41932" s="42" customFormat="1" x14ac:dyDescent="0.25"/>
    <row r="41933" s="42" customFormat="1" x14ac:dyDescent="0.25"/>
    <row r="41934" s="42" customFormat="1" x14ac:dyDescent="0.25"/>
    <row r="41935" s="42" customFormat="1" x14ac:dyDescent="0.25"/>
    <row r="41936" s="42" customFormat="1" x14ac:dyDescent="0.25"/>
    <row r="41937" s="42" customFormat="1" x14ac:dyDescent="0.25"/>
    <row r="41938" s="42" customFormat="1" x14ac:dyDescent="0.25"/>
    <row r="41939" s="42" customFormat="1" x14ac:dyDescent="0.25"/>
    <row r="41940" s="42" customFormat="1" x14ac:dyDescent="0.25"/>
    <row r="41941" s="42" customFormat="1" x14ac:dyDescent="0.25"/>
    <row r="41942" s="42" customFormat="1" x14ac:dyDescent="0.25"/>
    <row r="41943" s="42" customFormat="1" x14ac:dyDescent="0.25"/>
    <row r="41944" s="42" customFormat="1" x14ac:dyDescent="0.25"/>
    <row r="41945" s="42" customFormat="1" x14ac:dyDescent="0.25"/>
    <row r="41946" s="42" customFormat="1" x14ac:dyDescent="0.25"/>
    <row r="41947" s="42" customFormat="1" x14ac:dyDescent="0.25"/>
    <row r="41948" s="42" customFormat="1" x14ac:dyDescent="0.25"/>
    <row r="41949" s="42" customFormat="1" x14ac:dyDescent="0.25"/>
    <row r="41950" s="42" customFormat="1" x14ac:dyDescent="0.25"/>
    <row r="41951" s="42" customFormat="1" x14ac:dyDescent="0.25"/>
    <row r="41952" s="42" customFormat="1" x14ac:dyDescent="0.25"/>
    <row r="41953" s="42" customFormat="1" x14ac:dyDescent="0.25"/>
    <row r="41954" s="42" customFormat="1" x14ac:dyDescent="0.25"/>
    <row r="41955" s="42" customFormat="1" x14ac:dyDescent="0.25"/>
    <row r="41956" s="42" customFormat="1" x14ac:dyDescent="0.25"/>
    <row r="41957" s="42" customFormat="1" x14ac:dyDescent="0.25"/>
    <row r="41958" s="42" customFormat="1" x14ac:dyDescent="0.25"/>
    <row r="41959" s="42" customFormat="1" x14ac:dyDescent="0.25"/>
    <row r="41960" s="42" customFormat="1" x14ac:dyDescent="0.25"/>
    <row r="41961" s="42" customFormat="1" x14ac:dyDescent="0.25"/>
    <row r="41962" s="42" customFormat="1" x14ac:dyDescent="0.25"/>
    <row r="41963" s="42" customFormat="1" x14ac:dyDescent="0.25"/>
    <row r="41964" s="42" customFormat="1" x14ac:dyDescent="0.25"/>
    <row r="41965" s="42" customFormat="1" x14ac:dyDescent="0.25"/>
    <row r="41966" s="42" customFormat="1" x14ac:dyDescent="0.25"/>
    <row r="41967" s="42" customFormat="1" x14ac:dyDescent="0.25"/>
    <row r="41968" s="42" customFormat="1" x14ac:dyDescent="0.25"/>
    <row r="41969" s="42" customFormat="1" x14ac:dyDescent="0.25"/>
    <row r="41970" s="42" customFormat="1" x14ac:dyDescent="0.25"/>
    <row r="41971" s="42" customFormat="1" x14ac:dyDescent="0.25"/>
    <row r="41972" s="42" customFormat="1" x14ac:dyDescent="0.25"/>
    <row r="41973" s="42" customFormat="1" x14ac:dyDescent="0.25"/>
    <row r="41974" s="42" customFormat="1" x14ac:dyDescent="0.25"/>
    <row r="41975" s="42" customFormat="1" x14ac:dyDescent="0.25"/>
    <row r="41976" s="42" customFormat="1" x14ac:dyDescent="0.25"/>
    <row r="41977" s="42" customFormat="1" x14ac:dyDescent="0.25"/>
    <row r="41978" s="42" customFormat="1" x14ac:dyDescent="0.25"/>
    <row r="41979" s="42" customFormat="1" x14ac:dyDescent="0.25"/>
    <row r="41980" s="42" customFormat="1" x14ac:dyDescent="0.25"/>
    <row r="41981" s="42" customFormat="1" x14ac:dyDescent="0.25"/>
    <row r="41982" s="42" customFormat="1" x14ac:dyDescent="0.25"/>
    <row r="41983" s="42" customFormat="1" x14ac:dyDescent="0.25"/>
    <row r="41984" s="42" customFormat="1" x14ac:dyDescent="0.25"/>
    <row r="41985" s="42" customFormat="1" x14ac:dyDescent="0.25"/>
    <row r="41986" s="42" customFormat="1" x14ac:dyDescent="0.25"/>
    <row r="41987" s="42" customFormat="1" x14ac:dyDescent="0.25"/>
    <row r="41988" s="42" customFormat="1" x14ac:dyDescent="0.25"/>
    <row r="41989" s="42" customFormat="1" x14ac:dyDescent="0.25"/>
    <row r="41990" s="42" customFormat="1" x14ac:dyDescent="0.25"/>
    <row r="41991" s="42" customFormat="1" x14ac:dyDescent="0.25"/>
    <row r="41992" s="42" customFormat="1" x14ac:dyDescent="0.25"/>
    <row r="41993" s="42" customFormat="1" x14ac:dyDescent="0.25"/>
    <row r="41994" s="42" customFormat="1" x14ac:dyDescent="0.25"/>
    <row r="41995" s="42" customFormat="1" x14ac:dyDescent="0.25"/>
    <row r="41996" s="42" customFormat="1" x14ac:dyDescent="0.25"/>
    <row r="41997" s="42" customFormat="1" x14ac:dyDescent="0.25"/>
    <row r="41998" s="42" customFormat="1" x14ac:dyDescent="0.25"/>
    <row r="41999" s="42" customFormat="1" x14ac:dyDescent="0.25"/>
    <row r="42000" s="42" customFormat="1" x14ac:dyDescent="0.25"/>
    <row r="42001" s="42" customFormat="1" x14ac:dyDescent="0.25"/>
    <row r="42002" s="42" customFormat="1" x14ac:dyDescent="0.25"/>
    <row r="42003" s="42" customFormat="1" x14ac:dyDescent="0.25"/>
    <row r="42004" s="42" customFormat="1" x14ac:dyDescent="0.25"/>
    <row r="42005" s="42" customFormat="1" x14ac:dyDescent="0.25"/>
    <row r="42006" s="42" customFormat="1" x14ac:dyDescent="0.25"/>
    <row r="42007" s="42" customFormat="1" x14ac:dyDescent="0.25"/>
    <row r="42008" s="42" customFormat="1" x14ac:dyDescent="0.25"/>
    <row r="42009" s="42" customFormat="1" x14ac:dyDescent="0.25"/>
    <row r="42010" s="42" customFormat="1" x14ac:dyDescent="0.25"/>
    <row r="42011" s="42" customFormat="1" x14ac:dyDescent="0.25"/>
    <row r="42012" s="42" customFormat="1" x14ac:dyDescent="0.25"/>
    <row r="42013" s="42" customFormat="1" x14ac:dyDescent="0.25"/>
    <row r="42014" s="42" customFormat="1" x14ac:dyDescent="0.25"/>
    <row r="42015" s="42" customFormat="1" x14ac:dyDescent="0.25"/>
    <row r="42016" s="42" customFormat="1" x14ac:dyDescent="0.25"/>
    <row r="42017" s="42" customFormat="1" x14ac:dyDescent="0.25"/>
    <row r="42018" s="42" customFormat="1" x14ac:dyDescent="0.25"/>
    <row r="42019" s="42" customFormat="1" x14ac:dyDescent="0.25"/>
    <row r="42020" s="42" customFormat="1" x14ac:dyDescent="0.25"/>
    <row r="42021" s="42" customFormat="1" x14ac:dyDescent="0.25"/>
    <row r="42022" s="42" customFormat="1" x14ac:dyDescent="0.25"/>
    <row r="42023" s="42" customFormat="1" x14ac:dyDescent="0.25"/>
    <row r="42024" s="42" customFormat="1" x14ac:dyDescent="0.25"/>
    <row r="42025" s="42" customFormat="1" x14ac:dyDescent="0.25"/>
    <row r="42026" s="42" customFormat="1" x14ac:dyDescent="0.25"/>
    <row r="42027" s="42" customFormat="1" x14ac:dyDescent="0.25"/>
    <row r="42028" s="42" customFormat="1" x14ac:dyDescent="0.25"/>
    <row r="42029" s="42" customFormat="1" x14ac:dyDescent="0.25"/>
    <row r="42030" s="42" customFormat="1" x14ac:dyDescent="0.25"/>
    <row r="42031" s="42" customFormat="1" x14ac:dyDescent="0.25"/>
    <row r="42032" s="42" customFormat="1" x14ac:dyDescent="0.25"/>
    <row r="42033" s="42" customFormat="1" x14ac:dyDescent="0.25"/>
    <row r="42034" s="42" customFormat="1" x14ac:dyDescent="0.25"/>
    <row r="42035" s="42" customFormat="1" x14ac:dyDescent="0.25"/>
    <row r="42036" s="42" customFormat="1" x14ac:dyDescent="0.25"/>
    <row r="42037" s="42" customFormat="1" x14ac:dyDescent="0.25"/>
    <row r="42038" s="42" customFormat="1" x14ac:dyDescent="0.25"/>
    <row r="42039" s="42" customFormat="1" x14ac:dyDescent="0.25"/>
    <row r="42040" s="42" customFormat="1" x14ac:dyDescent="0.25"/>
    <row r="42041" s="42" customFormat="1" x14ac:dyDescent="0.25"/>
    <row r="42042" s="42" customFormat="1" x14ac:dyDescent="0.25"/>
    <row r="42043" s="42" customFormat="1" x14ac:dyDescent="0.25"/>
    <row r="42044" s="42" customFormat="1" x14ac:dyDescent="0.25"/>
    <row r="42045" s="42" customFormat="1" x14ac:dyDescent="0.25"/>
    <row r="42046" s="42" customFormat="1" x14ac:dyDescent="0.25"/>
    <row r="42047" s="42" customFormat="1" x14ac:dyDescent="0.25"/>
    <row r="42048" s="42" customFormat="1" x14ac:dyDescent="0.25"/>
    <row r="42049" s="42" customFormat="1" x14ac:dyDescent="0.25"/>
    <row r="42050" s="42" customFormat="1" x14ac:dyDescent="0.25"/>
    <row r="42051" s="42" customFormat="1" x14ac:dyDescent="0.25"/>
    <row r="42052" s="42" customFormat="1" x14ac:dyDescent="0.25"/>
    <row r="42053" s="42" customFormat="1" x14ac:dyDescent="0.25"/>
    <row r="42054" s="42" customFormat="1" x14ac:dyDescent="0.25"/>
    <row r="42055" s="42" customFormat="1" x14ac:dyDescent="0.25"/>
    <row r="42056" s="42" customFormat="1" x14ac:dyDescent="0.25"/>
    <row r="42057" s="42" customFormat="1" x14ac:dyDescent="0.25"/>
    <row r="42058" s="42" customFormat="1" x14ac:dyDescent="0.25"/>
    <row r="42059" s="42" customFormat="1" x14ac:dyDescent="0.25"/>
    <row r="42060" s="42" customFormat="1" x14ac:dyDescent="0.25"/>
    <row r="42061" s="42" customFormat="1" x14ac:dyDescent="0.25"/>
    <row r="42062" s="42" customFormat="1" x14ac:dyDescent="0.25"/>
    <row r="42063" s="42" customFormat="1" x14ac:dyDescent="0.25"/>
    <row r="42064" s="42" customFormat="1" x14ac:dyDescent="0.25"/>
    <row r="42065" s="42" customFormat="1" x14ac:dyDescent="0.25"/>
    <row r="42066" s="42" customFormat="1" x14ac:dyDescent="0.25"/>
    <row r="42067" s="42" customFormat="1" x14ac:dyDescent="0.25"/>
    <row r="42068" s="42" customFormat="1" x14ac:dyDescent="0.25"/>
    <row r="42069" s="42" customFormat="1" x14ac:dyDescent="0.25"/>
    <row r="42070" s="42" customFormat="1" x14ac:dyDescent="0.25"/>
    <row r="42071" s="42" customFormat="1" x14ac:dyDescent="0.25"/>
    <row r="42072" s="42" customFormat="1" x14ac:dyDescent="0.25"/>
    <row r="42073" s="42" customFormat="1" x14ac:dyDescent="0.25"/>
    <row r="42074" s="42" customFormat="1" x14ac:dyDescent="0.25"/>
    <row r="42075" s="42" customFormat="1" x14ac:dyDescent="0.25"/>
    <row r="42076" s="42" customFormat="1" x14ac:dyDescent="0.25"/>
    <row r="42077" s="42" customFormat="1" x14ac:dyDescent="0.25"/>
    <row r="42078" s="42" customFormat="1" x14ac:dyDescent="0.25"/>
    <row r="42079" s="42" customFormat="1" x14ac:dyDescent="0.25"/>
    <row r="42080" s="42" customFormat="1" x14ac:dyDescent="0.25"/>
    <row r="42081" s="42" customFormat="1" x14ac:dyDescent="0.25"/>
    <row r="42082" s="42" customFormat="1" x14ac:dyDescent="0.25"/>
    <row r="42083" s="42" customFormat="1" x14ac:dyDescent="0.25"/>
    <row r="42084" s="42" customFormat="1" x14ac:dyDescent="0.25"/>
    <row r="42085" s="42" customFormat="1" x14ac:dyDescent="0.25"/>
    <row r="42086" s="42" customFormat="1" x14ac:dyDescent="0.25"/>
    <row r="42087" s="42" customFormat="1" x14ac:dyDescent="0.25"/>
    <row r="42088" s="42" customFormat="1" x14ac:dyDescent="0.25"/>
    <row r="42089" s="42" customFormat="1" x14ac:dyDescent="0.25"/>
    <row r="42090" s="42" customFormat="1" x14ac:dyDescent="0.25"/>
    <row r="42091" s="42" customFormat="1" x14ac:dyDescent="0.25"/>
    <row r="42092" s="42" customFormat="1" x14ac:dyDescent="0.25"/>
    <row r="42093" s="42" customFormat="1" x14ac:dyDescent="0.25"/>
    <row r="42094" s="42" customFormat="1" x14ac:dyDescent="0.25"/>
    <row r="42095" s="42" customFormat="1" x14ac:dyDescent="0.25"/>
    <row r="42096" s="42" customFormat="1" x14ac:dyDescent="0.25"/>
    <row r="42097" s="42" customFormat="1" x14ac:dyDescent="0.25"/>
    <row r="42098" s="42" customFormat="1" x14ac:dyDescent="0.25"/>
    <row r="42099" s="42" customFormat="1" x14ac:dyDescent="0.25"/>
    <row r="42100" s="42" customFormat="1" x14ac:dyDescent="0.25"/>
    <row r="42101" s="42" customFormat="1" x14ac:dyDescent="0.25"/>
    <row r="42102" s="42" customFormat="1" x14ac:dyDescent="0.25"/>
    <row r="42103" s="42" customFormat="1" x14ac:dyDescent="0.25"/>
    <row r="42104" s="42" customFormat="1" x14ac:dyDescent="0.25"/>
    <row r="42105" s="42" customFormat="1" x14ac:dyDescent="0.25"/>
    <row r="42106" s="42" customFormat="1" x14ac:dyDescent="0.25"/>
    <row r="42107" s="42" customFormat="1" x14ac:dyDescent="0.25"/>
    <row r="42108" s="42" customFormat="1" x14ac:dyDescent="0.25"/>
    <row r="42109" s="42" customFormat="1" x14ac:dyDescent="0.25"/>
    <row r="42110" s="42" customFormat="1" x14ac:dyDescent="0.25"/>
    <row r="42111" s="42" customFormat="1" x14ac:dyDescent="0.25"/>
    <row r="42112" s="42" customFormat="1" x14ac:dyDescent="0.25"/>
    <row r="42113" s="42" customFormat="1" x14ac:dyDescent="0.25"/>
    <row r="42114" s="42" customFormat="1" x14ac:dyDescent="0.25"/>
    <row r="42115" s="42" customFormat="1" x14ac:dyDescent="0.25"/>
    <row r="42116" s="42" customFormat="1" x14ac:dyDescent="0.25"/>
    <row r="42117" s="42" customFormat="1" x14ac:dyDescent="0.25"/>
    <row r="42118" s="42" customFormat="1" x14ac:dyDescent="0.25"/>
    <row r="42119" s="42" customFormat="1" x14ac:dyDescent="0.25"/>
    <row r="42120" s="42" customFormat="1" x14ac:dyDescent="0.25"/>
    <row r="42121" s="42" customFormat="1" x14ac:dyDescent="0.25"/>
    <row r="42122" s="42" customFormat="1" x14ac:dyDescent="0.25"/>
    <row r="42123" s="42" customFormat="1" x14ac:dyDescent="0.25"/>
    <row r="42124" s="42" customFormat="1" x14ac:dyDescent="0.25"/>
    <row r="42125" s="42" customFormat="1" x14ac:dyDescent="0.25"/>
    <row r="42126" s="42" customFormat="1" x14ac:dyDescent="0.25"/>
    <row r="42127" s="42" customFormat="1" x14ac:dyDescent="0.25"/>
    <row r="42128" s="42" customFormat="1" x14ac:dyDescent="0.25"/>
    <row r="42129" s="42" customFormat="1" x14ac:dyDescent="0.25"/>
    <row r="42130" s="42" customFormat="1" x14ac:dyDescent="0.25"/>
    <row r="42131" s="42" customFormat="1" x14ac:dyDescent="0.25"/>
    <row r="42132" s="42" customFormat="1" x14ac:dyDescent="0.25"/>
    <row r="42133" s="42" customFormat="1" x14ac:dyDescent="0.25"/>
    <row r="42134" s="42" customFormat="1" x14ac:dyDescent="0.25"/>
    <row r="42135" s="42" customFormat="1" x14ac:dyDescent="0.25"/>
    <row r="42136" s="42" customFormat="1" x14ac:dyDescent="0.25"/>
    <row r="42137" s="42" customFormat="1" x14ac:dyDescent="0.25"/>
    <row r="42138" s="42" customFormat="1" x14ac:dyDescent="0.25"/>
    <row r="42139" s="42" customFormat="1" x14ac:dyDescent="0.25"/>
    <row r="42140" s="42" customFormat="1" x14ac:dyDescent="0.25"/>
    <row r="42141" s="42" customFormat="1" x14ac:dyDescent="0.25"/>
    <row r="42142" s="42" customFormat="1" x14ac:dyDescent="0.25"/>
    <row r="42143" s="42" customFormat="1" x14ac:dyDescent="0.25"/>
    <row r="42144" s="42" customFormat="1" x14ac:dyDescent="0.25"/>
    <row r="42145" s="42" customFormat="1" x14ac:dyDescent="0.25"/>
    <row r="42146" s="42" customFormat="1" x14ac:dyDescent="0.25"/>
    <row r="42147" s="42" customFormat="1" x14ac:dyDescent="0.25"/>
    <row r="42148" s="42" customFormat="1" x14ac:dyDescent="0.25"/>
    <row r="42149" s="42" customFormat="1" x14ac:dyDescent="0.25"/>
    <row r="42150" s="42" customFormat="1" x14ac:dyDescent="0.25"/>
    <row r="42151" s="42" customFormat="1" x14ac:dyDescent="0.25"/>
    <row r="42152" s="42" customFormat="1" x14ac:dyDescent="0.25"/>
    <row r="42153" s="42" customFormat="1" x14ac:dyDescent="0.25"/>
    <row r="42154" s="42" customFormat="1" x14ac:dyDescent="0.25"/>
    <row r="42155" s="42" customFormat="1" x14ac:dyDescent="0.25"/>
    <row r="42156" s="42" customFormat="1" x14ac:dyDescent="0.25"/>
    <row r="42157" s="42" customFormat="1" x14ac:dyDescent="0.25"/>
    <row r="42158" s="42" customFormat="1" x14ac:dyDescent="0.25"/>
    <row r="42159" s="42" customFormat="1" x14ac:dyDescent="0.25"/>
    <row r="42160" s="42" customFormat="1" x14ac:dyDescent="0.25"/>
    <row r="42161" s="42" customFormat="1" x14ac:dyDescent="0.25"/>
    <row r="42162" s="42" customFormat="1" x14ac:dyDescent="0.25"/>
    <row r="42163" s="42" customFormat="1" x14ac:dyDescent="0.25"/>
    <row r="42164" s="42" customFormat="1" x14ac:dyDescent="0.25"/>
    <row r="42165" s="42" customFormat="1" x14ac:dyDescent="0.25"/>
    <row r="42166" s="42" customFormat="1" x14ac:dyDescent="0.25"/>
    <row r="42167" s="42" customFormat="1" x14ac:dyDescent="0.25"/>
    <row r="42168" s="42" customFormat="1" x14ac:dyDescent="0.25"/>
    <row r="42169" s="42" customFormat="1" x14ac:dyDescent="0.25"/>
    <row r="42170" s="42" customFormat="1" x14ac:dyDescent="0.25"/>
    <row r="42171" s="42" customFormat="1" x14ac:dyDescent="0.25"/>
    <row r="42172" s="42" customFormat="1" x14ac:dyDescent="0.25"/>
    <row r="42173" s="42" customFormat="1" x14ac:dyDescent="0.25"/>
    <row r="42174" s="42" customFormat="1" x14ac:dyDescent="0.25"/>
    <row r="42175" s="42" customFormat="1" x14ac:dyDescent="0.25"/>
    <row r="42176" s="42" customFormat="1" x14ac:dyDescent="0.25"/>
    <row r="42177" s="42" customFormat="1" x14ac:dyDescent="0.25"/>
    <row r="42178" s="42" customFormat="1" x14ac:dyDescent="0.25"/>
    <row r="42179" s="42" customFormat="1" x14ac:dyDescent="0.25"/>
    <row r="42180" s="42" customFormat="1" x14ac:dyDescent="0.25"/>
    <row r="42181" s="42" customFormat="1" x14ac:dyDescent="0.25"/>
    <row r="42182" s="42" customFormat="1" x14ac:dyDescent="0.25"/>
    <row r="42183" s="42" customFormat="1" x14ac:dyDescent="0.25"/>
    <row r="42184" s="42" customFormat="1" x14ac:dyDescent="0.25"/>
    <row r="42185" s="42" customFormat="1" x14ac:dyDescent="0.25"/>
    <row r="42186" s="42" customFormat="1" x14ac:dyDescent="0.25"/>
    <row r="42187" s="42" customFormat="1" x14ac:dyDescent="0.25"/>
    <row r="42188" s="42" customFormat="1" x14ac:dyDescent="0.25"/>
    <row r="42189" s="42" customFormat="1" x14ac:dyDescent="0.25"/>
    <row r="42190" s="42" customFormat="1" x14ac:dyDescent="0.25"/>
    <row r="42191" s="42" customFormat="1" x14ac:dyDescent="0.25"/>
    <row r="42192" s="42" customFormat="1" x14ac:dyDescent="0.25"/>
    <row r="42193" s="42" customFormat="1" x14ac:dyDescent="0.25"/>
    <row r="42194" s="42" customFormat="1" x14ac:dyDescent="0.25"/>
    <row r="42195" s="42" customFormat="1" x14ac:dyDescent="0.25"/>
    <row r="42196" s="42" customFormat="1" x14ac:dyDescent="0.25"/>
    <row r="42197" s="42" customFormat="1" x14ac:dyDescent="0.25"/>
    <row r="42198" s="42" customFormat="1" x14ac:dyDescent="0.25"/>
    <row r="42199" s="42" customFormat="1" x14ac:dyDescent="0.25"/>
    <row r="42200" s="42" customFormat="1" x14ac:dyDescent="0.25"/>
    <row r="42201" s="42" customFormat="1" x14ac:dyDescent="0.25"/>
    <row r="42202" s="42" customFormat="1" x14ac:dyDescent="0.25"/>
    <row r="42203" s="42" customFormat="1" x14ac:dyDescent="0.25"/>
    <row r="42204" s="42" customFormat="1" x14ac:dyDescent="0.25"/>
    <row r="42205" s="42" customFormat="1" x14ac:dyDescent="0.25"/>
    <row r="42206" s="42" customFormat="1" x14ac:dyDescent="0.25"/>
    <row r="42207" s="42" customFormat="1" x14ac:dyDescent="0.25"/>
    <row r="42208" s="42" customFormat="1" x14ac:dyDescent="0.25"/>
    <row r="42209" s="42" customFormat="1" x14ac:dyDescent="0.25"/>
    <row r="42210" s="42" customFormat="1" x14ac:dyDescent="0.25"/>
    <row r="42211" s="42" customFormat="1" x14ac:dyDescent="0.25"/>
    <row r="42212" s="42" customFormat="1" x14ac:dyDescent="0.25"/>
    <row r="42213" s="42" customFormat="1" x14ac:dyDescent="0.25"/>
    <row r="42214" s="42" customFormat="1" x14ac:dyDescent="0.25"/>
    <row r="42215" s="42" customFormat="1" x14ac:dyDescent="0.25"/>
    <row r="42216" s="42" customFormat="1" x14ac:dyDescent="0.25"/>
    <row r="42217" s="42" customFormat="1" x14ac:dyDescent="0.25"/>
    <row r="42218" s="42" customFormat="1" x14ac:dyDescent="0.25"/>
    <row r="42219" s="42" customFormat="1" x14ac:dyDescent="0.25"/>
    <row r="42220" s="42" customFormat="1" x14ac:dyDescent="0.25"/>
    <row r="42221" s="42" customFormat="1" x14ac:dyDescent="0.25"/>
    <row r="42222" s="42" customFormat="1" x14ac:dyDescent="0.25"/>
    <row r="42223" s="42" customFormat="1" x14ac:dyDescent="0.25"/>
    <row r="42224" s="42" customFormat="1" x14ac:dyDescent="0.25"/>
    <row r="42225" s="42" customFormat="1" x14ac:dyDescent="0.25"/>
    <row r="42226" s="42" customFormat="1" x14ac:dyDescent="0.25"/>
    <row r="42227" s="42" customFormat="1" x14ac:dyDescent="0.25"/>
    <row r="42228" s="42" customFormat="1" x14ac:dyDescent="0.25"/>
    <row r="42229" s="42" customFormat="1" x14ac:dyDescent="0.25"/>
    <row r="42230" s="42" customFormat="1" x14ac:dyDescent="0.25"/>
    <row r="42231" s="42" customFormat="1" x14ac:dyDescent="0.25"/>
    <row r="42232" s="42" customFormat="1" x14ac:dyDescent="0.25"/>
    <row r="42233" s="42" customFormat="1" x14ac:dyDescent="0.25"/>
    <row r="42234" s="42" customFormat="1" x14ac:dyDescent="0.25"/>
    <row r="42235" s="42" customFormat="1" x14ac:dyDescent="0.25"/>
    <row r="42236" s="42" customFormat="1" x14ac:dyDescent="0.25"/>
    <row r="42237" s="42" customFormat="1" x14ac:dyDescent="0.25"/>
    <row r="42238" s="42" customFormat="1" x14ac:dyDescent="0.25"/>
    <row r="42239" s="42" customFormat="1" x14ac:dyDescent="0.25"/>
    <row r="42240" s="42" customFormat="1" x14ac:dyDescent="0.25"/>
    <row r="42241" s="42" customFormat="1" x14ac:dyDescent="0.25"/>
    <row r="42242" s="42" customFormat="1" x14ac:dyDescent="0.25"/>
    <row r="42243" s="42" customFormat="1" x14ac:dyDescent="0.25"/>
    <row r="42244" s="42" customFormat="1" x14ac:dyDescent="0.25"/>
    <row r="42245" s="42" customFormat="1" x14ac:dyDescent="0.25"/>
    <row r="42246" s="42" customFormat="1" x14ac:dyDescent="0.25"/>
    <row r="42247" s="42" customFormat="1" x14ac:dyDescent="0.25"/>
    <row r="42248" s="42" customFormat="1" x14ac:dyDescent="0.25"/>
    <row r="42249" s="42" customFormat="1" x14ac:dyDescent="0.25"/>
    <row r="42250" s="42" customFormat="1" x14ac:dyDescent="0.25"/>
    <row r="42251" s="42" customFormat="1" x14ac:dyDescent="0.25"/>
    <row r="42252" s="42" customFormat="1" x14ac:dyDescent="0.25"/>
    <row r="42253" s="42" customFormat="1" x14ac:dyDescent="0.25"/>
    <row r="42254" s="42" customFormat="1" x14ac:dyDescent="0.25"/>
    <row r="42255" s="42" customFormat="1" x14ac:dyDescent="0.25"/>
    <row r="42256" s="42" customFormat="1" x14ac:dyDescent="0.25"/>
    <row r="42257" s="42" customFormat="1" x14ac:dyDescent="0.25"/>
    <row r="42258" s="42" customFormat="1" x14ac:dyDescent="0.25"/>
    <row r="42259" s="42" customFormat="1" x14ac:dyDescent="0.25"/>
    <row r="42260" s="42" customFormat="1" x14ac:dyDescent="0.25"/>
    <row r="42261" s="42" customFormat="1" x14ac:dyDescent="0.25"/>
    <row r="42262" s="42" customFormat="1" x14ac:dyDescent="0.25"/>
    <row r="42263" s="42" customFormat="1" x14ac:dyDescent="0.25"/>
    <row r="42264" s="42" customFormat="1" x14ac:dyDescent="0.25"/>
    <row r="42265" s="42" customFormat="1" x14ac:dyDescent="0.25"/>
    <row r="42266" s="42" customFormat="1" x14ac:dyDescent="0.25"/>
    <row r="42267" s="42" customFormat="1" x14ac:dyDescent="0.25"/>
    <row r="42268" s="42" customFormat="1" x14ac:dyDescent="0.25"/>
    <row r="42269" s="42" customFormat="1" x14ac:dyDescent="0.25"/>
    <row r="42270" s="42" customFormat="1" x14ac:dyDescent="0.25"/>
    <row r="42271" s="42" customFormat="1" x14ac:dyDescent="0.25"/>
    <row r="42272" s="42" customFormat="1" x14ac:dyDescent="0.25"/>
    <row r="42273" s="42" customFormat="1" x14ac:dyDescent="0.25"/>
    <row r="42274" s="42" customFormat="1" x14ac:dyDescent="0.25"/>
    <row r="42275" s="42" customFormat="1" x14ac:dyDescent="0.25"/>
    <row r="42276" s="42" customFormat="1" x14ac:dyDescent="0.25"/>
    <row r="42277" s="42" customFormat="1" x14ac:dyDescent="0.25"/>
    <row r="42278" s="42" customFormat="1" x14ac:dyDescent="0.25"/>
    <row r="42279" s="42" customFormat="1" x14ac:dyDescent="0.25"/>
    <row r="42280" s="42" customFormat="1" x14ac:dyDescent="0.25"/>
    <row r="42281" s="42" customFormat="1" x14ac:dyDescent="0.25"/>
    <row r="42282" s="42" customFormat="1" x14ac:dyDescent="0.25"/>
    <row r="42283" s="42" customFormat="1" x14ac:dyDescent="0.25"/>
    <row r="42284" s="42" customFormat="1" x14ac:dyDescent="0.25"/>
    <row r="42285" s="42" customFormat="1" x14ac:dyDescent="0.25"/>
    <row r="42286" s="42" customFormat="1" x14ac:dyDescent="0.25"/>
    <row r="42287" s="42" customFormat="1" x14ac:dyDescent="0.25"/>
    <row r="42288" s="42" customFormat="1" x14ac:dyDescent="0.25"/>
    <row r="42289" s="42" customFormat="1" x14ac:dyDescent="0.25"/>
    <row r="42290" s="42" customFormat="1" x14ac:dyDescent="0.25"/>
    <row r="42291" s="42" customFormat="1" x14ac:dyDescent="0.25"/>
    <row r="42292" s="42" customFormat="1" x14ac:dyDescent="0.25"/>
    <row r="42293" s="42" customFormat="1" x14ac:dyDescent="0.25"/>
    <row r="42294" s="42" customFormat="1" x14ac:dyDescent="0.25"/>
    <row r="42295" s="42" customFormat="1" x14ac:dyDescent="0.25"/>
    <row r="42296" s="42" customFormat="1" x14ac:dyDescent="0.25"/>
    <row r="42297" s="42" customFormat="1" x14ac:dyDescent="0.25"/>
    <row r="42298" s="42" customFormat="1" x14ac:dyDescent="0.25"/>
    <row r="42299" s="42" customFormat="1" x14ac:dyDescent="0.25"/>
    <row r="42300" s="42" customFormat="1" x14ac:dyDescent="0.25"/>
    <row r="42301" s="42" customFormat="1" x14ac:dyDescent="0.25"/>
    <row r="42302" s="42" customFormat="1" x14ac:dyDescent="0.25"/>
    <row r="42303" s="42" customFormat="1" x14ac:dyDescent="0.25"/>
    <row r="42304" s="42" customFormat="1" x14ac:dyDescent="0.25"/>
    <row r="42305" s="42" customFormat="1" x14ac:dyDescent="0.25"/>
    <row r="42306" s="42" customFormat="1" x14ac:dyDescent="0.25"/>
    <row r="42307" s="42" customFormat="1" x14ac:dyDescent="0.25"/>
    <row r="42308" s="42" customFormat="1" x14ac:dyDescent="0.25"/>
    <row r="42309" s="42" customFormat="1" x14ac:dyDescent="0.25"/>
    <row r="42310" s="42" customFormat="1" x14ac:dyDescent="0.25"/>
    <row r="42311" s="42" customFormat="1" x14ac:dyDescent="0.25"/>
    <row r="42312" s="42" customFormat="1" x14ac:dyDescent="0.25"/>
    <row r="42313" s="42" customFormat="1" x14ac:dyDescent="0.25"/>
    <row r="42314" s="42" customFormat="1" x14ac:dyDescent="0.25"/>
    <row r="42315" s="42" customFormat="1" x14ac:dyDescent="0.25"/>
    <row r="42316" s="42" customFormat="1" x14ac:dyDescent="0.25"/>
    <row r="42317" s="42" customFormat="1" x14ac:dyDescent="0.25"/>
    <row r="42318" s="42" customFormat="1" x14ac:dyDescent="0.25"/>
    <row r="42319" s="42" customFormat="1" x14ac:dyDescent="0.25"/>
    <row r="42320" s="42" customFormat="1" x14ac:dyDescent="0.25"/>
    <row r="42321" s="42" customFormat="1" x14ac:dyDescent="0.25"/>
    <row r="42322" s="42" customFormat="1" x14ac:dyDescent="0.25"/>
    <row r="42323" s="42" customFormat="1" x14ac:dyDescent="0.25"/>
    <row r="42324" s="42" customFormat="1" x14ac:dyDescent="0.25"/>
    <row r="42325" s="42" customFormat="1" x14ac:dyDescent="0.25"/>
    <row r="42326" s="42" customFormat="1" x14ac:dyDescent="0.25"/>
    <row r="42327" s="42" customFormat="1" x14ac:dyDescent="0.25"/>
    <row r="42328" s="42" customFormat="1" x14ac:dyDescent="0.25"/>
    <row r="42329" s="42" customFormat="1" x14ac:dyDescent="0.25"/>
    <row r="42330" s="42" customFormat="1" x14ac:dyDescent="0.25"/>
    <row r="42331" s="42" customFormat="1" x14ac:dyDescent="0.25"/>
    <row r="42332" s="42" customFormat="1" x14ac:dyDescent="0.25"/>
    <row r="42333" s="42" customFormat="1" x14ac:dyDescent="0.25"/>
    <row r="42334" s="42" customFormat="1" x14ac:dyDescent="0.25"/>
    <row r="42335" s="42" customFormat="1" x14ac:dyDescent="0.25"/>
    <row r="42336" s="42" customFormat="1" x14ac:dyDescent="0.25"/>
    <row r="42337" s="42" customFormat="1" x14ac:dyDescent="0.25"/>
    <row r="42338" s="42" customFormat="1" x14ac:dyDescent="0.25"/>
    <row r="42339" s="42" customFormat="1" x14ac:dyDescent="0.25"/>
    <row r="42340" s="42" customFormat="1" x14ac:dyDescent="0.25"/>
    <row r="42341" s="42" customFormat="1" x14ac:dyDescent="0.25"/>
    <row r="42342" s="42" customFormat="1" x14ac:dyDescent="0.25"/>
    <row r="42343" s="42" customFormat="1" x14ac:dyDescent="0.25"/>
    <row r="42344" s="42" customFormat="1" x14ac:dyDescent="0.25"/>
    <row r="42345" s="42" customFormat="1" x14ac:dyDescent="0.25"/>
    <row r="42346" s="42" customFormat="1" x14ac:dyDescent="0.25"/>
    <row r="42347" s="42" customFormat="1" x14ac:dyDescent="0.25"/>
    <row r="42348" s="42" customFormat="1" x14ac:dyDescent="0.25"/>
    <row r="42349" s="42" customFormat="1" x14ac:dyDescent="0.25"/>
    <row r="42350" s="42" customFormat="1" x14ac:dyDescent="0.25"/>
    <row r="42351" s="42" customFormat="1" x14ac:dyDescent="0.25"/>
    <row r="42352" s="42" customFormat="1" x14ac:dyDescent="0.25"/>
    <row r="42353" s="42" customFormat="1" x14ac:dyDescent="0.25"/>
    <row r="42354" s="42" customFormat="1" x14ac:dyDescent="0.25"/>
    <row r="42355" s="42" customFormat="1" x14ac:dyDescent="0.25"/>
    <row r="42356" s="42" customFormat="1" x14ac:dyDescent="0.25"/>
    <row r="42357" s="42" customFormat="1" x14ac:dyDescent="0.25"/>
    <row r="42358" s="42" customFormat="1" x14ac:dyDescent="0.25"/>
    <row r="42359" s="42" customFormat="1" x14ac:dyDescent="0.25"/>
    <row r="42360" s="42" customFormat="1" x14ac:dyDescent="0.25"/>
    <row r="42361" s="42" customFormat="1" x14ac:dyDescent="0.25"/>
    <row r="42362" s="42" customFormat="1" x14ac:dyDescent="0.25"/>
    <row r="42363" s="42" customFormat="1" x14ac:dyDescent="0.25"/>
    <row r="42364" s="42" customFormat="1" x14ac:dyDescent="0.25"/>
    <row r="42365" s="42" customFormat="1" x14ac:dyDescent="0.25"/>
    <row r="42366" s="42" customFormat="1" x14ac:dyDescent="0.25"/>
    <row r="42367" s="42" customFormat="1" x14ac:dyDescent="0.25"/>
    <row r="42368" s="42" customFormat="1" x14ac:dyDescent="0.25"/>
    <row r="42369" s="42" customFormat="1" x14ac:dyDescent="0.25"/>
    <row r="42370" s="42" customFormat="1" x14ac:dyDescent="0.25"/>
    <row r="42371" s="42" customFormat="1" x14ac:dyDescent="0.25"/>
    <row r="42372" s="42" customFormat="1" x14ac:dyDescent="0.25"/>
    <row r="42373" s="42" customFormat="1" x14ac:dyDescent="0.25"/>
    <row r="42374" s="42" customFormat="1" x14ac:dyDescent="0.25"/>
    <row r="42375" s="42" customFormat="1" x14ac:dyDescent="0.25"/>
    <row r="42376" s="42" customFormat="1" x14ac:dyDescent="0.25"/>
    <row r="42377" s="42" customFormat="1" x14ac:dyDescent="0.25"/>
    <row r="42378" s="42" customFormat="1" x14ac:dyDescent="0.25"/>
    <row r="42379" s="42" customFormat="1" x14ac:dyDescent="0.25"/>
    <row r="42380" s="42" customFormat="1" x14ac:dyDescent="0.25"/>
    <row r="42381" s="42" customFormat="1" x14ac:dyDescent="0.25"/>
    <row r="42382" s="42" customFormat="1" x14ac:dyDescent="0.25"/>
    <row r="42383" s="42" customFormat="1" x14ac:dyDescent="0.25"/>
    <row r="42384" s="42" customFormat="1" x14ac:dyDescent="0.25"/>
    <row r="42385" s="42" customFormat="1" x14ac:dyDescent="0.25"/>
    <row r="42386" s="42" customFormat="1" x14ac:dyDescent="0.25"/>
    <row r="42387" s="42" customFormat="1" x14ac:dyDescent="0.25"/>
    <row r="42388" s="42" customFormat="1" x14ac:dyDescent="0.25"/>
    <row r="42389" s="42" customFormat="1" x14ac:dyDescent="0.25"/>
    <row r="42390" s="42" customFormat="1" x14ac:dyDescent="0.25"/>
    <row r="42391" s="42" customFormat="1" x14ac:dyDescent="0.25"/>
    <row r="42392" s="42" customFormat="1" x14ac:dyDescent="0.25"/>
    <row r="42393" s="42" customFormat="1" x14ac:dyDescent="0.25"/>
    <row r="42394" s="42" customFormat="1" x14ac:dyDescent="0.25"/>
    <row r="42395" s="42" customFormat="1" x14ac:dyDescent="0.25"/>
    <row r="42396" s="42" customFormat="1" x14ac:dyDescent="0.25"/>
    <row r="42397" s="42" customFormat="1" x14ac:dyDescent="0.25"/>
    <row r="42398" s="42" customFormat="1" x14ac:dyDescent="0.25"/>
    <row r="42399" s="42" customFormat="1" x14ac:dyDescent="0.25"/>
    <row r="42400" s="42" customFormat="1" x14ac:dyDescent="0.25"/>
    <row r="42401" s="42" customFormat="1" x14ac:dyDescent="0.25"/>
    <row r="42402" s="42" customFormat="1" x14ac:dyDescent="0.25"/>
    <row r="42403" s="42" customFormat="1" x14ac:dyDescent="0.25"/>
    <row r="42404" s="42" customFormat="1" x14ac:dyDescent="0.25"/>
    <row r="42405" s="42" customFormat="1" x14ac:dyDescent="0.25"/>
    <row r="42406" s="42" customFormat="1" x14ac:dyDescent="0.25"/>
    <row r="42407" s="42" customFormat="1" x14ac:dyDescent="0.25"/>
    <row r="42408" s="42" customFormat="1" x14ac:dyDescent="0.25"/>
    <row r="42409" s="42" customFormat="1" x14ac:dyDescent="0.25"/>
    <row r="42410" s="42" customFormat="1" x14ac:dyDescent="0.25"/>
    <row r="42411" s="42" customFormat="1" x14ac:dyDescent="0.25"/>
    <row r="42412" s="42" customFormat="1" x14ac:dyDescent="0.25"/>
    <row r="42413" s="42" customFormat="1" x14ac:dyDescent="0.25"/>
    <row r="42414" s="42" customFormat="1" x14ac:dyDescent="0.25"/>
    <row r="42415" s="42" customFormat="1" x14ac:dyDescent="0.25"/>
    <row r="42416" s="42" customFormat="1" x14ac:dyDescent="0.25"/>
    <row r="42417" s="42" customFormat="1" x14ac:dyDescent="0.25"/>
    <row r="42418" s="42" customFormat="1" x14ac:dyDescent="0.25"/>
    <row r="42419" s="42" customFormat="1" x14ac:dyDescent="0.25"/>
    <row r="42420" s="42" customFormat="1" x14ac:dyDescent="0.25"/>
    <row r="42421" s="42" customFormat="1" x14ac:dyDescent="0.25"/>
    <row r="42422" s="42" customFormat="1" x14ac:dyDescent="0.25"/>
    <row r="42423" s="42" customFormat="1" x14ac:dyDescent="0.25"/>
    <row r="42424" s="42" customFormat="1" x14ac:dyDescent="0.25"/>
    <row r="42425" s="42" customFormat="1" x14ac:dyDescent="0.25"/>
    <row r="42426" s="42" customFormat="1" x14ac:dyDescent="0.25"/>
    <row r="42427" s="42" customFormat="1" x14ac:dyDescent="0.25"/>
    <row r="42428" s="42" customFormat="1" x14ac:dyDescent="0.25"/>
    <row r="42429" s="42" customFormat="1" x14ac:dyDescent="0.25"/>
    <row r="42430" s="42" customFormat="1" x14ac:dyDescent="0.25"/>
    <row r="42431" s="42" customFormat="1" x14ac:dyDescent="0.25"/>
    <row r="42432" s="42" customFormat="1" x14ac:dyDescent="0.25"/>
    <row r="42433" s="42" customFormat="1" x14ac:dyDescent="0.25"/>
    <row r="42434" s="42" customFormat="1" x14ac:dyDescent="0.25"/>
    <row r="42435" s="42" customFormat="1" x14ac:dyDescent="0.25"/>
    <row r="42436" s="42" customFormat="1" x14ac:dyDescent="0.25"/>
    <row r="42437" s="42" customFormat="1" x14ac:dyDescent="0.25"/>
    <row r="42438" s="42" customFormat="1" x14ac:dyDescent="0.25"/>
    <row r="42439" s="42" customFormat="1" x14ac:dyDescent="0.25"/>
    <row r="42440" s="42" customFormat="1" x14ac:dyDescent="0.25"/>
    <row r="42441" s="42" customFormat="1" x14ac:dyDescent="0.25"/>
    <row r="42442" s="42" customFormat="1" x14ac:dyDescent="0.25"/>
    <row r="42443" s="42" customFormat="1" x14ac:dyDescent="0.25"/>
    <row r="42444" s="42" customFormat="1" x14ac:dyDescent="0.25"/>
    <row r="42445" s="42" customFormat="1" x14ac:dyDescent="0.25"/>
    <row r="42446" s="42" customFormat="1" x14ac:dyDescent="0.25"/>
    <row r="42447" s="42" customFormat="1" x14ac:dyDescent="0.25"/>
    <row r="42448" s="42" customFormat="1" x14ac:dyDescent="0.25"/>
    <row r="42449" s="42" customFormat="1" x14ac:dyDescent="0.25"/>
    <row r="42450" s="42" customFormat="1" x14ac:dyDescent="0.25"/>
    <row r="42451" s="42" customFormat="1" x14ac:dyDescent="0.25"/>
    <row r="42452" s="42" customFormat="1" x14ac:dyDescent="0.25"/>
    <row r="42453" s="42" customFormat="1" x14ac:dyDescent="0.25"/>
    <row r="42454" s="42" customFormat="1" x14ac:dyDescent="0.25"/>
    <row r="42455" s="42" customFormat="1" x14ac:dyDescent="0.25"/>
    <row r="42456" s="42" customFormat="1" x14ac:dyDescent="0.25"/>
    <row r="42457" s="42" customFormat="1" x14ac:dyDescent="0.25"/>
    <row r="42458" s="42" customFormat="1" x14ac:dyDescent="0.25"/>
    <row r="42459" s="42" customFormat="1" x14ac:dyDescent="0.25"/>
    <row r="42460" s="42" customFormat="1" x14ac:dyDescent="0.25"/>
    <row r="42461" s="42" customFormat="1" x14ac:dyDescent="0.25"/>
    <row r="42462" s="42" customFormat="1" x14ac:dyDescent="0.25"/>
    <row r="42463" s="42" customFormat="1" x14ac:dyDescent="0.25"/>
    <row r="42464" s="42" customFormat="1" x14ac:dyDescent="0.25"/>
    <row r="42465" s="42" customFormat="1" x14ac:dyDescent="0.25"/>
    <row r="42466" s="42" customFormat="1" x14ac:dyDescent="0.25"/>
    <row r="42467" s="42" customFormat="1" x14ac:dyDescent="0.25"/>
    <row r="42468" s="42" customFormat="1" x14ac:dyDescent="0.25"/>
    <row r="42469" s="42" customFormat="1" x14ac:dyDescent="0.25"/>
    <row r="42470" s="42" customFormat="1" x14ac:dyDescent="0.25"/>
    <row r="42471" s="42" customFormat="1" x14ac:dyDescent="0.25"/>
    <row r="42472" s="42" customFormat="1" x14ac:dyDescent="0.25"/>
    <row r="42473" s="42" customFormat="1" x14ac:dyDescent="0.25"/>
    <row r="42474" s="42" customFormat="1" x14ac:dyDescent="0.25"/>
    <row r="42475" s="42" customFormat="1" x14ac:dyDescent="0.25"/>
    <row r="42476" s="42" customFormat="1" x14ac:dyDescent="0.25"/>
    <row r="42477" s="42" customFormat="1" x14ac:dyDescent="0.25"/>
    <row r="42478" s="42" customFormat="1" x14ac:dyDescent="0.25"/>
    <row r="42479" s="42" customFormat="1" x14ac:dyDescent="0.25"/>
    <row r="42480" s="42" customFormat="1" x14ac:dyDescent="0.25"/>
    <row r="42481" s="42" customFormat="1" x14ac:dyDescent="0.25"/>
    <row r="42482" s="42" customFormat="1" x14ac:dyDescent="0.25"/>
    <row r="42483" s="42" customFormat="1" x14ac:dyDescent="0.25"/>
    <row r="42484" s="42" customFormat="1" x14ac:dyDescent="0.25"/>
    <row r="42485" s="42" customFormat="1" x14ac:dyDescent="0.25"/>
    <row r="42486" s="42" customFormat="1" x14ac:dyDescent="0.25"/>
    <row r="42487" s="42" customFormat="1" x14ac:dyDescent="0.25"/>
    <row r="42488" s="42" customFormat="1" x14ac:dyDescent="0.25"/>
    <row r="42489" s="42" customFormat="1" x14ac:dyDescent="0.25"/>
    <row r="42490" s="42" customFormat="1" x14ac:dyDescent="0.25"/>
    <row r="42491" s="42" customFormat="1" x14ac:dyDescent="0.25"/>
    <row r="42492" s="42" customFormat="1" x14ac:dyDescent="0.25"/>
    <row r="42493" s="42" customFormat="1" x14ac:dyDescent="0.25"/>
    <row r="42494" s="42" customFormat="1" x14ac:dyDescent="0.25"/>
    <row r="42495" s="42" customFormat="1" x14ac:dyDescent="0.25"/>
    <row r="42496" s="42" customFormat="1" x14ac:dyDescent="0.25"/>
    <row r="42497" s="42" customFormat="1" x14ac:dyDescent="0.25"/>
    <row r="42498" s="42" customFormat="1" x14ac:dyDescent="0.25"/>
    <row r="42499" s="42" customFormat="1" x14ac:dyDescent="0.25"/>
    <row r="42500" s="42" customFormat="1" x14ac:dyDescent="0.25"/>
    <row r="42501" s="42" customFormat="1" x14ac:dyDescent="0.25"/>
    <row r="42502" s="42" customFormat="1" x14ac:dyDescent="0.25"/>
    <row r="42503" s="42" customFormat="1" x14ac:dyDescent="0.25"/>
    <row r="42504" s="42" customFormat="1" x14ac:dyDescent="0.25"/>
    <row r="42505" s="42" customFormat="1" x14ac:dyDescent="0.25"/>
    <row r="42506" s="42" customFormat="1" x14ac:dyDescent="0.25"/>
    <row r="42507" s="42" customFormat="1" x14ac:dyDescent="0.25"/>
    <row r="42508" s="42" customFormat="1" x14ac:dyDescent="0.25"/>
    <row r="42509" s="42" customFormat="1" x14ac:dyDescent="0.25"/>
    <row r="42510" s="42" customFormat="1" x14ac:dyDescent="0.25"/>
    <row r="42511" s="42" customFormat="1" x14ac:dyDescent="0.25"/>
    <row r="42512" s="42" customFormat="1" x14ac:dyDescent="0.25"/>
    <row r="42513" s="42" customFormat="1" x14ac:dyDescent="0.25"/>
    <row r="42514" s="42" customFormat="1" x14ac:dyDescent="0.25"/>
    <row r="42515" s="42" customFormat="1" x14ac:dyDescent="0.25"/>
    <row r="42516" s="42" customFormat="1" x14ac:dyDescent="0.25"/>
    <row r="42517" s="42" customFormat="1" x14ac:dyDescent="0.25"/>
    <row r="42518" s="42" customFormat="1" x14ac:dyDescent="0.25"/>
    <row r="42519" s="42" customFormat="1" x14ac:dyDescent="0.25"/>
    <row r="42520" s="42" customFormat="1" x14ac:dyDescent="0.25"/>
    <row r="42521" s="42" customFormat="1" x14ac:dyDescent="0.25"/>
    <row r="42522" s="42" customFormat="1" x14ac:dyDescent="0.25"/>
    <row r="42523" s="42" customFormat="1" x14ac:dyDescent="0.25"/>
    <row r="42524" s="42" customFormat="1" x14ac:dyDescent="0.25"/>
    <row r="42525" s="42" customFormat="1" x14ac:dyDescent="0.25"/>
    <row r="42526" s="42" customFormat="1" x14ac:dyDescent="0.25"/>
    <row r="42527" s="42" customFormat="1" x14ac:dyDescent="0.25"/>
    <row r="42528" s="42" customFormat="1" x14ac:dyDescent="0.25"/>
    <row r="42529" s="42" customFormat="1" x14ac:dyDescent="0.25"/>
    <row r="42530" s="42" customFormat="1" x14ac:dyDescent="0.25"/>
    <row r="42531" s="42" customFormat="1" x14ac:dyDescent="0.25"/>
    <row r="42532" s="42" customFormat="1" x14ac:dyDescent="0.25"/>
    <row r="42533" s="42" customFormat="1" x14ac:dyDescent="0.25"/>
    <row r="42534" s="42" customFormat="1" x14ac:dyDescent="0.25"/>
    <row r="42535" s="42" customFormat="1" x14ac:dyDescent="0.25"/>
    <row r="42536" s="42" customFormat="1" x14ac:dyDescent="0.25"/>
    <row r="42537" s="42" customFormat="1" x14ac:dyDescent="0.25"/>
    <row r="42538" s="42" customFormat="1" x14ac:dyDescent="0.25"/>
    <row r="42539" s="42" customFormat="1" x14ac:dyDescent="0.25"/>
    <row r="42540" s="42" customFormat="1" x14ac:dyDescent="0.25"/>
    <row r="42541" s="42" customFormat="1" x14ac:dyDescent="0.25"/>
    <row r="42542" s="42" customFormat="1" x14ac:dyDescent="0.25"/>
    <row r="42543" s="42" customFormat="1" x14ac:dyDescent="0.25"/>
    <row r="42544" s="42" customFormat="1" x14ac:dyDescent="0.25"/>
    <row r="42545" s="42" customFormat="1" x14ac:dyDescent="0.25"/>
    <row r="42546" s="42" customFormat="1" x14ac:dyDescent="0.25"/>
    <row r="42547" s="42" customFormat="1" x14ac:dyDescent="0.25"/>
    <row r="42548" s="42" customFormat="1" x14ac:dyDescent="0.25"/>
    <row r="42549" s="42" customFormat="1" x14ac:dyDescent="0.25"/>
    <row r="42550" s="42" customFormat="1" x14ac:dyDescent="0.25"/>
    <row r="42551" s="42" customFormat="1" x14ac:dyDescent="0.25"/>
    <row r="42552" s="42" customFormat="1" x14ac:dyDescent="0.25"/>
    <row r="42553" s="42" customFormat="1" x14ac:dyDescent="0.25"/>
    <row r="42554" s="42" customFormat="1" x14ac:dyDescent="0.25"/>
    <row r="42555" s="42" customFormat="1" x14ac:dyDescent="0.25"/>
    <row r="42556" s="42" customFormat="1" x14ac:dyDescent="0.25"/>
    <row r="42557" s="42" customFormat="1" x14ac:dyDescent="0.25"/>
    <row r="42558" s="42" customFormat="1" x14ac:dyDescent="0.25"/>
    <row r="42559" s="42" customFormat="1" x14ac:dyDescent="0.25"/>
    <row r="42560" s="42" customFormat="1" x14ac:dyDescent="0.25"/>
    <row r="42561" s="42" customFormat="1" x14ac:dyDescent="0.25"/>
    <row r="42562" s="42" customFormat="1" x14ac:dyDescent="0.25"/>
    <row r="42563" s="42" customFormat="1" x14ac:dyDescent="0.25"/>
    <row r="42564" s="42" customFormat="1" x14ac:dyDescent="0.25"/>
    <row r="42565" s="42" customFormat="1" x14ac:dyDescent="0.25"/>
    <row r="42566" s="42" customFormat="1" x14ac:dyDescent="0.25"/>
    <row r="42567" s="42" customFormat="1" x14ac:dyDescent="0.25"/>
    <row r="42568" s="42" customFormat="1" x14ac:dyDescent="0.25"/>
    <row r="42569" s="42" customFormat="1" x14ac:dyDescent="0.25"/>
    <row r="42570" s="42" customFormat="1" x14ac:dyDescent="0.25"/>
    <row r="42571" s="42" customFormat="1" x14ac:dyDescent="0.25"/>
    <row r="42572" s="42" customFormat="1" x14ac:dyDescent="0.25"/>
    <row r="42573" s="42" customFormat="1" x14ac:dyDescent="0.25"/>
    <row r="42574" s="42" customFormat="1" x14ac:dyDescent="0.25"/>
    <row r="42575" s="42" customFormat="1" x14ac:dyDescent="0.25"/>
    <row r="42576" s="42" customFormat="1" x14ac:dyDescent="0.25"/>
    <row r="42577" s="42" customFormat="1" x14ac:dyDescent="0.25"/>
    <row r="42578" s="42" customFormat="1" x14ac:dyDescent="0.25"/>
    <row r="42579" s="42" customFormat="1" x14ac:dyDescent="0.25"/>
    <row r="42580" s="42" customFormat="1" x14ac:dyDescent="0.25"/>
    <row r="42581" s="42" customFormat="1" x14ac:dyDescent="0.25"/>
    <row r="42582" s="42" customFormat="1" x14ac:dyDescent="0.25"/>
    <row r="42583" s="42" customFormat="1" x14ac:dyDescent="0.25"/>
    <row r="42584" s="42" customFormat="1" x14ac:dyDescent="0.25"/>
    <row r="42585" s="42" customFormat="1" x14ac:dyDescent="0.25"/>
    <row r="42586" s="42" customFormat="1" x14ac:dyDescent="0.25"/>
    <row r="42587" s="42" customFormat="1" x14ac:dyDescent="0.25"/>
    <row r="42588" s="42" customFormat="1" x14ac:dyDescent="0.25"/>
    <row r="42589" s="42" customFormat="1" x14ac:dyDescent="0.25"/>
    <row r="42590" s="42" customFormat="1" x14ac:dyDescent="0.25"/>
    <row r="42591" s="42" customFormat="1" x14ac:dyDescent="0.25"/>
    <row r="42592" s="42" customFormat="1" x14ac:dyDescent="0.25"/>
    <row r="42593" s="42" customFormat="1" x14ac:dyDescent="0.25"/>
    <row r="42594" s="42" customFormat="1" x14ac:dyDescent="0.25"/>
    <row r="42595" s="42" customFormat="1" x14ac:dyDescent="0.25"/>
    <row r="42596" s="42" customFormat="1" x14ac:dyDescent="0.25"/>
    <row r="42597" s="42" customFormat="1" x14ac:dyDescent="0.25"/>
    <row r="42598" s="42" customFormat="1" x14ac:dyDescent="0.25"/>
    <row r="42599" s="42" customFormat="1" x14ac:dyDescent="0.25"/>
    <row r="42600" s="42" customFormat="1" x14ac:dyDescent="0.25"/>
    <row r="42601" s="42" customFormat="1" x14ac:dyDescent="0.25"/>
    <row r="42602" s="42" customFormat="1" x14ac:dyDescent="0.25"/>
    <row r="42603" s="42" customFormat="1" x14ac:dyDescent="0.25"/>
    <row r="42604" s="42" customFormat="1" x14ac:dyDescent="0.25"/>
    <row r="42605" s="42" customFormat="1" x14ac:dyDescent="0.25"/>
    <row r="42606" s="42" customFormat="1" x14ac:dyDescent="0.25"/>
    <row r="42607" s="42" customFormat="1" x14ac:dyDescent="0.25"/>
    <row r="42608" s="42" customFormat="1" x14ac:dyDescent="0.25"/>
    <row r="42609" s="42" customFormat="1" x14ac:dyDescent="0.25"/>
    <row r="42610" s="42" customFormat="1" x14ac:dyDescent="0.25"/>
    <row r="42611" s="42" customFormat="1" x14ac:dyDescent="0.25"/>
    <row r="42612" s="42" customFormat="1" x14ac:dyDescent="0.25"/>
    <row r="42613" s="42" customFormat="1" x14ac:dyDescent="0.25"/>
    <row r="42614" s="42" customFormat="1" x14ac:dyDescent="0.25"/>
    <row r="42615" s="42" customFormat="1" x14ac:dyDescent="0.25"/>
    <row r="42616" s="42" customFormat="1" x14ac:dyDescent="0.25"/>
    <row r="42617" s="42" customFormat="1" x14ac:dyDescent="0.25"/>
    <row r="42618" s="42" customFormat="1" x14ac:dyDescent="0.25"/>
    <row r="42619" s="42" customFormat="1" x14ac:dyDescent="0.25"/>
    <row r="42620" s="42" customFormat="1" x14ac:dyDescent="0.25"/>
    <row r="42621" s="42" customFormat="1" x14ac:dyDescent="0.25"/>
    <row r="42622" s="42" customFormat="1" x14ac:dyDescent="0.25"/>
    <row r="42623" s="42" customFormat="1" x14ac:dyDescent="0.25"/>
    <row r="42624" s="42" customFormat="1" x14ac:dyDescent="0.25"/>
    <row r="42625" s="42" customFormat="1" x14ac:dyDescent="0.25"/>
    <row r="42626" s="42" customFormat="1" x14ac:dyDescent="0.25"/>
    <row r="42627" s="42" customFormat="1" x14ac:dyDescent="0.25"/>
    <row r="42628" s="42" customFormat="1" x14ac:dyDescent="0.25"/>
    <row r="42629" s="42" customFormat="1" x14ac:dyDescent="0.25"/>
    <row r="42630" s="42" customFormat="1" x14ac:dyDescent="0.25"/>
    <row r="42631" s="42" customFormat="1" x14ac:dyDescent="0.25"/>
    <row r="42632" s="42" customFormat="1" x14ac:dyDescent="0.25"/>
    <row r="42633" s="42" customFormat="1" x14ac:dyDescent="0.25"/>
    <row r="42634" s="42" customFormat="1" x14ac:dyDescent="0.25"/>
    <row r="42635" s="42" customFormat="1" x14ac:dyDescent="0.25"/>
    <row r="42636" s="42" customFormat="1" x14ac:dyDescent="0.25"/>
    <row r="42637" s="42" customFormat="1" x14ac:dyDescent="0.25"/>
    <row r="42638" s="42" customFormat="1" x14ac:dyDescent="0.25"/>
    <row r="42639" s="42" customFormat="1" x14ac:dyDescent="0.25"/>
    <row r="42640" s="42" customFormat="1" x14ac:dyDescent="0.25"/>
    <row r="42641" s="42" customFormat="1" x14ac:dyDescent="0.25"/>
    <row r="42642" s="42" customFormat="1" x14ac:dyDescent="0.25"/>
    <row r="42643" s="42" customFormat="1" x14ac:dyDescent="0.25"/>
    <row r="42644" s="42" customFormat="1" x14ac:dyDescent="0.25"/>
    <row r="42645" s="42" customFormat="1" x14ac:dyDescent="0.25"/>
    <row r="42646" s="42" customFormat="1" x14ac:dyDescent="0.25"/>
    <row r="42647" s="42" customFormat="1" x14ac:dyDescent="0.25"/>
    <row r="42648" s="42" customFormat="1" x14ac:dyDescent="0.25"/>
    <row r="42649" s="42" customFormat="1" x14ac:dyDescent="0.25"/>
    <row r="42650" s="42" customFormat="1" x14ac:dyDescent="0.25"/>
    <row r="42651" s="42" customFormat="1" x14ac:dyDescent="0.25"/>
    <row r="42652" s="42" customFormat="1" x14ac:dyDescent="0.25"/>
    <row r="42653" s="42" customFormat="1" x14ac:dyDescent="0.25"/>
    <row r="42654" s="42" customFormat="1" x14ac:dyDescent="0.25"/>
    <row r="42655" s="42" customFormat="1" x14ac:dyDescent="0.25"/>
    <row r="42656" s="42" customFormat="1" x14ac:dyDescent="0.25"/>
    <row r="42657" s="42" customFormat="1" x14ac:dyDescent="0.25"/>
    <row r="42658" s="42" customFormat="1" x14ac:dyDescent="0.25"/>
    <row r="42659" s="42" customFormat="1" x14ac:dyDescent="0.25"/>
    <row r="42660" s="42" customFormat="1" x14ac:dyDescent="0.25"/>
    <row r="42661" s="42" customFormat="1" x14ac:dyDescent="0.25"/>
    <row r="42662" s="42" customFormat="1" x14ac:dyDescent="0.25"/>
    <row r="42663" s="42" customFormat="1" x14ac:dyDescent="0.25"/>
    <row r="42664" s="42" customFormat="1" x14ac:dyDescent="0.25"/>
    <row r="42665" s="42" customFormat="1" x14ac:dyDescent="0.25"/>
    <row r="42666" s="42" customFormat="1" x14ac:dyDescent="0.25"/>
    <row r="42667" s="42" customFormat="1" x14ac:dyDescent="0.25"/>
    <row r="42668" s="42" customFormat="1" x14ac:dyDescent="0.25"/>
    <row r="42669" s="42" customFormat="1" x14ac:dyDescent="0.25"/>
    <row r="42670" s="42" customFormat="1" x14ac:dyDescent="0.25"/>
    <row r="42671" s="42" customFormat="1" x14ac:dyDescent="0.25"/>
    <row r="42672" s="42" customFormat="1" x14ac:dyDescent="0.25"/>
    <row r="42673" s="42" customFormat="1" x14ac:dyDescent="0.25"/>
    <row r="42674" s="42" customFormat="1" x14ac:dyDescent="0.25"/>
    <row r="42675" s="42" customFormat="1" x14ac:dyDescent="0.25"/>
    <row r="42676" s="42" customFormat="1" x14ac:dyDescent="0.25"/>
    <row r="42677" s="42" customFormat="1" x14ac:dyDescent="0.25"/>
    <row r="42678" s="42" customFormat="1" x14ac:dyDescent="0.25"/>
    <row r="42679" s="42" customFormat="1" x14ac:dyDescent="0.25"/>
    <row r="42680" s="42" customFormat="1" x14ac:dyDescent="0.25"/>
    <row r="42681" s="42" customFormat="1" x14ac:dyDescent="0.25"/>
    <row r="42682" s="42" customFormat="1" x14ac:dyDescent="0.25"/>
    <row r="42683" s="42" customFormat="1" x14ac:dyDescent="0.25"/>
    <row r="42684" s="42" customFormat="1" x14ac:dyDescent="0.25"/>
    <row r="42685" s="42" customFormat="1" x14ac:dyDescent="0.25"/>
    <row r="42686" s="42" customFormat="1" x14ac:dyDescent="0.25"/>
    <row r="42687" s="42" customFormat="1" x14ac:dyDescent="0.25"/>
    <row r="42688" s="42" customFormat="1" x14ac:dyDescent="0.25"/>
    <row r="42689" s="42" customFormat="1" x14ac:dyDescent="0.25"/>
    <row r="42690" s="42" customFormat="1" x14ac:dyDescent="0.25"/>
    <row r="42691" s="42" customFormat="1" x14ac:dyDescent="0.25"/>
    <row r="42692" s="42" customFormat="1" x14ac:dyDescent="0.25"/>
    <row r="42693" s="42" customFormat="1" x14ac:dyDescent="0.25"/>
    <row r="42694" s="42" customFormat="1" x14ac:dyDescent="0.25"/>
    <row r="42695" s="42" customFormat="1" x14ac:dyDescent="0.25"/>
    <row r="42696" s="42" customFormat="1" x14ac:dyDescent="0.25"/>
    <row r="42697" s="42" customFormat="1" x14ac:dyDescent="0.25"/>
    <row r="42698" s="42" customFormat="1" x14ac:dyDescent="0.25"/>
    <row r="42699" s="42" customFormat="1" x14ac:dyDescent="0.25"/>
    <row r="42700" s="42" customFormat="1" x14ac:dyDescent="0.25"/>
    <row r="42701" s="42" customFormat="1" x14ac:dyDescent="0.25"/>
    <row r="42702" s="42" customFormat="1" x14ac:dyDescent="0.25"/>
    <row r="42703" s="42" customFormat="1" x14ac:dyDescent="0.25"/>
    <row r="42704" s="42" customFormat="1" x14ac:dyDescent="0.25"/>
    <row r="42705" s="42" customFormat="1" x14ac:dyDescent="0.25"/>
    <row r="42706" s="42" customFormat="1" x14ac:dyDescent="0.25"/>
    <row r="42707" s="42" customFormat="1" x14ac:dyDescent="0.25"/>
    <row r="42708" s="42" customFormat="1" x14ac:dyDescent="0.25"/>
    <row r="42709" s="42" customFormat="1" x14ac:dyDescent="0.25"/>
    <row r="42710" s="42" customFormat="1" x14ac:dyDescent="0.25"/>
    <row r="42711" s="42" customFormat="1" x14ac:dyDescent="0.25"/>
    <row r="42712" s="42" customFormat="1" x14ac:dyDescent="0.25"/>
    <row r="42713" s="42" customFormat="1" x14ac:dyDescent="0.25"/>
    <row r="42714" s="42" customFormat="1" x14ac:dyDescent="0.25"/>
    <row r="42715" s="42" customFormat="1" x14ac:dyDescent="0.25"/>
    <row r="42716" s="42" customFormat="1" x14ac:dyDescent="0.25"/>
    <row r="42717" s="42" customFormat="1" x14ac:dyDescent="0.25"/>
    <row r="42718" s="42" customFormat="1" x14ac:dyDescent="0.25"/>
    <row r="42719" s="42" customFormat="1" x14ac:dyDescent="0.25"/>
    <row r="42720" s="42" customFormat="1" x14ac:dyDescent="0.25"/>
    <row r="42721" s="42" customFormat="1" x14ac:dyDescent="0.25"/>
    <row r="42722" s="42" customFormat="1" x14ac:dyDescent="0.25"/>
    <row r="42723" s="42" customFormat="1" x14ac:dyDescent="0.25"/>
    <row r="42724" s="42" customFormat="1" x14ac:dyDescent="0.25"/>
    <row r="42725" s="42" customFormat="1" x14ac:dyDescent="0.25"/>
    <row r="42726" s="42" customFormat="1" x14ac:dyDescent="0.25"/>
    <row r="42727" s="42" customFormat="1" x14ac:dyDescent="0.25"/>
    <row r="42728" s="42" customFormat="1" x14ac:dyDescent="0.25"/>
    <row r="42729" s="42" customFormat="1" x14ac:dyDescent="0.25"/>
    <row r="42730" s="42" customFormat="1" x14ac:dyDescent="0.25"/>
    <row r="42731" s="42" customFormat="1" x14ac:dyDescent="0.25"/>
    <row r="42732" s="42" customFormat="1" x14ac:dyDescent="0.25"/>
    <row r="42733" s="42" customFormat="1" x14ac:dyDescent="0.25"/>
    <row r="42734" s="42" customFormat="1" x14ac:dyDescent="0.25"/>
    <row r="42735" s="42" customFormat="1" x14ac:dyDescent="0.25"/>
    <row r="42736" s="42" customFormat="1" x14ac:dyDescent="0.25"/>
    <row r="42737" s="42" customFormat="1" x14ac:dyDescent="0.25"/>
    <row r="42738" s="42" customFormat="1" x14ac:dyDescent="0.25"/>
    <row r="42739" s="42" customFormat="1" x14ac:dyDescent="0.25"/>
    <row r="42740" s="42" customFormat="1" x14ac:dyDescent="0.25"/>
    <row r="42741" s="42" customFormat="1" x14ac:dyDescent="0.25"/>
    <row r="42742" s="42" customFormat="1" x14ac:dyDescent="0.25"/>
    <row r="42743" s="42" customFormat="1" x14ac:dyDescent="0.25"/>
    <row r="42744" s="42" customFormat="1" x14ac:dyDescent="0.25"/>
    <row r="42745" s="42" customFormat="1" x14ac:dyDescent="0.25"/>
    <row r="42746" s="42" customFormat="1" x14ac:dyDescent="0.25"/>
    <row r="42747" s="42" customFormat="1" x14ac:dyDescent="0.25"/>
    <row r="42748" s="42" customFormat="1" x14ac:dyDescent="0.25"/>
    <row r="42749" s="42" customFormat="1" x14ac:dyDescent="0.25"/>
    <row r="42750" s="42" customFormat="1" x14ac:dyDescent="0.25"/>
    <row r="42751" s="42" customFormat="1" x14ac:dyDescent="0.25"/>
    <row r="42752" s="42" customFormat="1" x14ac:dyDescent="0.25"/>
    <row r="42753" s="42" customFormat="1" x14ac:dyDescent="0.25"/>
    <row r="42754" s="42" customFormat="1" x14ac:dyDescent="0.25"/>
    <row r="42755" s="42" customFormat="1" x14ac:dyDescent="0.25"/>
    <row r="42756" s="42" customFormat="1" x14ac:dyDescent="0.25"/>
    <row r="42757" s="42" customFormat="1" x14ac:dyDescent="0.25"/>
    <row r="42758" s="42" customFormat="1" x14ac:dyDescent="0.25"/>
    <row r="42759" s="42" customFormat="1" x14ac:dyDescent="0.25"/>
    <row r="42760" s="42" customFormat="1" x14ac:dyDescent="0.25"/>
    <row r="42761" s="42" customFormat="1" x14ac:dyDescent="0.25"/>
    <row r="42762" s="42" customFormat="1" x14ac:dyDescent="0.25"/>
    <row r="42763" s="42" customFormat="1" x14ac:dyDescent="0.25"/>
    <row r="42764" s="42" customFormat="1" x14ac:dyDescent="0.25"/>
    <row r="42765" s="42" customFormat="1" x14ac:dyDescent="0.25"/>
    <row r="42766" s="42" customFormat="1" x14ac:dyDescent="0.25"/>
    <row r="42767" s="42" customFormat="1" x14ac:dyDescent="0.25"/>
    <row r="42768" s="42" customFormat="1" x14ac:dyDescent="0.25"/>
    <row r="42769" s="42" customFormat="1" x14ac:dyDescent="0.25"/>
    <row r="42770" s="42" customFormat="1" x14ac:dyDescent="0.25"/>
    <row r="42771" s="42" customFormat="1" x14ac:dyDescent="0.25"/>
    <row r="42772" s="42" customFormat="1" x14ac:dyDescent="0.25"/>
    <row r="42773" s="42" customFormat="1" x14ac:dyDescent="0.25"/>
    <row r="42774" s="42" customFormat="1" x14ac:dyDescent="0.25"/>
    <row r="42775" s="42" customFormat="1" x14ac:dyDescent="0.25"/>
    <row r="42776" s="42" customFormat="1" x14ac:dyDescent="0.25"/>
    <row r="42777" s="42" customFormat="1" x14ac:dyDescent="0.25"/>
    <row r="42778" s="42" customFormat="1" x14ac:dyDescent="0.25"/>
    <row r="42779" s="42" customFormat="1" x14ac:dyDescent="0.25"/>
    <row r="42780" s="42" customFormat="1" x14ac:dyDescent="0.25"/>
    <row r="42781" s="42" customFormat="1" x14ac:dyDescent="0.25"/>
    <row r="42782" s="42" customFormat="1" x14ac:dyDescent="0.25"/>
    <row r="42783" s="42" customFormat="1" x14ac:dyDescent="0.25"/>
    <row r="42784" s="42" customFormat="1" x14ac:dyDescent="0.25"/>
    <row r="42785" s="42" customFormat="1" x14ac:dyDescent="0.25"/>
    <row r="42786" s="42" customFormat="1" x14ac:dyDescent="0.25"/>
    <row r="42787" s="42" customFormat="1" x14ac:dyDescent="0.25"/>
    <row r="42788" s="42" customFormat="1" x14ac:dyDescent="0.25"/>
    <row r="42789" s="42" customFormat="1" x14ac:dyDescent="0.25"/>
    <row r="42790" s="42" customFormat="1" x14ac:dyDescent="0.25"/>
    <row r="42791" s="42" customFormat="1" x14ac:dyDescent="0.25"/>
    <row r="42792" s="42" customFormat="1" x14ac:dyDescent="0.25"/>
    <row r="42793" s="42" customFormat="1" x14ac:dyDescent="0.25"/>
    <row r="42794" s="42" customFormat="1" x14ac:dyDescent="0.25"/>
    <row r="42795" s="42" customFormat="1" x14ac:dyDescent="0.25"/>
    <row r="42796" s="42" customFormat="1" x14ac:dyDescent="0.25"/>
    <row r="42797" s="42" customFormat="1" x14ac:dyDescent="0.25"/>
    <row r="42798" s="42" customFormat="1" x14ac:dyDescent="0.25"/>
    <row r="42799" s="42" customFormat="1" x14ac:dyDescent="0.25"/>
    <row r="42800" s="42" customFormat="1" x14ac:dyDescent="0.25"/>
    <row r="42801" s="42" customFormat="1" x14ac:dyDescent="0.25"/>
    <row r="42802" s="42" customFormat="1" x14ac:dyDescent="0.25"/>
    <row r="42803" s="42" customFormat="1" x14ac:dyDescent="0.25"/>
    <row r="42804" s="42" customFormat="1" x14ac:dyDescent="0.25"/>
    <row r="42805" s="42" customFormat="1" x14ac:dyDescent="0.25"/>
    <row r="42806" s="42" customFormat="1" x14ac:dyDescent="0.25"/>
    <row r="42807" s="42" customFormat="1" x14ac:dyDescent="0.25"/>
    <row r="42808" s="42" customFormat="1" x14ac:dyDescent="0.25"/>
    <row r="42809" s="42" customFormat="1" x14ac:dyDescent="0.25"/>
    <row r="42810" s="42" customFormat="1" x14ac:dyDescent="0.25"/>
    <row r="42811" s="42" customFormat="1" x14ac:dyDescent="0.25"/>
    <row r="42812" s="42" customFormat="1" x14ac:dyDescent="0.25"/>
    <row r="42813" s="42" customFormat="1" x14ac:dyDescent="0.25"/>
    <row r="42814" s="42" customFormat="1" x14ac:dyDescent="0.25"/>
    <row r="42815" s="42" customFormat="1" x14ac:dyDescent="0.25"/>
    <row r="42816" s="42" customFormat="1" x14ac:dyDescent="0.25"/>
    <row r="42817" s="42" customFormat="1" x14ac:dyDescent="0.25"/>
    <row r="42818" s="42" customFormat="1" x14ac:dyDescent="0.25"/>
    <row r="42819" s="42" customFormat="1" x14ac:dyDescent="0.25"/>
    <row r="42820" s="42" customFormat="1" x14ac:dyDescent="0.25"/>
    <row r="42821" s="42" customFormat="1" x14ac:dyDescent="0.25"/>
    <row r="42822" s="42" customFormat="1" x14ac:dyDescent="0.25"/>
    <row r="42823" s="42" customFormat="1" x14ac:dyDescent="0.25"/>
    <row r="42824" s="42" customFormat="1" x14ac:dyDescent="0.25"/>
    <row r="42825" s="42" customFormat="1" x14ac:dyDescent="0.25"/>
    <row r="42826" s="42" customFormat="1" x14ac:dyDescent="0.25"/>
    <row r="42827" s="42" customFormat="1" x14ac:dyDescent="0.25"/>
    <row r="42828" s="42" customFormat="1" x14ac:dyDescent="0.25"/>
    <row r="42829" s="42" customFormat="1" x14ac:dyDescent="0.25"/>
    <row r="42830" s="42" customFormat="1" x14ac:dyDescent="0.25"/>
    <row r="42831" s="42" customFormat="1" x14ac:dyDescent="0.25"/>
    <row r="42832" s="42" customFormat="1" x14ac:dyDescent="0.25"/>
    <row r="42833" s="42" customFormat="1" x14ac:dyDescent="0.25"/>
    <row r="42834" s="42" customFormat="1" x14ac:dyDescent="0.25"/>
    <row r="42835" s="42" customFormat="1" x14ac:dyDescent="0.25"/>
    <row r="42836" s="42" customFormat="1" x14ac:dyDescent="0.25"/>
    <row r="42837" s="42" customFormat="1" x14ac:dyDescent="0.25"/>
    <row r="42838" s="42" customFormat="1" x14ac:dyDescent="0.25"/>
    <row r="42839" s="42" customFormat="1" x14ac:dyDescent="0.25"/>
    <row r="42840" s="42" customFormat="1" x14ac:dyDescent="0.25"/>
    <row r="42841" s="42" customFormat="1" x14ac:dyDescent="0.25"/>
    <row r="42842" s="42" customFormat="1" x14ac:dyDescent="0.25"/>
    <row r="42843" s="42" customFormat="1" x14ac:dyDescent="0.25"/>
    <row r="42844" s="42" customFormat="1" x14ac:dyDescent="0.25"/>
    <row r="42845" s="42" customFormat="1" x14ac:dyDescent="0.25"/>
    <row r="42846" s="42" customFormat="1" x14ac:dyDescent="0.25"/>
    <row r="42847" s="42" customFormat="1" x14ac:dyDescent="0.25"/>
    <row r="42848" s="42" customFormat="1" x14ac:dyDescent="0.25"/>
    <row r="42849" s="42" customFormat="1" x14ac:dyDescent="0.25"/>
    <row r="42850" s="42" customFormat="1" x14ac:dyDescent="0.25"/>
    <row r="42851" s="42" customFormat="1" x14ac:dyDescent="0.25"/>
    <row r="42852" s="42" customFormat="1" x14ac:dyDescent="0.25"/>
    <row r="42853" s="42" customFormat="1" x14ac:dyDescent="0.25"/>
    <row r="42854" s="42" customFormat="1" x14ac:dyDescent="0.25"/>
    <row r="42855" s="42" customFormat="1" x14ac:dyDescent="0.25"/>
    <row r="42856" s="42" customFormat="1" x14ac:dyDescent="0.25"/>
    <row r="42857" s="42" customFormat="1" x14ac:dyDescent="0.25"/>
    <row r="42858" s="42" customFormat="1" x14ac:dyDescent="0.25"/>
    <row r="42859" s="42" customFormat="1" x14ac:dyDescent="0.25"/>
    <row r="42860" s="42" customFormat="1" x14ac:dyDescent="0.25"/>
    <row r="42861" s="42" customFormat="1" x14ac:dyDescent="0.25"/>
    <row r="42862" s="42" customFormat="1" x14ac:dyDescent="0.25"/>
    <row r="42863" s="42" customFormat="1" x14ac:dyDescent="0.25"/>
    <row r="42864" s="42" customFormat="1" x14ac:dyDescent="0.25"/>
    <row r="42865" s="42" customFormat="1" x14ac:dyDescent="0.25"/>
    <row r="42866" s="42" customFormat="1" x14ac:dyDescent="0.25"/>
    <row r="42867" s="42" customFormat="1" x14ac:dyDescent="0.25"/>
    <row r="42868" s="42" customFormat="1" x14ac:dyDescent="0.25"/>
    <row r="42869" s="42" customFormat="1" x14ac:dyDescent="0.25"/>
    <row r="42870" s="42" customFormat="1" x14ac:dyDescent="0.25"/>
    <row r="42871" s="42" customFormat="1" x14ac:dyDescent="0.25"/>
    <row r="42872" s="42" customFormat="1" x14ac:dyDescent="0.25"/>
    <row r="42873" s="42" customFormat="1" x14ac:dyDescent="0.25"/>
    <row r="42874" s="42" customFormat="1" x14ac:dyDescent="0.25"/>
    <row r="42875" s="42" customFormat="1" x14ac:dyDescent="0.25"/>
    <row r="42876" s="42" customFormat="1" x14ac:dyDescent="0.25"/>
    <row r="42877" s="42" customFormat="1" x14ac:dyDescent="0.25"/>
    <row r="42878" s="42" customFormat="1" x14ac:dyDescent="0.25"/>
    <row r="42879" s="42" customFormat="1" x14ac:dyDescent="0.25"/>
    <row r="42880" s="42" customFormat="1" x14ac:dyDescent="0.25"/>
    <row r="42881" s="42" customFormat="1" x14ac:dyDescent="0.25"/>
    <row r="42882" s="42" customFormat="1" x14ac:dyDescent="0.25"/>
    <row r="42883" s="42" customFormat="1" x14ac:dyDescent="0.25"/>
    <row r="42884" s="42" customFormat="1" x14ac:dyDescent="0.25"/>
    <row r="42885" s="42" customFormat="1" x14ac:dyDescent="0.25"/>
    <row r="42886" s="42" customFormat="1" x14ac:dyDescent="0.25"/>
    <row r="42887" s="42" customFormat="1" x14ac:dyDescent="0.25"/>
    <row r="42888" s="42" customFormat="1" x14ac:dyDescent="0.25"/>
    <row r="42889" s="42" customFormat="1" x14ac:dyDescent="0.25"/>
    <row r="42890" s="42" customFormat="1" x14ac:dyDescent="0.25"/>
    <row r="42891" s="42" customFormat="1" x14ac:dyDescent="0.25"/>
    <row r="42892" s="42" customFormat="1" x14ac:dyDescent="0.25"/>
    <row r="42893" s="42" customFormat="1" x14ac:dyDescent="0.25"/>
    <row r="42894" s="42" customFormat="1" x14ac:dyDescent="0.25"/>
    <row r="42895" s="42" customFormat="1" x14ac:dyDescent="0.25"/>
    <row r="42896" s="42" customFormat="1" x14ac:dyDescent="0.25"/>
    <row r="42897" s="42" customFormat="1" x14ac:dyDescent="0.25"/>
    <row r="42898" s="42" customFormat="1" x14ac:dyDescent="0.25"/>
    <row r="42899" s="42" customFormat="1" x14ac:dyDescent="0.25"/>
    <row r="42900" s="42" customFormat="1" x14ac:dyDescent="0.25"/>
    <row r="42901" s="42" customFormat="1" x14ac:dyDescent="0.25"/>
    <row r="42902" s="42" customFormat="1" x14ac:dyDescent="0.25"/>
    <row r="42903" s="42" customFormat="1" x14ac:dyDescent="0.25"/>
    <row r="42904" s="42" customFormat="1" x14ac:dyDescent="0.25"/>
    <row r="42905" s="42" customFormat="1" x14ac:dyDescent="0.25"/>
    <row r="42906" s="42" customFormat="1" x14ac:dyDescent="0.25"/>
    <row r="42907" s="42" customFormat="1" x14ac:dyDescent="0.25"/>
    <row r="42908" s="42" customFormat="1" x14ac:dyDescent="0.25"/>
    <row r="42909" s="42" customFormat="1" x14ac:dyDescent="0.25"/>
    <row r="42910" s="42" customFormat="1" x14ac:dyDescent="0.25"/>
    <row r="42911" s="42" customFormat="1" x14ac:dyDescent="0.25"/>
    <row r="42912" s="42" customFormat="1" x14ac:dyDescent="0.25"/>
    <row r="42913" s="42" customFormat="1" x14ac:dyDescent="0.25"/>
    <row r="42914" s="42" customFormat="1" x14ac:dyDescent="0.25"/>
    <row r="42915" s="42" customFormat="1" x14ac:dyDescent="0.25"/>
    <row r="42916" s="42" customFormat="1" x14ac:dyDescent="0.25"/>
    <row r="42917" s="42" customFormat="1" x14ac:dyDescent="0.25"/>
    <row r="42918" s="42" customFormat="1" x14ac:dyDescent="0.25"/>
    <row r="42919" s="42" customFormat="1" x14ac:dyDescent="0.25"/>
    <row r="42920" s="42" customFormat="1" x14ac:dyDescent="0.25"/>
    <row r="42921" s="42" customFormat="1" x14ac:dyDescent="0.25"/>
    <row r="42922" s="42" customFormat="1" x14ac:dyDescent="0.25"/>
    <row r="42923" s="42" customFormat="1" x14ac:dyDescent="0.25"/>
    <row r="42924" s="42" customFormat="1" x14ac:dyDescent="0.25"/>
    <row r="42925" s="42" customFormat="1" x14ac:dyDescent="0.25"/>
    <row r="42926" s="42" customFormat="1" x14ac:dyDescent="0.25"/>
    <row r="42927" s="42" customFormat="1" x14ac:dyDescent="0.25"/>
    <row r="42928" s="42" customFormat="1" x14ac:dyDescent="0.25"/>
    <row r="42929" s="42" customFormat="1" x14ac:dyDescent="0.25"/>
    <row r="42930" s="42" customFormat="1" x14ac:dyDescent="0.25"/>
    <row r="42931" s="42" customFormat="1" x14ac:dyDescent="0.25"/>
    <row r="42932" s="42" customFormat="1" x14ac:dyDescent="0.25"/>
    <row r="42933" s="42" customFormat="1" x14ac:dyDescent="0.25"/>
    <row r="42934" s="42" customFormat="1" x14ac:dyDescent="0.25"/>
    <row r="42935" s="42" customFormat="1" x14ac:dyDescent="0.25"/>
    <row r="42936" s="42" customFormat="1" x14ac:dyDescent="0.25"/>
    <row r="42937" s="42" customFormat="1" x14ac:dyDescent="0.25"/>
    <row r="42938" s="42" customFormat="1" x14ac:dyDescent="0.25"/>
    <row r="42939" s="42" customFormat="1" x14ac:dyDescent="0.25"/>
    <row r="42940" s="42" customFormat="1" x14ac:dyDescent="0.25"/>
    <row r="42941" s="42" customFormat="1" x14ac:dyDescent="0.25"/>
    <row r="42942" s="42" customFormat="1" x14ac:dyDescent="0.25"/>
    <row r="42943" s="42" customFormat="1" x14ac:dyDescent="0.25"/>
    <row r="42944" s="42" customFormat="1" x14ac:dyDescent="0.25"/>
    <row r="42945" s="42" customFormat="1" x14ac:dyDescent="0.25"/>
    <row r="42946" s="42" customFormat="1" x14ac:dyDescent="0.25"/>
    <row r="42947" s="42" customFormat="1" x14ac:dyDescent="0.25"/>
    <row r="42948" s="42" customFormat="1" x14ac:dyDescent="0.25"/>
    <row r="42949" s="42" customFormat="1" x14ac:dyDescent="0.25"/>
    <row r="42950" s="42" customFormat="1" x14ac:dyDescent="0.25"/>
    <row r="42951" s="42" customFormat="1" x14ac:dyDescent="0.25"/>
    <row r="42952" s="42" customFormat="1" x14ac:dyDescent="0.25"/>
    <row r="42953" s="42" customFormat="1" x14ac:dyDescent="0.25"/>
    <row r="42954" s="42" customFormat="1" x14ac:dyDescent="0.25"/>
    <row r="42955" s="42" customFormat="1" x14ac:dyDescent="0.25"/>
    <row r="42956" s="42" customFormat="1" x14ac:dyDescent="0.25"/>
    <row r="42957" s="42" customFormat="1" x14ac:dyDescent="0.25"/>
    <row r="42958" s="42" customFormat="1" x14ac:dyDescent="0.25"/>
    <row r="42959" s="42" customFormat="1" x14ac:dyDescent="0.25"/>
    <row r="42960" s="42" customFormat="1" x14ac:dyDescent="0.25"/>
    <row r="42961" s="42" customFormat="1" x14ac:dyDescent="0.25"/>
    <row r="42962" s="42" customFormat="1" x14ac:dyDescent="0.25"/>
    <row r="42963" s="42" customFormat="1" x14ac:dyDescent="0.25"/>
    <row r="42964" s="42" customFormat="1" x14ac:dyDescent="0.25"/>
    <row r="42965" s="42" customFormat="1" x14ac:dyDescent="0.25"/>
    <row r="42966" s="42" customFormat="1" x14ac:dyDescent="0.25"/>
    <row r="42967" s="42" customFormat="1" x14ac:dyDescent="0.25"/>
    <row r="42968" s="42" customFormat="1" x14ac:dyDescent="0.25"/>
    <row r="42969" s="42" customFormat="1" x14ac:dyDescent="0.25"/>
    <row r="42970" s="42" customFormat="1" x14ac:dyDescent="0.25"/>
    <row r="42971" s="42" customFormat="1" x14ac:dyDescent="0.25"/>
    <row r="42972" s="42" customFormat="1" x14ac:dyDescent="0.25"/>
    <row r="42973" s="42" customFormat="1" x14ac:dyDescent="0.25"/>
    <row r="42974" s="42" customFormat="1" x14ac:dyDescent="0.25"/>
    <row r="42975" s="42" customFormat="1" x14ac:dyDescent="0.25"/>
    <row r="42976" s="42" customFormat="1" x14ac:dyDescent="0.25"/>
    <row r="42977" s="42" customFormat="1" x14ac:dyDescent="0.25"/>
    <row r="42978" s="42" customFormat="1" x14ac:dyDescent="0.25"/>
    <row r="42979" s="42" customFormat="1" x14ac:dyDescent="0.25"/>
    <row r="42980" s="42" customFormat="1" x14ac:dyDescent="0.25"/>
    <row r="42981" s="42" customFormat="1" x14ac:dyDescent="0.25"/>
    <row r="42982" s="42" customFormat="1" x14ac:dyDescent="0.25"/>
    <row r="42983" s="42" customFormat="1" x14ac:dyDescent="0.25"/>
    <row r="42984" s="42" customFormat="1" x14ac:dyDescent="0.25"/>
    <row r="42985" s="42" customFormat="1" x14ac:dyDescent="0.25"/>
    <row r="42986" s="42" customFormat="1" x14ac:dyDescent="0.25"/>
    <row r="42987" s="42" customFormat="1" x14ac:dyDescent="0.25"/>
    <row r="42988" s="42" customFormat="1" x14ac:dyDescent="0.25"/>
    <row r="42989" s="42" customFormat="1" x14ac:dyDescent="0.25"/>
    <row r="42990" s="42" customFormat="1" x14ac:dyDescent="0.25"/>
    <row r="42991" s="42" customFormat="1" x14ac:dyDescent="0.25"/>
    <row r="42992" s="42" customFormat="1" x14ac:dyDescent="0.25"/>
    <row r="42993" s="42" customFormat="1" x14ac:dyDescent="0.25"/>
    <row r="42994" s="42" customFormat="1" x14ac:dyDescent="0.25"/>
    <row r="42995" s="42" customFormat="1" x14ac:dyDescent="0.25"/>
    <row r="42996" s="42" customFormat="1" x14ac:dyDescent="0.25"/>
    <row r="42997" s="42" customFormat="1" x14ac:dyDescent="0.25"/>
    <row r="42998" s="42" customFormat="1" x14ac:dyDescent="0.25"/>
    <row r="42999" s="42" customFormat="1" x14ac:dyDescent="0.25"/>
    <row r="43000" s="42" customFormat="1" x14ac:dyDescent="0.25"/>
    <row r="43001" s="42" customFormat="1" x14ac:dyDescent="0.25"/>
    <row r="43002" s="42" customFormat="1" x14ac:dyDescent="0.25"/>
    <row r="43003" s="42" customFormat="1" x14ac:dyDescent="0.25"/>
    <row r="43004" s="42" customFormat="1" x14ac:dyDescent="0.25"/>
    <row r="43005" s="42" customFormat="1" x14ac:dyDescent="0.25"/>
    <row r="43006" s="42" customFormat="1" x14ac:dyDescent="0.25"/>
    <row r="43007" s="42" customFormat="1" x14ac:dyDescent="0.25"/>
    <row r="43008" s="42" customFormat="1" x14ac:dyDescent="0.25"/>
    <row r="43009" s="42" customFormat="1" x14ac:dyDescent="0.25"/>
    <row r="43010" s="42" customFormat="1" x14ac:dyDescent="0.25"/>
    <row r="43011" s="42" customFormat="1" x14ac:dyDescent="0.25"/>
    <row r="43012" s="42" customFormat="1" x14ac:dyDescent="0.25"/>
    <row r="43013" s="42" customFormat="1" x14ac:dyDescent="0.25"/>
    <row r="43014" s="42" customFormat="1" x14ac:dyDescent="0.25"/>
    <row r="43015" s="42" customFormat="1" x14ac:dyDescent="0.25"/>
    <row r="43016" s="42" customFormat="1" x14ac:dyDescent="0.25"/>
    <row r="43017" s="42" customFormat="1" x14ac:dyDescent="0.25"/>
    <row r="43018" s="42" customFormat="1" x14ac:dyDescent="0.25"/>
    <row r="43019" s="42" customFormat="1" x14ac:dyDescent="0.25"/>
    <row r="43020" s="42" customFormat="1" x14ac:dyDescent="0.25"/>
    <row r="43021" s="42" customFormat="1" x14ac:dyDescent="0.25"/>
    <row r="43022" s="42" customFormat="1" x14ac:dyDescent="0.25"/>
    <row r="43023" s="42" customFormat="1" x14ac:dyDescent="0.25"/>
    <row r="43024" s="42" customFormat="1" x14ac:dyDescent="0.25"/>
    <row r="43025" s="42" customFormat="1" x14ac:dyDescent="0.25"/>
    <row r="43026" s="42" customFormat="1" x14ac:dyDescent="0.25"/>
    <row r="43027" s="42" customFormat="1" x14ac:dyDescent="0.25"/>
    <row r="43028" s="42" customFormat="1" x14ac:dyDescent="0.25"/>
    <row r="43029" s="42" customFormat="1" x14ac:dyDescent="0.25"/>
    <row r="43030" s="42" customFormat="1" x14ac:dyDescent="0.25"/>
    <row r="43031" s="42" customFormat="1" x14ac:dyDescent="0.25"/>
    <row r="43032" s="42" customFormat="1" x14ac:dyDescent="0.25"/>
    <row r="43033" s="42" customFormat="1" x14ac:dyDescent="0.25"/>
    <row r="43034" s="42" customFormat="1" x14ac:dyDescent="0.25"/>
    <row r="43035" s="42" customFormat="1" x14ac:dyDescent="0.25"/>
    <row r="43036" s="42" customFormat="1" x14ac:dyDescent="0.25"/>
    <row r="43037" s="42" customFormat="1" x14ac:dyDescent="0.25"/>
    <row r="43038" s="42" customFormat="1" x14ac:dyDescent="0.25"/>
    <row r="43039" s="42" customFormat="1" x14ac:dyDescent="0.25"/>
    <row r="43040" s="42" customFormat="1" x14ac:dyDescent="0.25"/>
    <row r="43041" s="42" customFormat="1" x14ac:dyDescent="0.25"/>
    <row r="43042" s="42" customFormat="1" x14ac:dyDescent="0.25"/>
    <row r="43043" s="42" customFormat="1" x14ac:dyDescent="0.25"/>
    <row r="43044" s="42" customFormat="1" x14ac:dyDescent="0.25"/>
    <row r="43045" s="42" customFormat="1" x14ac:dyDescent="0.25"/>
    <row r="43046" s="42" customFormat="1" x14ac:dyDescent="0.25"/>
    <row r="43047" s="42" customFormat="1" x14ac:dyDescent="0.25"/>
    <row r="43048" s="42" customFormat="1" x14ac:dyDescent="0.25"/>
    <row r="43049" s="42" customFormat="1" x14ac:dyDescent="0.25"/>
    <row r="43050" s="42" customFormat="1" x14ac:dyDescent="0.25"/>
    <row r="43051" s="42" customFormat="1" x14ac:dyDescent="0.25"/>
    <row r="43052" s="42" customFormat="1" x14ac:dyDescent="0.25"/>
    <row r="43053" s="42" customFormat="1" x14ac:dyDescent="0.25"/>
    <row r="43054" s="42" customFormat="1" x14ac:dyDescent="0.25"/>
    <row r="43055" s="42" customFormat="1" x14ac:dyDescent="0.25"/>
    <row r="43056" s="42" customFormat="1" x14ac:dyDescent="0.25"/>
    <row r="43057" s="42" customFormat="1" x14ac:dyDescent="0.25"/>
    <row r="43058" s="42" customFormat="1" x14ac:dyDescent="0.25"/>
    <row r="43059" s="42" customFormat="1" x14ac:dyDescent="0.25"/>
    <row r="43060" s="42" customFormat="1" x14ac:dyDescent="0.25"/>
    <row r="43061" s="42" customFormat="1" x14ac:dyDescent="0.25"/>
    <row r="43062" s="42" customFormat="1" x14ac:dyDescent="0.25"/>
    <row r="43063" s="42" customFormat="1" x14ac:dyDescent="0.25"/>
    <row r="43064" s="42" customFormat="1" x14ac:dyDescent="0.25"/>
    <row r="43065" s="42" customFormat="1" x14ac:dyDescent="0.25"/>
    <row r="43066" s="42" customFormat="1" x14ac:dyDescent="0.25"/>
    <row r="43067" s="42" customFormat="1" x14ac:dyDescent="0.25"/>
    <row r="43068" s="42" customFormat="1" x14ac:dyDescent="0.25"/>
    <row r="43069" s="42" customFormat="1" x14ac:dyDescent="0.25"/>
    <row r="43070" s="42" customFormat="1" x14ac:dyDescent="0.25"/>
    <row r="43071" s="42" customFormat="1" x14ac:dyDescent="0.25"/>
    <row r="43072" s="42" customFormat="1" x14ac:dyDescent="0.25"/>
    <row r="43073" s="42" customFormat="1" x14ac:dyDescent="0.25"/>
    <row r="43074" s="42" customFormat="1" x14ac:dyDescent="0.25"/>
    <row r="43075" s="42" customFormat="1" x14ac:dyDescent="0.25"/>
    <row r="43076" s="42" customFormat="1" x14ac:dyDescent="0.25"/>
    <row r="43077" s="42" customFormat="1" x14ac:dyDescent="0.25"/>
    <row r="43078" s="42" customFormat="1" x14ac:dyDescent="0.25"/>
    <row r="43079" s="42" customFormat="1" x14ac:dyDescent="0.25"/>
    <row r="43080" s="42" customFormat="1" x14ac:dyDescent="0.25"/>
    <row r="43081" s="42" customFormat="1" x14ac:dyDescent="0.25"/>
    <row r="43082" s="42" customFormat="1" x14ac:dyDescent="0.25"/>
    <row r="43083" s="42" customFormat="1" x14ac:dyDescent="0.25"/>
    <row r="43084" s="42" customFormat="1" x14ac:dyDescent="0.25"/>
    <row r="43085" s="42" customFormat="1" x14ac:dyDescent="0.25"/>
    <row r="43086" s="42" customFormat="1" x14ac:dyDescent="0.25"/>
    <row r="43087" s="42" customFormat="1" x14ac:dyDescent="0.25"/>
    <row r="43088" s="42" customFormat="1" x14ac:dyDescent="0.25"/>
    <row r="43089" s="42" customFormat="1" x14ac:dyDescent="0.25"/>
    <row r="43090" s="42" customFormat="1" x14ac:dyDescent="0.25"/>
    <row r="43091" s="42" customFormat="1" x14ac:dyDescent="0.25"/>
    <row r="43092" s="42" customFormat="1" x14ac:dyDescent="0.25"/>
    <row r="43093" s="42" customFormat="1" x14ac:dyDescent="0.25"/>
    <row r="43094" s="42" customFormat="1" x14ac:dyDescent="0.25"/>
    <row r="43095" s="42" customFormat="1" x14ac:dyDescent="0.25"/>
    <row r="43096" s="42" customFormat="1" x14ac:dyDescent="0.25"/>
    <row r="43097" s="42" customFormat="1" x14ac:dyDescent="0.25"/>
    <row r="43098" s="42" customFormat="1" x14ac:dyDescent="0.25"/>
    <row r="43099" s="42" customFormat="1" x14ac:dyDescent="0.25"/>
    <row r="43100" s="42" customFormat="1" x14ac:dyDescent="0.25"/>
    <row r="43101" s="42" customFormat="1" x14ac:dyDescent="0.25"/>
    <row r="43102" s="42" customFormat="1" x14ac:dyDescent="0.25"/>
    <row r="43103" s="42" customFormat="1" x14ac:dyDescent="0.25"/>
    <row r="43104" s="42" customFormat="1" x14ac:dyDescent="0.25"/>
    <row r="43105" s="42" customFormat="1" x14ac:dyDescent="0.25"/>
    <row r="43106" s="42" customFormat="1" x14ac:dyDescent="0.25"/>
    <row r="43107" s="42" customFormat="1" x14ac:dyDescent="0.25"/>
    <row r="43108" s="42" customFormat="1" x14ac:dyDescent="0.25"/>
    <row r="43109" s="42" customFormat="1" x14ac:dyDescent="0.25"/>
    <row r="43110" s="42" customFormat="1" x14ac:dyDescent="0.25"/>
    <row r="43111" s="42" customFormat="1" x14ac:dyDescent="0.25"/>
    <row r="43112" s="42" customFormat="1" x14ac:dyDescent="0.25"/>
    <row r="43113" s="42" customFormat="1" x14ac:dyDescent="0.25"/>
    <row r="43114" s="42" customFormat="1" x14ac:dyDescent="0.25"/>
    <row r="43115" s="42" customFormat="1" x14ac:dyDescent="0.25"/>
    <row r="43116" s="42" customFormat="1" x14ac:dyDescent="0.25"/>
    <row r="43117" s="42" customFormat="1" x14ac:dyDescent="0.25"/>
    <row r="43118" s="42" customFormat="1" x14ac:dyDescent="0.25"/>
    <row r="43119" s="42" customFormat="1" x14ac:dyDescent="0.25"/>
    <row r="43120" s="42" customFormat="1" x14ac:dyDescent="0.25"/>
    <row r="43121" s="42" customFormat="1" x14ac:dyDescent="0.25"/>
    <row r="43122" s="42" customFormat="1" x14ac:dyDescent="0.25"/>
    <row r="43123" s="42" customFormat="1" x14ac:dyDescent="0.25"/>
    <row r="43124" s="42" customFormat="1" x14ac:dyDescent="0.25"/>
    <row r="43125" s="42" customFormat="1" x14ac:dyDescent="0.25"/>
    <row r="43126" s="42" customFormat="1" x14ac:dyDescent="0.25"/>
    <row r="43127" s="42" customFormat="1" x14ac:dyDescent="0.25"/>
    <row r="43128" s="42" customFormat="1" x14ac:dyDescent="0.25"/>
    <row r="43129" s="42" customFormat="1" x14ac:dyDescent="0.25"/>
    <row r="43130" s="42" customFormat="1" x14ac:dyDescent="0.25"/>
    <row r="43131" s="42" customFormat="1" x14ac:dyDescent="0.25"/>
    <row r="43132" s="42" customFormat="1" x14ac:dyDescent="0.25"/>
    <row r="43133" s="42" customFormat="1" x14ac:dyDescent="0.25"/>
    <row r="43134" s="42" customFormat="1" x14ac:dyDescent="0.25"/>
    <row r="43135" s="42" customFormat="1" x14ac:dyDescent="0.25"/>
    <row r="43136" s="42" customFormat="1" x14ac:dyDescent="0.25"/>
    <row r="43137" s="42" customFormat="1" x14ac:dyDescent="0.25"/>
    <row r="43138" s="42" customFormat="1" x14ac:dyDescent="0.25"/>
    <row r="43139" s="42" customFormat="1" x14ac:dyDescent="0.25"/>
    <row r="43140" s="42" customFormat="1" x14ac:dyDescent="0.25"/>
    <row r="43141" s="42" customFormat="1" x14ac:dyDescent="0.25"/>
    <row r="43142" s="42" customFormat="1" x14ac:dyDescent="0.25"/>
    <row r="43143" s="42" customFormat="1" x14ac:dyDescent="0.25"/>
    <row r="43144" s="42" customFormat="1" x14ac:dyDescent="0.25"/>
    <row r="43145" s="42" customFormat="1" x14ac:dyDescent="0.25"/>
    <row r="43146" s="42" customFormat="1" x14ac:dyDescent="0.25"/>
    <row r="43147" s="42" customFormat="1" x14ac:dyDescent="0.25"/>
    <row r="43148" s="42" customFormat="1" x14ac:dyDescent="0.25"/>
    <row r="43149" s="42" customFormat="1" x14ac:dyDescent="0.25"/>
    <row r="43150" s="42" customFormat="1" x14ac:dyDescent="0.25"/>
    <row r="43151" s="42" customFormat="1" x14ac:dyDescent="0.25"/>
    <row r="43152" s="42" customFormat="1" x14ac:dyDescent="0.25"/>
    <row r="43153" s="42" customFormat="1" x14ac:dyDescent="0.25"/>
    <row r="43154" s="42" customFormat="1" x14ac:dyDescent="0.25"/>
    <row r="43155" s="42" customFormat="1" x14ac:dyDescent="0.25"/>
    <row r="43156" s="42" customFormat="1" x14ac:dyDescent="0.25"/>
    <row r="43157" s="42" customFormat="1" x14ac:dyDescent="0.25"/>
    <row r="43158" s="42" customFormat="1" x14ac:dyDescent="0.25"/>
    <row r="43159" s="42" customFormat="1" x14ac:dyDescent="0.25"/>
    <row r="43160" s="42" customFormat="1" x14ac:dyDescent="0.25"/>
    <row r="43161" s="42" customFormat="1" x14ac:dyDescent="0.25"/>
    <row r="43162" s="42" customFormat="1" x14ac:dyDescent="0.25"/>
    <row r="43163" s="42" customFormat="1" x14ac:dyDescent="0.25"/>
    <row r="43164" s="42" customFormat="1" x14ac:dyDescent="0.25"/>
    <row r="43165" s="42" customFormat="1" x14ac:dyDescent="0.25"/>
    <row r="43166" s="42" customFormat="1" x14ac:dyDescent="0.25"/>
    <row r="43167" s="42" customFormat="1" x14ac:dyDescent="0.25"/>
    <row r="43168" s="42" customFormat="1" x14ac:dyDescent="0.25"/>
    <row r="43169" s="42" customFormat="1" x14ac:dyDescent="0.25"/>
    <row r="43170" s="42" customFormat="1" x14ac:dyDescent="0.25"/>
    <row r="43171" s="42" customFormat="1" x14ac:dyDescent="0.25"/>
    <row r="43172" s="42" customFormat="1" x14ac:dyDescent="0.25"/>
    <row r="43173" s="42" customFormat="1" x14ac:dyDescent="0.25"/>
    <row r="43174" s="42" customFormat="1" x14ac:dyDescent="0.25"/>
    <row r="43175" s="42" customFormat="1" x14ac:dyDescent="0.25"/>
    <row r="43176" s="42" customFormat="1" x14ac:dyDescent="0.25"/>
    <row r="43177" s="42" customFormat="1" x14ac:dyDescent="0.25"/>
    <row r="43178" s="42" customFormat="1" x14ac:dyDescent="0.25"/>
    <row r="43179" s="42" customFormat="1" x14ac:dyDescent="0.25"/>
    <row r="43180" s="42" customFormat="1" x14ac:dyDescent="0.25"/>
    <row r="43181" s="42" customFormat="1" x14ac:dyDescent="0.25"/>
    <row r="43182" s="42" customFormat="1" x14ac:dyDescent="0.25"/>
    <row r="43183" s="42" customFormat="1" x14ac:dyDescent="0.25"/>
    <row r="43184" s="42" customFormat="1" x14ac:dyDescent="0.25"/>
    <row r="43185" s="42" customFormat="1" x14ac:dyDescent="0.25"/>
    <row r="43186" s="42" customFormat="1" x14ac:dyDescent="0.25"/>
    <row r="43187" s="42" customFormat="1" x14ac:dyDescent="0.25"/>
    <row r="43188" s="42" customFormat="1" x14ac:dyDescent="0.25"/>
    <row r="43189" s="42" customFormat="1" x14ac:dyDescent="0.25"/>
    <row r="43190" s="42" customFormat="1" x14ac:dyDescent="0.25"/>
    <row r="43191" s="42" customFormat="1" x14ac:dyDescent="0.25"/>
    <row r="43192" s="42" customFormat="1" x14ac:dyDescent="0.25"/>
    <row r="43193" s="42" customFormat="1" x14ac:dyDescent="0.25"/>
    <row r="43194" s="42" customFormat="1" x14ac:dyDescent="0.25"/>
    <row r="43195" s="42" customFormat="1" x14ac:dyDescent="0.25"/>
    <row r="43196" s="42" customFormat="1" x14ac:dyDescent="0.25"/>
    <row r="43197" s="42" customFormat="1" x14ac:dyDescent="0.25"/>
    <row r="43198" s="42" customFormat="1" x14ac:dyDescent="0.25"/>
    <row r="43199" s="42" customFormat="1" x14ac:dyDescent="0.25"/>
    <row r="43200" s="42" customFormat="1" x14ac:dyDescent="0.25"/>
    <row r="43201" s="42" customFormat="1" x14ac:dyDescent="0.25"/>
    <row r="43202" s="42" customFormat="1" x14ac:dyDescent="0.25"/>
    <row r="43203" s="42" customFormat="1" x14ac:dyDescent="0.25"/>
    <row r="43204" s="42" customFormat="1" x14ac:dyDescent="0.25"/>
    <row r="43205" s="42" customFormat="1" x14ac:dyDescent="0.25"/>
    <row r="43206" s="42" customFormat="1" x14ac:dyDescent="0.25"/>
    <row r="43207" s="42" customFormat="1" x14ac:dyDescent="0.25"/>
    <row r="43208" s="42" customFormat="1" x14ac:dyDescent="0.25"/>
    <row r="43209" s="42" customFormat="1" x14ac:dyDescent="0.25"/>
    <row r="43210" s="42" customFormat="1" x14ac:dyDescent="0.25"/>
    <row r="43211" s="42" customFormat="1" x14ac:dyDescent="0.25"/>
    <row r="43212" s="42" customFormat="1" x14ac:dyDescent="0.25"/>
    <row r="43213" s="42" customFormat="1" x14ac:dyDescent="0.25"/>
    <row r="43214" s="42" customFormat="1" x14ac:dyDescent="0.25"/>
    <row r="43215" s="42" customFormat="1" x14ac:dyDescent="0.25"/>
    <row r="43216" s="42" customFormat="1" x14ac:dyDescent="0.25"/>
    <row r="43217" s="42" customFormat="1" x14ac:dyDescent="0.25"/>
    <row r="43218" s="42" customFormat="1" x14ac:dyDescent="0.25"/>
    <row r="43219" s="42" customFormat="1" x14ac:dyDescent="0.25"/>
    <row r="43220" s="42" customFormat="1" x14ac:dyDescent="0.25"/>
    <row r="43221" s="42" customFormat="1" x14ac:dyDescent="0.25"/>
    <row r="43222" s="42" customFormat="1" x14ac:dyDescent="0.25"/>
    <row r="43223" s="42" customFormat="1" x14ac:dyDescent="0.25"/>
    <row r="43224" s="42" customFormat="1" x14ac:dyDescent="0.25"/>
    <row r="43225" s="42" customFormat="1" x14ac:dyDescent="0.25"/>
    <row r="43226" s="42" customFormat="1" x14ac:dyDescent="0.25"/>
    <row r="43227" s="42" customFormat="1" x14ac:dyDescent="0.25"/>
    <row r="43228" s="42" customFormat="1" x14ac:dyDescent="0.25"/>
    <row r="43229" s="42" customFormat="1" x14ac:dyDescent="0.25"/>
    <row r="43230" s="42" customFormat="1" x14ac:dyDescent="0.25"/>
    <row r="43231" s="42" customFormat="1" x14ac:dyDescent="0.25"/>
    <row r="43232" s="42" customFormat="1" x14ac:dyDescent="0.25"/>
    <row r="43233" s="42" customFormat="1" x14ac:dyDescent="0.25"/>
    <row r="43234" s="42" customFormat="1" x14ac:dyDescent="0.25"/>
    <row r="43235" s="42" customFormat="1" x14ac:dyDescent="0.25"/>
    <row r="43236" s="42" customFormat="1" x14ac:dyDescent="0.25"/>
    <row r="43237" s="42" customFormat="1" x14ac:dyDescent="0.25"/>
    <row r="43238" s="42" customFormat="1" x14ac:dyDescent="0.25"/>
    <row r="43239" s="42" customFormat="1" x14ac:dyDescent="0.25"/>
    <row r="43240" s="42" customFormat="1" x14ac:dyDescent="0.25"/>
    <row r="43241" s="42" customFormat="1" x14ac:dyDescent="0.25"/>
    <row r="43242" s="42" customFormat="1" x14ac:dyDescent="0.25"/>
    <row r="43243" s="42" customFormat="1" x14ac:dyDescent="0.25"/>
    <row r="43244" s="42" customFormat="1" x14ac:dyDescent="0.25"/>
    <row r="43245" s="42" customFormat="1" x14ac:dyDescent="0.25"/>
    <row r="43246" s="42" customFormat="1" x14ac:dyDescent="0.25"/>
    <row r="43247" s="42" customFormat="1" x14ac:dyDescent="0.25"/>
    <row r="43248" s="42" customFormat="1" x14ac:dyDescent="0.25"/>
    <row r="43249" s="42" customFormat="1" x14ac:dyDescent="0.25"/>
    <row r="43250" s="42" customFormat="1" x14ac:dyDescent="0.25"/>
    <row r="43251" s="42" customFormat="1" x14ac:dyDescent="0.25"/>
    <row r="43252" s="42" customFormat="1" x14ac:dyDescent="0.25"/>
    <row r="43253" s="42" customFormat="1" x14ac:dyDescent="0.25"/>
    <row r="43254" s="42" customFormat="1" x14ac:dyDescent="0.25"/>
    <row r="43255" s="42" customFormat="1" x14ac:dyDescent="0.25"/>
    <row r="43256" s="42" customFormat="1" x14ac:dyDescent="0.25"/>
    <row r="43257" s="42" customFormat="1" x14ac:dyDescent="0.25"/>
    <row r="43258" s="42" customFormat="1" x14ac:dyDescent="0.25"/>
    <row r="43259" s="42" customFormat="1" x14ac:dyDescent="0.25"/>
    <row r="43260" s="42" customFormat="1" x14ac:dyDescent="0.25"/>
    <row r="43261" s="42" customFormat="1" x14ac:dyDescent="0.25"/>
    <row r="43262" s="42" customFormat="1" x14ac:dyDescent="0.25"/>
    <row r="43263" s="42" customFormat="1" x14ac:dyDescent="0.25"/>
    <row r="43264" s="42" customFormat="1" x14ac:dyDescent="0.25"/>
    <row r="43265" s="42" customFormat="1" x14ac:dyDescent="0.25"/>
    <row r="43266" s="42" customFormat="1" x14ac:dyDescent="0.25"/>
    <row r="43267" s="42" customFormat="1" x14ac:dyDescent="0.25"/>
    <row r="43268" s="42" customFormat="1" x14ac:dyDescent="0.25"/>
    <row r="43269" s="42" customFormat="1" x14ac:dyDescent="0.25"/>
    <row r="43270" s="42" customFormat="1" x14ac:dyDescent="0.25"/>
    <row r="43271" s="42" customFormat="1" x14ac:dyDescent="0.25"/>
    <row r="43272" s="42" customFormat="1" x14ac:dyDescent="0.25"/>
    <row r="43273" s="42" customFormat="1" x14ac:dyDescent="0.25"/>
    <row r="43274" s="42" customFormat="1" x14ac:dyDescent="0.25"/>
    <row r="43275" s="42" customFormat="1" x14ac:dyDescent="0.25"/>
    <row r="43276" s="42" customFormat="1" x14ac:dyDescent="0.25"/>
    <row r="43277" s="42" customFormat="1" x14ac:dyDescent="0.25"/>
    <row r="43278" s="42" customFormat="1" x14ac:dyDescent="0.25"/>
    <row r="43279" s="42" customFormat="1" x14ac:dyDescent="0.25"/>
    <row r="43280" s="42" customFormat="1" x14ac:dyDescent="0.25"/>
    <row r="43281" s="42" customFormat="1" x14ac:dyDescent="0.25"/>
    <row r="43282" s="42" customFormat="1" x14ac:dyDescent="0.25"/>
    <row r="43283" s="42" customFormat="1" x14ac:dyDescent="0.25"/>
    <row r="43284" s="42" customFormat="1" x14ac:dyDescent="0.25"/>
    <row r="43285" s="42" customFormat="1" x14ac:dyDescent="0.25"/>
    <row r="43286" s="42" customFormat="1" x14ac:dyDescent="0.25"/>
    <row r="43287" s="42" customFormat="1" x14ac:dyDescent="0.25"/>
    <row r="43288" s="42" customFormat="1" x14ac:dyDescent="0.25"/>
    <row r="43289" s="42" customFormat="1" x14ac:dyDescent="0.25"/>
    <row r="43290" s="42" customFormat="1" x14ac:dyDescent="0.25"/>
    <row r="43291" s="42" customFormat="1" x14ac:dyDescent="0.25"/>
    <row r="43292" s="42" customFormat="1" x14ac:dyDescent="0.25"/>
    <row r="43293" s="42" customFormat="1" x14ac:dyDescent="0.25"/>
    <row r="43294" s="42" customFormat="1" x14ac:dyDescent="0.25"/>
    <row r="43295" s="42" customFormat="1" x14ac:dyDescent="0.25"/>
    <row r="43296" s="42" customFormat="1" x14ac:dyDescent="0.25"/>
    <row r="43297" s="42" customFormat="1" x14ac:dyDescent="0.25"/>
    <row r="43298" s="42" customFormat="1" x14ac:dyDescent="0.25"/>
    <row r="43299" s="42" customFormat="1" x14ac:dyDescent="0.25"/>
    <row r="43300" s="42" customFormat="1" x14ac:dyDescent="0.25"/>
    <row r="43301" s="42" customFormat="1" x14ac:dyDescent="0.25"/>
    <row r="43302" s="42" customFormat="1" x14ac:dyDescent="0.25"/>
    <row r="43303" s="42" customFormat="1" x14ac:dyDescent="0.25"/>
    <row r="43304" s="42" customFormat="1" x14ac:dyDescent="0.25"/>
    <row r="43305" s="42" customFormat="1" x14ac:dyDescent="0.25"/>
    <row r="43306" s="42" customFormat="1" x14ac:dyDescent="0.25"/>
    <row r="43307" s="42" customFormat="1" x14ac:dyDescent="0.25"/>
    <row r="43308" s="42" customFormat="1" x14ac:dyDescent="0.25"/>
    <row r="43309" s="42" customFormat="1" x14ac:dyDescent="0.25"/>
    <row r="43310" s="42" customFormat="1" x14ac:dyDescent="0.25"/>
    <row r="43311" s="42" customFormat="1" x14ac:dyDescent="0.25"/>
    <row r="43312" s="42" customFormat="1" x14ac:dyDescent="0.25"/>
    <row r="43313" s="42" customFormat="1" x14ac:dyDescent="0.25"/>
    <row r="43314" s="42" customFormat="1" x14ac:dyDescent="0.25"/>
    <row r="43315" s="42" customFormat="1" x14ac:dyDescent="0.25"/>
    <row r="43316" s="42" customFormat="1" x14ac:dyDescent="0.25"/>
    <row r="43317" s="42" customFormat="1" x14ac:dyDescent="0.25"/>
    <row r="43318" s="42" customFormat="1" x14ac:dyDescent="0.25"/>
    <row r="43319" s="42" customFormat="1" x14ac:dyDescent="0.25"/>
    <row r="43320" s="42" customFormat="1" x14ac:dyDescent="0.25"/>
    <row r="43321" s="42" customFormat="1" x14ac:dyDescent="0.25"/>
    <row r="43322" s="42" customFormat="1" x14ac:dyDescent="0.25"/>
    <row r="43323" s="42" customFormat="1" x14ac:dyDescent="0.25"/>
    <row r="43324" s="42" customFormat="1" x14ac:dyDescent="0.25"/>
    <row r="43325" s="42" customFormat="1" x14ac:dyDescent="0.25"/>
    <row r="43326" s="42" customFormat="1" x14ac:dyDescent="0.25"/>
    <row r="43327" s="42" customFormat="1" x14ac:dyDescent="0.25"/>
    <row r="43328" s="42" customFormat="1" x14ac:dyDescent="0.25"/>
    <row r="43329" s="42" customFormat="1" x14ac:dyDescent="0.25"/>
    <row r="43330" s="42" customFormat="1" x14ac:dyDescent="0.25"/>
    <row r="43331" s="42" customFormat="1" x14ac:dyDescent="0.25"/>
    <row r="43332" s="42" customFormat="1" x14ac:dyDescent="0.25"/>
    <row r="43333" s="42" customFormat="1" x14ac:dyDescent="0.25"/>
    <row r="43334" s="42" customFormat="1" x14ac:dyDescent="0.25"/>
    <row r="43335" s="42" customFormat="1" x14ac:dyDescent="0.25"/>
    <row r="43336" s="42" customFormat="1" x14ac:dyDescent="0.25"/>
    <row r="43337" s="42" customFormat="1" x14ac:dyDescent="0.25"/>
    <row r="43338" s="42" customFormat="1" x14ac:dyDescent="0.25"/>
    <row r="43339" s="42" customFormat="1" x14ac:dyDescent="0.25"/>
    <row r="43340" s="42" customFormat="1" x14ac:dyDescent="0.25"/>
    <row r="43341" s="42" customFormat="1" x14ac:dyDescent="0.25"/>
    <row r="43342" s="42" customFormat="1" x14ac:dyDescent="0.25"/>
    <row r="43343" s="42" customFormat="1" x14ac:dyDescent="0.25"/>
    <row r="43344" s="42" customFormat="1" x14ac:dyDescent="0.25"/>
    <row r="43345" s="42" customFormat="1" x14ac:dyDescent="0.25"/>
    <row r="43346" s="42" customFormat="1" x14ac:dyDescent="0.25"/>
    <row r="43347" s="42" customFormat="1" x14ac:dyDescent="0.25"/>
    <row r="43348" s="42" customFormat="1" x14ac:dyDescent="0.25"/>
    <row r="43349" s="42" customFormat="1" x14ac:dyDescent="0.25"/>
    <row r="43350" s="42" customFormat="1" x14ac:dyDescent="0.25"/>
    <row r="43351" s="42" customFormat="1" x14ac:dyDescent="0.25"/>
    <row r="43352" s="42" customFormat="1" x14ac:dyDescent="0.25"/>
    <row r="43353" s="42" customFormat="1" x14ac:dyDescent="0.25"/>
    <row r="43354" s="42" customFormat="1" x14ac:dyDescent="0.25"/>
    <row r="43355" s="42" customFormat="1" x14ac:dyDescent="0.25"/>
    <row r="43356" s="42" customFormat="1" x14ac:dyDescent="0.25"/>
    <row r="43357" s="42" customFormat="1" x14ac:dyDescent="0.25"/>
    <row r="43358" s="42" customFormat="1" x14ac:dyDescent="0.25"/>
    <row r="43359" s="42" customFormat="1" x14ac:dyDescent="0.25"/>
    <row r="43360" s="42" customFormat="1" x14ac:dyDescent="0.25"/>
    <row r="43361" s="42" customFormat="1" x14ac:dyDescent="0.25"/>
    <row r="43362" s="42" customFormat="1" x14ac:dyDescent="0.25"/>
    <row r="43363" s="42" customFormat="1" x14ac:dyDescent="0.25"/>
    <row r="43364" s="42" customFormat="1" x14ac:dyDescent="0.25"/>
    <row r="43365" s="42" customFormat="1" x14ac:dyDescent="0.25"/>
    <row r="43366" s="42" customFormat="1" x14ac:dyDescent="0.25"/>
    <row r="43367" s="42" customFormat="1" x14ac:dyDescent="0.25"/>
    <row r="43368" s="42" customFormat="1" x14ac:dyDescent="0.25"/>
    <row r="43369" s="42" customFormat="1" x14ac:dyDescent="0.25"/>
    <row r="43370" s="42" customFormat="1" x14ac:dyDescent="0.25"/>
    <row r="43371" s="42" customFormat="1" x14ac:dyDescent="0.25"/>
    <row r="43372" s="42" customFormat="1" x14ac:dyDescent="0.25"/>
    <row r="43373" s="42" customFormat="1" x14ac:dyDescent="0.25"/>
    <row r="43374" s="42" customFormat="1" x14ac:dyDescent="0.25"/>
    <row r="43375" s="42" customFormat="1" x14ac:dyDescent="0.25"/>
    <row r="43376" s="42" customFormat="1" x14ac:dyDescent="0.25"/>
    <row r="43377" s="42" customFormat="1" x14ac:dyDescent="0.25"/>
    <row r="43378" s="42" customFormat="1" x14ac:dyDescent="0.25"/>
    <row r="43379" s="42" customFormat="1" x14ac:dyDescent="0.25"/>
    <row r="43380" s="42" customFormat="1" x14ac:dyDescent="0.25"/>
    <row r="43381" s="42" customFormat="1" x14ac:dyDescent="0.25"/>
    <row r="43382" s="42" customFormat="1" x14ac:dyDescent="0.25"/>
    <row r="43383" s="42" customFormat="1" x14ac:dyDescent="0.25"/>
    <row r="43384" s="42" customFormat="1" x14ac:dyDescent="0.25"/>
    <row r="43385" s="42" customFormat="1" x14ac:dyDescent="0.25"/>
    <row r="43386" s="42" customFormat="1" x14ac:dyDescent="0.25"/>
    <row r="43387" s="42" customFormat="1" x14ac:dyDescent="0.25"/>
    <row r="43388" s="42" customFormat="1" x14ac:dyDescent="0.25"/>
    <row r="43389" s="42" customFormat="1" x14ac:dyDescent="0.25"/>
    <row r="43390" s="42" customFormat="1" x14ac:dyDescent="0.25"/>
    <row r="43391" s="42" customFormat="1" x14ac:dyDescent="0.25"/>
    <row r="43392" s="42" customFormat="1" x14ac:dyDescent="0.25"/>
    <row r="43393" s="42" customFormat="1" x14ac:dyDescent="0.25"/>
    <row r="43394" s="42" customFormat="1" x14ac:dyDescent="0.25"/>
    <row r="43395" s="42" customFormat="1" x14ac:dyDescent="0.25"/>
    <row r="43396" s="42" customFormat="1" x14ac:dyDescent="0.25"/>
    <row r="43397" s="42" customFormat="1" x14ac:dyDescent="0.25"/>
    <row r="43398" s="42" customFormat="1" x14ac:dyDescent="0.25"/>
    <row r="43399" s="42" customFormat="1" x14ac:dyDescent="0.25"/>
    <row r="43400" s="42" customFormat="1" x14ac:dyDescent="0.25"/>
    <row r="43401" s="42" customFormat="1" x14ac:dyDescent="0.25"/>
    <row r="43402" s="42" customFormat="1" x14ac:dyDescent="0.25"/>
    <row r="43403" s="42" customFormat="1" x14ac:dyDescent="0.25"/>
    <row r="43404" s="42" customFormat="1" x14ac:dyDescent="0.25"/>
    <row r="43405" s="42" customFormat="1" x14ac:dyDescent="0.25"/>
    <row r="43406" s="42" customFormat="1" x14ac:dyDescent="0.25"/>
    <row r="43407" s="42" customFormat="1" x14ac:dyDescent="0.25"/>
    <row r="43408" s="42" customFormat="1" x14ac:dyDescent="0.25"/>
    <row r="43409" s="42" customFormat="1" x14ac:dyDescent="0.25"/>
    <row r="43410" s="42" customFormat="1" x14ac:dyDescent="0.25"/>
    <row r="43411" s="42" customFormat="1" x14ac:dyDescent="0.25"/>
    <row r="43412" s="42" customFormat="1" x14ac:dyDescent="0.25"/>
    <row r="43413" s="42" customFormat="1" x14ac:dyDescent="0.25"/>
    <row r="43414" s="42" customFormat="1" x14ac:dyDescent="0.25"/>
    <row r="43415" s="42" customFormat="1" x14ac:dyDescent="0.25"/>
    <row r="43416" s="42" customFormat="1" x14ac:dyDescent="0.25"/>
    <row r="43417" s="42" customFormat="1" x14ac:dyDescent="0.25"/>
    <row r="43418" s="42" customFormat="1" x14ac:dyDescent="0.25"/>
    <row r="43419" s="42" customFormat="1" x14ac:dyDescent="0.25"/>
    <row r="43420" s="42" customFormat="1" x14ac:dyDescent="0.25"/>
    <row r="43421" s="42" customFormat="1" x14ac:dyDescent="0.25"/>
    <row r="43422" s="42" customFormat="1" x14ac:dyDescent="0.25"/>
    <row r="43423" s="42" customFormat="1" x14ac:dyDescent="0.25"/>
    <row r="43424" s="42" customFormat="1" x14ac:dyDescent="0.25"/>
    <row r="43425" s="42" customFormat="1" x14ac:dyDescent="0.25"/>
    <row r="43426" s="42" customFormat="1" x14ac:dyDescent="0.25"/>
    <row r="43427" s="42" customFormat="1" x14ac:dyDescent="0.25"/>
    <row r="43428" s="42" customFormat="1" x14ac:dyDescent="0.25"/>
    <row r="43429" s="42" customFormat="1" x14ac:dyDescent="0.25"/>
    <row r="43430" s="42" customFormat="1" x14ac:dyDescent="0.25"/>
    <row r="43431" s="42" customFormat="1" x14ac:dyDescent="0.25"/>
    <row r="43432" s="42" customFormat="1" x14ac:dyDescent="0.25"/>
    <row r="43433" s="42" customFormat="1" x14ac:dyDescent="0.25"/>
    <row r="43434" s="42" customFormat="1" x14ac:dyDescent="0.25"/>
    <row r="43435" s="42" customFormat="1" x14ac:dyDescent="0.25"/>
    <row r="43436" s="42" customFormat="1" x14ac:dyDescent="0.25"/>
    <row r="43437" s="42" customFormat="1" x14ac:dyDescent="0.25"/>
    <row r="43438" s="42" customFormat="1" x14ac:dyDescent="0.25"/>
    <row r="43439" s="42" customFormat="1" x14ac:dyDescent="0.25"/>
    <row r="43440" s="42" customFormat="1" x14ac:dyDescent="0.25"/>
    <row r="43441" s="42" customFormat="1" x14ac:dyDescent="0.25"/>
    <row r="43442" s="42" customFormat="1" x14ac:dyDescent="0.25"/>
    <row r="43443" s="42" customFormat="1" x14ac:dyDescent="0.25"/>
    <row r="43444" s="42" customFormat="1" x14ac:dyDescent="0.25"/>
    <row r="43445" s="42" customFormat="1" x14ac:dyDescent="0.25"/>
    <row r="43446" s="42" customFormat="1" x14ac:dyDescent="0.25"/>
    <row r="43447" s="42" customFormat="1" x14ac:dyDescent="0.25"/>
    <row r="43448" s="42" customFormat="1" x14ac:dyDescent="0.25"/>
    <row r="43449" s="42" customFormat="1" x14ac:dyDescent="0.25"/>
    <row r="43450" s="42" customFormat="1" x14ac:dyDescent="0.25"/>
    <row r="43451" s="42" customFormat="1" x14ac:dyDescent="0.25"/>
    <row r="43452" s="42" customFormat="1" x14ac:dyDescent="0.25"/>
    <row r="43453" s="42" customFormat="1" x14ac:dyDescent="0.25"/>
    <row r="43454" s="42" customFormat="1" x14ac:dyDescent="0.25"/>
    <row r="43455" s="42" customFormat="1" x14ac:dyDescent="0.25"/>
    <row r="43456" s="42" customFormat="1" x14ac:dyDescent="0.25"/>
    <row r="43457" s="42" customFormat="1" x14ac:dyDescent="0.25"/>
    <row r="43458" s="42" customFormat="1" x14ac:dyDescent="0.25"/>
    <row r="43459" s="42" customFormat="1" x14ac:dyDescent="0.25"/>
    <row r="43460" s="42" customFormat="1" x14ac:dyDescent="0.25"/>
    <row r="43461" s="42" customFormat="1" x14ac:dyDescent="0.25"/>
    <row r="43462" s="42" customFormat="1" x14ac:dyDescent="0.25"/>
    <row r="43463" s="42" customFormat="1" x14ac:dyDescent="0.25"/>
    <row r="43464" s="42" customFormat="1" x14ac:dyDescent="0.25"/>
    <row r="43465" s="42" customFormat="1" x14ac:dyDescent="0.25"/>
    <row r="43466" s="42" customFormat="1" x14ac:dyDescent="0.25"/>
    <row r="43467" s="42" customFormat="1" x14ac:dyDescent="0.25"/>
    <row r="43468" s="42" customFormat="1" x14ac:dyDescent="0.25"/>
    <row r="43469" s="42" customFormat="1" x14ac:dyDescent="0.25"/>
    <row r="43470" s="42" customFormat="1" x14ac:dyDescent="0.25"/>
    <row r="43471" s="42" customFormat="1" x14ac:dyDescent="0.25"/>
    <row r="43472" s="42" customFormat="1" x14ac:dyDescent="0.25"/>
    <row r="43473" s="42" customFormat="1" x14ac:dyDescent="0.25"/>
    <row r="43474" s="42" customFormat="1" x14ac:dyDescent="0.25"/>
    <row r="43475" s="42" customFormat="1" x14ac:dyDescent="0.25"/>
    <row r="43476" s="42" customFormat="1" x14ac:dyDescent="0.25"/>
    <row r="43477" s="42" customFormat="1" x14ac:dyDescent="0.25"/>
    <row r="43478" s="42" customFormat="1" x14ac:dyDescent="0.25"/>
    <row r="43479" s="42" customFormat="1" x14ac:dyDescent="0.25"/>
    <row r="43480" s="42" customFormat="1" x14ac:dyDescent="0.25"/>
    <row r="43481" s="42" customFormat="1" x14ac:dyDescent="0.25"/>
    <row r="43482" s="42" customFormat="1" x14ac:dyDescent="0.25"/>
    <row r="43483" s="42" customFormat="1" x14ac:dyDescent="0.25"/>
    <row r="43484" s="42" customFormat="1" x14ac:dyDescent="0.25"/>
    <row r="43485" s="42" customFormat="1" x14ac:dyDescent="0.25"/>
    <row r="43486" s="42" customFormat="1" x14ac:dyDescent="0.25"/>
    <row r="43487" s="42" customFormat="1" x14ac:dyDescent="0.25"/>
    <row r="43488" s="42" customFormat="1" x14ac:dyDescent="0.25"/>
    <row r="43489" s="42" customFormat="1" x14ac:dyDescent="0.25"/>
    <row r="43490" s="42" customFormat="1" x14ac:dyDescent="0.25"/>
    <row r="43491" s="42" customFormat="1" x14ac:dyDescent="0.25"/>
    <row r="43492" s="42" customFormat="1" x14ac:dyDescent="0.25"/>
    <row r="43493" s="42" customFormat="1" x14ac:dyDescent="0.25"/>
    <row r="43494" s="42" customFormat="1" x14ac:dyDescent="0.25"/>
    <row r="43495" s="42" customFormat="1" x14ac:dyDescent="0.25"/>
    <row r="43496" s="42" customFormat="1" x14ac:dyDescent="0.25"/>
    <row r="43497" s="42" customFormat="1" x14ac:dyDescent="0.25"/>
    <row r="43498" s="42" customFormat="1" x14ac:dyDescent="0.25"/>
    <row r="43499" s="42" customFormat="1" x14ac:dyDescent="0.25"/>
    <row r="43500" s="42" customFormat="1" x14ac:dyDescent="0.25"/>
    <row r="43501" s="42" customFormat="1" x14ac:dyDescent="0.25"/>
    <row r="43502" s="42" customFormat="1" x14ac:dyDescent="0.25"/>
    <row r="43503" s="42" customFormat="1" x14ac:dyDescent="0.25"/>
    <row r="43504" s="42" customFormat="1" x14ac:dyDescent="0.25"/>
    <row r="43505" s="42" customFormat="1" x14ac:dyDescent="0.25"/>
    <row r="43506" s="42" customFormat="1" x14ac:dyDescent="0.25"/>
    <row r="43507" s="42" customFormat="1" x14ac:dyDescent="0.25"/>
    <row r="43508" s="42" customFormat="1" x14ac:dyDescent="0.25"/>
    <row r="43509" s="42" customFormat="1" x14ac:dyDescent="0.25"/>
    <row r="43510" s="42" customFormat="1" x14ac:dyDescent="0.25"/>
    <row r="43511" s="42" customFormat="1" x14ac:dyDescent="0.25"/>
    <row r="43512" s="42" customFormat="1" x14ac:dyDescent="0.25"/>
    <row r="43513" s="42" customFormat="1" x14ac:dyDescent="0.25"/>
    <row r="43514" s="42" customFormat="1" x14ac:dyDescent="0.25"/>
    <row r="43515" s="42" customFormat="1" x14ac:dyDescent="0.25"/>
    <row r="43516" s="42" customFormat="1" x14ac:dyDescent="0.25"/>
    <row r="43517" s="42" customFormat="1" x14ac:dyDescent="0.25"/>
    <row r="43518" s="42" customFormat="1" x14ac:dyDescent="0.25"/>
    <row r="43519" s="42" customFormat="1" x14ac:dyDescent="0.25"/>
    <row r="43520" s="42" customFormat="1" x14ac:dyDescent="0.25"/>
    <row r="43521" s="42" customFormat="1" x14ac:dyDescent="0.25"/>
    <row r="43522" s="42" customFormat="1" x14ac:dyDescent="0.25"/>
    <row r="43523" s="42" customFormat="1" x14ac:dyDescent="0.25"/>
    <row r="43524" s="42" customFormat="1" x14ac:dyDescent="0.25"/>
    <row r="43525" s="42" customFormat="1" x14ac:dyDescent="0.25"/>
    <row r="43526" s="42" customFormat="1" x14ac:dyDescent="0.25"/>
    <row r="43527" s="42" customFormat="1" x14ac:dyDescent="0.25"/>
    <row r="43528" s="42" customFormat="1" x14ac:dyDescent="0.25"/>
    <row r="43529" s="42" customFormat="1" x14ac:dyDescent="0.25"/>
    <row r="43530" s="42" customFormat="1" x14ac:dyDescent="0.25"/>
    <row r="43531" s="42" customFormat="1" x14ac:dyDescent="0.25"/>
    <row r="43532" s="42" customFormat="1" x14ac:dyDescent="0.25"/>
    <row r="43533" s="42" customFormat="1" x14ac:dyDescent="0.25"/>
    <row r="43534" s="42" customFormat="1" x14ac:dyDescent="0.25"/>
    <row r="43535" s="42" customFormat="1" x14ac:dyDescent="0.25"/>
    <row r="43536" s="42" customFormat="1" x14ac:dyDescent="0.25"/>
    <row r="43537" s="42" customFormat="1" x14ac:dyDescent="0.25"/>
    <row r="43538" s="42" customFormat="1" x14ac:dyDescent="0.25"/>
    <row r="43539" s="42" customFormat="1" x14ac:dyDescent="0.25"/>
    <row r="43540" s="42" customFormat="1" x14ac:dyDescent="0.25"/>
    <row r="43541" s="42" customFormat="1" x14ac:dyDescent="0.25"/>
    <row r="43542" s="42" customFormat="1" x14ac:dyDescent="0.25"/>
    <row r="43543" s="42" customFormat="1" x14ac:dyDescent="0.25"/>
    <row r="43544" s="42" customFormat="1" x14ac:dyDescent="0.25"/>
    <row r="43545" s="42" customFormat="1" x14ac:dyDescent="0.25"/>
    <row r="43546" s="42" customFormat="1" x14ac:dyDescent="0.25"/>
    <row r="43547" s="42" customFormat="1" x14ac:dyDescent="0.25"/>
    <row r="43548" s="42" customFormat="1" x14ac:dyDescent="0.25"/>
    <row r="43549" s="42" customFormat="1" x14ac:dyDescent="0.25"/>
    <row r="43550" s="42" customFormat="1" x14ac:dyDescent="0.25"/>
    <row r="43551" s="42" customFormat="1" x14ac:dyDescent="0.25"/>
    <row r="43552" s="42" customFormat="1" x14ac:dyDescent="0.25"/>
    <row r="43553" s="42" customFormat="1" x14ac:dyDescent="0.25"/>
    <row r="43554" s="42" customFormat="1" x14ac:dyDescent="0.25"/>
    <row r="43555" s="42" customFormat="1" x14ac:dyDescent="0.25"/>
    <row r="43556" s="42" customFormat="1" x14ac:dyDescent="0.25"/>
    <row r="43557" s="42" customFormat="1" x14ac:dyDescent="0.25"/>
    <row r="43558" s="42" customFormat="1" x14ac:dyDescent="0.25"/>
    <row r="43559" s="42" customFormat="1" x14ac:dyDescent="0.25"/>
    <row r="43560" s="42" customFormat="1" x14ac:dyDescent="0.25"/>
    <row r="43561" s="42" customFormat="1" x14ac:dyDescent="0.25"/>
    <row r="43562" s="42" customFormat="1" x14ac:dyDescent="0.25"/>
    <row r="43563" s="42" customFormat="1" x14ac:dyDescent="0.25"/>
    <row r="43564" s="42" customFormat="1" x14ac:dyDescent="0.25"/>
    <row r="43565" s="42" customFormat="1" x14ac:dyDescent="0.25"/>
    <row r="43566" s="42" customFormat="1" x14ac:dyDescent="0.25"/>
    <row r="43567" s="42" customFormat="1" x14ac:dyDescent="0.25"/>
    <row r="43568" s="42" customFormat="1" x14ac:dyDescent="0.25"/>
    <row r="43569" s="42" customFormat="1" x14ac:dyDescent="0.25"/>
    <row r="43570" s="42" customFormat="1" x14ac:dyDescent="0.25"/>
    <row r="43571" s="42" customFormat="1" x14ac:dyDescent="0.25"/>
    <row r="43572" s="42" customFormat="1" x14ac:dyDescent="0.25"/>
    <row r="43573" s="42" customFormat="1" x14ac:dyDescent="0.25"/>
    <row r="43574" s="42" customFormat="1" x14ac:dyDescent="0.25"/>
    <row r="43575" s="42" customFormat="1" x14ac:dyDescent="0.25"/>
    <row r="43576" s="42" customFormat="1" x14ac:dyDescent="0.25"/>
    <row r="43577" s="42" customFormat="1" x14ac:dyDescent="0.25"/>
    <row r="43578" s="42" customFormat="1" x14ac:dyDescent="0.25"/>
    <row r="43579" s="42" customFormat="1" x14ac:dyDescent="0.25"/>
    <row r="43580" s="42" customFormat="1" x14ac:dyDescent="0.25"/>
    <row r="43581" s="42" customFormat="1" x14ac:dyDescent="0.25"/>
    <row r="43582" s="42" customFormat="1" x14ac:dyDescent="0.25"/>
    <row r="43583" s="42" customFormat="1" x14ac:dyDescent="0.25"/>
    <row r="43584" s="42" customFormat="1" x14ac:dyDescent="0.25"/>
    <row r="43585" s="42" customFormat="1" x14ac:dyDescent="0.25"/>
    <row r="43586" s="42" customFormat="1" x14ac:dyDescent="0.25"/>
    <row r="43587" s="42" customFormat="1" x14ac:dyDescent="0.25"/>
    <row r="43588" s="42" customFormat="1" x14ac:dyDescent="0.25"/>
    <row r="43589" s="42" customFormat="1" x14ac:dyDescent="0.25"/>
    <row r="43590" s="42" customFormat="1" x14ac:dyDescent="0.25"/>
    <row r="43591" s="42" customFormat="1" x14ac:dyDescent="0.25"/>
    <row r="43592" s="42" customFormat="1" x14ac:dyDescent="0.25"/>
    <row r="43593" s="42" customFormat="1" x14ac:dyDescent="0.25"/>
    <row r="43594" s="42" customFormat="1" x14ac:dyDescent="0.25"/>
    <row r="43595" s="42" customFormat="1" x14ac:dyDescent="0.25"/>
    <row r="43596" s="42" customFormat="1" x14ac:dyDescent="0.25"/>
    <row r="43597" s="42" customFormat="1" x14ac:dyDescent="0.25"/>
    <row r="43598" s="42" customFormat="1" x14ac:dyDescent="0.25"/>
    <row r="43599" s="42" customFormat="1" x14ac:dyDescent="0.25"/>
    <row r="43600" s="42" customFormat="1" x14ac:dyDescent="0.25"/>
    <row r="43601" s="42" customFormat="1" x14ac:dyDescent="0.25"/>
    <row r="43602" s="42" customFormat="1" x14ac:dyDescent="0.25"/>
    <row r="43603" s="42" customFormat="1" x14ac:dyDescent="0.25"/>
    <row r="43604" s="42" customFormat="1" x14ac:dyDescent="0.25"/>
    <row r="43605" s="42" customFormat="1" x14ac:dyDescent="0.25"/>
    <row r="43606" s="42" customFormat="1" x14ac:dyDescent="0.25"/>
    <row r="43607" s="42" customFormat="1" x14ac:dyDescent="0.25"/>
    <row r="43608" s="42" customFormat="1" x14ac:dyDescent="0.25"/>
    <row r="43609" s="42" customFormat="1" x14ac:dyDescent="0.25"/>
    <row r="43610" s="42" customFormat="1" x14ac:dyDescent="0.25"/>
    <row r="43611" s="42" customFormat="1" x14ac:dyDescent="0.25"/>
    <row r="43612" s="42" customFormat="1" x14ac:dyDescent="0.25"/>
    <row r="43613" s="42" customFormat="1" x14ac:dyDescent="0.25"/>
    <row r="43614" s="42" customFormat="1" x14ac:dyDescent="0.25"/>
    <row r="43615" s="42" customFormat="1" x14ac:dyDescent="0.25"/>
    <row r="43616" s="42" customFormat="1" x14ac:dyDescent="0.25"/>
    <row r="43617" s="42" customFormat="1" x14ac:dyDescent="0.25"/>
    <row r="43618" s="42" customFormat="1" x14ac:dyDescent="0.25"/>
    <row r="43619" s="42" customFormat="1" x14ac:dyDescent="0.25"/>
    <row r="43620" s="42" customFormat="1" x14ac:dyDescent="0.25"/>
    <row r="43621" s="42" customFormat="1" x14ac:dyDescent="0.25"/>
    <row r="43622" s="42" customFormat="1" x14ac:dyDescent="0.25"/>
    <row r="43623" s="42" customFormat="1" x14ac:dyDescent="0.25"/>
    <row r="43624" s="42" customFormat="1" x14ac:dyDescent="0.25"/>
    <row r="43625" s="42" customFormat="1" x14ac:dyDescent="0.25"/>
    <row r="43626" s="42" customFormat="1" x14ac:dyDescent="0.25"/>
    <row r="43627" s="42" customFormat="1" x14ac:dyDescent="0.25"/>
    <row r="43628" s="42" customFormat="1" x14ac:dyDescent="0.25"/>
    <row r="43629" s="42" customFormat="1" x14ac:dyDescent="0.25"/>
    <row r="43630" s="42" customFormat="1" x14ac:dyDescent="0.25"/>
    <row r="43631" s="42" customFormat="1" x14ac:dyDescent="0.25"/>
    <row r="43632" s="42" customFormat="1" x14ac:dyDescent="0.25"/>
    <row r="43633" s="42" customFormat="1" x14ac:dyDescent="0.25"/>
    <row r="43634" s="42" customFormat="1" x14ac:dyDescent="0.25"/>
    <row r="43635" s="42" customFormat="1" x14ac:dyDescent="0.25"/>
    <row r="43636" s="42" customFormat="1" x14ac:dyDescent="0.25"/>
    <row r="43637" s="42" customFormat="1" x14ac:dyDescent="0.25"/>
    <row r="43638" s="42" customFormat="1" x14ac:dyDescent="0.25"/>
    <row r="43639" s="42" customFormat="1" x14ac:dyDescent="0.25"/>
    <row r="43640" s="42" customFormat="1" x14ac:dyDescent="0.25"/>
    <row r="43641" s="42" customFormat="1" x14ac:dyDescent="0.25"/>
    <row r="43642" s="42" customFormat="1" x14ac:dyDescent="0.25"/>
    <row r="43643" s="42" customFormat="1" x14ac:dyDescent="0.25"/>
    <row r="43644" s="42" customFormat="1" x14ac:dyDescent="0.25"/>
    <row r="43645" s="42" customFormat="1" x14ac:dyDescent="0.25"/>
    <row r="43646" s="42" customFormat="1" x14ac:dyDescent="0.25"/>
    <row r="43647" s="42" customFormat="1" x14ac:dyDescent="0.25"/>
    <row r="43648" s="42" customFormat="1" x14ac:dyDescent="0.25"/>
    <row r="43649" s="42" customFormat="1" x14ac:dyDescent="0.25"/>
    <row r="43650" s="42" customFormat="1" x14ac:dyDescent="0.25"/>
    <row r="43651" s="42" customFormat="1" x14ac:dyDescent="0.25"/>
    <row r="43652" s="42" customFormat="1" x14ac:dyDescent="0.25"/>
    <row r="43653" s="42" customFormat="1" x14ac:dyDescent="0.25"/>
    <row r="43654" s="42" customFormat="1" x14ac:dyDescent="0.25"/>
    <row r="43655" s="42" customFormat="1" x14ac:dyDescent="0.25"/>
    <row r="43656" s="42" customFormat="1" x14ac:dyDescent="0.25"/>
    <row r="43657" s="42" customFormat="1" x14ac:dyDescent="0.25"/>
    <row r="43658" s="42" customFormat="1" x14ac:dyDescent="0.25"/>
    <row r="43659" s="42" customFormat="1" x14ac:dyDescent="0.25"/>
    <row r="43660" s="42" customFormat="1" x14ac:dyDescent="0.25"/>
    <row r="43661" s="42" customFormat="1" x14ac:dyDescent="0.25"/>
    <row r="43662" s="42" customFormat="1" x14ac:dyDescent="0.25"/>
    <row r="43663" s="42" customFormat="1" x14ac:dyDescent="0.25"/>
    <row r="43664" s="42" customFormat="1" x14ac:dyDescent="0.25"/>
    <row r="43665" s="42" customFormat="1" x14ac:dyDescent="0.25"/>
    <row r="43666" s="42" customFormat="1" x14ac:dyDescent="0.25"/>
    <row r="43667" s="42" customFormat="1" x14ac:dyDescent="0.25"/>
    <row r="43668" s="42" customFormat="1" x14ac:dyDescent="0.25"/>
    <row r="43669" s="42" customFormat="1" x14ac:dyDescent="0.25"/>
    <row r="43670" s="42" customFormat="1" x14ac:dyDescent="0.25"/>
    <row r="43671" s="42" customFormat="1" x14ac:dyDescent="0.25"/>
    <row r="43672" s="42" customFormat="1" x14ac:dyDescent="0.25"/>
    <row r="43673" s="42" customFormat="1" x14ac:dyDescent="0.25"/>
    <row r="43674" s="42" customFormat="1" x14ac:dyDescent="0.25"/>
    <row r="43675" s="42" customFormat="1" x14ac:dyDescent="0.25"/>
    <row r="43676" s="42" customFormat="1" x14ac:dyDescent="0.25"/>
    <row r="43677" s="42" customFormat="1" x14ac:dyDescent="0.25"/>
    <row r="43678" s="42" customFormat="1" x14ac:dyDescent="0.25"/>
    <row r="43679" s="42" customFormat="1" x14ac:dyDescent="0.25"/>
    <row r="43680" s="42" customFormat="1" x14ac:dyDescent="0.25"/>
    <row r="43681" s="42" customFormat="1" x14ac:dyDescent="0.25"/>
    <row r="43682" s="42" customFormat="1" x14ac:dyDescent="0.25"/>
    <row r="43683" s="42" customFormat="1" x14ac:dyDescent="0.25"/>
    <row r="43684" s="42" customFormat="1" x14ac:dyDescent="0.25"/>
    <row r="43685" s="42" customFormat="1" x14ac:dyDescent="0.25"/>
    <row r="43686" s="42" customFormat="1" x14ac:dyDescent="0.25"/>
    <row r="43687" s="42" customFormat="1" x14ac:dyDescent="0.25"/>
    <row r="43688" s="42" customFormat="1" x14ac:dyDescent="0.25"/>
    <row r="43689" s="42" customFormat="1" x14ac:dyDescent="0.25"/>
    <row r="43690" s="42" customFormat="1" x14ac:dyDescent="0.25"/>
    <row r="43691" s="42" customFormat="1" x14ac:dyDescent="0.25"/>
    <row r="43692" s="42" customFormat="1" x14ac:dyDescent="0.25"/>
    <row r="43693" s="42" customFormat="1" x14ac:dyDescent="0.25"/>
    <row r="43694" s="42" customFormat="1" x14ac:dyDescent="0.25"/>
    <row r="43695" s="42" customFormat="1" x14ac:dyDescent="0.25"/>
    <row r="43696" s="42" customFormat="1" x14ac:dyDescent="0.25"/>
    <row r="43697" s="42" customFormat="1" x14ac:dyDescent="0.25"/>
    <row r="43698" s="42" customFormat="1" x14ac:dyDescent="0.25"/>
    <row r="43699" s="42" customFormat="1" x14ac:dyDescent="0.25"/>
    <row r="43700" s="42" customFormat="1" x14ac:dyDescent="0.25"/>
    <row r="43701" s="42" customFormat="1" x14ac:dyDescent="0.25"/>
    <row r="43702" s="42" customFormat="1" x14ac:dyDescent="0.25"/>
    <row r="43703" s="42" customFormat="1" x14ac:dyDescent="0.25"/>
    <row r="43704" s="42" customFormat="1" x14ac:dyDescent="0.25"/>
    <row r="43705" s="42" customFormat="1" x14ac:dyDescent="0.25"/>
    <row r="43706" s="42" customFormat="1" x14ac:dyDescent="0.25"/>
    <row r="43707" s="42" customFormat="1" x14ac:dyDescent="0.25"/>
    <row r="43708" s="42" customFormat="1" x14ac:dyDescent="0.25"/>
    <row r="43709" s="42" customFormat="1" x14ac:dyDescent="0.25"/>
    <row r="43710" s="42" customFormat="1" x14ac:dyDescent="0.25"/>
    <row r="43711" s="42" customFormat="1" x14ac:dyDescent="0.25"/>
    <row r="43712" s="42" customFormat="1" x14ac:dyDescent="0.25"/>
    <row r="43713" s="42" customFormat="1" x14ac:dyDescent="0.25"/>
    <row r="43714" s="42" customFormat="1" x14ac:dyDescent="0.25"/>
    <row r="43715" s="42" customFormat="1" x14ac:dyDescent="0.25"/>
    <row r="43716" s="42" customFormat="1" x14ac:dyDescent="0.25"/>
    <row r="43717" s="42" customFormat="1" x14ac:dyDescent="0.25"/>
    <row r="43718" s="42" customFormat="1" x14ac:dyDescent="0.25"/>
    <row r="43719" s="42" customFormat="1" x14ac:dyDescent="0.25"/>
    <row r="43720" s="42" customFormat="1" x14ac:dyDescent="0.25"/>
    <row r="43721" s="42" customFormat="1" x14ac:dyDescent="0.25"/>
    <row r="43722" s="42" customFormat="1" x14ac:dyDescent="0.25"/>
    <row r="43723" s="42" customFormat="1" x14ac:dyDescent="0.25"/>
    <row r="43724" s="42" customFormat="1" x14ac:dyDescent="0.25"/>
    <row r="43725" s="42" customFormat="1" x14ac:dyDescent="0.25"/>
    <row r="43726" s="42" customFormat="1" x14ac:dyDescent="0.25"/>
    <row r="43727" s="42" customFormat="1" x14ac:dyDescent="0.25"/>
    <row r="43728" s="42" customFormat="1" x14ac:dyDescent="0.25"/>
    <row r="43729" s="42" customFormat="1" x14ac:dyDescent="0.25"/>
    <row r="43730" s="42" customFormat="1" x14ac:dyDescent="0.25"/>
    <row r="43731" s="42" customFormat="1" x14ac:dyDescent="0.25"/>
    <row r="43732" s="42" customFormat="1" x14ac:dyDescent="0.25"/>
    <row r="43733" s="42" customFormat="1" x14ac:dyDescent="0.25"/>
    <row r="43734" s="42" customFormat="1" x14ac:dyDescent="0.25"/>
    <row r="43735" s="42" customFormat="1" x14ac:dyDescent="0.25"/>
    <row r="43736" s="42" customFormat="1" x14ac:dyDescent="0.25"/>
    <row r="43737" s="42" customFormat="1" x14ac:dyDescent="0.25"/>
    <row r="43738" s="42" customFormat="1" x14ac:dyDescent="0.25"/>
    <row r="43739" s="42" customFormat="1" x14ac:dyDescent="0.25"/>
    <row r="43740" s="42" customFormat="1" x14ac:dyDescent="0.25"/>
    <row r="43741" s="42" customFormat="1" x14ac:dyDescent="0.25"/>
    <row r="43742" s="42" customFormat="1" x14ac:dyDescent="0.25"/>
    <row r="43743" s="42" customFormat="1" x14ac:dyDescent="0.25"/>
    <row r="43744" s="42" customFormat="1" x14ac:dyDescent="0.25"/>
    <row r="43745" s="42" customFormat="1" x14ac:dyDescent="0.25"/>
    <row r="43746" s="42" customFormat="1" x14ac:dyDescent="0.25"/>
    <row r="43747" s="42" customFormat="1" x14ac:dyDescent="0.25"/>
    <row r="43748" s="42" customFormat="1" x14ac:dyDescent="0.25"/>
    <row r="43749" s="42" customFormat="1" x14ac:dyDescent="0.25"/>
    <row r="43750" s="42" customFormat="1" x14ac:dyDescent="0.25"/>
    <row r="43751" s="42" customFormat="1" x14ac:dyDescent="0.25"/>
    <row r="43752" s="42" customFormat="1" x14ac:dyDescent="0.25"/>
    <row r="43753" s="42" customFormat="1" x14ac:dyDescent="0.25"/>
    <row r="43754" s="42" customFormat="1" x14ac:dyDescent="0.25"/>
    <row r="43755" s="42" customFormat="1" x14ac:dyDescent="0.25"/>
    <row r="43756" s="42" customFormat="1" x14ac:dyDescent="0.25"/>
    <row r="43757" s="42" customFormat="1" x14ac:dyDescent="0.25"/>
    <row r="43758" s="42" customFormat="1" x14ac:dyDescent="0.25"/>
    <row r="43759" s="42" customFormat="1" x14ac:dyDescent="0.25"/>
    <row r="43760" s="42" customFormat="1" x14ac:dyDescent="0.25"/>
    <row r="43761" s="42" customFormat="1" x14ac:dyDescent="0.25"/>
    <row r="43762" s="42" customFormat="1" x14ac:dyDescent="0.25"/>
    <row r="43763" s="42" customFormat="1" x14ac:dyDescent="0.25"/>
    <row r="43764" s="42" customFormat="1" x14ac:dyDescent="0.25"/>
    <row r="43765" s="42" customFormat="1" x14ac:dyDescent="0.25"/>
    <row r="43766" s="42" customFormat="1" x14ac:dyDescent="0.25"/>
    <row r="43767" s="42" customFormat="1" x14ac:dyDescent="0.25"/>
    <row r="43768" s="42" customFormat="1" x14ac:dyDescent="0.25"/>
    <row r="43769" s="42" customFormat="1" x14ac:dyDescent="0.25"/>
    <row r="43770" s="42" customFormat="1" x14ac:dyDescent="0.25"/>
    <row r="43771" s="42" customFormat="1" x14ac:dyDescent="0.25"/>
    <row r="43772" s="42" customFormat="1" x14ac:dyDescent="0.25"/>
    <row r="43773" s="42" customFormat="1" x14ac:dyDescent="0.25"/>
    <row r="43774" s="42" customFormat="1" x14ac:dyDescent="0.25"/>
    <row r="43775" s="42" customFormat="1" x14ac:dyDescent="0.25"/>
    <row r="43776" s="42" customFormat="1" x14ac:dyDescent="0.25"/>
    <row r="43777" s="42" customFormat="1" x14ac:dyDescent="0.25"/>
    <row r="43778" s="42" customFormat="1" x14ac:dyDescent="0.25"/>
    <row r="43779" s="42" customFormat="1" x14ac:dyDescent="0.25"/>
    <row r="43780" s="42" customFormat="1" x14ac:dyDescent="0.25"/>
    <row r="43781" s="42" customFormat="1" x14ac:dyDescent="0.25"/>
    <row r="43782" s="42" customFormat="1" x14ac:dyDescent="0.25"/>
    <row r="43783" s="42" customFormat="1" x14ac:dyDescent="0.25"/>
    <row r="43784" s="42" customFormat="1" x14ac:dyDescent="0.25"/>
    <row r="43785" s="42" customFormat="1" x14ac:dyDescent="0.25"/>
    <row r="43786" s="42" customFormat="1" x14ac:dyDescent="0.25"/>
    <row r="43787" s="42" customFormat="1" x14ac:dyDescent="0.25"/>
    <row r="43788" s="42" customFormat="1" x14ac:dyDescent="0.25"/>
    <row r="43789" s="42" customFormat="1" x14ac:dyDescent="0.25"/>
    <row r="43790" s="42" customFormat="1" x14ac:dyDescent="0.25"/>
    <row r="43791" s="42" customFormat="1" x14ac:dyDescent="0.25"/>
    <row r="43792" s="42" customFormat="1" x14ac:dyDescent="0.25"/>
    <row r="43793" s="42" customFormat="1" x14ac:dyDescent="0.25"/>
    <row r="43794" s="42" customFormat="1" x14ac:dyDescent="0.25"/>
    <row r="43795" s="42" customFormat="1" x14ac:dyDescent="0.25"/>
    <row r="43796" s="42" customFormat="1" x14ac:dyDescent="0.25"/>
    <row r="43797" s="42" customFormat="1" x14ac:dyDescent="0.25"/>
    <row r="43798" s="42" customFormat="1" x14ac:dyDescent="0.25"/>
    <row r="43799" s="42" customFormat="1" x14ac:dyDescent="0.25"/>
    <row r="43800" s="42" customFormat="1" x14ac:dyDescent="0.25"/>
    <row r="43801" s="42" customFormat="1" x14ac:dyDescent="0.25"/>
    <row r="43802" s="42" customFormat="1" x14ac:dyDescent="0.25"/>
    <row r="43803" s="42" customFormat="1" x14ac:dyDescent="0.25"/>
    <row r="43804" s="42" customFormat="1" x14ac:dyDescent="0.25"/>
    <row r="43805" s="42" customFormat="1" x14ac:dyDescent="0.25"/>
    <row r="43806" s="42" customFormat="1" x14ac:dyDescent="0.25"/>
    <row r="43807" s="42" customFormat="1" x14ac:dyDescent="0.25"/>
    <row r="43808" s="42" customFormat="1" x14ac:dyDescent="0.25"/>
    <row r="43809" s="42" customFormat="1" x14ac:dyDescent="0.25"/>
    <row r="43810" s="42" customFormat="1" x14ac:dyDescent="0.25"/>
    <row r="43811" s="42" customFormat="1" x14ac:dyDescent="0.25"/>
    <row r="43812" s="42" customFormat="1" x14ac:dyDescent="0.25"/>
    <row r="43813" s="42" customFormat="1" x14ac:dyDescent="0.25"/>
    <row r="43814" s="42" customFormat="1" x14ac:dyDescent="0.25"/>
    <row r="43815" s="42" customFormat="1" x14ac:dyDescent="0.25"/>
    <row r="43816" s="42" customFormat="1" x14ac:dyDescent="0.25"/>
    <row r="43817" s="42" customFormat="1" x14ac:dyDescent="0.25"/>
    <row r="43818" s="42" customFormat="1" x14ac:dyDescent="0.25"/>
    <row r="43819" s="42" customFormat="1" x14ac:dyDescent="0.25"/>
    <row r="43820" s="42" customFormat="1" x14ac:dyDescent="0.25"/>
    <row r="43821" s="42" customFormat="1" x14ac:dyDescent="0.25"/>
    <row r="43822" s="42" customFormat="1" x14ac:dyDescent="0.25"/>
    <row r="43823" s="42" customFormat="1" x14ac:dyDescent="0.25"/>
    <row r="43824" s="42" customFormat="1" x14ac:dyDescent="0.25"/>
    <row r="43825" s="42" customFormat="1" x14ac:dyDescent="0.25"/>
    <row r="43826" s="42" customFormat="1" x14ac:dyDescent="0.25"/>
    <row r="43827" s="42" customFormat="1" x14ac:dyDescent="0.25"/>
    <row r="43828" s="42" customFormat="1" x14ac:dyDescent="0.25"/>
    <row r="43829" s="42" customFormat="1" x14ac:dyDescent="0.25"/>
    <row r="43830" s="42" customFormat="1" x14ac:dyDescent="0.25"/>
    <row r="43831" s="42" customFormat="1" x14ac:dyDescent="0.25"/>
    <row r="43832" s="42" customFormat="1" x14ac:dyDescent="0.25"/>
    <row r="43833" s="42" customFormat="1" x14ac:dyDescent="0.25"/>
    <row r="43834" s="42" customFormat="1" x14ac:dyDescent="0.25"/>
    <row r="43835" s="42" customFormat="1" x14ac:dyDescent="0.25"/>
    <row r="43836" s="42" customFormat="1" x14ac:dyDescent="0.25"/>
    <row r="43837" s="42" customFormat="1" x14ac:dyDescent="0.25"/>
    <row r="43838" s="42" customFormat="1" x14ac:dyDescent="0.25"/>
    <row r="43839" s="42" customFormat="1" x14ac:dyDescent="0.25"/>
    <row r="43840" s="42" customFormat="1" x14ac:dyDescent="0.25"/>
    <row r="43841" s="42" customFormat="1" x14ac:dyDescent="0.25"/>
    <row r="43842" s="42" customFormat="1" x14ac:dyDescent="0.25"/>
    <row r="43843" s="42" customFormat="1" x14ac:dyDescent="0.25"/>
    <row r="43844" s="42" customFormat="1" x14ac:dyDescent="0.25"/>
    <row r="43845" s="42" customFormat="1" x14ac:dyDescent="0.25"/>
    <row r="43846" s="42" customFormat="1" x14ac:dyDescent="0.25"/>
    <row r="43847" s="42" customFormat="1" x14ac:dyDescent="0.25"/>
    <row r="43848" s="42" customFormat="1" x14ac:dyDescent="0.25"/>
    <row r="43849" s="42" customFormat="1" x14ac:dyDescent="0.25"/>
    <row r="43850" s="42" customFormat="1" x14ac:dyDescent="0.25"/>
    <row r="43851" s="42" customFormat="1" x14ac:dyDescent="0.25"/>
    <row r="43852" s="42" customFormat="1" x14ac:dyDescent="0.25"/>
    <row r="43853" s="42" customFormat="1" x14ac:dyDescent="0.25"/>
    <row r="43854" s="42" customFormat="1" x14ac:dyDescent="0.25"/>
    <row r="43855" s="42" customFormat="1" x14ac:dyDescent="0.25"/>
    <row r="43856" s="42" customFormat="1" x14ac:dyDescent="0.25"/>
    <row r="43857" s="42" customFormat="1" x14ac:dyDescent="0.25"/>
    <row r="43858" s="42" customFormat="1" x14ac:dyDescent="0.25"/>
    <row r="43859" s="42" customFormat="1" x14ac:dyDescent="0.25"/>
    <row r="43860" s="42" customFormat="1" x14ac:dyDescent="0.25"/>
    <row r="43861" s="42" customFormat="1" x14ac:dyDescent="0.25"/>
    <row r="43862" s="42" customFormat="1" x14ac:dyDescent="0.25"/>
    <row r="43863" s="42" customFormat="1" x14ac:dyDescent="0.25"/>
    <row r="43864" s="42" customFormat="1" x14ac:dyDescent="0.25"/>
    <row r="43865" s="42" customFormat="1" x14ac:dyDescent="0.25"/>
    <row r="43866" s="42" customFormat="1" x14ac:dyDescent="0.25"/>
    <row r="43867" s="42" customFormat="1" x14ac:dyDescent="0.25"/>
    <row r="43868" s="42" customFormat="1" x14ac:dyDescent="0.25"/>
    <row r="43869" s="42" customFormat="1" x14ac:dyDescent="0.25"/>
    <row r="43870" s="42" customFormat="1" x14ac:dyDescent="0.25"/>
    <row r="43871" s="42" customFormat="1" x14ac:dyDescent="0.25"/>
    <row r="43872" s="42" customFormat="1" x14ac:dyDescent="0.25"/>
    <row r="43873" s="42" customFormat="1" x14ac:dyDescent="0.25"/>
    <row r="43874" s="42" customFormat="1" x14ac:dyDescent="0.25"/>
    <row r="43875" s="42" customFormat="1" x14ac:dyDescent="0.25"/>
    <row r="43876" s="42" customFormat="1" x14ac:dyDescent="0.25"/>
    <row r="43877" s="42" customFormat="1" x14ac:dyDescent="0.25"/>
    <row r="43878" s="42" customFormat="1" x14ac:dyDescent="0.25"/>
    <row r="43879" s="42" customFormat="1" x14ac:dyDescent="0.25"/>
    <row r="43880" s="42" customFormat="1" x14ac:dyDescent="0.25"/>
    <row r="43881" s="42" customFormat="1" x14ac:dyDescent="0.25"/>
    <row r="43882" s="42" customFormat="1" x14ac:dyDescent="0.25"/>
    <row r="43883" s="42" customFormat="1" x14ac:dyDescent="0.25"/>
    <row r="43884" s="42" customFormat="1" x14ac:dyDescent="0.25"/>
    <row r="43885" s="42" customFormat="1" x14ac:dyDescent="0.25"/>
    <row r="43886" s="42" customFormat="1" x14ac:dyDescent="0.25"/>
    <row r="43887" s="42" customFormat="1" x14ac:dyDescent="0.25"/>
    <row r="43888" s="42" customFormat="1" x14ac:dyDescent="0.25"/>
    <row r="43889" s="42" customFormat="1" x14ac:dyDescent="0.25"/>
    <row r="43890" s="42" customFormat="1" x14ac:dyDescent="0.25"/>
    <row r="43891" s="42" customFormat="1" x14ac:dyDescent="0.25"/>
    <row r="43892" s="42" customFormat="1" x14ac:dyDescent="0.25"/>
    <row r="43893" s="42" customFormat="1" x14ac:dyDescent="0.25"/>
    <row r="43894" s="42" customFormat="1" x14ac:dyDescent="0.25"/>
    <row r="43895" s="42" customFormat="1" x14ac:dyDescent="0.25"/>
    <row r="43896" s="42" customFormat="1" x14ac:dyDescent="0.25"/>
    <row r="43897" s="42" customFormat="1" x14ac:dyDescent="0.25"/>
    <row r="43898" s="42" customFormat="1" x14ac:dyDescent="0.25"/>
    <row r="43899" s="42" customFormat="1" x14ac:dyDescent="0.25"/>
    <row r="43900" s="42" customFormat="1" x14ac:dyDescent="0.25"/>
    <row r="43901" s="42" customFormat="1" x14ac:dyDescent="0.25"/>
    <row r="43902" s="42" customFormat="1" x14ac:dyDescent="0.25"/>
    <row r="43903" s="42" customFormat="1" x14ac:dyDescent="0.25"/>
    <row r="43904" s="42" customFormat="1" x14ac:dyDescent="0.25"/>
    <row r="43905" s="42" customFormat="1" x14ac:dyDescent="0.25"/>
    <row r="43906" s="42" customFormat="1" x14ac:dyDescent="0.25"/>
    <row r="43907" s="42" customFormat="1" x14ac:dyDescent="0.25"/>
    <row r="43908" s="42" customFormat="1" x14ac:dyDescent="0.25"/>
    <row r="43909" s="42" customFormat="1" x14ac:dyDescent="0.25"/>
    <row r="43910" s="42" customFormat="1" x14ac:dyDescent="0.25"/>
    <row r="43911" s="42" customFormat="1" x14ac:dyDescent="0.25"/>
    <row r="43912" s="42" customFormat="1" x14ac:dyDescent="0.25"/>
    <row r="43913" s="42" customFormat="1" x14ac:dyDescent="0.25"/>
    <row r="43914" s="42" customFormat="1" x14ac:dyDescent="0.25"/>
    <row r="43915" s="42" customFormat="1" x14ac:dyDescent="0.25"/>
    <row r="43916" s="42" customFormat="1" x14ac:dyDescent="0.25"/>
    <row r="43917" s="42" customFormat="1" x14ac:dyDescent="0.25"/>
    <row r="43918" s="42" customFormat="1" x14ac:dyDescent="0.25"/>
    <row r="43919" s="42" customFormat="1" x14ac:dyDescent="0.25"/>
    <row r="43920" s="42" customFormat="1" x14ac:dyDescent="0.25"/>
    <row r="43921" s="42" customFormat="1" x14ac:dyDescent="0.25"/>
    <row r="43922" s="42" customFormat="1" x14ac:dyDescent="0.25"/>
    <row r="43923" s="42" customFormat="1" x14ac:dyDescent="0.25"/>
    <row r="43924" s="42" customFormat="1" x14ac:dyDescent="0.25"/>
    <row r="43925" s="42" customFormat="1" x14ac:dyDescent="0.25"/>
    <row r="43926" s="42" customFormat="1" x14ac:dyDescent="0.25"/>
    <row r="43927" s="42" customFormat="1" x14ac:dyDescent="0.25"/>
    <row r="43928" s="42" customFormat="1" x14ac:dyDescent="0.25"/>
    <row r="43929" s="42" customFormat="1" x14ac:dyDescent="0.25"/>
    <row r="43930" s="42" customFormat="1" x14ac:dyDescent="0.25"/>
    <row r="43931" s="42" customFormat="1" x14ac:dyDescent="0.25"/>
    <row r="43932" s="42" customFormat="1" x14ac:dyDescent="0.25"/>
    <row r="43933" s="42" customFormat="1" x14ac:dyDescent="0.25"/>
    <row r="43934" s="42" customFormat="1" x14ac:dyDescent="0.25"/>
    <row r="43935" s="42" customFormat="1" x14ac:dyDescent="0.25"/>
    <row r="43936" s="42" customFormat="1" x14ac:dyDescent="0.25"/>
    <row r="43937" s="42" customFormat="1" x14ac:dyDescent="0.25"/>
    <row r="43938" s="42" customFormat="1" x14ac:dyDescent="0.25"/>
    <row r="43939" s="42" customFormat="1" x14ac:dyDescent="0.25"/>
    <row r="43940" s="42" customFormat="1" x14ac:dyDescent="0.25"/>
    <row r="43941" s="42" customFormat="1" x14ac:dyDescent="0.25"/>
    <row r="43942" s="42" customFormat="1" x14ac:dyDescent="0.25"/>
    <row r="43943" s="42" customFormat="1" x14ac:dyDescent="0.25"/>
    <row r="43944" s="42" customFormat="1" x14ac:dyDescent="0.25"/>
    <row r="43945" s="42" customFormat="1" x14ac:dyDescent="0.25"/>
    <row r="43946" s="42" customFormat="1" x14ac:dyDescent="0.25"/>
    <row r="43947" s="42" customFormat="1" x14ac:dyDescent="0.25"/>
    <row r="43948" s="42" customFormat="1" x14ac:dyDescent="0.25"/>
    <row r="43949" s="42" customFormat="1" x14ac:dyDescent="0.25"/>
    <row r="43950" s="42" customFormat="1" x14ac:dyDescent="0.25"/>
    <row r="43951" s="42" customFormat="1" x14ac:dyDescent="0.25"/>
    <row r="43952" s="42" customFormat="1" x14ac:dyDescent="0.25"/>
    <row r="43953" s="42" customFormat="1" x14ac:dyDescent="0.25"/>
    <row r="43954" s="42" customFormat="1" x14ac:dyDescent="0.25"/>
    <row r="43955" s="42" customFormat="1" x14ac:dyDescent="0.25"/>
    <row r="43956" s="42" customFormat="1" x14ac:dyDescent="0.25"/>
    <row r="43957" s="42" customFormat="1" x14ac:dyDescent="0.25"/>
    <row r="43958" s="42" customFormat="1" x14ac:dyDescent="0.25"/>
    <row r="43959" s="42" customFormat="1" x14ac:dyDescent="0.25"/>
    <row r="43960" s="42" customFormat="1" x14ac:dyDescent="0.25"/>
    <row r="43961" s="42" customFormat="1" x14ac:dyDescent="0.25"/>
    <row r="43962" s="42" customFormat="1" x14ac:dyDescent="0.25"/>
    <row r="43963" s="42" customFormat="1" x14ac:dyDescent="0.25"/>
    <row r="43964" s="42" customFormat="1" x14ac:dyDescent="0.25"/>
    <row r="43965" s="42" customFormat="1" x14ac:dyDescent="0.25"/>
    <row r="43966" s="42" customFormat="1" x14ac:dyDescent="0.25"/>
    <row r="43967" s="42" customFormat="1" x14ac:dyDescent="0.25"/>
    <row r="43968" s="42" customFormat="1" x14ac:dyDescent="0.25"/>
    <row r="43969" s="42" customFormat="1" x14ac:dyDescent="0.25"/>
    <row r="43970" s="42" customFormat="1" x14ac:dyDescent="0.25"/>
    <row r="43971" s="42" customFormat="1" x14ac:dyDescent="0.25"/>
    <row r="43972" s="42" customFormat="1" x14ac:dyDescent="0.25"/>
    <row r="43973" s="42" customFormat="1" x14ac:dyDescent="0.25"/>
    <row r="43974" s="42" customFormat="1" x14ac:dyDescent="0.25"/>
    <row r="43975" s="42" customFormat="1" x14ac:dyDescent="0.25"/>
    <row r="43976" s="42" customFormat="1" x14ac:dyDescent="0.25"/>
    <row r="43977" s="42" customFormat="1" x14ac:dyDescent="0.25"/>
    <row r="43978" s="42" customFormat="1" x14ac:dyDescent="0.25"/>
    <row r="43979" s="42" customFormat="1" x14ac:dyDescent="0.25"/>
    <row r="43980" s="42" customFormat="1" x14ac:dyDescent="0.25"/>
    <row r="43981" s="42" customFormat="1" x14ac:dyDescent="0.25"/>
    <row r="43982" s="42" customFormat="1" x14ac:dyDescent="0.25"/>
    <row r="43983" s="42" customFormat="1" x14ac:dyDescent="0.25"/>
    <row r="43984" s="42" customFormat="1" x14ac:dyDescent="0.25"/>
    <row r="43985" s="42" customFormat="1" x14ac:dyDescent="0.25"/>
    <row r="43986" s="42" customFormat="1" x14ac:dyDescent="0.25"/>
    <row r="43987" s="42" customFormat="1" x14ac:dyDescent="0.25"/>
    <row r="43988" s="42" customFormat="1" x14ac:dyDescent="0.25"/>
    <row r="43989" s="42" customFormat="1" x14ac:dyDescent="0.25"/>
    <row r="43990" s="42" customFormat="1" x14ac:dyDescent="0.25"/>
    <row r="43991" s="42" customFormat="1" x14ac:dyDescent="0.25"/>
    <row r="43992" s="42" customFormat="1" x14ac:dyDescent="0.25"/>
    <row r="43993" s="42" customFormat="1" x14ac:dyDescent="0.25"/>
    <row r="43994" s="42" customFormat="1" x14ac:dyDescent="0.25"/>
    <row r="43995" s="42" customFormat="1" x14ac:dyDescent="0.25"/>
    <row r="43996" s="42" customFormat="1" x14ac:dyDescent="0.25"/>
    <row r="43997" s="42" customFormat="1" x14ac:dyDescent="0.25"/>
    <row r="43998" s="42" customFormat="1" x14ac:dyDescent="0.25"/>
    <row r="43999" s="42" customFormat="1" x14ac:dyDescent="0.25"/>
    <row r="44000" s="42" customFormat="1" x14ac:dyDescent="0.25"/>
    <row r="44001" s="42" customFormat="1" x14ac:dyDescent="0.25"/>
    <row r="44002" s="42" customFormat="1" x14ac:dyDescent="0.25"/>
    <row r="44003" s="42" customFormat="1" x14ac:dyDescent="0.25"/>
    <row r="44004" s="42" customFormat="1" x14ac:dyDescent="0.25"/>
    <row r="44005" s="42" customFormat="1" x14ac:dyDescent="0.25"/>
    <row r="44006" s="42" customFormat="1" x14ac:dyDescent="0.25"/>
    <row r="44007" s="42" customFormat="1" x14ac:dyDescent="0.25"/>
    <row r="44008" s="42" customFormat="1" x14ac:dyDescent="0.25"/>
    <row r="44009" s="42" customFormat="1" x14ac:dyDescent="0.25"/>
    <row r="44010" s="42" customFormat="1" x14ac:dyDescent="0.25"/>
    <row r="44011" s="42" customFormat="1" x14ac:dyDescent="0.25"/>
    <row r="44012" s="42" customFormat="1" x14ac:dyDescent="0.25"/>
    <row r="44013" s="42" customFormat="1" x14ac:dyDescent="0.25"/>
    <row r="44014" s="42" customFormat="1" x14ac:dyDescent="0.25"/>
    <row r="44015" s="42" customFormat="1" x14ac:dyDescent="0.25"/>
    <row r="44016" s="42" customFormat="1" x14ac:dyDescent="0.25"/>
    <row r="44017" s="42" customFormat="1" x14ac:dyDescent="0.25"/>
    <row r="44018" s="42" customFormat="1" x14ac:dyDescent="0.25"/>
    <row r="44019" s="42" customFormat="1" x14ac:dyDescent="0.25"/>
    <row r="44020" s="42" customFormat="1" x14ac:dyDescent="0.25"/>
    <row r="44021" s="42" customFormat="1" x14ac:dyDescent="0.25"/>
    <row r="44022" s="42" customFormat="1" x14ac:dyDescent="0.25"/>
    <row r="44023" s="42" customFormat="1" x14ac:dyDescent="0.25"/>
    <row r="44024" s="42" customFormat="1" x14ac:dyDescent="0.25"/>
    <row r="44025" s="42" customFormat="1" x14ac:dyDescent="0.25"/>
    <row r="44026" s="42" customFormat="1" x14ac:dyDescent="0.25"/>
    <row r="44027" s="42" customFormat="1" x14ac:dyDescent="0.25"/>
    <row r="44028" s="42" customFormat="1" x14ac:dyDescent="0.25"/>
    <row r="44029" s="42" customFormat="1" x14ac:dyDescent="0.25"/>
    <row r="44030" s="42" customFormat="1" x14ac:dyDescent="0.25"/>
    <row r="44031" s="42" customFormat="1" x14ac:dyDescent="0.25"/>
    <row r="44032" s="42" customFormat="1" x14ac:dyDescent="0.25"/>
    <row r="44033" s="42" customFormat="1" x14ac:dyDescent="0.25"/>
    <row r="44034" s="42" customFormat="1" x14ac:dyDescent="0.25"/>
    <row r="44035" s="42" customFormat="1" x14ac:dyDescent="0.25"/>
    <row r="44036" s="42" customFormat="1" x14ac:dyDescent="0.25"/>
    <row r="44037" s="42" customFormat="1" x14ac:dyDescent="0.25"/>
    <row r="44038" s="42" customFormat="1" x14ac:dyDescent="0.25"/>
    <row r="44039" s="42" customFormat="1" x14ac:dyDescent="0.25"/>
    <row r="44040" s="42" customFormat="1" x14ac:dyDescent="0.25"/>
    <row r="44041" s="42" customFormat="1" x14ac:dyDescent="0.25"/>
    <row r="44042" s="42" customFormat="1" x14ac:dyDescent="0.25"/>
    <row r="44043" s="42" customFormat="1" x14ac:dyDescent="0.25"/>
    <row r="44044" s="42" customFormat="1" x14ac:dyDescent="0.25"/>
    <row r="44045" s="42" customFormat="1" x14ac:dyDescent="0.25"/>
    <row r="44046" s="42" customFormat="1" x14ac:dyDescent="0.25"/>
    <row r="44047" s="42" customFormat="1" x14ac:dyDescent="0.25"/>
    <row r="44048" s="42" customFormat="1" x14ac:dyDescent="0.25"/>
    <row r="44049" s="42" customFormat="1" x14ac:dyDescent="0.25"/>
    <row r="44050" s="42" customFormat="1" x14ac:dyDescent="0.25"/>
    <row r="44051" s="42" customFormat="1" x14ac:dyDescent="0.25"/>
    <row r="44052" s="42" customFormat="1" x14ac:dyDescent="0.25"/>
    <row r="44053" s="42" customFormat="1" x14ac:dyDescent="0.25"/>
    <row r="44054" s="42" customFormat="1" x14ac:dyDescent="0.25"/>
    <row r="44055" s="42" customFormat="1" x14ac:dyDescent="0.25"/>
    <row r="44056" s="42" customFormat="1" x14ac:dyDescent="0.25"/>
    <row r="44057" s="42" customFormat="1" x14ac:dyDescent="0.25"/>
    <row r="44058" s="42" customFormat="1" x14ac:dyDescent="0.25"/>
    <row r="44059" s="42" customFormat="1" x14ac:dyDescent="0.25"/>
    <row r="44060" s="42" customFormat="1" x14ac:dyDescent="0.25"/>
    <row r="44061" s="42" customFormat="1" x14ac:dyDescent="0.25"/>
    <row r="44062" s="42" customFormat="1" x14ac:dyDescent="0.25"/>
    <row r="44063" s="42" customFormat="1" x14ac:dyDescent="0.25"/>
    <row r="44064" s="42" customFormat="1" x14ac:dyDescent="0.25"/>
    <row r="44065" s="42" customFormat="1" x14ac:dyDescent="0.25"/>
    <row r="44066" s="42" customFormat="1" x14ac:dyDescent="0.25"/>
    <row r="44067" s="42" customFormat="1" x14ac:dyDescent="0.25"/>
    <row r="44068" s="42" customFormat="1" x14ac:dyDescent="0.25"/>
    <row r="44069" s="42" customFormat="1" x14ac:dyDescent="0.25"/>
    <row r="44070" s="42" customFormat="1" x14ac:dyDescent="0.25"/>
    <row r="44071" s="42" customFormat="1" x14ac:dyDescent="0.25"/>
    <row r="44072" s="42" customFormat="1" x14ac:dyDescent="0.25"/>
    <row r="44073" s="42" customFormat="1" x14ac:dyDescent="0.25"/>
    <row r="44074" s="42" customFormat="1" x14ac:dyDescent="0.25"/>
    <row r="44075" s="42" customFormat="1" x14ac:dyDescent="0.25"/>
    <row r="44076" s="42" customFormat="1" x14ac:dyDescent="0.25"/>
    <row r="44077" s="42" customFormat="1" x14ac:dyDescent="0.25"/>
    <row r="44078" s="42" customFormat="1" x14ac:dyDescent="0.25"/>
    <row r="44079" s="42" customFormat="1" x14ac:dyDescent="0.25"/>
    <row r="44080" s="42" customFormat="1" x14ac:dyDescent="0.25"/>
    <row r="44081" s="42" customFormat="1" x14ac:dyDescent="0.25"/>
    <row r="44082" s="42" customFormat="1" x14ac:dyDescent="0.25"/>
    <row r="44083" s="42" customFormat="1" x14ac:dyDescent="0.25"/>
    <row r="44084" s="42" customFormat="1" x14ac:dyDescent="0.25"/>
    <row r="44085" s="42" customFormat="1" x14ac:dyDescent="0.25"/>
    <row r="44086" s="42" customFormat="1" x14ac:dyDescent="0.25"/>
    <row r="44087" s="42" customFormat="1" x14ac:dyDescent="0.25"/>
    <row r="44088" s="42" customFormat="1" x14ac:dyDescent="0.25"/>
    <row r="44089" s="42" customFormat="1" x14ac:dyDescent="0.25"/>
    <row r="44090" s="42" customFormat="1" x14ac:dyDescent="0.25"/>
    <row r="44091" s="42" customFormat="1" x14ac:dyDescent="0.25"/>
    <row r="44092" s="42" customFormat="1" x14ac:dyDescent="0.25"/>
    <row r="44093" s="42" customFormat="1" x14ac:dyDescent="0.25"/>
    <row r="44094" s="42" customFormat="1" x14ac:dyDescent="0.25"/>
    <row r="44095" s="42" customFormat="1" x14ac:dyDescent="0.25"/>
    <row r="44096" s="42" customFormat="1" x14ac:dyDescent="0.25"/>
    <row r="44097" s="42" customFormat="1" x14ac:dyDescent="0.25"/>
    <row r="44098" s="42" customFormat="1" x14ac:dyDescent="0.25"/>
    <row r="44099" s="42" customFormat="1" x14ac:dyDescent="0.25"/>
    <row r="44100" s="42" customFormat="1" x14ac:dyDescent="0.25"/>
    <row r="44101" s="42" customFormat="1" x14ac:dyDescent="0.25"/>
    <row r="44102" s="42" customFormat="1" x14ac:dyDescent="0.25"/>
    <row r="44103" s="42" customFormat="1" x14ac:dyDescent="0.25"/>
    <row r="44104" s="42" customFormat="1" x14ac:dyDescent="0.25"/>
    <row r="44105" s="42" customFormat="1" x14ac:dyDescent="0.25"/>
    <row r="44106" s="42" customFormat="1" x14ac:dyDescent="0.25"/>
    <row r="44107" s="42" customFormat="1" x14ac:dyDescent="0.25"/>
    <row r="44108" s="42" customFormat="1" x14ac:dyDescent="0.25"/>
    <row r="44109" s="42" customFormat="1" x14ac:dyDescent="0.25"/>
    <row r="44110" s="42" customFormat="1" x14ac:dyDescent="0.25"/>
    <row r="44111" s="42" customFormat="1" x14ac:dyDescent="0.25"/>
    <row r="44112" s="42" customFormat="1" x14ac:dyDescent="0.25"/>
    <row r="44113" s="42" customFormat="1" x14ac:dyDescent="0.25"/>
    <row r="44114" s="42" customFormat="1" x14ac:dyDescent="0.25"/>
    <row r="44115" s="42" customFormat="1" x14ac:dyDescent="0.25"/>
    <row r="44116" s="42" customFormat="1" x14ac:dyDescent="0.25"/>
    <row r="44117" s="42" customFormat="1" x14ac:dyDescent="0.25"/>
    <row r="44118" s="42" customFormat="1" x14ac:dyDescent="0.25"/>
    <row r="44119" s="42" customFormat="1" x14ac:dyDescent="0.25"/>
    <row r="44120" s="42" customFormat="1" x14ac:dyDescent="0.25"/>
    <row r="44121" s="42" customFormat="1" x14ac:dyDescent="0.25"/>
    <row r="44122" s="42" customFormat="1" x14ac:dyDescent="0.25"/>
    <row r="44123" s="42" customFormat="1" x14ac:dyDescent="0.25"/>
    <row r="44124" s="42" customFormat="1" x14ac:dyDescent="0.25"/>
    <row r="44125" s="42" customFormat="1" x14ac:dyDescent="0.25"/>
    <row r="44126" s="42" customFormat="1" x14ac:dyDescent="0.25"/>
    <row r="44127" s="42" customFormat="1" x14ac:dyDescent="0.25"/>
    <row r="44128" s="42" customFormat="1" x14ac:dyDescent="0.25"/>
    <row r="44129" s="42" customFormat="1" x14ac:dyDescent="0.25"/>
    <row r="44130" s="42" customFormat="1" x14ac:dyDescent="0.25"/>
    <row r="44131" s="42" customFormat="1" x14ac:dyDescent="0.25"/>
    <row r="44132" s="42" customFormat="1" x14ac:dyDescent="0.25"/>
    <row r="44133" s="42" customFormat="1" x14ac:dyDescent="0.25"/>
    <row r="44134" s="42" customFormat="1" x14ac:dyDescent="0.25"/>
    <row r="44135" s="42" customFormat="1" x14ac:dyDescent="0.25"/>
    <row r="44136" s="42" customFormat="1" x14ac:dyDescent="0.25"/>
    <row r="44137" s="42" customFormat="1" x14ac:dyDescent="0.25"/>
    <row r="44138" s="42" customFormat="1" x14ac:dyDescent="0.25"/>
    <row r="44139" s="42" customFormat="1" x14ac:dyDescent="0.25"/>
    <row r="44140" s="42" customFormat="1" x14ac:dyDescent="0.25"/>
    <row r="44141" s="42" customFormat="1" x14ac:dyDescent="0.25"/>
    <row r="44142" s="42" customFormat="1" x14ac:dyDescent="0.25"/>
    <row r="44143" s="42" customFormat="1" x14ac:dyDescent="0.25"/>
    <row r="44144" s="42" customFormat="1" x14ac:dyDescent="0.25"/>
    <row r="44145" s="42" customFormat="1" x14ac:dyDescent="0.25"/>
    <row r="44146" s="42" customFormat="1" x14ac:dyDescent="0.25"/>
    <row r="44147" s="42" customFormat="1" x14ac:dyDescent="0.25"/>
    <row r="44148" s="42" customFormat="1" x14ac:dyDescent="0.25"/>
    <row r="44149" s="42" customFormat="1" x14ac:dyDescent="0.25"/>
    <row r="44150" s="42" customFormat="1" x14ac:dyDescent="0.25"/>
    <row r="44151" s="42" customFormat="1" x14ac:dyDescent="0.25"/>
    <row r="44152" s="42" customFormat="1" x14ac:dyDescent="0.25"/>
    <row r="44153" s="42" customFormat="1" x14ac:dyDescent="0.25"/>
    <row r="44154" s="42" customFormat="1" x14ac:dyDescent="0.25"/>
    <row r="44155" s="42" customFormat="1" x14ac:dyDescent="0.25"/>
    <row r="44156" s="42" customFormat="1" x14ac:dyDescent="0.25"/>
    <row r="44157" s="42" customFormat="1" x14ac:dyDescent="0.25"/>
    <row r="44158" s="42" customFormat="1" x14ac:dyDescent="0.25"/>
    <row r="44159" s="42" customFormat="1" x14ac:dyDescent="0.25"/>
    <row r="44160" s="42" customFormat="1" x14ac:dyDescent="0.25"/>
    <row r="44161" s="42" customFormat="1" x14ac:dyDescent="0.25"/>
    <row r="44162" s="42" customFormat="1" x14ac:dyDescent="0.25"/>
    <row r="44163" s="42" customFormat="1" x14ac:dyDescent="0.25"/>
    <row r="44164" s="42" customFormat="1" x14ac:dyDescent="0.25"/>
    <row r="44165" s="42" customFormat="1" x14ac:dyDescent="0.25"/>
    <row r="44166" s="42" customFormat="1" x14ac:dyDescent="0.25"/>
    <row r="44167" s="42" customFormat="1" x14ac:dyDescent="0.25"/>
    <row r="44168" s="42" customFormat="1" x14ac:dyDescent="0.25"/>
    <row r="44169" s="42" customFormat="1" x14ac:dyDescent="0.25"/>
    <row r="44170" s="42" customFormat="1" x14ac:dyDescent="0.25"/>
    <row r="44171" s="42" customFormat="1" x14ac:dyDescent="0.25"/>
    <row r="44172" s="42" customFormat="1" x14ac:dyDescent="0.25"/>
    <row r="44173" s="42" customFormat="1" x14ac:dyDescent="0.25"/>
    <row r="44174" s="42" customFormat="1" x14ac:dyDescent="0.25"/>
    <row r="44175" s="42" customFormat="1" x14ac:dyDescent="0.25"/>
    <row r="44176" s="42" customFormat="1" x14ac:dyDescent="0.25"/>
    <row r="44177" s="42" customFormat="1" x14ac:dyDescent="0.25"/>
    <row r="44178" s="42" customFormat="1" x14ac:dyDescent="0.25"/>
    <row r="44179" s="42" customFormat="1" x14ac:dyDescent="0.25"/>
    <row r="44180" s="42" customFormat="1" x14ac:dyDescent="0.25"/>
    <row r="44181" s="42" customFormat="1" x14ac:dyDescent="0.25"/>
    <row r="44182" s="42" customFormat="1" x14ac:dyDescent="0.25"/>
    <row r="44183" s="42" customFormat="1" x14ac:dyDescent="0.25"/>
    <row r="44184" s="42" customFormat="1" x14ac:dyDescent="0.25"/>
    <row r="44185" s="42" customFormat="1" x14ac:dyDescent="0.25"/>
    <row r="44186" s="42" customFormat="1" x14ac:dyDescent="0.25"/>
    <row r="44187" s="42" customFormat="1" x14ac:dyDescent="0.25"/>
    <row r="44188" s="42" customFormat="1" x14ac:dyDescent="0.25"/>
    <row r="44189" s="42" customFormat="1" x14ac:dyDescent="0.25"/>
    <row r="44190" s="42" customFormat="1" x14ac:dyDescent="0.25"/>
    <row r="44191" s="42" customFormat="1" x14ac:dyDescent="0.25"/>
    <row r="44192" s="42" customFormat="1" x14ac:dyDescent="0.25"/>
    <row r="44193" s="42" customFormat="1" x14ac:dyDescent="0.25"/>
    <row r="44194" s="42" customFormat="1" x14ac:dyDescent="0.25"/>
    <row r="44195" s="42" customFormat="1" x14ac:dyDescent="0.25"/>
    <row r="44196" s="42" customFormat="1" x14ac:dyDescent="0.25"/>
    <row r="44197" s="42" customFormat="1" x14ac:dyDescent="0.25"/>
    <row r="44198" s="42" customFormat="1" x14ac:dyDescent="0.25"/>
    <row r="44199" s="42" customFormat="1" x14ac:dyDescent="0.25"/>
    <row r="44200" s="42" customFormat="1" x14ac:dyDescent="0.25"/>
    <row r="44201" s="42" customFormat="1" x14ac:dyDescent="0.25"/>
    <row r="44202" s="42" customFormat="1" x14ac:dyDescent="0.25"/>
    <row r="44203" s="42" customFormat="1" x14ac:dyDescent="0.25"/>
    <row r="44204" s="42" customFormat="1" x14ac:dyDescent="0.25"/>
    <row r="44205" s="42" customFormat="1" x14ac:dyDescent="0.25"/>
    <row r="44206" s="42" customFormat="1" x14ac:dyDescent="0.25"/>
    <row r="44207" s="42" customFormat="1" x14ac:dyDescent="0.25"/>
    <row r="44208" s="42" customFormat="1" x14ac:dyDescent="0.25"/>
    <row r="44209" s="42" customFormat="1" x14ac:dyDescent="0.25"/>
    <row r="44210" s="42" customFormat="1" x14ac:dyDescent="0.25"/>
    <row r="44211" s="42" customFormat="1" x14ac:dyDescent="0.25"/>
    <row r="44212" s="42" customFormat="1" x14ac:dyDescent="0.25"/>
    <row r="44213" s="42" customFormat="1" x14ac:dyDescent="0.25"/>
    <row r="44214" s="42" customFormat="1" x14ac:dyDescent="0.25"/>
    <row r="44215" s="42" customFormat="1" x14ac:dyDescent="0.25"/>
    <row r="44216" s="42" customFormat="1" x14ac:dyDescent="0.25"/>
    <row r="44217" s="42" customFormat="1" x14ac:dyDescent="0.25"/>
    <row r="44218" s="42" customFormat="1" x14ac:dyDescent="0.25"/>
    <row r="44219" s="42" customFormat="1" x14ac:dyDescent="0.25"/>
    <row r="44220" s="42" customFormat="1" x14ac:dyDescent="0.25"/>
    <row r="44221" s="42" customFormat="1" x14ac:dyDescent="0.25"/>
    <row r="44222" s="42" customFormat="1" x14ac:dyDescent="0.25"/>
    <row r="44223" s="42" customFormat="1" x14ac:dyDescent="0.25"/>
    <row r="44224" s="42" customFormat="1" x14ac:dyDescent="0.25"/>
    <row r="44225" s="42" customFormat="1" x14ac:dyDescent="0.25"/>
    <row r="44226" s="42" customFormat="1" x14ac:dyDescent="0.25"/>
    <row r="44227" s="42" customFormat="1" x14ac:dyDescent="0.25"/>
    <row r="44228" s="42" customFormat="1" x14ac:dyDescent="0.25"/>
    <row r="44229" s="42" customFormat="1" x14ac:dyDescent="0.25"/>
    <row r="44230" s="42" customFormat="1" x14ac:dyDescent="0.25"/>
    <row r="44231" s="42" customFormat="1" x14ac:dyDescent="0.25"/>
    <row r="44232" s="42" customFormat="1" x14ac:dyDescent="0.25"/>
    <row r="44233" s="42" customFormat="1" x14ac:dyDescent="0.25"/>
    <row r="44234" s="42" customFormat="1" x14ac:dyDescent="0.25"/>
    <row r="44235" s="42" customFormat="1" x14ac:dyDescent="0.25"/>
    <row r="44236" s="42" customFormat="1" x14ac:dyDescent="0.25"/>
    <row r="44237" s="42" customFormat="1" x14ac:dyDescent="0.25"/>
    <row r="44238" s="42" customFormat="1" x14ac:dyDescent="0.25"/>
    <row r="44239" s="42" customFormat="1" x14ac:dyDescent="0.25"/>
    <row r="44240" s="42" customFormat="1" x14ac:dyDescent="0.25"/>
    <row r="44241" s="42" customFormat="1" x14ac:dyDescent="0.25"/>
    <row r="44242" s="42" customFormat="1" x14ac:dyDescent="0.25"/>
    <row r="44243" s="42" customFormat="1" x14ac:dyDescent="0.25"/>
    <row r="44244" s="42" customFormat="1" x14ac:dyDescent="0.25"/>
    <row r="44245" s="42" customFormat="1" x14ac:dyDescent="0.25"/>
    <row r="44246" s="42" customFormat="1" x14ac:dyDescent="0.25"/>
    <row r="44247" s="42" customFormat="1" x14ac:dyDescent="0.25"/>
    <row r="44248" s="42" customFormat="1" x14ac:dyDescent="0.25"/>
    <row r="44249" s="42" customFormat="1" x14ac:dyDescent="0.25"/>
    <row r="44250" s="42" customFormat="1" x14ac:dyDescent="0.25"/>
    <row r="44251" s="42" customFormat="1" x14ac:dyDescent="0.25"/>
    <row r="44252" s="42" customFormat="1" x14ac:dyDescent="0.25"/>
    <row r="44253" s="42" customFormat="1" x14ac:dyDescent="0.25"/>
    <row r="44254" s="42" customFormat="1" x14ac:dyDescent="0.25"/>
    <row r="44255" s="42" customFormat="1" x14ac:dyDescent="0.25"/>
    <row r="44256" s="42" customFormat="1" x14ac:dyDescent="0.25"/>
    <row r="44257" s="42" customFormat="1" x14ac:dyDescent="0.25"/>
    <row r="44258" s="42" customFormat="1" x14ac:dyDescent="0.25"/>
    <row r="44259" s="42" customFormat="1" x14ac:dyDescent="0.25"/>
    <row r="44260" s="42" customFormat="1" x14ac:dyDescent="0.25"/>
    <row r="44261" s="42" customFormat="1" x14ac:dyDescent="0.25"/>
    <row r="44262" s="42" customFormat="1" x14ac:dyDescent="0.25"/>
    <row r="44263" s="42" customFormat="1" x14ac:dyDescent="0.25"/>
    <row r="44264" s="42" customFormat="1" x14ac:dyDescent="0.25"/>
    <row r="44265" s="42" customFormat="1" x14ac:dyDescent="0.25"/>
    <row r="44266" s="42" customFormat="1" x14ac:dyDescent="0.25"/>
    <row r="44267" s="42" customFormat="1" x14ac:dyDescent="0.25"/>
    <row r="44268" s="42" customFormat="1" x14ac:dyDescent="0.25"/>
    <row r="44269" s="42" customFormat="1" x14ac:dyDescent="0.25"/>
    <row r="44270" s="42" customFormat="1" x14ac:dyDescent="0.25"/>
    <row r="44271" s="42" customFormat="1" x14ac:dyDescent="0.25"/>
    <row r="44272" s="42" customFormat="1" x14ac:dyDescent="0.25"/>
    <row r="44273" s="42" customFormat="1" x14ac:dyDescent="0.25"/>
    <row r="44274" s="42" customFormat="1" x14ac:dyDescent="0.25"/>
    <row r="44275" s="42" customFormat="1" x14ac:dyDescent="0.25"/>
    <row r="44276" s="42" customFormat="1" x14ac:dyDescent="0.25"/>
    <row r="44277" s="42" customFormat="1" x14ac:dyDescent="0.25"/>
    <row r="44278" s="42" customFormat="1" x14ac:dyDescent="0.25"/>
    <row r="44279" s="42" customFormat="1" x14ac:dyDescent="0.25"/>
    <row r="44280" s="42" customFormat="1" x14ac:dyDescent="0.25"/>
    <row r="44281" s="42" customFormat="1" x14ac:dyDescent="0.25"/>
    <row r="44282" s="42" customFormat="1" x14ac:dyDescent="0.25"/>
    <row r="44283" s="42" customFormat="1" x14ac:dyDescent="0.25"/>
    <row r="44284" s="42" customFormat="1" x14ac:dyDescent="0.25"/>
    <row r="44285" s="42" customFormat="1" x14ac:dyDescent="0.25"/>
    <row r="44286" s="42" customFormat="1" x14ac:dyDescent="0.25"/>
    <row r="44287" s="42" customFormat="1" x14ac:dyDescent="0.25"/>
    <row r="44288" s="42" customFormat="1" x14ac:dyDescent="0.25"/>
    <row r="44289" s="42" customFormat="1" x14ac:dyDescent="0.25"/>
    <row r="44290" s="42" customFormat="1" x14ac:dyDescent="0.25"/>
    <row r="44291" s="42" customFormat="1" x14ac:dyDescent="0.25"/>
    <row r="44292" s="42" customFormat="1" x14ac:dyDescent="0.25"/>
    <row r="44293" s="42" customFormat="1" x14ac:dyDescent="0.25"/>
    <row r="44294" s="42" customFormat="1" x14ac:dyDescent="0.25"/>
    <row r="44295" s="42" customFormat="1" x14ac:dyDescent="0.25"/>
    <row r="44296" s="42" customFormat="1" x14ac:dyDescent="0.25"/>
    <row r="44297" s="42" customFormat="1" x14ac:dyDescent="0.25"/>
    <row r="44298" s="42" customFormat="1" x14ac:dyDescent="0.25"/>
    <row r="44299" s="42" customFormat="1" x14ac:dyDescent="0.25"/>
    <row r="44300" s="42" customFormat="1" x14ac:dyDescent="0.25"/>
    <row r="44301" s="42" customFormat="1" x14ac:dyDescent="0.25"/>
    <row r="44302" s="42" customFormat="1" x14ac:dyDescent="0.25"/>
    <row r="44303" s="42" customFormat="1" x14ac:dyDescent="0.25"/>
    <row r="44304" s="42" customFormat="1" x14ac:dyDescent="0.25"/>
    <row r="44305" s="42" customFormat="1" x14ac:dyDescent="0.25"/>
    <row r="44306" s="42" customFormat="1" x14ac:dyDescent="0.25"/>
    <row r="44307" s="42" customFormat="1" x14ac:dyDescent="0.25"/>
    <row r="44308" s="42" customFormat="1" x14ac:dyDescent="0.25"/>
    <row r="44309" s="42" customFormat="1" x14ac:dyDescent="0.25"/>
    <row r="44310" s="42" customFormat="1" x14ac:dyDescent="0.25"/>
    <row r="44311" s="42" customFormat="1" x14ac:dyDescent="0.25"/>
    <row r="44312" s="42" customFormat="1" x14ac:dyDescent="0.25"/>
    <row r="44313" s="42" customFormat="1" x14ac:dyDescent="0.25"/>
    <row r="44314" s="42" customFormat="1" x14ac:dyDescent="0.25"/>
    <row r="44315" s="42" customFormat="1" x14ac:dyDescent="0.25"/>
    <row r="44316" s="42" customFormat="1" x14ac:dyDescent="0.25"/>
    <row r="44317" s="42" customFormat="1" x14ac:dyDescent="0.25"/>
    <row r="44318" s="42" customFormat="1" x14ac:dyDescent="0.25"/>
    <row r="44319" s="42" customFormat="1" x14ac:dyDescent="0.25"/>
    <row r="44320" s="42" customFormat="1" x14ac:dyDescent="0.25"/>
    <row r="44321" s="42" customFormat="1" x14ac:dyDescent="0.25"/>
    <row r="44322" s="42" customFormat="1" x14ac:dyDescent="0.25"/>
    <row r="44323" s="42" customFormat="1" x14ac:dyDescent="0.25"/>
    <row r="44324" s="42" customFormat="1" x14ac:dyDescent="0.25"/>
    <row r="44325" s="42" customFormat="1" x14ac:dyDescent="0.25"/>
    <row r="44326" s="42" customFormat="1" x14ac:dyDescent="0.25"/>
    <row r="44327" s="42" customFormat="1" x14ac:dyDescent="0.25"/>
    <row r="44328" s="42" customFormat="1" x14ac:dyDescent="0.25"/>
    <row r="44329" s="42" customFormat="1" x14ac:dyDescent="0.25"/>
    <row r="44330" s="42" customFormat="1" x14ac:dyDescent="0.25"/>
    <row r="44331" s="42" customFormat="1" x14ac:dyDescent="0.25"/>
    <row r="44332" s="42" customFormat="1" x14ac:dyDescent="0.25"/>
    <row r="44333" s="42" customFormat="1" x14ac:dyDescent="0.25"/>
    <row r="44334" s="42" customFormat="1" x14ac:dyDescent="0.25"/>
    <row r="44335" s="42" customFormat="1" x14ac:dyDescent="0.25"/>
    <row r="44336" s="42" customFormat="1" x14ac:dyDescent="0.25"/>
    <row r="44337" s="42" customFormat="1" x14ac:dyDescent="0.25"/>
    <row r="44338" s="42" customFormat="1" x14ac:dyDescent="0.25"/>
    <row r="44339" s="42" customFormat="1" x14ac:dyDescent="0.25"/>
    <row r="44340" s="42" customFormat="1" x14ac:dyDescent="0.25"/>
    <row r="44341" s="42" customFormat="1" x14ac:dyDescent="0.25"/>
    <row r="44342" s="42" customFormat="1" x14ac:dyDescent="0.25"/>
    <row r="44343" s="42" customFormat="1" x14ac:dyDescent="0.25"/>
    <row r="44344" s="42" customFormat="1" x14ac:dyDescent="0.25"/>
    <row r="44345" s="42" customFormat="1" x14ac:dyDescent="0.25"/>
    <row r="44346" s="42" customFormat="1" x14ac:dyDescent="0.25"/>
    <row r="44347" s="42" customFormat="1" x14ac:dyDescent="0.25"/>
    <row r="44348" s="42" customFormat="1" x14ac:dyDescent="0.25"/>
    <row r="44349" s="42" customFormat="1" x14ac:dyDescent="0.25"/>
    <row r="44350" s="42" customFormat="1" x14ac:dyDescent="0.25"/>
    <row r="44351" s="42" customFormat="1" x14ac:dyDescent="0.25"/>
    <row r="44352" s="42" customFormat="1" x14ac:dyDescent="0.25"/>
    <row r="44353" s="42" customFormat="1" x14ac:dyDescent="0.25"/>
    <row r="44354" s="42" customFormat="1" x14ac:dyDescent="0.25"/>
    <row r="44355" s="42" customFormat="1" x14ac:dyDescent="0.25"/>
    <row r="44356" s="42" customFormat="1" x14ac:dyDescent="0.25"/>
    <row r="44357" s="42" customFormat="1" x14ac:dyDescent="0.25"/>
    <row r="44358" s="42" customFormat="1" x14ac:dyDescent="0.25"/>
    <row r="44359" s="42" customFormat="1" x14ac:dyDescent="0.25"/>
    <row r="44360" s="42" customFormat="1" x14ac:dyDescent="0.25"/>
    <row r="44361" s="42" customFormat="1" x14ac:dyDescent="0.25"/>
    <row r="44362" s="42" customFormat="1" x14ac:dyDescent="0.25"/>
    <row r="44363" s="42" customFormat="1" x14ac:dyDescent="0.25"/>
    <row r="44364" s="42" customFormat="1" x14ac:dyDescent="0.25"/>
    <row r="44365" s="42" customFormat="1" x14ac:dyDescent="0.25"/>
    <row r="44366" s="42" customFormat="1" x14ac:dyDescent="0.25"/>
    <row r="44367" s="42" customFormat="1" x14ac:dyDescent="0.25"/>
    <row r="44368" s="42" customFormat="1" x14ac:dyDescent="0.25"/>
    <row r="44369" s="42" customFormat="1" x14ac:dyDescent="0.25"/>
    <row r="44370" s="42" customFormat="1" x14ac:dyDescent="0.25"/>
    <row r="44371" s="42" customFormat="1" x14ac:dyDescent="0.25"/>
    <row r="44372" s="42" customFormat="1" x14ac:dyDescent="0.25"/>
    <row r="44373" s="42" customFormat="1" x14ac:dyDescent="0.25"/>
    <row r="44374" s="42" customFormat="1" x14ac:dyDescent="0.25"/>
    <row r="44375" s="42" customFormat="1" x14ac:dyDescent="0.25"/>
    <row r="44376" s="42" customFormat="1" x14ac:dyDescent="0.25"/>
    <row r="44377" s="42" customFormat="1" x14ac:dyDescent="0.25"/>
    <row r="44378" s="42" customFormat="1" x14ac:dyDescent="0.25"/>
    <row r="44379" s="42" customFormat="1" x14ac:dyDescent="0.25"/>
    <row r="44380" s="42" customFormat="1" x14ac:dyDescent="0.25"/>
    <row r="44381" s="42" customFormat="1" x14ac:dyDescent="0.25"/>
    <row r="44382" s="42" customFormat="1" x14ac:dyDescent="0.25"/>
    <row r="44383" s="42" customFormat="1" x14ac:dyDescent="0.25"/>
    <row r="44384" s="42" customFormat="1" x14ac:dyDescent="0.25"/>
    <row r="44385" s="42" customFormat="1" x14ac:dyDescent="0.25"/>
    <row r="44386" s="42" customFormat="1" x14ac:dyDescent="0.25"/>
    <row r="44387" s="42" customFormat="1" x14ac:dyDescent="0.25"/>
    <row r="44388" s="42" customFormat="1" x14ac:dyDescent="0.25"/>
    <row r="44389" s="42" customFormat="1" x14ac:dyDescent="0.25"/>
    <row r="44390" s="42" customFormat="1" x14ac:dyDescent="0.25"/>
    <row r="44391" s="42" customFormat="1" x14ac:dyDescent="0.25"/>
    <row r="44392" s="42" customFormat="1" x14ac:dyDescent="0.25"/>
    <row r="44393" s="42" customFormat="1" x14ac:dyDescent="0.25"/>
    <row r="44394" s="42" customFormat="1" x14ac:dyDescent="0.25"/>
    <row r="44395" s="42" customFormat="1" x14ac:dyDescent="0.25"/>
    <row r="44396" s="42" customFormat="1" x14ac:dyDescent="0.25"/>
    <row r="44397" s="42" customFormat="1" x14ac:dyDescent="0.25"/>
    <row r="44398" s="42" customFormat="1" x14ac:dyDescent="0.25"/>
    <row r="44399" s="42" customFormat="1" x14ac:dyDescent="0.25"/>
    <row r="44400" s="42" customFormat="1" x14ac:dyDescent="0.25"/>
    <row r="44401" s="42" customFormat="1" x14ac:dyDescent="0.25"/>
    <row r="44402" s="42" customFormat="1" x14ac:dyDescent="0.25"/>
    <row r="44403" s="42" customFormat="1" x14ac:dyDescent="0.25"/>
    <row r="44404" s="42" customFormat="1" x14ac:dyDescent="0.25"/>
    <row r="44405" s="42" customFormat="1" x14ac:dyDescent="0.25"/>
    <row r="44406" s="42" customFormat="1" x14ac:dyDescent="0.25"/>
    <row r="44407" s="42" customFormat="1" x14ac:dyDescent="0.25"/>
    <row r="44408" s="42" customFormat="1" x14ac:dyDescent="0.25"/>
    <row r="44409" s="42" customFormat="1" x14ac:dyDescent="0.25"/>
    <row r="44410" s="42" customFormat="1" x14ac:dyDescent="0.25"/>
    <row r="44411" s="42" customFormat="1" x14ac:dyDescent="0.25"/>
    <row r="44412" s="42" customFormat="1" x14ac:dyDescent="0.25"/>
    <row r="44413" s="42" customFormat="1" x14ac:dyDescent="0.25"/>
    <row r="44414" s="42" customFormat="1" x14ac:dyDescent="0.25"/>
    <row r="44415" s="42" customFormat="1" x14ac:dyDescent="0.25"/>
    <row r="44416" s="42" customFormat="1" x14ac:dyDescent="0.25"/>
    <row r="44417" s="42" customFormat="1" x14ac:dyDescent="0.25"/>
    <row r="44418" s="42" customFormat="1" x14ac:dyDescent="0.25"/>
    <row r="44419" s="42" customFormat="1" x14ac:dyDescent="0.25"/>
    <row r="44420" s="42" customFormat="1" x14ac:dyDescent="0.25"/>
    <row r="44421" s="42" customFormat="1" x14ac:dyDescent="0.25"/>
    <row r="44422" s="42" customFormat="1" x14ac:dyDescent="0.25"/>
    <row r="44423" s="42" customFormat="1" x14ac:dyDescent="0.25"/>
    <row r="44424" s="42" customFormat="1" x14ac:dyDescent="0.25"/>
    <row r="44425" s="42" customFormat="1" x14ac:dyDescent="0.25"/>
    <row r="44426" s="42" customFormat="1" x14ac:dyDescent="0.25"/>
    <row r="44427" s="42" customFormat="1" x14ac:dyDescent="0.25"/>
    <row r="44428" s="42" customFormat="1" x14ac:dyDescent="0.25"/>
    <row r="44429" s="42" customFormat="1" x14ac:dyDescent="0.25"/>
    <row r="44430" s="42" customFormat="1" x14ac:dyDescent="0.25"/>
    <row r="44431" s="42" customFormat="1" x14ac:dyDescent="0.25"/>
    <row r="44432" s="42" customFormat="1" x14ac:dyDescent="0.25"/>
    <row r="44433" s="42" customFormat="1" x14ac:dyDescent="0.25"/>
    <row r="44434" s="42" customFormat="1" x14ac:dyDescent="0.25"/>
    <row r="44435" s="42" customFormat="1" x14ac:dyDescent="0.25"/>
    <row r="44436" s="42" customFormat="1" x14ac:dyDescent="0.25"/>
    <row r="44437" s="42" customFormat="1" x14ac:dyDescent="0.25"/>
    <row r="44438" s="42" customFormat="1" x14ac:dyDescent="0.25"/>
    <row r="44439" s="42" customFormat="1" x14ac:dyDescent="0.25"/>
    <row r="44440" s="42" customFormat="1" x14ac:dyDescent="0.25"/>
    <row r="44441" s="42" customFormat="1" x14ac:dyDescent="0.25"/>
    <row r="44442" s="42" customFormat="1" x14ac:dyDescent="0.25"/>
    <row r="44443" s="42" customFormat="1" x14ac:dyDescent="0.25"/>
    <row r="44444" s="42" customFormat="1" x14ac:dyDescent="0.25"/>
    <row r="44445" s="42" customFormat="1" x14ac:dyDescent="0.25"/>
    <row r="44446" s="42" customFormat="1" x14ac:dyDescent="0.25"/>
    <row r="44447" s="42" customFormat="1" x14ac:dyDescent="0.25"/>
    <row r="44448" s="42" customFormat="1" x14ac:dyDescent="0.25"/>
    <row r="44449" s="42" customFormat="1" x14ac:dyDescent="0.25"/>
    <row r="44450" s="42" customFormat="1" x14ac:dyDescent="0.25"/>
    <row r="44451" s="42" customFormat="1" x14ac:dyDescent="0.25"/>
    <row r="44452" s="42" customFormat="1" x14ac:dyDescent="0.25"/>
    <row r="44453" s="42" customFormat="1" x14ac:dyDescent="0.25"/>
    <row r="44454" s="42" customFormat="1" x14ac:dyDescent="0.25"/>
    <row r="44455" s="42" customFormat="1" x14ac:dyDescent="0.25"/>
    <row r="44456" s="42" customFormat="1" x14ac:dyDescent="0.25"/>
    <row r="44457" s="42" customFormat="1" x14ac:dyDescent="0.25"/>
    <row r="44458" s="42" customFormat="1" x14ac:dyDescent="0.25"/>
    <row r="44459" s="42" customFormat="1" x14ac:dyDescent="0.25"/>
    <row r="44460" s="42" customFormat="1" x14ac:dyDescent="0.25"/>
    <row r="44461" s="42" customFormat="1" x14ac:dyDescent="0.25"/>
    <row r="44462" s="42" customFormat="1" x14ac:dyDescent="0.25"/>
    <row r="44463" s="42" customFormat="1" x14ac:dyDescent="0.25"/>
    <row r="44464" s="42" customFormat="1" x14ac:dyDescent="0.25"/>
    <row r="44465" s="42" customFormat="1" x14ac:dyDescent="0.25"/>
    <row r="44466" s="42" customFormat="1" x14ac:dyDescent="0.25"/>
    <row r="44467" s="42" customFormat="1" x14ac:dyDescent="0.25"/>
    <row r="44468" s="42" customFormat="1" x14ac:dyDescent="0.25"/>
    <row r="44469" s="42" customFormat="1" x14ac:dyDescent="0.25"/>
    <row r="44470" s="42" customFormat="1" x14ac:dyDescent="0.25"/>
    <row r="44471" s="42" customFormat="1" x14ac:dyDescent="0.25"/>
    <row r="44472" s="42" customFormat="1" x14ac:dyDescent="0.25"/>
    <row r="44473" s="42" customFormat="1" x14ac:dyDescent="0.25"/>
    <row r="44474" s="42" customFormat="1" x14ac:dyDescent="0.25"/>
    <row r="44475" s="42" customFormat="1" x14ac:dyDescent="0.25"/>
    <row r="44476" s="42" customFormat="1" x14ac:dyDescent="0.25"/>
    <row r="44477" s="42" customFormat="1" x14ac:dyDescent="0.25"/>
    <row r="44478" s="42" customFormat="1" x14ac:dyDescent="0.25"/>
    <row r="44479" s="42" customFormat="1" x14ac:dyDescent="0.25"/>
    <row r="44480" s="42" customFormat="1" x14ac:dyDescent="0.25"/>
    <row r="44481" s="42" customFormat="1" x14ac:dyDescent="0.25"/>
    <row r="44482" s="42" customFormat="1" x14ac:dyDescent="0.25"/>
    <row r="44483" s="42" customFormat="1" x14ac:dyDescent="0.25"/>
    <row r="44484" s="42" customFormat="1" x14ac:dyDescent="0.25"/>
    <row r="44485" s="42" customFormat="1" x14ac:dyDescent="0.25"/>
    <row r="44486" s="42" customFormat="1" x14ac:dyDescent="0.25"/>
    <row r="44487" s="42" customFormat="1" x14ac:dyDescent="0.25"/>
    <row r="44488" s="42" customFormat="1" x14ac:dyDescent="0.25"/>
    <row r="44489" s="42" customFormat="1" x14ac:dyDescent="0.25"/>
    <row r="44490" s="42" customFormat="1" x14ac:dyDescent="0.25"/>
    <row r="44491" s="42" customFormat="1" x14ac:dyDescent="0.25"/>
    <row r="44492" s="42" customFormat="1" x14ac:dyDescent="0.25"/>
    <row r="44493" s="42" customFormat="1" x14ac:dyDescent="0.25"/>
    <row r="44494" s="42" customFormat="1" x14ac:dyDescent="0.25"/>
    <row r="44495" s="42" customFormat="1" x14ac:dyDescent="0.25"/>
    <row r="44496" s="42" customFormat="1" x14ac:dyDescent="0.25"/>
    <row r="44497" s="42" customFormat="1" x14ac:dyDescent="0.25"/>
    <row r="44498" s="42" customFormat="1" x14ac:dyDescent="0.25"/>
    <row r="44499" s="42" customFormat="1" x14ac:dyDescent="0.25"/>
    <row r="44500" s="42" customFormat="1" x14ac:dyDescent="0.25"/>
    <row r="44501" s="42" customFormat="1" x14ac:dyDescent="0.25"/>
    <row r="44502" s="42" customFormat="1" x14ac:dyDescent="0.25"/>
    <row r="44503" s="42" customFormat="1" x14ac:dyDescent="0.25"/>
    <row r="44504" s="42" customFormat="1" x14ac:dyDescent="0.25"/>
    <row r="44505" s="42" customFormat="1" x14ac:dyDescent="0.25"/>
    <row r="44506" s="42" customFormat="1" x14ac:dyDescent="0.25"/>
    <row r="44507" s="42" customFormat="1" x14ac:dyDescent="0.25"/>
    <row r="44508" s="42" customFormat="1" x14ac:dyDescent="0.25"/>
    <row r="44509" s="42" customFormat="1" x14ac:dyDescent="0.25"/>
    <row r="44510" s="42" customFormat="1" x14ac:dyDescent="0.25"/>
    <row r="44511" s="42" customFormat="1" x14ac:dyDescent="0.25"/>
    <row r="44512" s="42" customFormat="1" x14ac:dyDescent="0.25"/>
    <row r="44513" s="42" customFormat="1" x14ac:dyDescent="0.25"/>
    <row r="44514" s="42" customFormat="1" x14ac:dyDescent="0.25"/>
    <row r="44515" s="42" customFormat="1" x14ac:dyDescent="0.25"/>
    <row r="44516" s="42" customFormat="1" x14ac:dyDescent="0.25"/>
    <row r="44517" s="42" customFormat="1" x14ac:dyDescent="0.25"/>
    <row r="44518" s="42" customFormat="1" x14ac:dyDescent="0.25"/>
    <row r="44519" s="42" customFormat="1" x14ac:dyDescent="0.25"/>
    <row r="44520" s="42" customFormat="1" x14ac:dyDescent="0.25"/>
    <row r="44521" s="42" customFormat="1" x14ac:dyDescent="0.25"/>
    <row r="44522" s="42" customFormat="1" x14ac:dyDescent="0.25"/>
    <row r="44523" s="42" customFormat="1" x14ac:dyDescent="0.25"/>
    <row r="44524" s="42" customFormat="1" x14ac:dyDescent="0.25"/>
    <row r="44525" s="42" customFormat="1" x14ac:dyDescent="0.25"/>
    <row r="44526" s="42" customFormat="1" x14ac:dyDescent="0.25"/>
    <row r="44527" s="42" customFormat="1" x14ac:dyDescent="0.25"/>
    <row r="44528" s="42" customFormat="1" x14ac:dyDescent="0.25"/>
    <row r="44529" s="42" customFormat="1" x14ac:dyDescent="0.25"/>
    <row r="44530" s="42" customFormat="1" x14ac:dyDescent="0.25"/>
    <row r="44531" s="42" customFormat="1" x14ac:dyDescent="0.25"/>
    <row r="44532" s="42" customFormat="1" x14ac:dyDescent="0.25"/>
    <row r="44533" s="42" customFormat="1" x14ac:dyDescent="0.25"/>
    <row r="44534" s="42" customFormat="1" x14ac:dyDescent="0.25"/>
    <row r="44535" s="42" customFormat="1" x14ac:dyDescent="0.25"/>
    <row r="44536" s="42" customFormat="1" x14ac:dyDescent="0.25"/>
    <row r="44537" s="42" customFormat="1" x14ac:dyDescent="0.25"/>
    <row r="44538" s="42" customFormat="1" x14ac:dyDescent="0.25"/>
    <row r="44539" s="42" customFormat="1" x14ac:dyDescent="0.25"/>
    <row r="44540" s="42" customFormat="1" x14ac:dyDescent="0.25"/>
    <row r="44541" s="42" customFormat="1" x14ac:dyDescent="0.25"/>
    <row r="44542" s="42" customFormat="1" x14ac:dyDescent="0.25"/>
    <row r="44543" s="42" customFormat="1" x14ac:dyDescent="0.25"/>
    <row r="44544" s="42" customFormat="1" x14ac:dyDescent="0.25"/>
    <row r="44545" s="42" customFormat="1" x14ac:dyDescent="0.25"/>
    <row r="44546" s="42" customFormat="1" x14ac:dyDescent="0.25"/>
    <row r="44547" s="42" customFormat="1" x14ac:dyDescent="0.25"/>
    <row r="44548" s="42" customFormat="1" x14ac:dyDescent="0.25"/>
    <row r="44549" s="42" customFormat="1" x14ac:dyDescent="0.25"/>
    <row r="44550" s="42" customFormat="1" x14ac:dyDescent="0.25"/>
    <row r="44551" s="42" customFormat="1" x14ac:dyDescent="0.25"/>
    <row r="44552" s="42" customFormat="1" x14ac:dyDescent="0.25"/>
    <row r="44553" s="42" customFormat="1" x14ac:dyDescent="0.25"/>
    <row r="44554" s="42" customFormat="1" x14ac:dyDescent="0.25"/>
    <row r="44555" s="42" customFormat="1" x14ac:dyDescent="0.25"/>
    <row r="44556" s="42" customFormat="1" x14ac:dyDescent="0.25"/>
    <row r="44557" s="42" customFormat="1" x14ac:dyDescent="0.25"/>
    <row r="44558" s="42" customFormat="1" x14ac:dyDescent="0.25"/>
    <row r="44559" s="42" customFormat="1" x14ac:dyDescent="0.25"/>
    <row r="44560" s="42" customFormat="1" x14ac:dyDescent="0.25"/>
    <row r="44561" s="42" customFormat="1" x14ac:dyDescent="0.25"/>
    <row r="44562" s="42" customFormat="1" x14ac:dyDescent="0.25"/>
    <row r="44563" s="42" customFormat="1" x14ac:dyDescent="0.25"/>
    <row r="44564" s="42" customFormat="1" x14ac:dyDescent="0.25"/>
    <row r="44565" s="42" customFormat="1" x14ac:dyDescent="0.25"/>
    <row r="44566" s="42" customFormat="1" x14ac:dyDescent="0.25"/>
    <row r="44567" s="42" customFormat="1" x14ac:dyDescent="0.25"/>
    <row r="44568" s="42" customFormat="1" x14ac:dyDescent="0.25"/>
    <row r="44569" s="42" customFormat="1" x14ac:dyDescent="0.25"/>
    <row r="44570" s="42" customFormat="1" x14ac:dyDescent="0.25"/>
    <row r="44571" s="42" customFormat="1" x14ac:dyDescent="0.25"/>
    <row r="44572" s="42" customFormat="1" x14ac:dyDescent="0.25"/>
    <row r="44573" s="42" customFormat="1" x14ac:dyDescent="0.25"/>
    <row r="44574" s="42" customFormat="1" x14ac:dyDescent="0.25"/>
    <row r="44575" s="42" customFormat="1" x14ac:dyDescent="0.25"/>
    <row r="44576" s="42" customFormat="1" x14ac:dyDescent="0.25"/>
    <row r="44577" s="42" customFormat="1" x14ac:dyDescent="0.25"/>
    <row r="44578" s="42" customFormat="1" x14ac:dyDescent="0.25"/>
    <row r="44579" s="42" customFormat="1" x14ac:dyDescent="0.25"/>
    <row r="44580" s="42" customFormat="1" x14ac:dyDescent="0.25"/>
    <row r="44581" s="42" customFormat="1" x14ac:dyDescent="0.25"/>
    <row r="44582" s="42" customFormat="1" x14ac:dyDescent="0.25"/>
    <row r="44583" s="42" customFormat="1" x14ac:dyDescent="0.25"/>
    <row r="44584" s="42" customFormat="1" x14ac:dyDescent="0.25"/>
    <row r="44585" s="42" customFormat="1" x14ac:dyDescent="0.25"/>
    <row r="44586" s="42" customFormat="1" x14ac:dyDescent="0.25"/>
    <row r="44587" s="42" customFormat="1" x14ac:dyDescent="0.25"/>
    <row r="44588" s="42" customFormat="1" x14ac:dyDescent="0.25"/>
    <row r="44589" s="42" customFormat="1" x14ac:dyDescent="0.25"/>
    <row r="44590" s="42" customFormat="1" x14ac:dyDescent="0.25"/>
    <row r="44591" s="42" customFormat="1" x14ac:dyDescent="0.25"/>
    <row r="44592" s="42" customFormat="1" x14ac:dyDescent="0.25"/>
    <row r="44593" s="42" customFormat="1" x14ac:dyDescent="0.25"/>
    <row r="44594" s="42" customFormat="1" x14ac:dyDescent="0.25"/>
    <row r="44595" s="42" customFormat="1" x14ac:dyDescent="0.25"/>
    <row r="44596" s="42" customFormat="1" x14ac:dyDescent="0.25"/>
    <row r="44597" s="42" customFormat="1" x14ac:dyDescent="0.25"/>
    <row r="44598" s="42" customFormat="1" x14ac:dyDescent="0.25"/>
    <row r="44599" s="42" customFormat="1" x14ac:dyDescent="0.25"/>
    <row r="44600" s="42" customFormat="1" x14ac:dyDescent="0.25"/>
    <row r="44601" s="42" customFormat="1" x14ac:dyDescent="0.25"/>
    <row r="44602" s="42" customFormat="1" x14ac:dyDescent="0.25"/>
    <row r="44603" s="42" customFormat="1" x14ac:dyDescent="0.25"/>
    <row r="44604" s="42" customFormat="1" x14ac:dyDescent="0.25"/>
    <row r="44605" s="42" customFormat="1" x14ac:dyDescent="0.25"/>
    <row r="44606" s="42" customFormat="1" x14ac:dyDescent="0.25"/>
    <row r="44607" s="42" customFormat="1" x14ac:dyDescent="0.25"/>
    <row r="44608" s="42" customFormat="1" x14ac:dyDescent="0.25"/>
    <row r="44609" s="42" customFormat="1" x14ac:dyDescent="0.25"/>
    <row r="44610" s="42" customFormat="1" x14ac:dyDescent="0.25"/>
    <row r="44611" s="42" customFormat="1" x14ac:dyDescent="0.25"/>
    <row r="44612" s="42" customFormat="1" x14ac:dyDescent="0.25"/>
    <row r="44613" s="42" customFormat="1" x14ac:dyDescent="0.25"/>
    <row r="44614" s="42" customFormat="1" x14ac:dyDescent="0.25"/>
    <row r="44615" s="42" customFormat="1" x14ac:dyDescent="0.25"/>
    <row r="44616" s="42" customFormat="1" x14ac:dyDescent="0.25"/>
    <row r="44617" s="42" customFormat="1" x14ac:dyDescent="0.25"/>
    <row r="44618" s="42" customFormat="1" x14ac:dyDescent="0.25"/>
    <row r="44619" s="42" customFormat="1" x14ac:dyDescent="0.25"/>
    <row r="44620" s="42" customFormat="1" x14ac:dyDescent="0.25"/>
    <row r="44621" s="42" customFormat="1" x14ac:dyDescent="0.25"/>
    <row r="44622" s="42" customFormat="1" x14ac:dyDescent="0.25"/>
    <row r="44623" s="42" customFormat="1" x14ac:dyDescent="0.25"/>
    <row r="44624" s="42" customFormat="1" x14ac:dyDescent="0.25"/>
    <row r="44625" s="42" customFormat="1" x14ac:dyDescent="0.25"/>
    <row r="44626" s="42" customFormat="1" x14ac:dyDescent="0.25"/>
    <row r="44627" s="42" customFormat="1" x14ac:dyDescent="0.25"/>
    <row r="44628" s="42" customFormat="1" x14ac:dyDescent="0.25"/>
    <row r="44629" s="42" customFormat="1" x14ac:dyDescent="0.25"/>
    <row r="44630" s="42" customFormat="1" x14ac:dyDescent="0.25"/>
    <row r="44631" s="42" customFormat="1" x14ac:dyDescent="0.25"/>
    <row r="44632" s="42" customFormat="1" x14ac:dyDescent="0.25"/>
    <row r="44633" s="42" customFormat="1" x14ac:dyDescent="0.25"/>
    <row r="44634" s="42" customFormat="1" x14ac:dyDescent="0.25"/>
    <row r="44635" s="42" customFormat="1" x14ac:dyDescent="0.25"/>
    <row r="44636" s="42" customFormat="1" x14ac:dyDescent="0.25"/>
    <row r="44637" s="42" customFormat="1" x14ac:dyDescent="0.25"/>
    <row r="44638" s="42" customFormat="1" x14ac:dyDescent="0.25"/>
    <row r="44639" s="42" customFormat="1" x14ac:dyDescent="0.25"/>
    <row r="44640" s="42" customFormat="1" x14ac:dyDescent="0.25"/>
    <row r="44641" s="42" customFormat="1" x14ac:dyDescent="0.25"/>
    <row r="44642" s="42" customFormat="1" x14ac:dyDescent="0.25"/>
    <row r="44643" s="42" customFormat="1" x14ac:dyDescent="0.25"/>
    <row r="44644" s="42" customFormat="1" x14ac:dyDescent="0.25"/>
    <row r="44645" s="42" customFormat="1" x14ac:dyDescent="0.25"/>
    <row r="44646" s="42" customFormat="1" x14ac:dyDescent="0.25"/>
    <row r="44647" s="42" customFormat="1" x14ac:dyDescent="0.25"/>
    <row r="44648" s="42" customFormat="1" x14ac:dyDescent="0.25"/>
    <row r="44649" s="42" customFormat="1" x14ac:dyDescent="0.25"/>
    <row r="44650" s="42" customFormat="1" x14ac:dyDescent="0.25"/>
    <row r="44651" s="42" customFormat="1" x14ac:dyDescent="0.25"/>
    <row r="44652" s="42" customFormat="1" x14ac:dyDescent="0.25"/>
    <row r="44653" s="42" customFormat="1" x14ac:dyDescent="0.25"/>
    <row r="44654" s="42" customFormat="1" x14ac:dyDescent="0.25"/>
    <row r="44655" s="42" customFormat="1" x14ac:dyDescent="0.25"/>
    <row r="44656" s="42" customFormat="1" x14ac:dyDescent="0.25"/>
    <row r="44657" s="42" customFormat="1" x14ac:dyDescent="0.25"/>
    <row r="44658" s="42" customFormat="1" x14ac:dyDescent="0.25"/>
    <row r="44659" s="42" customFormat="1" x14ac:dyDescent="0.25"/>
    <row r="44660" s="42" customFormat="1" x14ac:dyDescent="0.25"/>
    <row r="44661" s="42" customFormat="1" x14ac:dyDescent="0.25"/>
    <row r="44662" s="42" customFormat="1" x14ac:dyDescent="0.25"/>
    <row r="44663" s="42" customFormat="1" x14ac:dyDescent="0.25"/>
    <row r="44664" s="42" customFormat="1" x14ac:dyDescent="0.25"/>
    <row r="44665" s="42" customFormat="1" x14ac:dyDescent="0.25"/>
    <row r="44666" s="42" customFormat="1" x14ac:dyDescent="0.25"/>
    <row r="44667" s="42" customFormat="1" x14ac:dyDescent="0.25"/>
    <row r="44668" s="42" customFormat="1" x14ac:dyDescent="0.25"/>
    <row r="44669" s="42" customFormat="1" x14ac:dyDescent="0.25"/>
    <row r="44670" s="42" customFormat="1" x14ac:dyDescent="0.25"/>
    <row r="44671" s="42" customFormat="1" x14ac:dyDescent="0.25"/>
    <row r="44672" s="42" customFormat="1" x14ac:dyDescent="0.25"/>
    <row r="44673" s="42" customFormat="1" x14ac:dyDescent="0.25"/>
    <row r="44674" s="42" customFormat="1" x14ac:dyDescent="0.25"/>
    <row r="44675" s="42" customFormat="1" x14ac:dyDescent="0.25"/>
    <row r="44676" s="42" customFormat="1" x14ac:dyDescent="0.25"/>
    <row r="44677" s="42" customFormat="1" x14ac:dyDescent="0.25"/>
    <row r="44678" s="42" customFormat="1" x14ac:dyDescent="0.25"/>
    <row r="44679" s="42" customFormat="1" x14ac:dyDescent="0.25"/>
    <row r="44680" s="42" customFormat="1" x14ac:dyDescent="0.25"/>
    <row r="44681" s="42" customFormat="1" x14ac:dyDescent="0.25"/>
    <row r="44682" s="42" customFormat="1" x14ac:dyDescent="0.25"/>
    <row r="44683" s="42" customFormat="1" x14ac:dyDescent="0.25"/>
    <row r="44684" s="42" customFormat="1" x14ac:dyDescent="0.25"/>
    <row r="44685" s="42" customFormat="1" x14ac:dyDescent="0.25"/>
    <row r="44686" s="42" customFormat="1" x14ac:dyDescent="0.25"/>
    <row r="44687" s="42" customFormat="1" x14ac:dyDescent="0.25"/>
    <row r="44688" s="42" customFormat="1" x14ac:dyDescent="0.25"/>
    <row r="44689" s="42" customFormat="1" x14ac:dyDescent="0.25"/>
    <row r="44690" s="42" customFormat="1" x14ac:dyDescent="0.25"/>
    <row r="44691" s="42" customFormat="1" x14ac:dyDescent="0.25"/>
    <row r="44692" s="42" customFormat="1" x14ac:dyDescent="0.25"/>
    <row r="44693" s="42" customFormat="1" x14ac:dyDescent="0.25"/>
    <row r="44694" s="42" customFormat="1" x14ac:dyDescent="0.25"/>
    <row r="44695" s="42" customFormat="1" x14ac:dyDescent="0.25"/>
    <row r="44696" s="42" customFormat="1" x14ac:dyDescent="0.25"/>
    <row r="44697" s="42" customFormat="1" x14ac:dyDescent="0.25"/>
    <row r="44698" s="42" customFormat="1" x14ac:dyDescent="0.25"/>
    <row r="44699" s="42" customFormat="1" x14ac:dyDescent="0.25"/>
    <row r="44700" s="42" customFormat="1" x14ac:dyDescent="0.25"/>
    <row r="44701" s="42" customFormat="1" x14ac:dyDescent="0.25"/>
    <row r="44702" s="42" customFormat="1" x14ac:dyDescent="0.25"/>
    <row r="44703" s="42" customFormat="1" x14ac:dyDescent="0.25"/>
    <row r="44704" s="42" customFormat="1" x14ac:dyDescent="0.25"/>
    <row r="44705" s="42" customFormat="1" x14ac:dyDescent="0.25"/>
    <row r="44706" s="42" customFormat="1" x14ac:dyDescent="0.25"/>
    <row r="44707" s="42" customFormat="1" x14ac:dyDescent="0.25"/>
    <row r="44708" s="42" customFormat="1" x14ac:dyDescent="0.25"/>
    <row r="44709" s="42" customFormat="1" x14ac:dyDescent="0.25"/>
    <row r="44710" s="42" customFormat="1" x14ac:dyDescent="0.25"/>
    <row r="44711" s="42" customFormat="1" x14ac:dyDescent="0.25"/>
    <row r="44712" s="42" customFormat="1" x14ac:dyDescent="0.25"/>
    <row r="44713" s="42" customFormat="1" x14ac:dyDescent="0.25"/>
    <row r="44714" s="42" customFormat="1" x14ac:dyDescent="0.25"/>
    <row r="44715" s="42" customFormat="1" x14ac:dyDescent="0.25"/>
    <row r="44716" s="42" customFormat="1" x14ac:dyDescent="0.25"/>
    <row r="44717" s="42" customFormat="1" x14ac:dyDescent="0.25"/>
    <row r="44718" s="42" customFormat="1" x14ac:dyDescent="0.25"/>
    <row r="44719" s="42" customFormat="1" x14ac:dyDescent="0.25"/>
    <row r="44720" s="42" customFormat="1" x14ac:dyDescent="0.25"/>
    <row r="44721" s="42" customFormat="1" x14ac:dyDescent="0.25"/>
    <row r="44722" s="42" customFormat="1" x14ac:dyDescent="0.25"/>
    <row r="44723" s="42" customFormat="1" x14ac:dyDescent="0.25"/>
    <row r="44724" s="42" customFormat="1" x14ac:dyDescent="0.25"/>
    <row r="44725" s="42" customFormat="1" x14ac:dyDescent="0.25"/>
    <row r="44726" s="42" customFormat="1" x14ac:dyDescent="0.25"/>
    <row r="44727" s="42" customFormat="1" x14ac:dyDescent="0.25"/>
    <row r="44728" s="42" customFormat="1" x14ac:dyDescent="0.25"/>
    <row r="44729" s="42" customFormat="1" x14ac:dyDescent="0.25"/>
    <row r="44730" s="42" customFormat="1" x14ac:dyDescent="0.25"/>
    <row r="44731" s="42" customFormat="1" x14ac:dyDescent="0.25"/>
    <row r="44732" s="42" customFormat="1" x14ac:dyDescent="0.25"/>
    <row r="44733" s="42" customFormat="1" x14ac:dyDescent="0.25"/>
    <row r="44734" s="42" customFormat="1" x14ac:dyDescent="0.25"/>
    <row r="44735" s="42" customFormat="1" x14ac:dyDescent="0.25"/>
    <row r="44736" s="42" customFormat="1" x14ac:dyDescent="0.25"/>
    <row r="44737" s="42" customFormat="1" x14ac:dyDescent="0.25"/>
    <row r="44738" s="42" customFormat="1" x14ac:dyDescent="0.25"/>
    <row r="44739" s="42" customFormat="1" x14ac:dyDescent="0.25"/>
    <row r="44740" s="42" customFormat="1" x14ac:dyDescent="0.25"/>
    <row r="44741" s="42" customFormat="1" x14ac:dyDescent="0.25"/>
    <row r="44742" s="42" customFormat="1" x14ac:dyDescent="0.25"/>
    <row r="44743" s="42" customFormat="1" x14ac:dyDescent="0.25"/>
    <row r="44744" s="42" customFormat="1" x14ac:dyDescent="0.25"/>
    <row r="44745" s="42" customFormat="1" x14ac:dyDescent="0.25"/>
    <row r="44746" s="42" customFormat="1" x14ac:dyDescent="0.25"/>
    <row r="44747" s="42" customFormat="1" x14ac:dyDescent="0.25"/>
    <row r="44748" s="42" customFormat="1" x14ac:dyDescent="0.25"/>
    <row r="44749" s="42" customFormat="1" x14ac:dyDescent="0.25"/>
    <row r="44750" s="42" customFormat="1" x14ac:dyDescent="0.25"/>
    <row r="44751" s="42" customFormat="1" x14ac:dyDescent="0.25"/>
    <row r="44752" s="42" customFormat="1" x14ac:dyDescent="0.25"/>
    <row r="44753" s="42" customFormat="1" x14ac:dyDescent="0.25"/>
    <row r="44754" s="42" customFormat="1" x14ac:dyDescent="0.25"/>
    <row r="44755" s="42" customFormat="1" x14ac:dyDescent="0.25"/>
    <row r="44756" s="42" customFormat="1" x14ac:dyDescent="0.25"/>
    <row r="44757" s="42" customFormat="1" x14ac:dyDescent="0.25"/>
    <row r="44758" s="42" customFormat="1" x14ac:dyDescent="0.25"/>
    <row r="44759" s="42" customFormat="1" x14ac:dyDescent="0.25"/>
    <row r="44760" s="42" customFormat="1" x14ac:dyDescent="0.25"/>
    <row r="44761" s="42" customFormat="1" x14ac:dyDescent="0.25"/>
    <row r="44762" s="42" customFormat="1" x14ac:dyDescent="0.25"/>
    <row r="44763" s="42" customFormat="1" x14ac:dyDescent="0.25"/>
    <row r="44764" s="42" customFormat="1" x14ac:dyDescent="0.25"/>
    <row r="44765" s="42" customFormat="1" x14ac:dyDescent="0.25"/>
    <row r="44766" s="42" customFormat="1" x14ac:dyDescent="0.25"/>
    <row r="44767" s="42" customFormat="1" x14ac:dyDescent="0.25"/>
    <row r="44768" s="42" customFormat="1" x14ac:dyDescent="0.25"/>
    <row r="44769" s="42" customFormat="1" x14ac:dyDescent="0.25"/>
    <row r="44770" s="42" customFormat="1" x14ac:dyDescent="0.25"/>
    <row r="44771" s="42" customFormat="1" x14ac:dyDescent="0.25"/>
    <row r="44772" s="42" customFormat="1" x14ac:dyDescent="0.25"/>
    <row r="44773" s="42" customFormat="1" x14ac:dyDescent="0.25"/>
    <row r="44774" s="42" customFormat="1" x14ac:dyDescent="0.25"/>
    <row r="44775" s="42" customFormat="1" x14ac:dyDescent="0.25"/>
    <row r="44776" s="42" customFormat="1" x14ac:dyDescent="0.25"/>
    <row r="44777" s="42" customFormat="1" x14ac:dyDescent="0.25"/>
    <row r="44778" s="42" customFormat="1" x14ac:dyDescent="0.25"/>
    <row r="44779" s="42" customFormat="1" x14ac:dyDescent="0.25"/>
    <row r="44780" s="42" customFormat="1" x14ac:dyDescent="0.25"/>
    <row r="44781" s="42" customFormat="1" x14ac:dyDescent="0.25"/>
    <row r="44782" s="42" customFormat="1" x14ac:dyDescent="0.25"/>
    <row r="44783" s="42" customFormat="1" x14ac:dyDescent="0.25"/>
    <row r="44784" s="42" customFormat="1" x14ac:dyDescent="0.25"/>
    <row r="44785" s="42" customFormat="1" x14ac:dyDescent="0.25"/>
    <row r="44786" s="42" customFormat="1" x14ac:dyDescent="0.25"/>
    <row r="44787" s="42" customFormat="1" x14ac:dyDescent="0.25"/>
    <row r="44788" s="42" customFormat="1" x14ac:dyDescent="0.25"/>
    <row r="44789" s="42" customFormat="1" x14ac:dyDescent="0.25"/>
    <row r="44790" s="42" customFormat="1" x14ac:dyDescent="0.25"/>
    <row r="44791" s="42" customFormat="1" x14ac:dyDescent="0.25"/>
    <row r="44792" s="42" customFormat="1" x14ac:dyDescent="0.25"/>
    <row r="44793" s="42" customFormat="1" x14ac:dyDescent="0.25"/>
    <row r="44794" s="42" customFormat="1" x14ac:dyDescent="0.25"/>
    <row r="44795" s="42" customFormat="1" x14ac:dyDescent="0.25"/>
    <row r="44796" s="42" customFormat="1" x14ac:dyDescent="0.25"/>
    <row r="44797" s="42" customFormat="1" x14ac:dyDescent="0.25"/>
    <row r="44798" s="42" customFormat="1" x14ac:dyDescent="0.25"/>
    <row r="44799" s="42" customFormat="1" x14ac:dyDescent="0.25"/>
    <row r="44800" s="42" customFormat="1" x14ac:dyDescent="0.25"/>
    <row r="44801" s="42" customFormat="1" x14ac:dyDescent="0.25"/>
    <row r="44802" s="42" customFormat="1" x14ac:dyDescent="0.25"/>
    <row r="44803" s="42" customFormat="1" x14ac:dyDescent="0.25"/>
    <row r="44804" s="42" customFormat="1" x14ac:dyDescent="0.25"/>
    <row r="44805" s="42" customFormat="1" x14ac:dyDescent="0.25"/>
    <row r="44806" s="42" customFormat="1" x14ac:dyDescent="0.25"/>
    <row r="44807" s="42" customFormat="1" x14ac:dyDescent="0.25"/>
    <row r="44808" s="42" customFormat="1" x14ac:dyDescent="0.25"/>
    <row r="44809" s="42" customFormat="1" x14ac:dyDescent="0.25"/>
    <row r="44810" s="42" customFormat="1" x14ac:dyDescent="0.25"/>
    <row r="44811" s="42" customFormat="1" x14ac:dyDescent="0.25"/>
    <row r="44812" s="42" customFormat="1" x14ac:dyDescent="0.25"/>
    <row r="44813" s="42" customFormat="1" x14ac:dyDescent="0.25"/>
    <row r="44814" s="42" customFormat="1" x14ac:dyDescent="0.25"/>
    <row r="44815" s="42" customFormat="1" x14ac:dyDescent="0.25"/>
    <row r="44816" s="42" customFormat="1" x14ac:dyDescent="0.25"/>
    <row r="44817" s="42" customFormat="1" x14ac:dyDescent="0.25"/>
    <row r="44818" s="42" customFormat="1" x14ac:dyDescent="0.25"/>
    <row r="44819" s="42" customFormat="1" x14ac:dyDescent="0.25"/>
    <row r="44820" s="42" customFormat="1" x14ac:dyDescent="0.25"/>
    <row r="44821" s="42" customFormat="1" x14ac:dyDescent="0.25"/>
    <row r="44822" s="42" customFormat="1" x14ac:dyDescent="0.25"/>
    <row r="44823" s="42" customFormat="1" x14ac:dyDescent="0.25"/>
  </sheetData>
  <dataConsolidate/>
  <mergeCells count="10">
    <mergeCell ref="AG2:AH2"/>
    <mergeCell ref="AG3:AH3"/>
    <mergeCell ref="A1:AF1"/>
    <mergeCell ref="A2:A3"/>
    <mergeCell ref="B2:B3"/>
    <mergeCell ref="C2:C3"/>
    <mergeCell ref="D2:D3"/>
    <mergeCell ref="E2:E3"/>
    <mergeCell ref="AA2:AD2"/>
    <mergeCell ref="AE2:AE3"/>
  </mergeCells>
  <conditionalFormatting sqref="B645:B646">
    <cfRule type="expression" dxfId="991" priority="775" stopIfTrue="1">
      <formula>#REF!="Confidential"</formula>
    </cfRule>
  </conditionalFormatting>
  <conditionalFormatting sqref="B709">
    <cfRule type="expression" dxfId="990" priority="820" stopIfTrue="1">
      <formula>#REF!="Confidential"</formula>
    </cfRule>
  </conditionalFormatting>
  <conditionalFormatting sqref="B2193:D2193 I2193:Z2193 AB2193:AF2193">
    <cfRule type="expression" dxfId="989" priority="48" stopIfTrue="1">
      <formula>#REF!="Confidential"</formula>
    </cfRule>
  </conditionalFormatting>
  <conditionalFormatting sqref="D131">
    <cfRule type="expression" dxfId="988" priority="312" stopIfTrue="1">
      <formula>#REF!="Confidential"</formula>
    </cfRule>
  </conditionalFormatting>
  <conditionalFormatting sqref="D411">
    <cfRule type="expression" dxfId="987" priority="865" stopIfTrue="1">
      <formula>#REF!="Confidential"</formula>
    </cfRule>
  </conditionalFormatting>
  <conditionalFormatting sqref="D434">
    <cfRule type="expression" dxfId="986" priority="257" stopIfTrue="1">
      <formula>#REF!="Confidential"</formula>
    </cfRule>
  </conditionalFormatting>
  <conditionalFormatting sqref="D479:D480">
    <cfRule type="expression" dxfId="985" priority="537" stopIfTrue="1">
      <formula>#REF!="Confidential"</formula>
    </cfRule>
  </conditionalFormatting>
  <conditionalFormatting sqref="D557:D561">
    <cfRule type="expression" dxfId="984" priority="1012" stopIfTrue="1">
      <formula>#REF!="Confidential"</formula>
    </cfRule>
  </conditionalFormatting>
  <conditionalFormatting sqref="D567">
    <cfRule type="expression" dxfId="983" priority="759" stopIfTrue="1">
      <formula>#REF!="Confidential"</formula>
    </cfRule>
  </conditionalFormatting>
  <conditionalFormatting sqref="D575">
    <cfRule type="expression" dxfId="982" priority="828" stopIfTrue="1">
      <formula>#REF!="Confidential"</formula>
    </cfRule>
  </conditionalFormatting>
  <conditionalFormatting sqref="D612">
    <cfRule type="expression" dxfId="981" priority="512" stopIfTrue="1">
      <formula>#REF!="Confidential"</formula>
    </cfRule>
  </conditionalFormatting>
  <conditionalFormatting sqref="D644">
    <cfRule type="expression" dxfId="980" priority="993" stopIfTrue="1">
      <formula>#REF!="Confidential"</formula>
    </cfRule>
  </conditionalFormatting>
  <conditionalFormatting sqref="D662">
    <cfRule type="expression" dxfId="979" priority="651" stopIfTrue="1">
      <formula>#REF!="Confidential"</formula>
    </cfRule>
  </conditionalFormatting>
  <conditionalFormatting sqref="D681">
    <cfRule type="expression" dxfId="978" priority="373" stopIfTrue="1">
      <formula>#REF!="Confidential"</formula>
    </cfRule>
  </conditionalFormatting>
  <conditionalFormatting sqref="D694">
    <cfRule type="expression" dxfId="977" priority="551" stopIfTrue="1">
      <formula>#REF!="Confidential"</formula>
    </cfRule>
  </conditionalFormatting>
  <conditionalFormatting sqref="D699">
    <cfRule type="expression" dxfId="976" priority="478" stopIfTrue="1">
      <formula>#REF!="Confidential"</formula>
    </cfRule>
  </conditionalFormatting>
  <conditionalFormatting sqref="D711">
    <cfRule type="expression" dxfId="975" priority="952" stopIfTrue="1">
      <formula>#REF!="Confidential"</formula>
    </cfRule>
  </conditionalFormatting>
  <conditionalFormatting sqref="D713">
    <cfRule type="expression" dxfId="974" priority="605" stopIfTrue="1">
      <formula>#REF!="Confidential"</formula>
    </cfRule>
  </conditionalFormatting>
  <conditionalFormatting sqref="D732">
    <cfRule type="expression" dxfId="973" priority="945" stopIfTrue="1">
      <formula>#REF!="Confidential"</formula>
    </cfRule>
  </conditionalFormatting>
  <conditionalFormatting sqref="D744">
    <cfRule type="expression" dxfId="972" priority="659" stopIfTrue="1">
      <formula>#REF!="Confidential"</formula>
    </cfRule>
  </conditionalFormatting>
  <conditionalFormatting sqref="D786:D789">
    <cfRule type="expression" dxfId="971" priority="899" stopIfTrue="1">
      <formula>#REF!="Confidential"</formula>
    </cfRule>
  </conditionalFormatting>
  <conditionalFormatting sqref="D791:D795">
    <cfRule type="expression" dxfId="970" priority="533" stopIfTrue="1">
      <formula>#REF!="Confidential"</formula>
    </cfRule>
  </conditionalFormatting>
  <conditionalFormatting sqref="D817">
    <cfRule type="expression" dxfId="969" priority="456" stopIfTrue="1">
      <formula>#REF!="Confidential"</formula>
    </cfRule>
  </conditionalFormatting>
  <conditionalFormatting sqref="D822:D826">
    <cfRule type="expression" dxfId="968" priority="718" stopIfTrue="1">
      <formula>#REF!="Confidential"</formula>
    </cfRule>
  </conditionalFormatting>
  <conditionalFormatting sqref="D846:D847">
    <cfRule type="expression" dxfId="967" priority="844" stopIfTrue="1">
      <formula>#REF!="Confidential"</formula>
    </cfRule>
  </conditionalFormatting>
  <conditionalFormatting sqref="D865:D866">
    <cfRule type="expression" dxfId="966" priority="825" stopIfTrue="1">
      <formula>#REF!="Confidential"</formula>
    </cfRule>
  </conditionalFormatting>
  <conditionalFormatting sqref="D868:D872">
    <cfRule type="expression" dxfId="965" priority="727" stopIfTrue="1">
      <formula>#REF!="Confidential"</formula>
    </cfRule>
  </conditionalFormatting>
  <conditionalFormatting sqref="D877:D879">
    <cfRule type="expression" dxfId="964" priority="819" stopIfTrue="1">
      <formula>#REF!="Confidential"</formula>
    </cfRule>
  </conditionalFormatting>
  <conditionalFormatting sqref="D887">
    <cfRule type="expression" dxfId="963" priority="813" stopIfTrue="1">
      <formula>#REF!="Confidential"</formula>
    </cfRule>
  </conditionalFormatting>
  <conditionalFormatting sqref="D889:D890">
    <cfRule type="expression" dxfId="962" priority="805" stopIfTrue="1">
      <formula>#REF!="Confidential"</formula>
    </cfRule>
  </conditionalFormatting>
  <conditionalFormatting sqref="D892:D895">
    <cfRule type="expression" dxfId="961" priority="530" stopIfTrue="1">
      <formula>#REF!="Confidential"</formula>
    </cfRule>
  </conditionalFormatting>
  <conditionalFormatting sqref="D901">
    <cfRule type="expression" dxfId="960" priority="799" stopIfTrue="1">
      <formula>#REF!="Confidential"</formula>
    </cfRule>
  </conditionalFormatting>
  <conditionalFormatting sqref="D916">
    <cfRule type="expression" dxfId="959" priority="785" stopIfTrue="1">
      <formula>#REF!="Confidential"</formula>
    </cfRule>
  </conditionalFormatting>
  <conditionalFormatting sqref="D919:D920">
    <cfRule type="expression" dxfId="958" priority="781" stopIfTrue="1">
      <formula>#REF!="Confidential"</formula>
    </cfRule>
  </conditionalFormatting>
  <conditionalFormatting sqref="D923">
    <cfRule type="expression" dxfId="957" priority="779" stopIfTrue="1">
      <formula>#REF!="Confidential"</formula>
    </cfRule>
  </conditionalFormatting>
  <conditionalFormatting sqref="D929">
    <cfRule type="expression" dxfId="956" priority="774" stopIfTrue="1">
      <formula>#REF!="Confidential"</formula>
    </cfRule>
  </conditionalFormatting>
  <conditionalFormatting sqref="D937">
    <cfRule type="expression" dxfId="955" priority="758" stopIfTrue="1">
      <formula>#REF!="Confidential"</formula>
    </cfRule>
  </conditionalFormatting>
  <conditionalFormatting sqref="D956:D957">
    <cfRule type="expression" dxfId="954" priority="666" stopIfTrue="1">
      <formula>#REF!="Confidential"</formula>
    </cfRule>
  </conditionalFormatting>
  <conditionalFormatting sqref="D977:D981">
    <cfRule type="expression" dxfId="953" priority="716" stopIfTrue="1">
      <formula>#REF!="Confidential"</formula>
    </cfRule>
  </conditionalFormatting>
  <conditionalFormatting sqref="D987">
    <cfRule type="expression" dxfId="952" priority="715" stopIfTrue="1">
      <formula>#REF!="Confidential"</formula>
    </cfRule>
  </conditionalFormatting>
  <conditionalFormatting sqref="D989:D991">
    <cfRule type="expression" dxfId="951" priority="710" stopIfTrue="1">
      <formula>#REF!="Confidential"</formula>
    </cfRule>
  </conditionalFormatting>
  <conditionalFormatting sqref="D995">
    <cfRule type="expression" dxfId="950" priority="707" stopIfTrue="1">
      <formula>#REF!="Confidential"</formula>
    </cfRule>
  </conditionalFormatting>
  <conditionalFormatting sqref="D997">
    <cfRule type="expression" dxfId="949" priority="706" stopIfTrue="1">
      <formula>#REF!="Confidential"</formula>
    </cfRule>
  </conditionalFormatting>
  <conditionalFormatting sqref="D1003:D1004">
    <cfRule type="expression" dxfId="948" priority="564" stopIfTrue="1">
      <formula>#REF!="Confidential"</formula>
    </cfRule>
  </conditionalFormatting>
  <conditionalFormatting sqref="D1007">
    <cfRule type="expression" dxfId="947" priority="703" stopIfTrue="1">
      <formula>#REF!="Confidential"</formula>
    </cfRule>
  </conditionalFormatting>
  <conditionalFormatting sqref="D1009">
    <cfRule type="expression" dxfId="946" priority="694" stopIfTrue="1">
      <formula>#REF!="Confidential"</formula>
    </cfRule>
  </conditionalFormatting>
  <conditionalFormatting sqref="D1013:D1015">
    <cfRule type="expression" dxfId="945" priority="699" stopIfTrue="1">
      <formula>#REF!="Confidential"</formula>
    </cfRule>
  </conditionalFormatting>
  <conditionalFormatting sqref="D1018:D1022">
    <cfRule type="expression" dxfId="944" priority="696" stopIfTrue="1">
      <formula>#REF!="Confidential"</formula>
    </cfRule>
  </conditionalFormatting>
  <conditionalFormatting sqref="D1026:D1028">
    <cfRule type="expression" dxfId="943" priority="690" stopIfTrue="1">
      <formula>#REF!="Confidential"</formula>
    </cfRule>
  </conditionalFormatting>
  <conditionalFormatting sqref="D1032:D1033">
    <cfRule type="expression" dxfId="942" priority="686" stopIfTrue="1">
      <formula>#REF!="Confidential"</formula>
    </cfRule>
  </conditionalFormatting>
  <conditionalFormatting sqref="D1045">
    <cfRule type="expression" dxfId="941" priority="321" stopIfTrue="1">
      <formula>#REF!="Confidential"</formula>
    </cfRule>
  </conditionalFormatting>
  <conditionalFormatting sqref="D1047">
    <cfRule type="expression" dxfId="940" priority="676" stopIfTrue="1">
      <formula>#REF!="Confidential"</formula>
    </cfRule>
  </conditionalFormatting>
  <conditionalFormatting sqref="D1056">
    <cfRule type="expression" dxfId="939" priority="221" stopIfTrue="1">
      <formula>#REF!="Confidential"</formula>
    </cfRule>
  </conditionalFormatting>
  <conditionalFormatting sqref="D1068:D1070">
    <cfRule type="expression" dxfId="938" priority="662" stopIfTrue="1">
      <formula>#REF!="Confidential"</formula>
    </cfRule>
  </conditionalFormatting>
  <conditionalFormatting sqref="D1073">
    <cfRule type="expression" dxfId="937" priority="375" stopIfTrue="1">
      <formula>#REF!="Confidential"</formula>
    </cfRule>
  </conditionalFormatting>
  <conditionalFormatting sqref="D1075:D1076">
    <cfRule type="expression" dxfId="936" priority="655" stopIfTrue="1">
      <formula>#REF!="Confidential"</formula>
    </cfRule>
  </conditionalFormatting>
  <conditionalFormatting sqref="D1078:D1086">
    <cfRule type="expression" dxfId="935" priority="652" stopIfTrue="1">
      <formula>#REF!="Confidential"</formula>
    </cfRule>
  </conditionalFormatting>
  <conditionalFormatting sqref="D1100">
    <cfRule type="expression" dxfId="934" priority="638" stopIfTrue="1">
      <formula>#REF!="Confidential"</formula>
    </cfRule>
  </conditionalFormatting>
  <conditionalFormatting sqref="D1102:D1104">
    <cfRule type="expression" dxfId="933" priority="637" stopIfTrue="1">
      <formula>#REF!="Confidential"</formula>
    </cfRule>
  </conditionalFormatting>
  <conditionalFormatting sqref="D1111:D1114">
    <cfRule type="expression" dxfId="932" priority="622" stopIfTrue="1">
      <formula>#REF!="Confidential"</formula>
    </cfRule>
  </conditionalFormatting>
  <conditionalFormatting sqref="D1116:D1129">
    <cfRule type="expression" dxfId="931" priority="636" stopIfTrue="1">
      <formula>#REF!="Confidential"</formula>
    </cfRule>
  </conditionalFormatting>
  <conditionalFormatting sqref="D1139:D1141">
    <cfRule type="expression" dxfId="930" priority="634" stopIfTrue="1">
      <formula>#REF!="Confidential"</formula>
    </cfRule>
  </conditionalFormatting>
  <conditionalFormatting sqref="D1167">
    <cfRule type="expression" dxfId="929" priority="632" stopIfTrue="1">
      <formula>#REF!="Confidential"</formula>
    </cfRule>
  </conditionalFormatting>
  <conditionalFormatting sqref="D1199">
    <cfRule type="expression" dxfId="928" priority="592" stopIfTrue="1">
      <formula>#REF!="Confidential"</formula>
    </cfRule>
  </conditionalFormatting>
  <conditionalFormatting sqref="D1215:D1216">
    <cfRule type="expression" dxfId="927" priority="612" stopIfTrue="1">
      <formula>#REF!="Confidential"</formula>
    </cfRule>
  </conditionalFormatting>
  <conditionalFormatting sqref="D1224:D1232">
    <cfRule type="expression" dxfId="926" priority="607" stopIfTrue="1">
      <formula>#REF!="Confidential"</formula>
    </cfRule>
  </conditionalFormatting>
  <conditionalFormatting sqref="D1264">
    <cfRule type="expression" dxfId="925" priority="370" stopIfTrue="1">
      <formula>#REF!="Confidential"</formula>
    </cfRule>
  </conditionalFormatting>
  <conditionalFormatting sqref="D1287">
    <cfRule type="expression" dxfId="924" priority="435" stopIfTrue="1">
      <formula>#REF!="Confidential"</formula>
    </cfRule>
  </conditionalFormatting>
  <conditionalFormatting sqref="D1321">
    <cfRule type="expression" dxfId="923" priority="583" stopIfTrue="1">
      <formula>#REF!="Confidential"</formula>
    </cfRule>
  </conditionalFormatting>
  <conditionalFormatting sqref="D1324:D1326">
    <cfRule type="expression" dxfId="922" priority="561" stopIfTrue="1">
      <formula>#REF!="Confidential"</formula>
    </cfRule>
  </conditionalFormatting>
  <conditionalFormatting sqref="D1331:D1332">
    <cfRule type="expression" dxfId="921" priority="558" stopIfTrue="1">
      <formula>#REF!="Confidential"</formula>
    </cfRule>
  </conditionalFormatting>
  <conditionalFormatting sqref="D1338:D1339">
    <cfRule type="expression" dxfId="920" priority="556" stopIfTrue="1">
      <formula>#REF!="Confidential"</formula>
    </cfRule>
  </conditionalFormatting>
  <conditionalFormatting sqref="D1341:D1343">
    <cfRule type="expression" dxfId="919" priority="553" stopIfTrue="1">
      <formula>#REF!="Confidential"</formula>
    </cfRule>
  </conditionalFormatting>
  <conditionalFormatting sqref="D1346">
    <cfRule type="expression" dxfId="918" priority="550" stopIfTrue="1">
      <formula>#REF!="Confidential"</formula>
    </cfRule>
  </conditionalFormatting>
  <conditionalFormatting sqref="D1360:D1364">
    <cfRule type="expression" dxfId="917" priority="536" stopIfTrue="1">
      <formula>#REF!="Confidential"</formula>
    </cfRule>
  </conditionalFormatting>
  <conditionalFormatting sqref="D1379:D1380">
    <cfRule type="expression" dxfId="916" priority="528" stopIfTrue="1">
      <formula>#REF!="Confidential"</formula>
    </cfRule>
  </conditionalFormatting>
  <conditionalFormatting sqref="D1396:D1398">
    <cfRule type="expression" dxfId="915" priority="514" stopIfTrue="1">
      <formula>#REF!="Confidential"</formula>
    </cfRule>
  </conditionalFormatting>
  <conditionalFormatting sqref="D1411:D1414">
    <cfRule type="expression" dxfId="914" priority="513" stopIfTrue="1">
      <formula>#REF!="Confidential"</formula>
    </cfRule>
  </conditionalFormatting>
  <conditionalFormatting sqref="D1416:D1417">
    <cfRule type="expression" dxfId="913" priority="510" stopIfTrue="1">
      <formula>#REF!="Confidential"</formula>
    </cfRule>
  </conditionalFormatting>
  <conditionalFormatting sqref="D1421">
    <cfRule type="expression" dxfId="912" priority="504" stopIfTrue="1">
      <formula>#REF!="Confidential"</formula>
    </cfRule>
  </conditionalFormatting>
  <conditionalFormatting sqref="D1433">
    <cfRule type="expression" dxfId="911" priority="490" stopIfTrue="1">
      <formula>#REF!="Confidential"</formula>
    </cfRule>
  </conditionalFormatting>
  <conditionalFormatting sqref="D1435:D1436">
    <cfRule type="expression" dxfId="910" priority="489" stopIfTrue="1">
      <formula>#REF!="Confidential"</formula>
    </cfRule>
  </conditionalFormatting>
  <conditionalFormatting sqref="D1438:D1440">
    <cfRule type="expression" dxfId="909" priority="487" stopIfTrue="1">
      <formula>#REF!="Confidential"</formula>
    </cfRule>
  </conditionalFormatting>
  <conditionalFormatting sqref="D1442">
    <cfRule type="expression" dxfId="908" priority="485" stopIfTrue="1">
      <formula>#REF!="Confidential"</formula>
    </cfRule>
  </conditionalFormatting>
  <conditionalFormatting sqref="D1471:D1472">
    <cfRule type="expression" dxfId="907" priority="481" stopIfTrue="1">
      <formula>#REF!="Confidential"</formula>
    </cfRule>
  </conditionalFormatting>
  <conditionalFormatting sqref="D1478:D1479">
    <cfRule type="expression" dxfId="906" priority="479" stopIfTrue="1">
      <formula>#REF!="Confidential"</formula>
    </cfRule>
  </conditionalFormatting>
  <conditionalFormatting sqref="D1549">
    <cfRule type="expression" dxfId="905" priority="104" stopIfTrue="1">
      <formula>#REF!="Confidential"</formula>
    </cfRule>
  </conditionalFormatting>
  <conditionalFormatting sqref="D1573:D1575">
    <cfRule type="expression" dxfId="904" priority="427" stopIfTrue="1">
      <formula>#REF!="Confidential"</formula>
    </cfRule>
  </conditionalFormatting>
  <conditionalFormatting sqref="D1577">
    <cfRule type="expression" dxfId="903" priority="423" stopIfTrue="1">
      <formula>#REF!="Confidential"</formula>
    </cfRule>
  </conditionalFormatting>
  <conditionalFormatting sqref="D1583:D1584">
    <cfRule type="expression" dxfId="902" priority="418" stopIfTrue="1">
      <formula>#REF!="Confidential"</formula>
    </cfRule>
  </conditionalFormatting>
  <conditionalFormatting sqref="D1586">
    <cfRule type="expression" dxfId="901" priority="415" stopIfTrue="1">
      <formula>#REF!="Confidential"</formula>
    </cfRule>
  </conditionalFormatting>
  <conditionalFormatting sqref="D1588">
    <cfRule type="expression" dxfId="900" priority="414" stopIfTrue="1">
      <formula>#REF!="Confidential"</formula>
    </cfRule>
  </conditionalFormatting>
  <conditionalFormatting sqref="D1590:D1592">
    <cfRule type="expression" dxfId="899" priority="413" stopIfTrue="1">
      <formula>#REF!="Confidential"</formula>
    </cfRule>
  </conditionalFormatting>
  <conditionalFormatting sqref="D1595:D1598">
    <cfRule type="expression" dxfId="898" priority="412" stopIfTrue="1">
      <formula>#REF!="Confidential"</formula>
    </cfRule>
  </conditionalFormatting>
  <conditionalFormatting sqref="D1613">
    <cfRule type="expression" dxfId="897" priority="403" stopIfTrue="1">
      <formula>#REF!="Confidential"</formula>
    </cfRule>
  </conditionalFormatting>
  <conditionalFormatting sqref="D1627">
    <cfRule type="expression" dxfId="896" priority="397" stopIfTrue="1">
      <formula>#REF!="Confidential"</formula>
    </cfRule>
  </conditionalFormatting>
  <conditionalFormatting sqref="D1636">
    <cfRule type="expression" dxfId="895" priority="394" stopIfTrue="1">
      <formula>#REF!="Confidential"</formula>
    </cfRule>
  </conditionalFormatting>
  <conditionalFormatting sqref="D1654">
    <cfRule type="expression" dxfId="894" priority="385" stopIfTrue="1">
      <formula>#REF!="Confidential"</formula>
    </cfRule>
  </conditionalFormatting>
  <conditionalFormatting sqref="D1683">
    <cfRule type="expression" dxfId="893" priority="378" stopIfTrue="1">
      <formula>#REF!="Confidential"</formula>
    </cfRule>
  </conditionalFormatting>
  <conditionalFormatting sqref="D1685:D1689">
    <cfRule type="expression" dxfId="892" priority="376" stopIfTrue="1">
      <formula>#REF!="Confidential"</formula>
    </cfRule>
  </conditionalFormatting>
  <conditionalFormatting sqref="D1728">
    <cfRule type="expression" dxfId="891" priority="352" stopIfTrue="1">
      <formula>#REF!="Confidential"</formula>
    </cfRule>
  </conditionalFormatting>
  <conditionalFormatting sqref="D1739">
    <cfRule type="expression" dxfId="890" priority="345" stopIfTrue="1">
      <formula>#REF!="Confidential"</formula>
    </cfRule>
  </conditionalFormatting>
  <conditionalFormatting sqref="D1744">
    <cfRule type="expression" dxfId="889" priority="342" stopIfTrue="1">
      <formula>#REF!="Confidential"</formula>
    </cfRule>
  </conditionalFormatting>
  <conditionalFormatting sqref="D1865">
    <cfRule type="expression" dxfId="888" priority="291" stopIfTrue="1">
      <formula>#REF!="Confidential"</formula>
    </cfRule>
  </conditionalFormatting>
  <conditionalFormatting sqref="D1867">
    <cfRule type="expression" dxfId="887" priority="290" stopIfTrue="1">
      <formula>#REF!="Confidential"</formula>
    </cfRule>
  </conditionalFormatting>
  <conditionalFormatting sqref="D1875:D1876">
    <cfRule type="expression" dxfId="886" priority="284" stopIfTrue="1">
      <formula>#REF!="Confidential"</formula>
    </cfRule>
  </conditionalFormatting>
  <conditionalFormatting sqref="D1885">
    <cfRule type="expression" dxfId="885" priority="280" stopIfTrue="1">
      <formula>#REF!="Confidential"</formula>
    </cfRule>
  </conditionalFormatting>
  <conditionalFormatting sqref="D1899">
    <cfRule type="expression" dxfId="884" priority="270" stopIfTrue="1">
      <formula>#REF!="Confidential"</formula>
    </cfRule>
  </conditionalFormatting>
  <conditionalFormatting sqref="D1907">
    <cfRule type="expression" dxfId="883" priority="267" stopIfTrue="1">
      <formula>#REF!="Confidential"</formula>
    </cfRule>
  </conditionalFormatting>
  <conditionalFormatting sqref="D1922">
    <cfRule type="expression" dxfId="882" priority="253" stopIfTrue="1">
      <formula>#REF!="Confidential"</formula>
    </cfRule>
  </conditionalFormatting>
  <conditionalFormatting sqref="D1948">
    <cfRule type="expression" dxfId="881" priority="237" stopIfTrue="1">
      <formula>#REF!="Confidential"</formula>
    </cfRule>
  </conditionalFormatting>
  <conditionalFormatting sqref="D2067">
    <cfRule type="expression" dxfId="880" priority="171" stopIfTrue="1">
      <formula>#REF!="Confidential"</formula>
    </cfRule>
  </conditionalFormatting>
  <conditionalFormatting sqref="D2330">
    <cfRule type="expression" dxfId="879" priority="103" stopIfTrue="1">
      <formula>#REF!="Confidential"</formula>
    </cfRule>
  </conditionalFormatting>
  <conditionalFormatting sqref="D2444">
    <cfRule type="expression" dxfId="878" priority="54" stopIfTrue="1">
      <formula>#REF!="Confidential"</formula>
    </cfRule>
  </conditionalFormatting>
  <conditionalFormatting sqref="E224">
    <cfRule type="expression" dxfId="877" priority="1019" stopIfTrue="1">
      <formula>#REF!="Confidential"</formula>
    </cfRule>
  </conditionalFormatting>
  <conditionalFormatting sqref="E511">
    <cfRule type="expression" dxfId="876" priority="1033" stopIfTrue="1">
      <formula>#REF!="Confidential"</formula>
    </cfRule>
  </conditionalFormatting>
  <conditionalFormatting sqref="E513:E514">
    <cfRule type="expression" dxfId="875" priority="1032" stopIfTrue="1">
      <formula>#REF!="Confidential"</formula>
    </cfRule>
  </conditionalFormatting>
  <conditionalFormatting sqref="E567">
    <cfRule type="expression" dxfId="874" priority="762" stopIfTrue="1">
      <formula>#REF!="Confidential"</formula>
    </cfRule>
  </conditionalFormatting>
  <conditionalFormatting sqref="E644">
    <cfRule type="expression" dxfId="873" priority="996" stopIfTrue="1">
      <formula>#REF!="Confidential"</formula>
    </cfRule>
  </conditionalFormatting>
  <conditionalFormatting sqref="E775:E777">
    <cfRule type="expression" dxfId="872" priority="918" stopIfTrue="1">
      <formula>#REF!="Confidential"</formula>
    </cfRule>
  </conditionalFormatting>
  <conditionalFormatting sqref="E800">
    <cfRule type="expression" dxfId="871" priority="889" stopIfTrue="1">
      <formula>#REF!="Confidential"</formula>
    </cfRule>
  </conditionalFormatting>
  <conditionalFormatting sqref="E840:E843">
    <cfRule type="expression" dxfId="870" priority="848" stopIfTrue="1">
      <formula>#REF!="Confidential"</formula>
    </cfRule>
  </conditionalFormatting>
  <conditionalFormatting sqref="E908:E912">
    <cfRule type="expression" dxfId="869" priority="794" stopIfTrue="1">
      <formula>#REF!="Confidential"</formula>
    </cfRule>
  </conditionalFormatting>
  <conditionalFormatting sqref="E932">
    <cfRule type="expression" dxfId="868" priority="768" stopIfTrue="1">
      <formula>#REF!="Confidential"</formula>
    </cfRule>
  </conditionalFormatting>
  <conditionalFormatting sqref="E937:E939">
    <cfRule type="expression" dxfId="867" priority="571" stopIfTrue="1">
      <formula>#REF!="Confidential"</formula>
    </cfRule>
  </conditionalFormatting>
  <conditionalFormatting sqref="E947:E948">
    <cfRule type="expression" dxfId="866" priority="747" stopIfTrue="1">
      <formula>#REF!="Confidential"</formula>
    </cfRule>
  </conditionalFormatting>
  <conditionalFormatting sqref="E1046:E1047">
    <cfRule type="expression" dxfId="865" priority="677" stopIfTrue="1">
      <formula>#REF!="Confidential"</formula>
    </cfRule>
  </conditionalFormatting>
  <conditionalFormatting sqref="E1389:E1390">
    <cfRule type="expression" dxfId="864" priority="522" stopIfTrue="1">
      <formula>#REF!="Confidential"</formula>
    </cfRule>
  </conditionalFormatting>
  <conditionalFormatting sqref="E1421">
    <cfRule type="expression" dxfId="863" priority="505" stopIfTrue="1">
      <formula>#REF!="Confidential"</formula>
    </cfRule>
  </conditionalFormatting>
  <conditionalFormatting sqref="E1613">
    <cfRule type="expression" dxfId="862" priority="404" stopIfTrue="1">
      <formula>#REF!="Confidential"</formula>
    </cfRule>
  </conditionalFormatting>
  <conditionalFormatting sqref="E1654">
    <cfRule type="expression" dxfId="861" priority="383" stopIfTrue="1">
      <formula>#REF!="Confidential"</formula>
    </cfRule>
  </conditionalFormatting>
  <conditionalFormatting sqref="E872:G872">
    <cfRule type="expression" dxfId="860" priority="822" stopIfTrue="1">
      <formula>#REF!="Confidential"</formula>
    </cfRule>
  </conditionalFormatting>
  <conditionalFormatting sqref="E2191:G2193">
    <cfRule type="expression" dxfId="859" priority="47" stopIfTrue="1">
      <formula>#REF!="Confidential"</formula>
    </cfRule>
  </conditionalFormatting>
  <conditionalFormatting sqref="E685:H686">
    <cfRule type="expression" dxfId="858" priority="961" stopIfTrue="1">
      <formula>#REF!="Confidential"</formula>
    </cfRule>
  </conditionalFormatting>
  <conditionalFormatting sqref="E796:Y798">
    <cfRule type="expression" dxfId="857" priority="895" stopIfTrue="1">
      <formula>#REF!="Confidential"</formula>
    </cfRule>
  </conditionalFormatting>
  <conditionalFormatting sqref="E817:Y817">
    <cfRule type="expression" dxfId="856" priority="862" stopIfTrue="1">
      <formula>#REF!="Confidential"</formula>
    </cfRule>
  </conditionalFormatting>
  <conditionalFormatting sqref="F548:F556">
    <cfRule type="expression" dxfId="855" priority="45" stopIfTrue="1">
      <formula>#REF!="Confidential"</formula>
    </cfRule>
  </conditionalFormatting>
  <conditionalFormatting sqref="F558:F559">
    <cfRule type="expression" dxfId="854" priority="44" stopIfTrue="1">
      <formula>#REF!="Confidential"</formula>
    </cfRule>
  </conditionalFormatting>
  <conditionalFormatting sqref="F594:F600">
    <cfRule type="expression" dxfId="853" priority="43" stopIfTrue="1">
      <formula>#REF!="Confidential"</formula>
    </cfRule>
  </conditionalFormatting>
  <conditionalFormatting sqref="F641:F649">
    <cfRule type="expression" dxfId="852" priority="42" stopIfTrue="1">
      <formula>#REF!="Confidential"</formula>
    </cfRule>
  </conditionalFormatting>
  <conditionalFormatting sqref="F728:F731">
    <cfRule type="expression" dxfId="851" priority="41" stopIfTrue="1">
      <formula>#REF!="Confidential"</formula>
    </cfRule>
  </conditionalFormatting>
  <conditionalFormatting sqref="F733:F736">
    <cfRule type="expression" dxfId="850" priority="40" stopIfTrue="1">
      <formula>#REF!="Confidential"</formula>
    </cfRule>
  </conditionalFormatting>
  <conditionalFormatting sqref="F743:F750">
    <cfRule type="expression" dxfId="849" priority="39" stopIfTrue="1">
      <formula>#REF!="Confidential"</formula>
    </cfRule>
  </conditionalFormatting>
  <conditionalFormatting sqref="F781:F789">
    <cfRule type="expression" dxfId="848" priority="38" stopIfTrue="1">
      <formula>#REF!="Confidential"</formula>
    </cfRule>
  </conditionalFormatting>
  <conditionalFormatting sqref="F800:F804">
    <cfRule type="expression" dxfId="847" priority="37" stopIfTrue="1">
      <formula>#REF!="Confidential"</formula>
    </cfRule>
  </conditionalFormatting>
  <conditionalFormatting sqref="F808:F809">
    <cfRule type="expression" dxfId="846" priority="36" stopIfTrue="1">
      <formula>#REF!="Confidential"</formula>
    </cfRule>
  </conditionalFormatting>
  <conditionalFormatting sqref="F811:F812">
    <cfRule type="expression" dxfId="845" priority="35" stopIfTrue="1">
      <formula>#REF!="Confidential"</formula>
    </cfRule>
  </conditionalFormatting>
  <conditionalFormatting sqref="F814:F816">
    <cfRule type="expression" dxfId="844" priority="34" stopIfTrue="1">
      <formula>#REF!="Confidential"</formula>
    </cfRule>
  </conditionalFormatting>
  <conditionalFormatting sqref="F846:F863">
    <cfRule type="expression" dxfId="843" priority="33" stopIfTrue="1">
      <formula>#REF!="Confidential"</formula>
    </cfRule>
  </conditionalFormatting>
  <conditionalFormatting sqref="F880:F890">
    <cfRule type="expression" dxfId="842" priority="32" stopIfTrue="1">
      <formula>#REF!="Confidential"</formula>
    </cfRule>
  </conditionalFormatting>
  <conditionalFormatting sqref="F892:F897">
    <cfRule type="expression" dxfId="841" priority="18" stopIfTrue="1">
      <formula>#REF!="Confidential"</formula>
    </cfRule>
  </conditionalFormatting>
  <conditionalFormatting sqref="F908:F912">
    <cfRule type="expression" dxfId="840" priority="31" stopIfTrue="1">
      <formula>#REF!="Confidential"</formula>
    </cfRule>
  </conditionalFormatting>
  <conditionalFormatting sqref="F925:F926">
    <cfRule type="expression" dxfId="839" priority="30" stopIfTrue="1">
      <formula>#REF!="Confidential"</formula>
    </cfRule>
  </conditionalFormatting>
  <conditionalFormatting sqref="F930:F931">
    <cfRule type="expression" dxfId="838" priority="17" stopIfTrue="1">
      <formula>#REF!="Confidential"</formula>
    </cfRule>
  </conditionalFormatting>
  <conditionalFormatting sqref="F938:F939">
    <cfRule type="expression" dxfId="837" priority="16" stopIfTrue="1">
      <formula>#REF!="Confidential"</formula>
    </cfRule>
  </conditionalFormatting>
  <conditionalFormatting sqref="F944:F945">
    <cfRule type="expression" dxfId="836" priority="29" stopIfTrue="1">
      <formula>#REF!="Confidential"</formula>
    </cfRule>
  </conditionalFormatting>
  <conditionalFormatting sqref="F972:F976">
    <cfRule type="expression" dxfId="835" priority="28" stopIfTrue="1">
      <formula>#REF!="Confidential"</formula>
    </cfRule>
  </conditionalFormatting>
  <conditionalFormatting sqref="F989:F990">
    <cfRule type="expression" dxfId="834" priority="27" stopIfTrue="1">
      <formula>#REF!="Confidential"</formula>
    </cfRule>
  </conditionalFormatting>
  <conditionalFormatting sqref="F1002:F1003">
    <cfRule type="expression" dxfId="833" priority="15" stopIfTrue="1">
      <formula>#REF!="Confidential"</formula>
    </cfRule>
  </conditionalFormatting>
  <conditionalFormatting sqref="F1014:F1022">
    <cfRule type="expression" dxfId="832" priority="25" stopIfTrue="1">
      <formula>#REF!="Confidential"</formula>
    </cfRule>
  </conditionalFormatting>
  <conditionalFormatting sqref="F1025:F1028">
    <cfRule type="expression" dxfId="831" priority="24" stopIfTrue="1">
      <formula>#REF!="Confidential"</formula>
    </cfRule>
  </conditionalFormatting>
  <conditionalFormatting sqref="F1049:F1050">
    <cfRule type="expression" dxfId="830" priority="23" stopIfTrue="1">
      <formula>#REF!="Confidential"</formula>
    </cfRule>
  </conditionalFormatting>
  <conditionalFormatting sqref="F1053:F1058">
    <cfRule type="expression" dxfId="829" priority="22" stopIfTrue="1">
      <formula>#REF!="Confidential"</formula>
    </cfRule>
  </conditionalFormatting>
  <conditionalFormatting sqref="F1071:F1072">
    <cfRule type="expression" dxfId="828" priority="21" stopIfTrue="1">
      <formula>#REF!="Confidential"</formula>
    </cfRule>
  </conditionalFormatting>
  <conditionalFormatting sqref="F1276:F1277">
    <cfRule type="expression" dxfId="827" priority="20" stopIfTrue="1">
      <formula>#REF!="Confidential"</formula>
    </cfRule>
  </conditionalFormatting>
  <conditionalFormatting sqref="F1293:F1294">
    <cfRule type="expression" dxfId="826" priority="19" stopIfTrue="1">
      <formula>#REF!="Confidential"</formula>
    </cfRule>
  </conditionalFormatting>
  <conditionalFormatting sqref="F1427:F1428">
    <cfRule type="expression" dxfId="825" priority="14" stopIfTrue="1">
      <formula>#REF!="Confidential"</formula>
    </cfRule>
  </conditionalFormatting>
  <conditionalFormatting sqref="F1492:F1493">
    <cfRule type="expression" dxfId="824" priority="13" stopIfTrue="1">
      <formula>#REF!="Confidential"</formula>
    </cfRule>
  </conditionalFormatting>
  <conditionalFormatting sqref="F1533:F1535">
    <cfRule type="expression" dxfId="823" priority="12" stopIfTrue="1">
      <formula>#REF!="Confidential"</formula>
    </cfRule>
  </conditionalFormatting>
  <conditionalFormatting sqref="F1544:F1545">
    <cfRule type="expression" dxfId="822" priority="11" stopIfTrue="1">
      <formula>#REF!="Confidential"</formula>
    </cfRule>
  </conditionalFormatting>
  <conditionalFormatting sqref="F1547:F1548">
    <cfRule type="expression" dxfId="821" priority="10" stopIfTrue="1">
      <formula>#REF!="Confidential"</formula>
    </cfRule>
  </conditionalFormatting>
  <conditionalFormatting sqref="F1579:F1580">
    <cfRule type="expression" dxfId="820" priority="9" stopIfTrue="1">
      <formula>#REF!="Confidential"</formula>
    </cfRule>
  </conditionalFormatting>
  <conditionalFormatting sqref="F1637:F1638">
    <cfRule type="expression" dxfId="819" priority="8" stopIfTrue="1">
      <formula>#REF!="Confidential"</formula>
    </cfRule>
  </conditionalFormatting>
  <conditionalFormatting sqref="F1740:F1743">
    <cfRule type="expression" dxfId="818" priority="7" stopIfTrue="1">
      <formula>#REF!="Confidential"</formula>
    </cfRule>
  </conditionalFormatting>
  <conditionalFormatting sqref="F1800:F1801">
    <cfRule type="expression" dxfId="817" priority="6" stopIfTrue="1">
      <formula>#REF!="Confidential"</formula>
    </cfRule>
  </conditionalFormatting>
  <conditionalFormatting sqref="F1861:F1862">
    <cfRule type="expression" dxfId="816" priority="5" stopIfTrue="1">
      <formula>#REF!="Confidential"</formula>
    </cfRule>
  </conditionalFormatting>
  <conditionalFormatting sqref="F2012:F2017">
    <cfRule type="expression" dxfId="815" priority="4" stopIfTrue="1">
      <formula>#REF!="Confidential"</formula>
    </cfRule>
  </conditionalFormatting>
  <conditionalFormatting sqref="F2025:F2026">
    <cfRule type="expression" dxfId="814" priority="3" stopIfTrue="1">
      <formula>#REF!="Confidential"</formula>
    </cfRule>
  </conditionalFormatting>
  <conditionalFormatting sqref="F2363:F2364">
    <cfRule type="expression" dxfId="813" priority="2" stopIfTrue="1">
      <formula>#REF!="Confidential"</formula>
    </cfRule>
  </conditionalFormatting>
  <conditionalFormatting sqref="F2392:F2393">
    <cfRule type="expression" dxfId="812" priority="1" stopIfTrue="1">
      <formula>#REF!="Confidential"</formula>
    </cfRule>
  </conditionalFormatting>
  <conditionalFormatting sqref="F224:G224">
    <cfRule type="expression" dxfId="811" priority="1018" stopIfTrue="1">
      <formula>#REF!="Confidential"</formula>
    </cfRule>
  </conditionalFormatting>
  <conditionalFormatting sqref="F520:G520">
    <cfRule type="expression" dxfId="810" priority="1030" stopIfTrue="1">
      <formula>#REF!="Confidential"</formula>
    </cfRule>
  </conditionalFormatting>
  <conditionalFormatting sqref="F625:G625">
    <cfRule type="expression" dxfId="809" priority="1001" stopIfTrue="1">
      <formula>#REF!="Confidential"</formula>
    </cfRule>
  </conditionalFormatting>
  <conditionalFormatting sqref="F630:G630">
    <cfRule type="expression" dxfId="808" priority="998" stopIfTrue="1">
      <formula>#REF!="Confidential"</formula>
    </cfRule>
  </conditionalFormatting>
  <conditionalFormatting sqref="F666:G666">
    <cfRule type="expression" dxfId="807" priority="985" stopIfTrue="1">
      <formula>#REF!="Confidential"</formula>
    </cfRule>
  </conditionalFormatting>
  <conditionalFormatting sqref="F692:G692">
    <cfRule type="expression" dxfId="806" priority="954" stopIfTrue="1">
      <formula>#REF!="Confidential"</formula>
    </cfRule>
  </conditionalFormatting>
  <conditionalFormatting sqref="F711:G711">
    <cfRule type="expression" dxfId="805" priority="141" stopIfTrue="1">
      <formula>#REF!="Confidential"</formula>
    </cfRule>
  </conditionalFormatting>
  <conditionalFormatting sqref="F761:G761">
    <cfRule type="expression" dxfId="804" priority="879" stopIfTrue="1">
      <formula>#REF!="Confidential"</formula>
    </cfRule>
  </conditionalFormatting>
  <conditionalFormatting sqref="F776:G776">
    <cfRule type="expression" dxfId="803" priority="140" stopIfTrue="1">
      <formula>#REF!="Confidential"</formula>
    </cfRule>
  </conditionalFormatting>
  <conditionalFormatting sqref="F841:G841">
    <cfRule type="expression" dxfId="802" priority="851" stopIfTrue="1">
      <formula>#REF!="Confidential"</formula>
    </cfRule>
  </conditionalFormatting>
  <conditionalFormatting sqref="F891:G891">
    <cfRule type="expression" dxfId="801" priority="803" stopIfTrue="1">
      <formula>#REF!="Confidential"</formula>
    </cfRule>
  </conditionalFormatting>
  <conditionalFormatting sqref="F918:G918">
    <cfRule type="expression" dxfId="800" priority="783" stopIfTrue="1">
      <formula>#REF!="Confidential"</formula>
    </cfRule>
  </conditionalFormatting>
  <conditionalFormatting sqref="F933:G933">
    <cfRule type="expression" dxfId="799" priority="767" stopIfTrue="1">
      <formula>#REF!="Confidential"</formula>
    </cfRule>
  </conditionalFormatting>
  <conditionalFormatting sqref="F940:G941">
    <cfRule type="expression" dxfId="798" priority="755" stopIfTrue="1">
      <formula>#REF!="Confidential"</formula>
    </cfRule>
  </conditionalFormatting>
  <conditionalFormatting sqref="F957:G957">
    <cfRule type="expression" dxfId="797" priority="739" stopIfTrue="1">
      <formula>#REF!="Confidential"</formula>
    </cfRule>
  </conditionalFormatting>
  <conditionalFormatting sqref="F960:G960">
    <cfRule type="expression" dxfId="796" priority="737" stopIfTrue="1">
      <formula>#REF!="Confidential"</formula>
    </cfRule>
  </conditionalFormatting>
  <conditionalFormatting sqref="F987:G987">
    <cfRule type="expression" dxfId="795" priority="713" stopIfTrue="1">
      <formula>#REF!="Confidential"</formula>
    </cfRule>
  </conditionalFormatting>
  <conditionalFormatting sqref="F1432:G1432">
    <cfRule type="expression" dxfId="794" priority="234" stopIfTrue="1">
      <formula>#REF!="Confidential"</formula>
    </cfRule>
  </conditionalFormatting>
  <conditionalFormatting sqref="F1550:G1550">
    <cfRule type="expression" dxfId="793" priority="438" stopIfTrue="1">
      <formula>#REF!="Confidential"</formula>
    </cfRule>
  </conditionalFormatting>
  <conditionalFormatting sqref="F1654:G1654">
    <cfRule type="expression" dxfId="792" priority="57" stopIfTrue="1">
      <formula>#REF!="Confidential"</formula>
    </cfRule>
  </conditionalFormatting>
  <conditionalFormatting sqref="F1941:G1941">
    <cfRule type="expression" dxfId="791" priority="243" stopIfTrue="1">
      <formula>#REF!="Confidential"</formula>
    </cfRule>
  </conditionalFormatting>
  <conditionalFormatting sqref="F519:H519">
    <cfRule type="expression" dxfId="790" priority="650" stopIfTrue="1">
      <formula>#REF!="Confidential"</formula>
    </cfRule>
  </conditionalFormatting>
  <conditionalFormatting sqref="F689:H689">
    <cfRule type="expression" dxfId="789" priority="957" stopIfTrue="1">
      <formula>#REF!="Confidential"</formula>
    </cfRule>
  </conditionalFormatting>
  <conditionalFormatting sqref="F691:H691">
    <cfRule type="expression" dxfId="788" priority="955" stopIfTrue="1">
      <formula>#REF!="Confidential"</formula>
    </cfRule>
  </conditionalFormatting>
  <conditionalFormatting sqref="F751:H753">
    <cfRule type="expression" dxfId="787" priority="926" stopIfTrue="1">
      <formula>#REF!="Confidential"</formula>
    </cfRule>
  </conditionalFormatting>
  <conditionalFormatting sqref="F755:H755">
    <cfRule type="expression" dxfId="786" priority="924" stopIfTrue="1">
      <formula>#REF!="Confidential"</formula>
    </cfRule>
  </conditionalFormatting>
  <conditionalFormatting sqref="F806:H806">
    <cfRule type="expression" dxfId="785" priority="878" stopIfTrue="1">
      <formula>#REF!="Confidential"</formula>
    </cfRule>
  </conditionalFormatting>
  <conditionalFormatting sqref="F928:H928">
    <cfRule type="expression" dxfId="784" priority="772" stopIfTrue="1">
      <formula>#REF!="Confidential"</formula>
    </cfRule>
  </conditionalFormatting>
  <conditionalFormatting sqref="F932:H932">
    <cfRule type="expression" dxfId="783" priority="770" stopIfTrue="1">
      <formula>#REF!="Confidential"</formula>
    </cfRule>
  </conditionalFormatting>
  <conditionalFormatting sqref="F937:H937">
    <cfRule type="expression" dxfId="782" priority="761" stopIfTrue="1">
      <formula>#REF!="Confidential"</formula>
    </cfRule>
  </conditionalFormatting>
  <conditionalFormatting sqref="F963:H963">
    <cfRule type="expression" dxfId="781" priority="734" stopIfTrue="1">
      <formula>#REF!="Confidential"</formula>
    </cfRule>
  </conditionalFormatting>
  <conditionalFormatting sqref="F1170:H1170">
    <cfRule type="expression" dxfId="780" priority="630" stopIfTrue="1">
      <formula>#REF!="Confidential"</formula>
    </cfRule>
  </conditionalFormatting>
  <conditionalFormatting sqref="F1388:H1388">
    <cfRule type="expression" dxfId="779" priority="523" stopIfTrue="1">
      <formula>#REF!="Confidential"</formula>
    </cfRule>
  </conditionalFormatting>
  <conditionalFormatting sqref="F1482:H1482">
    <cfRule type="expression" dxfId="778" priority="477" stopIfTrue="1">
      <formula>#REF!="Confidential"</formula>
    </cfRule>
  </conditionalFormatting>
  <conditionalFormatting sqref="F1484:H1484">
    <cfRule type="expression" dxfId="777" priority="474" stopIfTrue="1">
      <formula>#REF!="Confidential"</formula>
    </cfRule>
  </conditionalFormatting>
  <conditionalFormatting sqref="F1488:H1488">
    <cfRule type="expression" dxfId="776" priority="471" stopIfTrue="1">
      <formula>#REF!="Confidential"</formula>
    </cfRule>
  </conditionalFormatting>
  <conditionalFormatting sqref="F1557:H1557">
    <cfRule type="expression" dxfId="775" priority="434" stopIfTrue="1">
      <formula>#REF!="Confidential"</formula>
    </cfRule>
  </conditionalFormatting>
  <conditionalFormatting sqref="F1559:H1559">
    <cfRule type="expression" dxfId="774" priority="433" stopIfTrue="1">
      <formula>#REF!="Confidential"</formula>
    </cfRule>
  </conditionalFormatting>
  <conditionalFormatting sqref="F1567:H1567">
    <cfRule type="expression" dxfId="773" priority="430" stopIfTrue="1">
      <formula>#REF!="Confidential"</formula>
    </cfRule>
  </conditionalFormatting>
  <conditionalFormatting sqref="F1582:H1582">
    <cfRule type="expression" dxfId="772" priority="419" stopIfTrue="1">
      <formula>#REF!="Confidential"</formula>
    </cfRule>
  </conditionalFormatting>
  <conditionalFormatting sqref="F1585:H1585">
    <cfRule type="expression" dxfId="771" priority="416" stopIfTrue="1">
      <formula>#REF!="Confidential"</formula>
    </cfRule>
  </conditionalFormatting>
  <conditionalFormatting sqref="F1732:H1732">
    <cfRule type="expression" dxfId="770" priority="348" stopIfTrue="1">
      <formula>#REF!="Confidential"</formula>
    </cfRule>
  </conditionalFormatting>
  <conditionalFormatting sqref="F1864:H1864">
    <cfRule type="expression" dxfId="769" priority="292" stopIfTrue="1">
      <formula>#REF!="Confidential"</formula>
    </cfRule>
  </conditionalFormatting>
  <conditionalFormatting sqref="F1889:H1889">
    <cfRule type="expression" dxfId="768" priority="278" stopIfTrue="1">
      <formula>#REF!="Confidential"</formula>
    </cfRule>
  </conditionalFormatting>
  <conditionalFormatting sqref="F1914:H1914">
    <cfRule type="expression" dxfId="767" priority="261" stopIfTrue="1">
      <formula>#REF!="Confidential"</formula>
    </cfRule>
  </conditionalFormatting>
  <conditionalFormatting sqref="F1923:H1923">
    <cfRule type="expression" dxfId="766" priority="251" stopIfTrue="1">
      <formula>#REF!="Confidential"</formula>
    </cfRule>
  </conditionalFormatting>
  <conditionalFormatting sqref="F1932:H1932">
    <cfRule type="expression" dxfId="765" priority="248" stopIfTrue="1">
      <formula>#REF!="Confidential"</formula>
    </cfRule>
  </conditionalFormatting>
  <conditionalFormatting sqref="F2338:H2338">
    <cfRule type="expression" dxfId="764" priority="95" stopIfTrue="1">
      <formula>#REF!="Confidential"</formula>
    </cfRule>
  </conditionalFormatting>
  <conditionalFormatting sqref="F2345:H2345">
    <cfRule type="expression" dxfId="763" priority="89" stopIfTrue="1">
      <formula>#REF!="Confidential"</formula>
    </cfRule>
  </conditionalFormatting>
  <conditionalFormatting sqref="F620:I620">
    <cfRule type="expression" dxfId="762" priority="969" stopIfTrue="1">
      <formula>#REF!="Confidential"</formula>
    </cfRule>
  </conditionalFormatting>
  <conditionalFormatting sqref="F805:I805">
    <cfRule type="expression" dxfId="761" priority="883" stopIfTrue="1">
      <formula>#REF!="Confidential"</formula>
    </cfRule>
  </conditionalFormatting>
  <conditionalFormatting sqref="F903:I905">
    <cfRule type="expression" dxfId="760" priority="796" stopIfTrue="1">
      <formula>#REF!="Confidential"</formula>
    </cfRule>
  </conditionalFormatting>
  <conditionalFormatting sqref="F953:I953">
    <cfRule type="expression" dxfId="759" priority="742" stopIfTrue="1">
      <formula>#REF!="Confidential"</formula>
    </cfRule>
  </conditionalFormatting>
  <conditionalFormatting sqref="F968:I968">
    <cfRule type="expression" dxfId="758" priority="729" stopIfTrue="1">
      <formula>#REF!="Confidential"</formula>
    </cfRule>
  </conditionalFormatting>
  <conditionalFormatting sqref="F1048:I1048">
    <cfRule type="expression" dxfId="757" priority="673" stopIfTrue="1">
      <formula>#REF!="Confidential"</formula>
    </cfRule>
  </conditionalFormatting>
  <conditionalFormatting sqref="F1572:I1572">
    <cfRule type="expression" dxfId="756" priority="428" stopIfTrue="1">
      <formula>#REF!="Confidential"</formula>
    </cfRule>
  </conditionalFormatting>
  <conditionalFormatting sqref="F1575:I1575">
    <cfRule type="expression" dxfId="755" priority="424" stopIfTrue="1">
      <formula>#REF!="Confidential"</formula>
    </cfRule>
  </conditionalFormatting>
  <conditionalFormatting sqref="F2444:I2444">
    <cfRule type="expression" dxfId="754" priority="53" stopIfTrue="1">
      <formula>#REF!="Confidential"</formula>
    </cfRule>
  </conditionalFormatting>
  <conditionalFormatting sqref="F790:J790">
    <cfRule type="expression" dxfId="753" priority="897" stopIfTrue="1">
      <formula>#REF!="Confidential"</formula>
    </cfRule>
  </conditionalFormatting>
  <conditionalFormatting sqref="F929:J929">
    <cfRule type="expression" dxfId="752" priority="773" stopIfTrue="1">
      <formula>#REF!="Confidential"</formula>
    </cfRule>
  </conditionalFormatting>
  <conditionalFormatting sqref="F943:J943">
    <cfRule type="expression" dxfId="751" priority="752" stopIfTrue="1">
      <formula>#REF!="Confidential"</formula>
    </cfRule>
  </conditionalFormatting>
  <conditionalFormatting sqref="F1634:J1634">
    <cfRule type="expression" dxfId="750" priority="395" stopIfTrue="1">
      <formula>#REF!="Confidential"</formula>
    </cfRule>
  </conditionalFormatting>
  <conditionalFormatting sqref="F1356:K1356">
    <cfRule type="expression" dxfId="749" priority="548" stopIfTrue="1">
      <formula>#REF!="Confidential"</formula>
    </cfRule>
  </conditionalFormatting>
  <conditionalFormatting sqref="F1728:K1728">
    <cfRule type="expression" dxfId="748" priority="351" stopIfTrue="1">
      <formula>#REF!="Confidential"</formula>
    </cfRule>
  </conditionalFormatting>
  <conditionalFormatting sqref="F1731:K1731">
    <cfRule type="expression" dxfId="747" priority="349" stopIfTrue="1">
      <formula>#REF!="Confidential"</formula>
    </cfRule>
  </conditionalFormatting>
  <conditionalFormatting sqref="F1483:M1483">
    <cfRule type="expression" dxfId="746" priority="475" stopIfTrue="1">
      <formula>#REF!="Confidential"</formula>
    </cfRule>
  </conditionalFormatting>
  <conditionalFormatting sqref="F1423:N1423">
    <cfRule type="expression" dxfId="745" priority="503" stopIfTrue="1">
      <formula>#REF!="Confidential"</formula>
    </cfRule>
  </conditionalFormatting>
  <conditionalFormatting sqref="F687:O687">
    <cfRule type="expression" dxfId="744" priority="958" stopIfTrue="1">
      <formula>#REF!="Confidential"</formula>
    </cfRule>
  </conditionalFormatting>
  <conditionalFormatting sqref="F603:V603">
    <cfRule type="expression" dxfId="743" priority="979" stopIfTrue="1">
      <formula>#REF!="Confidential"</formula>
    </cfRule>
  </conditionalFormatting>
  <conditionalFormatting sqref="F845:Y845">
    <cfRule type="expression" dxfId="742" priority="847" stopIfTrue="1">
      <formula>#REF!="Confidential"</formula>
    </cfRule>
  </conditionalFormatting>
  <conditionalFormatting sqref="F2287:Y2287">
    <cfRule type="expression" dxfId="741" priority="132" stopIfTrue="1">
      <formula>#REF!="Confidential"</formula>
    </cfRule>
  </conditionalFormatting>
  <conditionalFormatting sqref="G558:G559">
    <cfRule type="expression" dxfId="740" priority="1015" stopIfTrue="1">
      <formula>#REF!="Confidential"</formula>
    </cfRule>
  </conditionalFormatting>
  <conditionalFormatting sqref="G743:G750">
    <cfRule type="expression" dxfId="739" priority="927" stopIfTrue="1">
      <formula>#REF!="Confidential"</formula>
    </cfRule>
  </conditionalFormatting>
  <conditionalFormatting sqref="G846:G850">
    <cfRule type="expression" dxfId="738" priority="836" stopIfTrue="1">
      <formula>#REF!="Confidential"</formula>
    </cfRule>
  </conditionalFormatting>
  <conditionalFormatting sqref="G886:G888">
    <cfRule type="expression" dxfId="737" priority="808" stopIfTrue="1">
      <formula>#REF!="Confidential"</formula>
    </cfRule>
  </conditionalFormatting>
  <conditionalFormatting sqref="G896:G897">
    <cfRule type="expression" dxfId="736" priority="578" stopIfTrue="1">
      <formula>#REF!="Confidential"</formula>
    </cfRule>
  </conditionalFormatting>
  <conditionalFormatting sqref="G989:G990">
    <cfRule type="expression" dxfId="735" priority="711" stopIfTrue="1">
      <formula>#REF!="Confidential"</formula>
    </cfRule>
  </conditionalFormatting>
  <conditionalFormatting sqref="G1740:G1743">
    <cfRule type="expression" dxfId="734" priority="343" stopIfTrue="1">
      <formula>#REF!="Confidential"</formula>
    </cfRule>
  </conditionalFormatting>
  <conditionalFormatting sqref="G1800:G1801">
    <cfRule type="expression" dxfId="733" priority="316" stopIfTrue="1">
      <formula>#REF!="Confidential"</formula>
    </cfRule>
  </conditionalFormatting>
  <conditionalFormatting sqref="G2392:G2393">
    <cfRule type="expression" dxfId="732" priority="74" stopIfTrue="1">
      <formula>#REF!="Confidential"</formula>
    </cfRule>
  </conditionalFormatting>
  <conditionalFormatting sqref="G641:H642">
    <cfRule type="expression" dxfId="731" priority="992" stopIfTrue="1">
      <formula>#REF!="Confidential"</formula>
    </cfRule>
  </conditionalFormatting>
  <conditionalFormatting sqref="G728:H731">
    <cfRule type="expression" dxfId="730" priority="946" stopIfTrue="1">
      <formula>#REF!="Confidential"</formula>
    </cfRule>
  </conditionalFormatting>
  <conditionalFormatting sqref="G733:H736">
    <cfRule type="expression" dxfId="729" priority="940" stopIfTrue="1">
      <formula>#REF!="Confidential"</formula>
    </cfRule>
  </conditionalFormatting>
  <conditionalFormatting sqref="G788:H789">
    <cfRule type="expression" dxfId="728" priority="898" stopIfTrue="1">
      <formula>#REF!="Confidential"</formula>
    </cfRule>
  </conditionalFormatting>
  <conditionalFormatting sqref="G808:H809">
    <cfRule type="expression" dxfId="727" priority="875" stopIfTrue="1">
      <formula>#REF!="Confidential"</formula>
    </cfRule>
  </conditionalFormatting>
  <conditionalFormatting sqref="G811:H812">
    <cfRule type="expression" dxfId="726" priority="872" stopIfTrue="1">
      <formula>#REF!="Confidential"</formula>
    </cfRule>
  </conditionalFormatting>
  <conditionalFormatting sqref="G814:H816">
    <cfRule type="expression" dxfId="725" priority="867" stopIfTrue="1">
      <formula>#REF!="Confidential"</formula>
    </cfRule>
  </conditionalFormatting>
  <conditionalFormatting sqref="G972:H976">
    <cfRule type="expression" dxfId="724" priority="724" stopIfTrue="1">
      <formula>#REF!="Confidential"</formula>
    </cfRule>
  </conditionalFormatting>
  <conditionalFormatting sqref="G1002:H1003">
    <cfRule type="expression" dxfId="723" priority="563" stopIfTrue="1">
      <formula>#REF!="Confidential"</formula>
    </cfRule>
  </conditionalFormatting>
  <conditionalFormatting sqref="G1049:H1050">
    <cfRule type="expression" dxfId="722" priority="672" stopIfTrue="1">
      <formula>#REF!="Confidential"</formula>
    </cfRule>
  </conditionalFormatting>
  <conditionalFormatting sqref="G1053:H1058">
    <cfRule type="expression" dxfId="721" priority="667" stopIfTrue="1">
      <formula>#REF!="Confidential"</formula>
    </cfRule>
  </conditionalFormatting>
  <conditionalFormatting sqref="G1276:H1277">
    <cfRule type="expression" dxfId="720" priority="598" stopIfTrue="1">
      <formula>#REF!="Confidential"</formula>
    </cfRule>
  </conditionalFormatting>
  <conditionalFormatting sqref="G1293:H1294">
    <cfRule type="expression" dxfId="719" priority="588" stopIfTrue="1">
      <formula>#REF!="Confidential"</formula>
    </cfRule>
  </conditionalFormatting>
  <conditionalFormatting sqref="G1427:H1428">
    <cfRule type="expression" dxfId="718" priority="497" stopIfTrue="1">
      <formula>#REF!="Confidential"</formula>
    </cfRule>
  </conditionalFormatting>
  <conditionalFormatting sqref="G1492:H1493">
    <cfRule type="expression" dxfId="717" priority="468" stopIfTrue="1">
      <formula>#REF!="Confidential"</formula>
    </cfRule>
  </conditionalFormatting>
  <conditionalFormatting sqref="G1579:H1580">
    <cfRule type="expression" dxfId="716" priority="421" stopIfTrue="1">
      <formula>#REF!="Confidential"</formula>
    </cfRule>
  </conditionalFormatting>
  <conditionalFormatting sqref="G1637:H1638">
    <cfRule type="expression" dxfId="715" priority="390" stopIfTrue="1">
      <formula>#REF!="Confidential"</formula>
    </cfRule>
  </conditionalFormatting>
  <conditionalFormatting sqref="G1861:H1862">
    <cfRule type="expression" dxfId="714" priority="294" stopIfTrue="1">
      <formula>#REF!="Confidential"</formula>
    </cfRule>
  </conditionalFormatting>
  <conditionalFormatting sqref="G2012:H2017">
    <cfRule type="expression" dxfId="713" priority="209" stopIfTrue="1">
      <formula>#REF!="Confidential"</formula>
    </cfRule>
  </conditionalFormatting>
  <conditionalFormatting sqref="G2363:H2364">
    <cfRule type="expression" dxfId="712" priority="82" stopIfTrue="1">
      <formula>#REF!="Confidential"</formula>
    </cfRule>
  </conditionalFormatting>
  <conditionalFormatting sqref="G551:I552">
    <cfRule type="expression" dxfId="711" priority="1022" stopIfTrue="1">
      <formula>#REF!="Confidential"</formula>
    </cfRule>
  </conditionalFormatting>
  <conditionalFormatting sqref="G908:I912">
    <cfRule type="expression" dxfId="710" priority="793" stopIfTrue="1">
      <formula>#REF!="Confidential"</formula>
    </cfRule>
  </conditionalFormatting>
  <conditionalFormatting sqref="G930:I931">
    <cfRule type="expression" dxfId="709" priority="573" stopIfTrue="1">
      <formula>#REF!="Confidential"</formula>
    </cfRule>
  </conditionalFormatting>
  <conditionalFormatting sqref="G944:I945">
    <cfRule type="expression" dxfId="708" priority="750" stopIfTrue="1">
      <formula>#REF!="Confidential"</formula>
    </cfRule>
  </conditionalFormatting>
  <conditionalFormatting sqref="G1016:I1022">
    <cfRule type="expression" dxfId="707" priority="695" stopIfTrue="1">
      <formula>#REF!="Confidential"</formula>
    </cfRule>
  </conditionalFormatting>
  <conditionalFormatting sqref="G1025:I1028">
    <cfRule type="expression" dxfId="706" priority="693" stopIfTrue="1">
      <formula>#REF!="Confidential"</formula>
    </cfRule>
  </conditionalFormatting>
  <conditionalFormatting sqref="G1071:I1072">
    <cfRule type="expression" dxfId="705" priority="661" stopIfTrue="1">
      <formula>#REF!="Confidential"</formula>
    </cfRule>
  </conditionalFormatting>
  <conditionalFormatting sqref="G1533:I1535">
    <cfRule type="expression" dxfId="704" priority="449" stopIfTrue="1">
      <formula>#REF!="Confidential"</formula>
    </cfRule>
  </conditionalFormatting>
  <conditionalFormatting sqref="G1544:I1545">
    <cfRule type="expression" dxfId="703" priority="445" stopIfTrue="1">
      <formula>#REF!="Confidential"</formula>
    </cfRule>
  </conditionalFormatting>
  <conditionalFormatting sqref="G1547:I1548">
    <cfRule type="expression" dxfId="702" priority="442" stopIfTrue="1">
      <formula>#REF!="Confidential"</formula>
    </cfRule>
  </conditionalFormatting>
  <conditionalFormatting sqref="G2025:I2026">
    <cfRule type="expression" dxfId="701" priority="202" stopIfTrue="1">
      <formula>#REF!="Confidential"</formula>
    </cfRule>
  </conditionalFormatting>
  <conditionalFormatting sqref="G548:J550">
    <cfRule type="expression" dxfId="700" priority="1024" stopIfTrue="1">
      <formula>#REF!="Confidential"</formula>
    </cfRule>
  </conditionalFormatting>
  <conditionalFormatting sqref="G802:J804">
    <cfRule type="expression" dxfId="699" priority="885" stopIfTrue="1">
      <formula>#REF!="Confidential"</formula>
    </cfRule>
  </conditionalFormatting>
  <conditionalFormatting sqref="G938:J939">
    <cfRule type="expression" dxfId="698" priority="570" stopIfTrue="1">
      <formula>#REF!="Confidential"</formula>
    </cfRule>
  </conditionalFormatting>
  <conditionalFormatting sqref="G1014:J1015">
    <cfRule type="expression" dxfId="697" priority="698" stopIfTrue="1">
      <formula>#REF!="Confidential"</formula>
    </cfRule>
  </conditionalFormatting>
  <conditionalFormatting sqref="G925:K926">
    <cfRule type="expression" dxfId="696" priority="776" stopIfTrue="1">
      <formula>#REF!="Confidential"</formula>
    </cfRule>
  </conditionalFormatting>
  <conditionalFormatting sqref="H224">
    <cfRule type="expression" dxfId="695" priority="1017" stopIfTrue="1">
      <formula>#REF!="Confidential"</formula>
    </cfRule>
  </conditionalFormatting>
  <conditionalFormatting sqref="H555:H556">
    <cfRule type="expression" dxfId="694" priority="1020" stopIfTrue="1">
      <formula>#REF!="Confidential"</formula>
    </cfRule>
  </conditionalFormatting>
  <conditionalFormatting sqref="H558:H559">
    <cfRule type="expression" dxfId="693" priority="1014" stopIfTrue="1">
      <formula>#REF!="Confidential"</formula>
    </cfRule>
  </conditionalFormatting>
  <conditionalFormatting sqref="H573:H575">
    <cfRule type="expression" dxfId="692" priority="982" stopIfTrue="1">
      <formula>#REF!="Confidential"</formula>
    </cfRule>
  </conditionalFormatting>
  <conditionalFormatting sqref="H630">
    <cfRule type="expression" dxfId="691" priority="997" stopIfTrue="1">
      <formula>#REF!="Confidential"</formula>
    </cfRule>
  </conditionalFormatting>
  <conditionalFormatting sqref="H746">
    <cfRule type="expression" dxfId="690" priority="931" stopIfTrue="1">
      <formula>#REF!="Confidential"</formula>
    </cfRule>
  </conditionalFormatting>
  <conditionalFormatting sqref="H891">
    <cfRule type="expression" dxfId="689" priority="802" stopIfTrue="1">
      <formula>#REF!="Confidential"</formula>
    </cfRule>
  </conditionalFormatting>
  <conditionalFormatting sqref="H896:H897">
    <cfRule type="expression" dxfId="688" priority="577" stopIfTrue="1">
      <formula>#REF!="Confidential"</formula>
    </cfRule>
  </conditionalFormatting>
  <conditionalFormatting sqref="H1052">
    <cfRule type="expression" dxfId="687" priority="670" stopIfTrue="1">
      <formula>#REF!="Confidential"</formula>
    </cfRule>
  </conditionalFormatting>
  <conditionalFormatting sqref="H1208:H1209">
    <cfRule type="expression" dxfId="686" priority="606" stopIfTrue="1">
      <formula>#REF!="Confidential"</formula>
    </cfRule>
  </conditionalFormatting>
  <conditionalFormatting sqref="H1224">
    <cfRule type="expression" dxfId="685" priority="609" stopIfTrue="1">
      <formula>#REF!="Confidential"</formula>
    </cfRule>
  </conditionalFormatting>
  <conditionalFormatting sqref="H1361">
    <cfRule type="expression" dxfId="684" priority="540" stopIfTrue="1">
      <formula>#REF!="Confidential"</formula>
    </cfRule>
  </conditionalFormatting>
  <conditionalFormatting sqref="H1368:H1370">
    <cfRule type="expression" dxfId="683" priority="534" stopIfTrue="1">
      <formula>#REF!="Confidential"</formula>
    </cfRule>
  </conditionalFormatting>
  <conditionalFormatting sqref="H1393">
    <cfRule type="expression" dxfId="682" priority="515" stopIfTrue="1">
      <formula>#REF!="Confidential"</formula>
    </cfRule>
  </conditionalFormatting>
  <conditionalFormatting sqref="H1411:H1417">
    <cfRule type="expression" dxfId="681" priority="509" stopIfTrue="1">
      <formula>#REF!="Confidential"</formula>
    </cfRule>
  </conditionalFormatting>
  <conditionalFormatting sqref="H1424">
    <cfRule type="expression" dxfId="680" priority="501" stopIfTrue="1">
      <formula>#REF!="Confidential"</formula>
    </cfRule>
  </conditionalFormatting>
  <conditionalFormatting sqref="H1426">
    <cfRule type="expression" dxfId="679" priority="499" stopIfTrue="1">
      <formula>#REF!="Confidential"</formula>
    </cfRule>
  </conditionalFormatting>
  <conditionalFormatting sqref="H1430:H1431">
    <cfRule type="expression" dxfId="678" priority="493" stopIfTrue="1">
      <formula>#REF!="Confidential"</formula>
    </cfRule>
  </conditionalFormatting>
  <conditionalFormatting sqref="H1504">
    <cfRule type="expression" dxfId="677" priority="464" stopIfTrue="1">
      <formula>#REF!="Confidential"</formula>
    </cfRule>
  </conditionalFormatting>
  <conditionalFormatting sqref="H1507:H1509">
    <cfRule type="expression" dxfId="676" priority="455" stopIfTrue="1">
      <formula>#REF!="Confidential"</formula>
    </cfRule>
  </conditionalFormatting>
  <conditionalFormatting sqref="H1525">
    <cfRule type="expression" dxfId="675" priority="452" stopIfTrue="1">
      <formula>#REF!="Confidential"</formula>
    </cfRule>
  </conditionalFormatting>
  <conditionalFormatting sqref="H1539">
    <cfRule type="expression" dxfId="674" priority="448" stopIfTrue="1">
      <formula>#REF!="Confidential"</formula>
    </cfRule>
  </conditionalFormatting>
  <conditionalFormatting sqref="H1551">
    <cfRule type="expression" dxfId="673" priority="437" stopIfTrue="1">
      <formula>#REF!="Confidential"</formula>
    </cfRule>
  </conditionalFormatting>
  <conditionalFormatting sqref="H1608:H1609">
    <cfRule type="expression" dxfId="672" priority="407" stopIfTrue="1">
      <formula>#REF!="Confidential"</formula>
    </cfRule>
  </conditionalFormatting>
  <conditionalFormatting sqref="H1654:H1655">
    <cfRule type="expression" dxfId="671" priority="382" stopIfTrue="1">
      <formula>#REF!="Confidential"</formula>
    </cfRule>
  </conditionalFormatting>
  <conditionalFormatting sqref="H1683">
    <cfRule type="expression" dxfId="670" priority="377" stopIfTrue="1">
      <formula>#REF!="Confidential"</formula>
    </cfRule>
  </conditionalFormatting>
  <conditionalFormatting sqref="H1727">
    <cfRule type="expression" dxfId="669" priority="355" stopIfTrue="1">
      <formula>#REF!="Confidential"</formula>
    </cfRule>
  </conditionalFormatting>
  <conditionalFormatting sqref="H1746:H1752">
    <cfRule type="expression" dxfId="668" priority="328" stopIfTrue="1">
      <formula>#REF!="Confidential"</formula>
    </cfRule>
  </conditionalFormatting>
  <conditionalFormatting sqref="H1806">
    <cfRule type="expression" dxfId="667" priority="310" stopIfTrue="1">
      <formula>#REF!="Confidential"</formula>
    </cfRule>
  </conditionalFormatting>
  <conditionalFormatting sqref="H1846">
    <cfRule type="expression" dxfId="666" priority="303" stopIfTrue="1">
      <formula>#REF!="Confidential"</formula>
    </cfRule>
  </conditionalFormatting>
  <conditionalFormatting sqref="H1895">
    <cfRule type="expression" dxfId="665" priority="276" stopIfTrue="1">
      <formula>#REF!="Confidential"</formula>
    </cfRule>
  </conditionalFormatting>
  <conditionalFormatting sqref="H1900">
    <cfRule type="expression" dxfId="664" priority="274" stopIfTrue="1">
      <formula>#REF!="Confidential"</formula>
    </cfRule>
  </conditionalFormatting>
  <conditionalFormatting sqref="H1911">
    <cfRule type="expression" dxfId="663" priority="265" stopIfTrue="1">
      <formula>#REF!="Confidential"</formula>
    </cfRule>
  </conditionalFormatting>
  <conditionalFormatting sqref="H1913">
    <cfRule type="expression" dxfId="662" priority="263" stopIfTrue="1">
      <formula>#REF!="Confidential"</formula>
    </cfRule>
  </conditionalFormatting>
  <conditionalFormatting sqref="H1926">
    <cfRule type="expression" dxfId="661" priority="250" stopIfTrue="1">
      <formula>#REF!="Confidential"</formula>
    </cfRule>
  </conditionalFormatting>
  <conditionalFormatting sqref="H1941">
    <cfRule type="expression" dxfId="660" priority="242" stopIfTrue="1">
      <formula>#REF!="Confidential"</formula>
    </cfRule>
  </conditionalFormatting>
  <conditionalFormatting sqref="H2095:H2133">
    <cfRule type="expression" dxfId="659" priority="165" stopIfTrue="1">
      <formula>#REF!="Confidential"</formula>
    </cfRule>
  </conditionalFormatting>
  <conditionalFormatting sqref="H2445">
    <cfRule type="expression" dxfId="658" priority="52" stopIfTrue="1">
      <formula>#REF!="Confidential"</formula>
    </cfRule>
  </conditionalFormatting>
  <conditionalFormatting sqref="H684:I684">
    <cfRule type="expression" dxfId="657" priority="962" stopIfTrue="1">
      <formula>#REF!="Confidential"</formula>
    </cfRule>
  </conditionalFormatting>
  <conditionalFormatting sqref="H744:I744">
    <cfRule type="expression" dxfId="656" priority="932" stopIfTrue="1">
      <formula>#REF!="Confidential"</formula>
    </cfRule>
  </conditionalFormatting>
  <conditionalFormatting sqref="H749:I750">
    <cfRule type="expression" dxfId="655" priority="928" stopIfTrue="1">
      <formula>#REF!="Confidential"</formula>
    </cfRule>
  </conditionalFormatting>
  <conditionalFormatting sqref="H848:I850">
    <cfRule type="expression" dxfId="654" priority="837" stopIfTrue="1">
      <formula>#REF!="Confidential"</formula>
    </cfRule>
  </conditionalFormatting>
  <conditionalFormatting sqref="H886:I887">
    <cfRule type="expression" dxfId="653" priority="812" stopIfTrue="1">
      <formula>#REF!="Confidential"</formula>
    </cfRule>
  </conditionalFormatting>
  <conditionalFormatting sqref="H947:I947">
    <cfRule type="expression" dxfId="652" priority="749" stopIfTrue="1">
      <formula>#REF!="Confidential"</formula>
    </cfRule>
  </conditionalFormatting>
  <conditionalFormatting sqref="H987:I987">
    <cfRule type="expression" dxfId="651" priority="714" stopIfTrue="1">
      <formula>#REF!="Confidential"</formula>
    </cfRule>
  </conditionalFormatting>
  <conditionalFormatting sqref="H989:I990">
    <cfRule type="expression" dxfId="650" priority="712" stopIfTrue="1">
      <formula>#REF!="Confidential"</formula>
    </cfRule>
  </conditionalFormatting>
  <conditionalFormatting sqref="H1046:I1046">
    <cfRule type="expression" dxfId="649" priority="679" stopIfTrue="1">
      <formula>#REF!="Confidential"</formula>
    </cfRule>
  </conditionalFormatting>
  <conditionalFormatting sqref="H1360:I1360">
    <cfRule type="expression" dxfId="648" priority="544" stopIfTrue="1">
      <formula>#REF!="Confidential"</formula>
    </cfRule>
  </conditionalFormatting>
  <conditionalFormatting sqref="H1550:I1550">
    <cfRule type="expression" dxfId="647" priority="439" stopIfTrue="1">
      <formula>#REF!="Confidential"</formula>
    </cfRule>
  </conditionalFormatting>
  <conditionalFormatting sqref="H1740:I1743">
    <cfRule type="expression" dxfId="646" priority="344" stopIfTrue="1">
      <formula>#REF!="Confidential"</formula>
    </cfRule>
  </conditionalFormatting>
  <conditionalFormatting sqref="H546:K546">
    <cfRule type="expression" dxfId="645" priority="1026" stopIfTrue="1">
      <formula>#REF!="Confidential"</formula>
    </cfRule>
  </conditionalFormatting>
  <conditionalFormatting sqref="H1916:K1916">
    <cfRule type="expression" dxfId="644" priority="255" stopIfTrue="1">
      <formula>#REF!="Confidential"</formula>
    </cfRule>
  </conditionalFormatting>
  <conditionalFormatting sqref="H2440:K2441">
    <cfRule type="expression" dxfId="643" priority="58" stopIfTrue="1">
      <formula>#REF!="Confidential"</formula>
    </cfRule>
  </conditionalFormatting>
  <conditionalFormatting sqref="I520">
    <cfRule type="expression" dxfId="642" priority="1029" stopIfTrue="1">
      <formula>#REF!="Confidential"</formula>
    </cfRule>
  </conditionalFormatting>
  <conditionalFormatting sqref="I560">
    <cfRule type="expression" dxfId="641" priority="1013" stopIfTrue="1">
      <formula>#REF!="Confidential"</formula>
    </cfRule>
  </conditionalFormatting>
  <conditionalFormatting sqref="I578">
    <cfRule type="expression" dxfId="640" priority="1010" stopIfTrue="1">
      <formula>#REF!="Confidential"</formula>
    </cfRule>
  </conditionalFormatting>
  <conditionalFormatting sqref="I641:I642">
    <cfRule type="expression" dxfId="639" priority="994" stopIfTrue="1">
      <formula>#REF!="Confidential"</formula>
    </cfRule>
  </conditionalFormatting>
  <conditionalFormatting sqref="I657:I658">
    <cfRule type="expression" dxfId="638" priority="987" stopIfTrue="1">
      <formula>#REF!="Confidential"</formula>
    </cfRule>
  </conditionalFormatting>
  <conditionalFormatting sqref="I672:I675">
    <cfRule type="expression" dxfId="637" priority="966" stopIfTrue="1">
      <formula>#REF!="Confidential"</formula>
    </cfRule>
  </conditionalFormatting>
  <conditionalFormatting sqref="I679:I682">
    <cfRule type="expression" dxfId="636" priority="963" stopIfTrue="1">
      <formula>#REF!="Confidential"</formula>
    </cfRule>
  </conditionalFormatting>
  <conditionalFormatting sqref="I691">
    <cfRule type="expression" dxfId="635" priority="956" stopIfTrue="1">
      <formula>#REF!="Confidential"</formula>
    </cfRule>
  </conditionalFormatting>
  <conditionalFormatting sqref="I722:I723">
    <cfRule type="expression" dxfId="634" priority="372" stopIfTrue="1">
      <formula>#REF!="Confidential"</formula>
    </cfRule>
  </conditionalFormatting>
  <conditionalFormatting sqref="I735:I736">
    <cfRule type="expression" dxfId="633" priority="939" stopIfTrue="1">
      <formula>#REF!="Confidential"</formula>
    </cfRule>
  </conditionalFormatting>
  <conditionalFormatting sqref="I746">
    <cfRule type="expression" dxfId="632" priority="930" stopIfTrue="1">
      <formula>#REF!="Confidential"</formula>
    </cfRule>
  </conditionalFormatting>
  <conditionalFormatting sqref="I751:I753">
    <cfRule type="expression" dxfId="631" priority="925" stopIfTrue="1">
      <formula>#REF!="Confidential"</formula>
    </cfRule>
  </conditionalFormatting>
  <conditionalFormatting sqref="I755">
    <cfRule type="expression" dxfId="630" priority="923" stopIfTrue="1">
      <formula>#REF!="Confidential"</formula>
    </cfRule>
  </conditionalFormatting>
  <conditionalFormatting sqref="I806">
    <cfRule type="expression" dxfId="629" priority="877" stopIfTrue="1">
      <formula>#REF!="Confidential"</formula>
    </cfRule>
  </conditionalFormatting>
  <conditionalFormatting sqref="I808:I809">
    <cfRule type="expression" dxfId="628" priority="874" stopIfTrue="1">
      <formula>#REF!="Confidential"</formula>
    </cfRule>
  </conditionalFormatting>
  <conditionalFormatting sqref="I811:I816">
    <cfRule type="expression" dxfId="627" priority="866" stopIfTrue="1">
      <formula>#REF!="Confidential"</formula>
    </cfRule>
  </conditionalFormatting>
  <conditionalFormatting sqref="I822">
    <cfRule type="expression" dxfId="626" priority="859" stopIfTrue="1">
      <formula>#REF!="Confidential"</formula>
    </cfRule>
  </conditionalFormatting>
  <conditionalFormatting sqref="I888">
    <cfRule type="expression" dxfId="625" priority="809" stopIfTrue="1">
      <formula>#REF!="Confidential"</formula>
    </cfRule>
  </conditionalFormatting>
  <conditionalFormatting sqref="I891">
    <cfRule type="expression" dxfId="624" priority="801" stopIfTrue="1">
      <formula>#REF!="Confidential"</formula>
    </cfRule>
  </conditionalFormatting>
  <conditionalFormatting sqref="I896:I897">
    <cfRule type="expression" dxfId="623" priority="576" stopIfTrue="1">
      <formula>#REF!="Confidential"</formula>
    </cfRule>
  </conditionalFormatting>
  <conditionalFormatting sqref="I913">
    <cfRule type="expression" dxfId="622" priority="791" stopIfTrue="1">
      <formula>#REF!="Confidential"</formula>
    </cfRule>
  </conditionalFormatting>
  <conditionalFormatting sqref="I932">
    <cfRule type="expression" dxfId="621" priority="769" stopIfTrue="1">
      <formula>#REF!="Confidential"</formula>
    </cfRule>
  </conditionalFormatting>
  <conditionalFormatting sqref="I934">
    <cfRule type="expression" dxfId="620" priority="764" stopIfTrue="1">
      <formula>#REF!="Confidential"</formula>
    </cfRule>
  </conditionalFormatting>
  <conditionalFormatting sqref="I937">
    <cfRule type="expression" dxfId="619" priority="625" stopIfTrue="1">
      <formula>#REF!="Confidential"</formula>
    </cfRule>
  </conditionalFormatting>
  <conditionalFormatting sqref="I946">
    <cfRule type="expression" dxfId="618" priority="746" stopIfTrue="1">
      <formula>#REF!="Confidential"</formula>
    </cfRule>
  </conditionalFormatting>
  <conditionalFormatting sqref="I948">
    <cfRule type="expression" dxfId="617" priority="748" stopIfTrue="1">
      <formula>#REF!="Confidential"</formula>
    </cfRule>
  </conditionalFormatting>
  <conditionalFormatting sqref="I951">
    <cfRule type="expression" dxfId="616" priority="568" stopIfTrue="1">
      <formula>#REF!="Confidential"</formula>
    </cfRule>
  </conditionalFormatting>
  <conditionalFormatting sqref="I963">
    <cfRule type="expression" dxfId="615" priority="735" stopIfTrue="1">
      <formula>#REF!="Confidential"</formula>
    </cfRule>
  </conditionalFormatting>
  <conditionalFormatting sqref="I972:I976">
    <cfRule type="expression" dxfId="614" priority="725" stopIfTrue="1">
      <formula>#REF!="Confidential"</formula>
    </cfRule>
  </conditionalFormatting>
  <conditionalFormatting sqref="I991">
    <cfRule type="expression" dxfId="613" priority="709" stopIfTrue="1">
      <formula>#REF!="Confidential"</formula>
    </cfRule>
  </conditionalFormatting>
  <conditionalFormatting sqref="I1051">
    <cfRule type="expression" dxfId="612" priority="671" stopIfTrue="1">
      <formula>#REF!="Confidential"</formula>
    </cfRule>
  </conditionalFormatting>
  <conditionalFormatting sqref="I1074">
    <cfRule type="expression" dxfId="611" priority="657" stopIfTrue="1">
      <formula>#REF!="Confidential"</formula>
    </cfRule>
  </conditionalFormatting>
  <conditionalFormatting sqref="I1170">
    <cfRule type="expression" dxfId="610" priority="629" stopIfTrue="1">
      <formula>#REF!="Confidential"</formula>
    </cfRule>
  </conditionalFormatting>
  <conditionalFormatting sqref="I1276:I1277">
    <cfRule type="expression" dxfId="609" priority="597" stopIfTrue="1">
      <formula>#REF!="Confidential"</formula>
    </cfRule>
  </conditionalFormatting>
  <conditionalFormatting sqref="I1416:I1417">
    <cfRule type="expression" dxfId="608" priority="508" stopIfTrue="1">
      <formula>#REF!="Confidential"</formula>
    </cfRule>
  </conditionalFormatting>
  <conditionalFormatting sqref="I1424">
    <cfRule type="expression" dxfId="607" priority="500" stopIfTrue="1">
      <formula>#REF!="Confidential"</formula>
    </cfRule>
  </conditionalFormatting>
  <conditionalFormatting sqref="I1482">
    <cfRule type="expression" dxfId="606" priority="476" stopIfTrue="1">
      <formula>#REF!="Confidential"</formula>
    </cfRule>
  </conditionalFormatting>
  <conditionalFormatting sqref="I1484">
    <cfRule type="expression" dxfId="605" priority="473" stopIfTrue="1">
      <formula>#REF!="Confidential"</formula>
    </cfRule>
  </conditionalFormatting>
  <conditionalFormatting sqref="I1488">
    <cfRule type="expression" dxfId="604" priority="470" stopIfTrue="1">
      <formula>#REF!="Confidential"</formula>
    </cfRule>
  </conditionalFormatting>
  <conditionalFormatting sqref="I1492:I1493">
    <cfRule type="expression" dxfId="603" priority="469" stopIfTrue="1">
      <formula>#REF!="Confidential"</formula>
    </cfRule>
  </conditionalFormatting>
  <conditionalFormatting sqref="I1546">
    <cfRule type="expression" dxfId="602" priority="444" stopIfTrue="1">
      <formula>#REF!="Confidential"</formula>
    </cfRule>
  </conditionalFormatting>
  <conditionalFormatting sqref="I1573:I1574">
    <cfRule type="expression" dxfId="601" priority="426" stopIfTrue="1">
      <formula>#REF!="Confidential"</formula>
    </cfRule>
  </conditionalFormatting>
  <conditionalFormatting sqref="I1578:I1580">
    <cfRule type="expression" dxfId="600" priority="422" stopIfTrue="1">
      <formula>#REF!="Confidential"</formula>
    </cfRule>
  </conditionalFormatting>
  <conditionalFormatting sqref="I1582">
    <cfRule type="expression" dxfId="599" priority="420" stopIfTrue="1">
      <formula>#REF!="Confidential"</formula>
    </cfRule>
  </conditionalFormatting>
  <conditionalFormatting sqref="I1637">
    <cfRule type="expression" dxfId="598" priority="391" stopIfTrue="1">
      <formula>#REF!="Confidential"</formula>
    </cfRule>
  </conditionalFormatting>
  <conditionalFormatting sqref="I1727">
    <cfRule type="expression" dxfId="597" priority="354" stopIfTrue="1">
      <formula>#REF!="Confidential"</formula>
    </cfRule>
  </conditionalFormatting>
  <conditionalFormatting sqref="I1861:I1862">
    <cfRule type="expression" dxfId="596" priority="293" stopIfTrue="1">
      <formula>#REF!="Confidential"</formula>
    </cfRule>
  </conditionalFormatting>
  <conditionalFormatting sqref="I1889">
    <cfRule type="expression" dxfId="595" priority="277" stopIfTrue="1">
      <formula>#REF!="Confidential"</formula>
    </cfRule>
  </conditionalFormatting>
  <conditionalFormatting sqref="I1914">
    <cfRule type="expression" dxfId="594" priority="260" stopIfTrue="1">
      <formula>#REF!="Confidential"</formula>
    </cfRule>
  </conditionalFormatting>
  <conditionalFormatting sqref="I1923">
    <cfRule type="expression" dxfId="593" priority="252" stopIfTrue="1">
      <formula>#REF!="Confidential"</formula>
    </cfRule>
  </conditionalFormatting>
  <conditionalFormatting sqref="I1932">
    <cfRule type="expression" dxfId="592" priority="247" stopIfTrue="1">
      <formula>#REF!="Confidential"</formula>
    </cfRule>
  </conditionalFormatting>
  <conditionalFormatting sqref="I1941">
    <cfRule type="expression" dxfId="591" priority="241" stopIfTrue="1">
      <formula>#REF!="Confidential"</formula>
    </cfRule>
  </conditionalFormatting>
  <conditionalFormatting sqref="I411:J411">
    <cfRule type="expression" dxfId="590" priority="864" stopIfTrue="1">
      <formula>#REF!="Confidential"</formula>
    </cfRule>
  </conditionalFormatting>
  <conditionalFormatting sqref="I519:J519">
    <cfRule type="expression" dxfId="589" priority="1031" stopIfTrue="1">
      <formula>#REF!="Confidential"</formula>
    </cfRule>
  </conditionalFormatting>
  <conditionalFormatting sqref="I543:J544">
    <cfRule type="expression" dxfId="588" priority="1027" stopIfTrue="1">
      <formula>#REF!="Confidential"</formula>
    </cfRule>
  </conditionalFormatting>
  <conditionalFormatting sqref="I547:J547">
    <cfRule type="expression" dxfId="587" priority="1025" stopIfTrue="1">
      <formula>#REF!="Confidential"</formula>
    </cfRule>
  </conditionalFormatting>
  <conditionalFormatting sqref="I729:J730">
    <cfRule type="expression" dxfId="586" priority="947" stopIfTrue="1">
      <formula>#REF!="Confidential"</formula>
    </cfRule>
  </conditionalFormatting>
  <conditionalFormatting sqref="I733:J734">
    <cfRule type="expression" dxfId="585" priority="942" stopIfTrue="1">
      <formula>#REF!="Confidential"</formula>
    </cfRule>
  </conditionalFormatting>
  <conditionalFormatting sqref="I846:J847">
    <cfRule type="expression" dxfId="584" priority="843" stopIfTrue="1">
      <formula>#REF!="Confidential"</formula>
    </cfRule>
  </conditionalFormatting>
  <conditionalFormatting sqref="I1032:J1032">
    <cfRule type="expression" dxfId="583" priority="689" stopIfTrue="1">
      <formula>#REF!="Confidential"</formula>
    </cfRule>
  </conditionalFormatting>
  <conditionalFormatting sqref="I1470:J1470">
    <cfRule type="expression" dxfId="582" priority="168" stopIfTrue="1">
      <formula>#REF!="Confidential"</formula>
    </cfRule>
  </conditionalFormatting>
  <conditionalFormatting sqref="I2345:J2345">
    <cfRule type="expression" dxfId="581" priority="90" stopIfTrue="1">
      <formula>#REF!="Confidential"</formula>
    </cfRule>
  </conditionalFormatting>
  <conditionalFormatting sqref="I2392:J2393">
    <cfRule type="expression" dxfId="580" priority="73" stopIfTrue="1">
      <formula>#REF!="Confidential"</formula>
    </cfRule>
  </conditionalFormatting>
  <conditionalFormatting sqref="I584:K585">
    <cfRule type="expression" dxfId="579" priority="1008" stopIfTrue="1">
      <formula>#REF!="Confidential"</formula>
    </cfRule>
  </conditionalFormatting>
  <conditionalFormatting sqref="I637:K637">
    <cfRule type="expression" dxfId="578" priority="1000" stopIfTrue="1">
      <formula>#REF!="Confidential"</formula>
    </cfRule>
  </conditionalFormatting>
  <conditionalFormatting sqref="I732:K732">
    <cfRule type="expression" dxfId="577" priority="944" stopIfTrue="1">
      <formula>#REF!="Confidential"</formula>
    </cfRule>
  </conditionalFormatting>
  <conditionalFormatting sqref="I1389:K1391">
    <cfRule type="expression" dxfId="576" priority="519" stopIfTrue="1">
      <formula>#REF!="Confidential"</formula>
    </cfRule>
  </conditionalFormatting>
  <conditionalFormatting sqref="I580:S581">
    <cfRule type="expression" dxfId="575" priority="981" stopIfTrue="1">
      <formula>#REF!="Confidential"</formula>
    </cfRule>
  </conditionalFormatting>
  <conditionalFormatting sqref="J279">
    <cfRule type="expression" dxfId="574" priority="374" stopIfTrue="1">
      <formula>#REF!="Confidential"</formula>
    </cfRule>
  </conditionalFormatting>
  <conditionalFormatting sqref="J554:J555">
    <cfRule type="expression" dxfId="573" priority="1021" stopIfTrue="1">
      <formula>#REF!="Confidential"</formula>
    </cfRule>
  </conditionalFormatting>
  <conditionalFormatting sqref="J592">
    <cfRule type="expression" dxfId="572" priority="1007" stopIfTrue="1">
      <formula>#REF!="Confidential"</formula>
    </cfRule>
  </conditionalFormatting>
  <conditionalFormatting sqref="J642">
    <cfRule type="expression" dxfId="571" priority="995" stopIfTrue="1">
      <formula>#REF!="Confidential"</formula>
    </cfRule>
  </conditionalFormatting>
  <conditionalFormatting sqref="J675">
    <cfRule type="expression" dxfId="570" priority="967" stopIfTrue="1">
      <formula>#REF!="Confidential"</formula>
    </cfRule>
  </conditionalFormatting>
  <conditionalFormatting sqref="J680">
    <cfRule type="expression" dxfId="569" priority="965" stopIfTrue="1">
      <formula>#REF!="Confidential"</formula>
    </cfRule>
  </conditionalFormatting>
  <conditionalFormatting sqref="J682">
    <cfRule type="expression" dxfId="568" priority="964" stopIfTrue="1">
      <formula>#REF!="Confidential"</formula>
    </cfRule>
  </conditionalFormatting>
  <conditionalFormatting sqref="J723">
    <cfRule type="expression" dxfId="567" priority="950" stopIfTrue="1">
      <formula>#REF!="Confidential"</formula>
    </cfRule>
  </conditionalFormatting>
  <conditionalFormatting sqref="J761">
    <cfRule type="expression" dxfId="566" priority="880" stopIfTrue="1">
      <formula>#REF!="Confidential"</formula>
    </cfRule>
  </conditionalFormatting>
  <conditionalFormatting sqref="J778:J779">
    <cfRule type="expression" dxfId="565" priority="916" stopIfTrue="1">
      <formula>#REF!="Confidential"</formula>
    </cfRule>
  </conditionalFormatting>
  <conditionalFormatting sqref="J811:J812">
    <cfRule type="expression" dxfId="564" priority="871" stopIfTrue="1">
      <formula>#REF!="Confidential"</formula>
    </cfRule>
  </conditionalFormatting>
  <conditionalFormatting sqref="J814:J815">
    <cfRule type="expression" dxfId="563" priority="869" stopIfTrue="1">
      <formula>#REF!="Confidential"</formula>
    </cfRule>
  </conditionalFormatting>
  <conditionalFormatting sqref="J868:J869">
    <cfRule type="expression" dxfId="562" priority="823" stopIfTrue="1">
      <formula>#REF!="Confidential"</formula>
    </cfRule>
  </conditionalFormatting>
  <conditionalFormatting sqref="J886:J887">
    <cfRule type="expression" dxfId="561" priority="811" stopIfTrue="1">
      <formula>#REF!="Confidential"</formula>
    </cfRule>
  </conditionalFormatting>
  <conditionalFormatting sqref="J900:J901">
    <cfRule type="expression" dxfId="560" priority="798" stopIfTrue="1">
      <formula>#REF!="Confidential"</formula>
    </cfRule>
  </conditionalFormatting>
  <conditionalFormatting sqref="J905">
    <cfRule type="expression" dxfId="559" priority="795" stopIfTrue="1">
      <formula>#REF!="Confidential"</formula>
    </cfRule>
  </conditionalFormatting>
  <conditionalFormatting sqref="J913">
    <cfRule type="expression" dxfId="558" priority="790" stopIfTrue="1">
      <formula>#REF!="Confidential"</formula>
    </cfRule>
  </conditionalFormatting>
  <conditionalFormatting sqref="J916">
    <cfRule type="expression" dxfId="557" priority="782" stopIfTrue="1">
      <formula>#REF!="Confidential"</formula>
    </cfRule>
  </conditionalFormatting>
  <conditionalFormatting sqref="J918:J920">
    <cfRule type="expression" dxfId="556" priority="320" stopIfTrue="1">
      <formula>#REF!="Confidential"</formula>
    </cfRule>
  </conditionalFormatting>
  <conditionalFormatting sqref="J930:J931">
    <cfRule type="expression" dxfId="555" priority="572" stopIfTrue="1">
      <formula>#REF!="Confidential"</formula>
    </cfRule>
  </conditionalFormatting>
  <conditionalFormatting sqref="J934">
    <cfRule type="expression" dxfId="554" priority="763" stopIfTrue="1">
      <formula>#REF!="Confidential"</formula>
    </cfRule>
  </conditionalFormatting>
  <conditionalFormatting sqref="J937">
    <cfRule type="expression" dxfId="553" priority="624" stopIfTrue="1">
      <formula>#REF!="Confidential"</formula>
    </cfRule>
  </conditionalFormatting>
  <conditionalFormatting sqref="J940">
    <cfRule type="expression" dxfId="552" priority="298" stopIfTrue="1">
      <formula>#REF!="Confidential"</formula>
    </cfRule>
  </conditionalFormatting>
  <conditionalFormatting sqref="J953:J954">
    <cfRule type="expression" dxfId="551" priority="741" stopIfTrue="1">
      <formula>#REF!="Confidential"</formula>
    </cfRule>
  </conditionalFormatting>
  <conditionalFormatting sqref="J964">
    <cfRule type="expression" dxfId="550" priority="565" stopIfTrue="1">
      <formula>#REF!="Confidential"</formula>
    </cfRule>
  </conditionalFormatting>
  <conditionalFormatting sqref="J977:J980">
    <cfRule type="expression" dxfId="549" priority="717" stopIfTrue="1">
      <formula>#REF!="Confidential"</formula>
    </cfRule>
  </conditionalFormatting>
  <conditionalFormatting sqref="J1007">
    <cfRule type="expression" dxfId="548" priority="702" stopIfTrue="1">
      <formula>#REF!="Confidential"</formula>
    </cfRule>
  </conditionalFormatting>
  <conditionalFormatting sqref="J1039">
    <cfRule type="expression" dxfId="547" priority="684" stopIfTrue="1">
      <formula>#REF!="Confidential"</formula>
    </cfRule>
  </conditionalFormatting>
  <conditionalFormatting sqref="J1044:J1045">
    <cfRule type="expression" dxfId="546" priority="319" stopIfTrue="1">
      <formula>#REF!="Confidential"</formula>
    </cfRule>
  </conditionalFormatting>
  <conditionalFormatting sqref="J1069">
    <cfRule type="expression" dxfId="545" priority="663" stopIfTrue="1">
      <formula>#REF!="Confidential"</formula>
    </cfRule>
  </conditionalFormatting>
  <conditionalFormatting sqref="J1221">
    <cfRule type="expression" dxfId="544" priority="610" stopIfTrue="1">
      <formula>#REF!="Confidential"</formula>
    </cfRule>
  </conditionalFormatting>
  <conditionalFormatting sqref="J1280">
    <cfRule type="expression" dxfId="543" priority="594" stopIfTrue="1">
      <formula>#REF!="Confidential"</formula>
    </cfRule>
  </conditionalFormatting>
  <conditionalFormatting sqref="J1285:J1287">
    <cfRule type="expression" dxfId="542" priority="593" stopIfTrue="1">
      <formula>#REF!="Confidential"</formula>
    </cfRule>
  </conditionalFormatting>
  <conditionalFormatting sqref="J1290">
    <cfRule type="expression" dxfId="541" priority="591" stopIfTrue="1">
      <formula>#REF!="Confidential"</formula>
    </cfRule>
  </conditionalFormatting>
  <conditionalFormatting sqref="J1321:J1322">
    <cfRule type="expression" dxfId="540" priority="582" stopIfTrue="1">
      <formula>#REF!="Confidential"</formula>
    </cfRule>
  </conditionalFormatting>
  <conditionalFormatting sqref="J1357:J1358">
    <cfRule type="expression" dxfId="539" priority="297" stopIfTrue="1">
      <formula>#REF!="Confidential"</formula>
    </cfRule>
  </conditionalFormatting>
  <conditionalFormatting sqref="J1379:J1381">
    <cfRule type="expression" dxfId="538" priority="524" stopIfTrue="1">
      <formula>#REF!="Confidential"</formula>
    </cfRule>
  </conditionalFormatting>
  <conditionalFormatting sqref="J1433:J1436">
    <cfRule type="expression" dxfId="537" priority="488" stopIfTrue="1">
      <formula>#REF!="Confidential"</formula>
    </cfRule>
  </conditionalFormatting>
  <conditionalFormatting sqref="J1439">
    <cfRule type="expression" dxfId="536" priority="318" stopIfTrue="1">
      <formula>#REF!="Confidential"</formula>
    </cfRule>
  </conditionalFormatting>
  <conditionalFormatting sqref="J1525:J1526">
    <cfRule type="expression" dxfId="535" priority="451" stopIfTrue="1">
      <formula>#REF!="Confidential"</formula>
    </cfRule>
  </conditionalFormatting>
  <conditionalFormatting sqref="J1542">
    <cfRule type="expression" dxfId="534" priority="447" stopIfTrue="1">
      <formula>#REF!="Confidential"</formula>
    </cfRule>
  </conditionalFormatting>
  <conditionalFormatting sqref="J1551">
    <cfRule type="expression" dxfId="533" priority="436" stopIfTrue="1">
      <formula>#REF!="Confidential"</formula>
    </cfRule>
  </conditionalFormatting>
  <conditionalFormatting sqref="J1583:J1584">
    <cfRule type="expression" dxfId="532" priority="417" stopIfTrue="1">
      <formula>#REF!="Confidential"</formula>
    </cfRule>
  </conditionalFormatting>
  <conditionalFormatting sqref="J1586">
    <cfRule type="expression" dxfId="531" priority="288" stopIfTrue="1">
      <formula>#REF!="Confidential"</formula>
    </cfRule>
  </conditionalFormatting>
  <conditionalFormatting sqref="J1596:J1597">
    <cfRule type="expression" dxfId="530" priority="411" stopIfTrue="1">
      <formula>#REF!="Confidential"</formula>
    </cfRule>
  </conditionalFormatting>
  <conditionalFormatting sqref="J1600:J1601">
    <cfRule type="expression" dxfId="529" priority="410" stopIfTrue="1">
      <formula>#REF!="Confidential"</formula>
    </cfRule>
  </conditionalFormatting>
  <conditionalFormatting sqref="J1642:J1646">
    <cfRule type="expression" dxfId="528" priority="388" stopIfTrue="1">
      <formula>#REF!="Confidential"</formula>
    </cfRule>
  </conditionalFormatting>
  <conditionalFormatting sqref="J1655">
    <cfRule type="expression" dxfId="527" priority="381" stopIfTrue="1">
      <formula>#REF!="Confidential"</formula>
    </cfRule>
  </conditionalFormatting>
  <conditionalFormatting sqref="J1797">
    <cfRule type="expression" dxfId="526" priority="296" stopIfTrue="1">
      <formula>#REF!="Confidential"</formula>
    </cfRule>
  </conditionalFormatting>
  <conditionalFormatting sqref="J1896">
    <cfRule type="expression" dxfId="525" priority="272" stopIfTrue="1">
      <formula>#REF!="Confidential"</formula>
    </cfRule>
  </conditionalFormatting>
  <conditionalFormatting sqref="J1911">
    <cfRule type="expression" dxfId="524" priority="264" stopIfTrue="1">
      <formula>#REF!="Confidential"</formula>
    </cfRule>
  </conditionalFormatting>
  <conditionalFormatting sqref="J1914">
    <cfRule type="expression" dxfId="523" priority="262" stopIfTrue="1">
      <formula>#REF!="Confidential"</formula>
    </cfRule>
  </conditionalFormatting>
  <conditionalFormatting sqref="J1948">
    <cfRule type="expression" dxfId="522" priority="236" stopIfTrue="1">
      <formula>#REF!="Confidential"</formula>
    </cfRule>
  </conditionalFormatting>
  <conditionalFormatting sqref="J2040">
    <cfRule type="expression" dxfId="521" priority="200" stopIfTrue="1">
      <formula>#REF!="Confidential"</formula>
    </cfRule>
  </conditionalFormatting>
  <conditionalFormatting sqref="J2326">
    <cfRule type="expression" dxfId="520" priority="110" stopIfTrue="1">
      <formula>#REF!="Confidential"</formula>
    </cfRule>
  </conditionalFormatting>
  <conditionalFormatting sqref="J2328">
    <cfRule type="expression" dxfId="519" priority="109" stopIfTrue="1">
      <formula>#REF!="Confidential"</formula>
    </cfRule>
  </conditionalFormatting>
  <conditionalFormatting sqref="J582:K582">
    <cfRule type="expression" dxfId="518" priority="1009" stopIfTrue="1">
      <formula>#REF!="Confidential"</formula>
    </cfRule>
  </conditionalFormatting>
  <conditionalFormatting sqref="J742:K742">
    <cfRule type="expression" dxfId="517" priority="934" stopIfTrue="1">
      <formula>#REF!="Confidential"</formula>
    </cfRule>
  </conditionalFormatting>
  <conditionalFormatting sqref="J809:K809">
    <cfRule type="expression" dxfId="516" priority="876" stopIfTrue="1">
      <formula>#REF!="Confidential"</formula>
    </cfRule>
  </conditionalFormatting>
  <conditionalFormatting sqref="J850:K850">
    <cfRule type="expression" dxfId="515" priority="838" stopIfTrue="1">
      <formula>#REF!="Confidential"</formula>
    </cfRule>
  </conditionalFormatting>
  <conditionalFormatting sqref="J876:K876">
    <cfRule type="expression" dxfId="514" priority="821" stopIfTrue="1">
      <formula>#REF!="Confidential"</formula>
    </cfRule>
  </conditionalFormatting>
  <conditionalFormatting sqref="J1074:K1074">
    <cfRule type="expression" dxfId="513" priority="658" stopIfTrue="1">
      <formula>#REF!="Confidential"</formula>
    </cfRule>
  </conditionalFormatting>
  <conditionalFormatting sqref="J1279:K1279">
    <cfRule type="expression" dxfId="512" priority="596" stopIfTrue="1">
      <formula>#REF!="Confidential"</formula>
    </cfRule>
  </conditionalFormatting>
  <conditionalFormatting sqref="J1360:K1360">
    <cfRule type="expression" dxfId="511" priority="545" stopIfTrue="1">
      <formula>#REF!="Confidential"</formula>
    </cfRule>
  </conditionalFormatting>
  <conditionalFormatting sqref="J1429:K1429">
    <cfRule type="expression" dxfId="510" priority="496" stopIfTrue="1">
      <formula>#REF!="Confidential"</formula>
    </cfRule>
  </conditionalFormatting>
  <conditionalFormatting sqref="J1550:K1550">
    <cfRule type="expression" dxfId="509" priority="440" stopIfTrue="1">
      <formula>#REF!="Confidential"</formula>
    </cfRule>
  </conditionalFormatting>
  <conditionalFormatting sqref="J654:Y654">
    <cfRule type="expression" dxfId="508" priority="991" stopIfTrue="1">
      <formula>#REF!="Confidential"</formula>
    </cfRule>
  </conditionalFormatting>
  <conditionalFormatting sqref="J1276:Y1276">
    <cfRule type="expression" dxfId="507" priority="602" stopIfTrue="1">
      <formula>#REF!="Confidential"</formula>
    </cfRule>
  </conditionalFormatting>
  <conditionalFormatting sqref="K550">
    <cfRule type="expression" dxfId="506" priority="1023" stopIfTrue="1">
      <formula>#REF!="Confidential"</formula>
    </cfRule>
  </conditionalFormatting>
  <conditionalFormatting sqref="K639">
    <cfRule type="expression" dxfId="505" priority="999" stopIfTrue="1">
      <formula>#REF!="Confidential"</formula>
    </cfRule>
  </conditionalFormatting>
  <conditionalFormatting sqref="K761">
    <cfRule type="expression" dxfId="504" priority="881" stopIfTrue="1">
      <formula>#REF!="Confidential"</formula>
    </cfRule>
  </conditionalFormatting>
  <conditionalFormatting sqref="K779">
    <cfRule type="expression" dxfId="503" priority="917" stopIfTrue="1">
      <formula>#REF!="Confidential"</formula>
    </cfRule>
  </conditionalFormatting>
  <conditionalFormatting sqref="K790">
    <cfRule type="expression" dxfId="502" priority="896" stopIfTrue="1">
      <formula>#REF!="Confidential"</formula>
    </cfRule>
  </conditionalFormatting>
  <conditionalFormatting sqref="K802:K803">
    <cfRule type="expression" dxfId="501" priority="884" stopIfTrue="1">
      <formula>#REF!="Confidential"</formula>
    </cfRule>
  </conditionalFormatting>
  <conditionalFormatting sqref="K814">
    <cfRule type="expression" dxfId="500" priority="870" stopIfTrue="1">
      <formula>#REF!="Confidential"</formula>
    </cfRule>
  </conditionalFormatting>
  <conditionalFormatting sqref="K920">
    <cfRule type="expression" dxfId="499" priority="780" stopIfTrue="1">
      <formula>#REF!="Confidential"</formula>
    </cfRule>
  </conditionalFormatting>
  <conditionalFormatting sqref="K957">
    <cfRule type="expression" dxfId="498" priority="738" stopIfTrue="1">
      <formula>#REF!="Confidential"</formula>
    </cfRule>
  </conditionalFormatting>
  <conditionalFormatting sqref="K960">
    <cfRule type="expression" dxfId="497" priority="736" stopIfTrue="1">
      <formula>#REF!="Confidential"</formula>
    </cfRule>
  </conditionalFormatting>
  <conditionalFormatting sqref="K968">
    <cfRule type="expression" dxfId="496" priority="731" stopIfTrue="1">
      <formula>#REF!="Confidential"</formula>
    </cfRule>
  </conditionalFormatting>
  <conditionalFormatting sqref="K971">
    <cfRule type="expression" dxfId="495" priority="728" stopIfTrue="1">
      <formula>#REF!="Confidential"</formula>
    </cfRule>
  </conditionalFormatting>
  <conditionalFormatting sqref="K1011">
    <cfRule type="expression" dxfId="494" priority="701" stopIfTrue="1">
      <formula>#REF!="Confidential"</formula>
    </cfRule>
  </conditionalFormatting>
  <conditionalFormatting sqref="K1014:K1015">
    <cfRule type="expression" dxfId="493" priority="697" stopIfTrue="1">
      <formula>#REF!="Confidential"</formula>
    </cfRule>
  </conditionalFormatting>
  <conditionalFormatting sqref="K1055">
    <cfRule type="expression" dxfId="492" priority="159" stopIfTrue="1">
      <formula>#REF!="Confidential"</formula>
    </cfRule>
  </conditionalFormatting>
  <conditionalFormatting sqref="K1071:K1072">
    <cfRule type="expression" dxfId="491" priority="660" stopIfTrue="1">
      <formula>#REF!="Confidential"</formula>
    </cfRule>
  </conditionalFormatting>
  <conditionalFormatting sqref="K1122">
    <cfRule type="expression" dxfId="490" priority="152" stopIfTrue="1">
      <formula>#REF!="Confidential"</formula>
    </cfRule>
  </conditionalFormatting>
  <conditionalFormatting sqref="K1208:K1209">
    <cfRule type="expression" dxfId="489" priority="620" stopIfTrue="1">
      <formula>#REF!="Confidential"</formula>
    </cfRule>
  </conditionalFormatting>
  <conditionalFormatting sqref="K1498">
    <cfRule type="expression" dxfId="488" priority="462" stopIfTrue="1">
      <formula>#REF!="Confidential"</formula>
    </cfRule>
  </conditionalFormatting>
  <conditionalFormatting sqref="K1500">
    <cfRule type="expression" dxfId="487" priority="461" stopIfTrue="1">
      <formula>#REF!="Confidential"</formula>
    </cfRule>
  </conditionalFormatting>
  <conditionalFormatting sqref="K1502">
    <cfRule type="expression" dxfId="486" priority="460" stopIfTrue="1">
      <formula>#REF!="Confidential"</formula>
    </cfRule>
  </conditionalFormatting>
  <conditionalFormatting sqref="K1549">
    <cfRule type="expression" dxfId="485" priority="139" stopIfTrue="1">
      <formula>#REF!="Confidential"</formula>
    </cfRule>
  </conditionalFormatting>
  <conditionalFormatting sqref="K1636">
    <cfRule type="expression" dxfId="484" priority="393" stopIfTrue="1">
      <formula>#REF!="Confidential"</formula>
    </cfRule>
  </conditionalFormatting>
  <conditionalFormatting sqref="K1732">
    <cfRule type="expression" dxfId="483" priority="347" stopIfTrue="1">
      <formula>#REF!="Confidential"</formula>
    </cfRule>
  </conditionalFormatting>
  <conditionalFormatting sqref="K1946:K1947">
    <cfRule type="expression" dxfId="482" priority="238" stopIfTrue="1">
      <formula>#REF!="Confidential"</formula>
    </cfRule>
  </conditionalFormatting>
  <conditionalFormatting sqref="K2326">
    <cfRule type="expression" dxfId="481" priority="111" stopIfTrue="1">
      <formula>#REF!="Confidential"</formula>
    </cfRule>
  </conditionalFormatting>
  <conditionalFormatting sqref="K2363:K2364">
    <cfRule type="expression" dxfId="480" priority="83" stopIfTrue="1">
      <formula>#REF!="Confidential"</formula>
    </cfRule>
  </conditionalFormatting>
  <conditionalFormatting sqref="K2392:K2393">
    <cfRule type="expression" dxfId="479" priority="72" stopIfTrue="1">
      <formula>#REF!="Confidential"</formula>
    </cfRule>
  </conditionalFormatting>
  <conditionalFormatting sqref="K956:M956">
    <cfRule type="expression" dxfId="478" priority="740" stopIfTrue="1">
      <formula>#REF!="Confidential"</formula>
    </cfRule>
  </conditionalFormatting>
  <conditionalFormatting sqref="K1032:M1032">
    <cfRule type="expression" dxfId="477" priority="688" stopIfTrue="1">
      <formula>#REF!="Confidential"</formula>
    </cfRule>
  </conditionalFormatting>
  <conditionalFormatting sqref="K558:O558">
    <cfRule type="expression" dxfId="476" priority="1016" stopIfTrue="1">
      <formula>#REF!="Confidential"</formula>
    </cfRule>
  </conditionalFormatting>
  <conditionalFormatting sqref="K740:Q740">
    <cfRule type="expression" dxfId="475" priority="935" stopIfTrue="1">
      <formula>#REF!="Confidential"</formula>
    </cfRule>
  </conditionalFormatting>
  <conditionalFormatting sqref="K625:Y625">
    <cfRule type="expression" dxfId="474" priority="1002" stopIfTrue="1">
      <formula>#REF!="Confidential"</formula>
    </cfRule>
  </conditionalFormatting>
  <conditionalFormatting sqref="K895:Y895">
    <cfRule type="expression" dxfId="473" priority="800" stopIfTrue="1">
      <formula>#REF!="Confidential"</formula>
    </cfRule>
  </conditionalFormatting>
  <conditionalFormatting sqref="K929:Y931">
    <cfRule type="expression" dxfId="472" priority="575" stopIfTrue="1">
      <formula>#REF!="Confidential"</formula>
    </cfRule>
  </conditionalFormatting>
  <conditionalFormatting sqref="K1347:Y1347">
    <cfRule type="expression" dxfId="471" priority="463" stopIfTrue="1">
      <formula>#REF!="Confidential"</formula>
    </cfRule>
  </conditionalFormatting>
  <conditionalFormatting sqref="L1498:Y1498">
    <cfRule type="expression" dxfId="470" priority="466" stopIfTrue="1">
      <formula>#REF!="Confidential"</formula>
    </cfRule>
  </conditionalFormatting>
  <conditionalFormatting sqref="L1550:Y1550">
    <cfRule type="expression" dxfId="469" priority="441" stopIfTrue="1">
      <formula>#REF!="Confidential"</formula>
    </cfRule>
  </conditionalFormatting>
  <conditionalFormatting sqref="N1011">
    <cfRule type="expression" dxfId="468" priority="700" stopIfTrue="1">
      <formula>#REF!="Confidential"</formula>
    </cfRule>
  </conditionalFormatting>
  <conditionalFormatting sqref="P687:R687">
    <cfRule type="expression" dxfId="467" priority="669" stopIfTrue="1">
      <formula>#REF!="Confidential"</formula>
    </cfRule>
  </conditionalFormatting>
  <conditionalFormatting sqref="P583:S583">
    <cfRule type="expression" dxfId="466" priority="766" stopIfTrue="1">
      <formula>#REF!="Confidential"</formula>
    </cfRule>
  </conditionalFormatting>
  <conditionalFormatting sqref="Q1064:R1064">
    <cfRule type="expression" dxfId="465" priority="1034" stopIfTrue="1">
      <formula>#REF!="Confidential"</formula>
    </cfRule>
  </conditionalFormatting>
  <conditionalFormatting sqref="W603:Y603">
    <cfRule type="expression" dxfId="464" priority="980" stopIfTrue="1">
      <formula>#REF!="Confidential"</formula>
    </cfRule>
  </conditionalFormatting>
  <conditionalFormatting sqref="Z21">
    <cfRule type="expression" dxfId="463" priority="68" stopIfTrue="1">
      <formula>#REF!="Confidential"</formula>
    </cfRule>
  </conditionalFormatting>
  <conditionalFormatting sqref="Z277">
    <cfRule type="expression" dxfId="462" priority="147" stopIfTrue="1">
      <formula>#REF!="Confidential"</formula>
    </cfRule>
  </conditionalFormatting>
  <conditionalFormatting sqref="Z456">
    <cfRule type="expression" dxfId="461" priority="806" stopIfTrue="1">
      <formula>#REF!="Confidential"</formula>
    </cfRule>
  </conditionalFormatting>
  <conditionalFormatting sqref="Z581">
    <cfRule type="expression" dxfId="460" priority="539" stopIfTrue="1">
      <formula>#REF!="Confidential"</formula>
    </cfRule>
  </conditionalFormatting>
  <conditionalFormatting sqref="Z654">
    <cfRule type="expression" dxfId="459" priority="989" stopIfTrue="1">
      <formula>#REF!="Confidential"</formula>
    </cfRule>
  </conditionalFormatting>
  <conditionalFormatting sqref="Z668:Z669">
    <cfRule type="expression" dxfId="458" priority="983" stopIfTrue="1">
      <formula>#REF!="Confidential"</formula>
    </cfRule>
  </conditionalFormatting>
  <conditionalFormatting sqref="Z841">
    <cfRule type="expression" dxfId="457" priority="850" stopIfTrue="1">
      <formula>#REF!="Confidential"</formula>
    </cfRule>
  </conditionalFormatting>
  <conditionalFormatting sqref="Z845">
    <cfRule type="expression" dxfId="456" priority="846" stopIfTrue="1">
      <formula>#REF!="Confidential"</formula>
    </cfRule>
  </conditionalFormatting>
  <conditionalFormatting sqref="Z852">
    <cfRule type="expression" dxfId="455" priority="835" stopIfTrue="1">
      <formula>#REF!="Confidential"</formula>
    </cfRule>
  </conditionalFormatting>
  <conditionalFormatting sqref="Z928:Z931">
    <cfRule type="expression" dxfId="454" priority="771" stopIfTrue="1">
      <formula>#REF!="Confidential"</formula>
    </cfRule>
  </conditionalFormatting>
  <conditionalFormatting sqref="Z947">
    <cfRule type="expression" dxfId="453" priority="745" stopIfTrue="1">
      <formula>#REF!="Confidential"</formula>
    </cfRule>
  </conditionalFormatting>
  <conditionalFormatting sqref="Z956:Z957">
    <cfRule type="expression" dxfId="452" priority="665" stopIfTrue="1">
      <formula>#REF!="Confidential"</formula>
    </cfRule>
  </conditionalFormatting>
  <conditionalFormatting sqref="Z1032">
    <cfRule type="expression" dxfId="451" priority="687" stopIfTrue="1">
      <formula>#REF!="Confidential"</formula>
    </cfRule>
  </conditionalFormatting>
  <conditionalFormatting sqref="Z1114">
    <cfRule type="expression" dxfId="450" priority="648" stopIfTrue="1">
      <formula>#REF!="Confidential"</formula>
    </cfRule>
  </conditionalFormatting>
  <conditionalFormatting sqref="Z1208:Z1209">
    <cfRule type="expression" dxfId="449" priority="616" stopIfTrue="1">
      <formula>#REF!="Confidential"</formula>
    </cfRule>
  </conditionalFormatting>
  <conditionalFormatting sqref="Z1224">
    <cfRule type="expression" dxfId="448" priority="608" stopIfTrue="1">
      <formula>#REF!="Confidential"</formula>
    </cfRule>
  </conditionalFormatting>
  <conditionalFormatting sqref="Z1356">
    <cfRule type="expression" dxfId="447" priority="549" stopIfTrue="1">
      <formula>#REF!="Confidential"</formula>
    </cfRule>
  </conditionalFormatting>
  <conditionalFormatting sqref="Z1389:Z1390">
    <cfRule type="expression" dxfId="446" priority="521" stopIfTrue="1">
      <formula>#REF!="Confidential"</formula>
    </cfRule>
  </conditionalFormatting>
  <conditionalFormatting sqref="Z1392">
    <cfRule type="expression" dxfId="445" priority="517" stopIfTrue="1">
      <formula>#REF!="Confidential"</formula>
    </cfRule>
  </conditionalFormatting>
  <conditionalFormatting sqref="Z1421">
    <cfRule type="expression" dxfId="444" priority="506" stopIfTrue="1">
      <formula>#REF!="Confidential"</formula>
    </cfRule>
  </conditionalFormatting>
  <conditionalFormatting sqref="Z1500:Z1502">
    <cfRule type="expression" dxfId="443" priority="459" stopIfTrue="1">
      <formula>#REF!="Confidential"</formula>
    </cfRule>
  </conditionalFormatting>
  <conditionalFormatting sqref="Z1613">
    <cfRule type="expression" dxfId="442" priority="405" stopIfTrue="1">
      <formula>#REF!="Confidential"</formula>
    </cfRule>
  </conditionalFormatting>
  <conditionalFormatting sqref="Z2287">
    <cfRule type="expression" dxfId="441" priority="1037" stopIfTrue="1">
      <formula>#REF!="Confidential"</formula>
    </cfRule>
  </conditionalFormatting>
  <conditionalFormatting sqref="Z625:AA625">
    <cfRule type="expression" dxfId="440" priority="970" stopIfTrue="1">
      <formula>#REF!="Confidential"</formula>
    </cfRule>
  </conditionalFormatting>
  <conditionalFormatting sqref="Z1533:AA1533">
    <cfRule type="expression" dxfId="439" priority="450" stopIfTrue="1">
      <formula>#REF!="Confidential"</formula>
    </cfRule>
  </conditionalFormatting>
  <conditionalFormatting sqref="Z1546:AA1546">
    <cfRule type="expression" dxfId="438" priority="443" stopIfTrue="1">
      <formula>#REF!="Confidential"</formula>
    </cfRule>
  </conditionalFormatting>
  <conditionalFormatting sqref="Z1696:AA1696">
    <cfRule type="expression" dxfId="437" priority="170" stopIfTrue="1">
      <formula>#REF!="Confidential"</formula>
    </cfRule>
  </conditionalFormatting>
  <conditionalFormatting sqref="Z1731:AA1732">
    <cfRule type="expression" dxfId="436" priority="346" stopIfTrue="1">
      <formula>#REF!="Confidential"</formula>
    </cfRule>
  </conditionalFormatting>
  <conditionalFormatting sqref="Z2135:AA2135">
    <cfRule type="expression" dxfId="435" priority="164" stopIfTrue="1">
      <formula>#REF!="Confidential"</formula>
    </cfRule>
  </conditionalFormatting>
  <conditionalFormatting sqref="Z2348:AA2348">
    <cfRule type="expression" dxfId="434" priority="88" stopIfTrue="1">
      <formula>#REF!="Confidential"</formula>
    </cfRule>
  </conditionalFormatting>
  <conditionalFormatting sqref="AA199">
    <cfRule type="expression" dxfId="433" priority="726" stopIfTrue="1">
      <formula>#REF!="Confidential"</formula>
    </cfRule>
  </conditionalFormatting>
  <conditionalFormatting sqref="AA390">
    <cfRule type="expression" dxfId="432" priority="933" stopIfTrue="1">
      <formula>#REF!="Confidential"</formula>
    </cfRule>
  </conditionalFormatting>
  <conditionalFormatting sqref="AA458">
    <cfRule type="expression" dxfId="431" priority="971" stopIfTrue="1">
      <formula>#REF!="Confidential"</formula>
    </cfRule>
  </conditionalFormatting>
  <conditionalFormatting sqref="AA464">
    <cfRule type="expression" dxfId="430" priority="972" stopIfTrue="1">
      <formula>#REF!="Confidential"</formula>
    </cfRule>
  </conditionalFormatting>
  <conditionalFormatting sqref="AA485">
    <cfRule type="expression" dxfId="429" priority="891" stopIfTrue="1">
      <formula>#REF!="Confidential"</formula>
    </cfRule>
  </conditionalFormatting>
  <conditionalFormatting sqref="AA495">
    <cfRule type="expression" dxfId="428" priority="789" stopIfTrue="1">
      <formula>#REF!="Confidential"</formula>
    </cfRule>
  </conditionalFormatting>
  <conditionalFormatting sqref="AA504">
    <cfRule type="expression" dxfId="427" priority="951" stopIfTrue="1">
      <formula>#REF!="Confidential"</formula>
    </cfRule>
  </conditionalFormatting>
  <conditionalFormatting sqref="AA508">
    <cfRule type="expression" dxfId="426" priority="973" stopIfTrue="1">
      <formula>#REF!="Confidential"</formula>
    </cfRule>
  </conditionalFormatting>
  <conditionalFormatting sqref="AA515">
    <cfRule type="expression" dxfId="425" priority="974" stopIfTrue="1">
      <formula>#REF!="Confidential"</formula>
    </cfRule>
  </conditionalFormatting>
  <conditionalFormatting sqref="AA517">
    <cfRule type="expression" dxfId="424" priority="975" stopIfTrue="1">
      <formula>#REF!="Confidential"</formula>
    </cfRule>
  </conditionalFormatting>
  <conditionalFormatting sqref="AA567">
    <cfRule type="expression" dxfId="423" priority="1011" stopIfTrue="1">
      <formula>#REF!="Confidential"</formula>
    </cfRule>
  </conditionalFormatting>
  <conditionalFormatting sqref="AA620">
    <cfRule type="expression" dxfId="422" priority="976" stopIfTrue="1">
      <formula>#REF!="Confidential"</formula>
    </cfRule>
  </conditionalFormatting>
  <conditionalFormatting sqref="AA653:AA654">
    <cfRule type="expression" dxfId="421" priority="990" stopIfTrue="1">
      <formula>#REF!="Confidential"</formula>
    </cfRule>
  </conditionalFormatting>
  <conditionalFormatting sqref="AA670:AA671">
    <cfRule type="expression" dxfId="420" priority="977" stopIfTrue="1">
      <formula>#REF!="Confidential"</formula>
    </cfRule>
  </conditionalFormatting>
  <conditionalFormatting sqref="AA686">
    <cfRule type="expression" dxfId="419" priority="960" stopIfTrue="1">
      <formula>#REF!="Confidential"</formula>
    </cfRule>
  </conditionalFormatting>
  <conditionalFormatting sqref="AA738:AA739">
    <cfRule type="expression" dxfId="418" priority="936" stopIfTrue="1">
      <formula>#REF!="Confidential"</formula>
    </cfRule>
  </conditionalFormatting>
  <conditionalFormatting sqref="AA744">
    <cfRule type="expression" dxfId="417" priority="683" stopIfTrue="1">
      <formula>#REF!="Confidential"</formula>
    </cfRule>
  </conditionalFormatting>
  <conditionalFormatting sqref="AA757:AA758">
    <cfRule type="expression" dxfId="416" priority="733" stopIfTrue="1">
      <formula>#REF!="Confidential"</formula>
    </cfRule>
  </conditionalFormatting>
  <conditionalFormatting sqref="AA786">
    <cfRule type="expression" dxfId="415" priority="269" stopIfTrue="1">
      <formula>#REF!="Confidential"</formula>
    </cfRule>
  </conditionalFormatting>
  <conditionalFormatting sqref="AA795:AA796">
    <cfRule type="expression" dxfId="414" priority="893" stopIfTrue="1">
      <formula>#REF!="Confidential"</formula>
    </cfRule>
  </conditionalFormatting>
  <conditionalFormatting sqref="AA799">
    <cfRule type="expression" dxfId="413" priority="890" stopIfTrue="1">
      <formula>#REF!="Confidential"</formula>
    </cfRule>
  </conditionalFormatting>
  <conditionalFormatting sqref="AA805">
    <cfRule type="expression" dxfId="412" priority="882" stopIfTrue="1">
      <formula>#REF!="Confidential"</formula>
    </cfRule>
  </conditionalFormatting>
  <conditionalFormatting sqref="AA809:AA810">
    <cfRule type="expression" dxfId="411" priority="492" stopIfTrue="1">
      <formula>#REF!="Confidential"</formula>
    </cfRule>
  </conditionalFormatting>
  <conditionalFormatting sqref="AA829">
    <cfRule type="expression" dxfId="410" priority="856" stopIfTrue="1">
      <formula>#REF!="Confidential"</formula>
    </cfRule>
  </conditionalFormatting>
  <conditionalFormatting sqref="AA845">
    <cfRule type="expression" dxfId="409" priority="845" stopIfTrue="1">
      <formula>#REF!="Confidential"</formula>
    </cfRule>
  </conditionalFormatting>
  <conditionalFormatting sqref="AA847">
    <cfRule type="expression" dxfId="408" priority="841" stopIfTrue="1">
      <formula>#REF!="Confidential"</formula>
    </cfRule>
  </conditionalFormatting>
  <conditionalFormatting sqref="AA852">
    <cfRule type="expression" dxfId="407" priority="834" stopIfTrue="1">
      <formula>#REF!="Confidential"</formula>
    </cfRule>
  </conditionalFormatting>
  <conditionalFormatting sqref="AA854">
    <cfRule type="expression" dxfId="406" priority="831" stopIfTrue="1">
      <formula>#REF!="Confidential"</formula>
    </cfRule>
  </conditionalFormatting>
  <conditionalFormatting sqref="AA868">
    <cfRule type="expression" dxfId="405" priority="824" stopIfTrue="1">
      <formula>#REF!="Confidential"</formula>
    </cfRule>
  </conditionalFormatting>
  <conditionalFormatting sqref="AA871">
    <cfRule type="expression" dxfId="404" priority="208" stopIfTrue="1">
      <formula>#REF!="Confidential"</formula>
    </cfRule>
  </conditionalFormatting>
  <conditionalFormatting sqref="AA879">
    <cfRule type="expression" dxfId="403" priority="818" stopIfTrue="1">
      <formula>#REF!="Confidential"</formula>
    </cfRule>
  </conditionalFormatting>
  <conditionalFormatting sqref="AA886">
    <cfRule type="expression" dxfId="402" priority="816" stopIfTrue="1">
      <formula>#REF!="Confidential"</formula>
    </cfRule>
  </conditionalFormatting>
  <conditionalFormatting sqref="AA914">
    <cfRule type="expression" dxfId="401" priority="788" stopIfTrue="1">
      <formula>#REF!="Confidential"</formula>
    </cfRule>
  </conditionalFormatting>
  <conditionalFormatting sqref="AA917">
    <cfRule type="expression" dxfId="400" priority="784" stopIfTrue="1">
      <formula>#REF!="Confidential"</formula>
    </cfRule>
  </conditionalFormatting>
  <conditionalFormatting sqref="AA926">
    <cfRule type="expression" dxfId="399" priority="777" stopIfTrue="1">
      <formula>#REF!="Confidential"</formula>
    </cfRule>
  </conditionalFormatting>
  <conditionalFormatting sqref="AA928">
    <cfRule type="expression" dxfId="398" priority="85" stopIfTrue="1">
      <formula>#REF!="Confidential"</formula>
    </cfRule>
  </conditionalFormatting>
  <conditionalFormatting sqref="AA930:AA931">
    <cfRule type="expression" dxfId="397" priority="574" stopIfTrue="1">
      <formula>#REF!="Confidential"</formula>
    </cfRule>
  </conditionalFormatting>
  <conditionalFormatting sqref="AA942:AA943">
    <cfRule type="expression" dxfId="396" priority="754" stopIfTrue="1">
      <formula>#REF!="Confidential"</formula>
    </cfRule>
  </conditionalFormatting>
  <conditionalFormatting sqref="AA968">
    <cfRule type="expression" dxfId="395" priority="730" stopIfTrue="1">
      <formula>#REF!="Confidential"</formula>
    </cfRule>
  </conditionalFormatting>
  <conditionalFormatting sqref="AA1038">
    <cfRule type="expression" dxfId="394" priority="685" stopIfTrue="1">
      <formula>#REF!="Confidential"</formula>
    </cfRule>
  </conditionalFormatting>
  <conditionalFormatting sqref="AA1130">
    <cfRule type="expression" dxfId="393" priority="357" stopIfTrue="1">
      <formula>#REF!="Confidential"</formula>
    </cfRule>
  </conditionalFormatting>
  <conditionalFormatting sqref="AA1170">
    <cfRule type="expression" dxfId="392" priority="631" stopIfTrue="1">
      <formula>#REF!="Confidential"</formula>
    </cfRule>
  </conditionalFormatting>
  <conditionalFormatting sqref="AA1309">
    <cfRule type="expression" dxfId="391" priority="529" stopIfTrue="1">
      <formula>#REF!="Confidential"</formula>
    </cfRule>
  </conditionalFormatting>
  <conditionalFormatting sqref="AA1371">
    <cfRule type="expression" dxfId="390" priority="101" stopIfTrue="1">
      <formula>#REF!="Confidential"</formula>
    </cfRule>
  </conditionalFormatting>
  <conditionalFormatting sqref="AA1389:AA1390">
    <cfRule type="expression" dxfId="389" priority="520" stopIfTrue="1">
      <formula>#REF!="Confidential"</formula>
    </cfRule>
  </conditionalFormatting>
  <conditionalFormatting sqref="AA1426">
    <cfRule type="expression" dxfId="388" priority="498" stopIfTrue="1">
      <formula>#REF!="Confidential"</formula>
    </cfRule>
  </conditionalFormatting>
  <conditionalFormatting sqref="AA1430">
    <cfRule type="expression" dxfId="387" priority="494" stopIfTrue="1">
      <formula>#REF!="Confidential"</formula>
    </cfRule>
  </conditionalFormatting>
  <conditionalFormatting sqref="AA1502">
    <cfRule type="expression" dxfId="386" priority="458" stopIfTrue="1">
      <formula>#REF!="Confidential"</formula>
    </cfRule>
  </conditionalFormatting>
  <conditionalFormatting sqref="AA1541">
    <cfRule type="expression" dxfId="385" priority="143" stopIfTrue="1">
      <formula>#REF!="Confidential"</formula>
    </cfRule>
  </conditionalFormatting>
  <conditionalFormatting sqref="AA1603:AA1604">
    <cfRule type="expression" dxfId="384" priority="408" stopIfTrue="1">
      <formula>#REF!="Confidential"</formula>
    </cfRule>
  </conditionalFormatting>
  <conditionalFormatting sqref="AA1654">
    <cfRule type="expression" dxfId="383" priority="384" stopIfTrue="1">
      <formula>#REF!="Confidential"</formula>
    </cfRule>
  </conditionalFormatting>
  <conditionalFormatting sqref="AA1695">
    <cfRule type="expression" dxfId="382" priority="368" stopIfTrue="1">
      <formula>#REF!="Confidential"</formula>
    </cfRule>
  </conditionalFormatting>
  <conditionalFormatting sqref="AA1698">
    <cfRule type="expression" dxfId="381" priority="366" stopIfTrue="1">
      <formula>#REF!="Confidential"</formula>
    </cfRule>
  </conditionalFormatting>
  <conditionalFormatting sqref="AA1717">
    <cfRule type="expression" dxfId="380" priority="363" stopIfTrue="1">
      <formula>#REF!="Confidential"</formula>
    </cfRule>
  </conditionalFormatting>
  <conditionalFormatting sqref="AA1720">
    <cfRule type="expression" dxfId="379" priority="361" stopIfTrue="1">
      <formula>#REF!="Confidential"</formula>
    </cfRule>
  </conditionalFormatting>
  <conditionalFormatting sqref="AA1726">
    <cfRule type="expression" dxfId="378" priority="358" stopIfTrue="1">
      <formula>#REF!="Confidential"</formula>
    </cfRule>
  </conditionalFormatting>
  <conditionalFormatting sqref="AA1729">
    <cfRule type="expression" dxfId="377" priority="173" stopIfTrue="1">
      <formula>#REF!="Confidential"</formula>
    </cfRule>
  </conditionalFormatting>
  <conditionalFormatting sqref="AA1762">
    <cfRule type="expression" dxfId="376" priority="79" stopIfTrue="1">
      <formula>#REF!="Confidential"</formula>
    </cfRule>
  </conditionalFormatting>
  <conditionalFormatting sqref="AA1764">
    <cfRule type="expression" dxfId="375" priority="326" stopIfTrue="1">
      <formula>#REF!="Confidential"</formula>
    </cfRule>
  </conditionalFormatting>
  <conditionalFormatting sqref="AA1772">
    <cfRule type="expression" dxfId="374" priority="323" stopIfTrue="1">
      <formula>#REF!="Confidential"</formula>
    </cfRule>
  </conditionalFormatting>
  <conditionalFormatting sqref="AA1779">
    <cfRule type="expression" dxfId="373" priority="322" stopIfTrue="1">
      <formula>#REF!="Confidential"</formula>
    </cfRule>
  </conditionalFormatting>
  <conditionalFormatting sqref="AA1794">
    <cfRule type="expression" dxfId="372" priority="311" stopIfTrue="1">
      <formula>#REF!="Confidential"</formula>
    </cfRule>
  </conditionalFormatting>
  <conditionalFormatting sqref="AA1805">
    <cfRule type="expression" dxfId="371" priority="309" stopIfTrue="1">
      <formula>#REF!="Confidential"</formula>
    </cfRule>
  </conditionalFormatting>
  <conditionalFormatting sqref="AA1815">
    <cfRule type="expression" dxfId="370" priority="308" stopIfTrue="1">
      <formula>#REF!="Confidential"</formula>
    </cfRule>
  </conditionalFormatting>
  <conditionalFormatting sqref="AA1828">
    <cfRule type="expression" dxfId="369" priority="307" stopIfTrue="1">
      <formula>#REF!="Confidential"</formula>
    </cfRule>
  </conditionalFormatting>
  <conditionalFormatting sqref="AA1834">
    <cfRule type="expression" dxfId="368" priority="306" stopIfTrue="1">
      <formula>#REF!="Confidential"</formula>
    </cfRule>
  </conditionalFormatting>
  <conditionalFormatting sqref="AA1839">
    <cfRule type="expression" dxfId="367" priority="305" stopIfTrue="1">
      <formula>#REF!="Confidential"</formula>
    </cfRule>
  </conditionalFormatting>
  <conditionalFormatting sqref="AA1843">
    <cfRule type="expression" dxfId="366" priority="304" stopIfTrue="1">
      <formula>#REF!="Confidential"</formula>
    </cfRule>
  </conditionalFormatting>
  <conditionalFormatting sqref="AA1846">
    <cfRule type="expression" dxfId="365" priority="302" stopIfTrue="1">
      <formula>#REF!="Confidential"</formula>
    </cfRule>
  </conditionalFormatting>
  <conditionalFormatting sqref="AA1853">
    <cfRule type="expression" dxfId="364" priority="300" stopIfTrue="1">
      <formula>#REF!="Confidential"</formula>
    </cfRule>
  </conditionalFormatting>
  <conditionalFormatting sqref="AA1860">
    <cfRule type="expression" dxfId="363" priority="295" stopIfTrue="1">
      <formula>#REF!="Confidential"</formula>
    </cfRule>
  </conditionalFormatting>
  <conditionalFormatting sqref="AA1884">
    <cfRule type="expression" dxfId="362" priority="217" stopIfTrue="1">
      <formula>#REF!="Confidential"</formula>
    </cfRule>
  </conditionalFormatting>
  <conditionalFormatting sqref="AA1897:AA1900">
    <cfRule type="expression" dxfId="361" priority="273" stopIfTrue="1">
      <formula>#REF!="Confidential"</formula>
    </cfRule>
  </conditionalFormatting>
  <conditionalFormatting sqref="AA1932">
    <cfRule type="expression" dxfId="360" priority="246" stopIfTrue="1">
      <formula>#REF!="Confidential"</formula>
    </cfRule>
  </conditionalFormatting>
  <conditionalFormatting sqref="AA1940">
    <cfRule type="expression" dxfId="359" priority="244" stopIfTrue="1">
      <formula>#REF!="Confidential"</formula>
    </cfRule>
  </conditionalFormatting>
  <conditionalFormatting sqref="AA1962">
    <cfRule type="expression" dxfId="358" priority="218" stopIfTrue="1">
      <formula>#REF!="Confidential"</formula>
    </cfRule>
  </conditionalFormatting>
  <conditionalFormatting sqref="AA1991">
    <cfRule type="expression" dxfId="357" priority="212" stopIfTrue="1">
      <formula>#REF!="Confidential"</formula>
    </cfRule>
  </conditionalFormatting>
  <conditionalFormatting sqref="AA2025">
    <cfRule type="expression" dxfId="356" priority="56" stopIfTrue="1">
      <formula>#REF!="Confidential"</formula>
    </cfRule>
  </conditionalFormatting>
  <conditionalFormatting sqref="AA2042">
    <cfRule type="expression" dxfId="355" priority="198" stopIfTrue="1">
      <formula>#REF!="Confidential"</formula>
    </cfRule>
  </conditionalFormatting>
  <conditionalFormatting sqref="AA2136">
    <cfRule type="expression" dxfId="354" priority="163" stopIfTrue="1">
      <formula>#REF!="Confidential"</formula>
    </cfRule>
  </conditionalFormatting>
  <conditionalFormatting sqref="AA2188:AA2189">
    <cfRule type="expression" dxfId="353" priority="77" stopIfTrue="1">
      <formula>#REF!="Confidential"</formula>
    </cfRule>
  </conditionalFormatting>
  <conditionalFormatting sqref="AA2294:AA2295">
    <cfRule type="expression" dxfId="352" priority="129" stopIfTrue="1">
      <formula>#REF!="Confidential"</formula>
    </cfRule>
  </conditionalFormatting>
  <conditionalFormatting sqref="AA2331:AA2333">
    <cfRule type="expression" dxfId="351" priority="98" stopIfTrue="1">
      <formula>#REF!="Confidential"</formula>
    </cfRule>
  </conditionalFormatting>
  <conditionalFormatting sqref="AA2337">
    <cfRule type="expression" dxfId="350" priority="96" stopIfTrue="1">
      <formula>#REF!="Confidential"</formula>
    </cfRule>
  </conditionalFormatting>
  <conditionalFormatting sqref="AA2342:AA2344">
    <cfRule type="expression" dxfId="349" priority="93" stopIfTrue="1">
      <formula>#REF!="Confidential"</formula>
    </cfRule>
  </conditionalFormatting>
  <conditionalFormatting sqref="AA2363:AA2364">
    <cfRule type="expression" dxfId="348" priority="81" stopIfTrue="1">
      <formula>#REF!="Confidential"</formula>
    </cfRule>
  </conditionalFormatting>
  <conditionalFormatting sqref="AA2444">
    <cfRule type="expression" dxfId="347" priority="55" stopIfTrue="1">
      <formula>#REF!="Confidential"</formula>
    </cfRule>
  </conditionalFormatting>
  <conditionalFormatting sqref="AB10:AB14">
    <cfRule type="expression" dxfId="346" priority="227" stopIfTrue="1">
      <formula>#REF!="Confidential"</formula>
    </cfRule>
  </conditionalFormatting>
  <conditionalFormatting sqref="AB16:AB29 AB44:AB48 AB51:AB53 AB56:AB59 AB61:AB63 AB66:AB77 AB80 AB83 AB92 AB101:AB106 AB110:AB112 AB114:AB116 AB118 AB122:AB123 AB126 AB128:AB131 AB133:AB135 AB138:AB142 AB144:AB145 AB148:AB151 AB154:AB155 AB157:AB159 AB163:AB169 AB172 AB175:AB176 AB178:AB179 AB181:AB184 AB186 AB190:AB191 AB204:AB206 AB208:AB211 AB214:AB215 AB219 AB221 AB223:AB224 B224:C224 I224:K224 AB228 AB237 AB239:AB255 AB259:AB260 AB264:AB270 AB272:AB281 AB283:AB285 AB287:AB288 AB290:AB292 AB295:AB301 AB303 AB305 AB308:AB311 AB313 AB317 AB319:AB320 AB323 AB328:AB331 AB333:AB334 AB338 AB341 AB344:AB345 AB348:AB349 AB351:AB354 AB357:AB358 AB362:AB366 AB369:AB372 AB381 AB383:AB384 AB387:AB398 AB410:AB411 AB413:AB416 AB420:AB422 AB424:AB432 AB434 AB437:AB438 AB440:AB441 AB443:AB447 AB451:AB454 AB457:AB463 AB465:AB467 AB474:AB476 AB482:AB483 AB485:AB499 AB501 K502:AF502 B502:B503 D502:E503 H502:I503 K503:Z503 AB503:AF503 AB504:AB506 B506 E506 G506:AA506 AC506:AF506 F506:F507 C507:E507 G507:Z507 AB507:AF507 AB508:AB513 B509:C509 E509:J509 L509:AA509 AD509:AF509 B511:C511 J511:AA511 AC511:AF511 AA513 AC513:AF513 J513:Y516 B513:C519 AB514:AE514 AF514:AF515 E515:H515 AB515 AD515 Z515:Z517 AB516:AF516 D516:E520 AC517:AF517 F517:G518 I517:Y518 AB517:AB521 AD518:AF518 Z518:AA519 K519:Y519 AC519:AF520 C520 J520:L520 T520:Y520 AA520 B522:C522 AC522:AF522 G522:AB523 E522:E524 F522:F542 C523 AC523:AE523 B524:C524 G524:AF524 Z525:AF525 C525:E527 G525:Y532 Z526 AB526:AF526 B527 Z527:AF530 D528:E528 B528:C529 E529 B530:E531 AD531:AF531 Z531:Z533 C532:E532 AB532:AE532 AF532:AF533 B533:E533 G533 I533:Y533 AD533 C534 D534:E542 G534:AA542 AC534:AF542 B535:C542 AB545 R546:AE546 B547:C547 K547:AA547 D547:E548 AB547:AF556 B548 K548:Z548 K549:AA549 E549:E551 B549:C556 L550:AA550 J551:AA552 D552:E556 G553 L553:AA553 G554:H554 K554:AA555 G555:G556 I556:AA556 AD557:AF557 AB557:AB559 P558:AA558 I558:J559 AC558:AF559 B558:C561 E558:E561 K559:AA559 J560:AF560 G561:AA563 AC561:AF563 F561:F577 B562:E566 G564:Z564 AB564:AF564 G565:AF566 B567:C567 G567:Z567 AF567 B568:E569 G568:AF572 B570:C570 E570 B571:E574 I573:AF575 G573:G577 B575:C575 E575 I576:Z576 AB576:AF576 B576:E577 I577:AF577 B579:C579 E579 I579:Z579 AB579:AF581 T580:AA580 B580:E591 T581:Y581 AA581 L582:AA582 AC582:AF582 AB582:AB583 I583:O583 T583:AA583 AD583:AE583 L584:AE584 L585:AA585 AC585:AE585 AB585:AB586 G586:AA586 AC586:AF586 F586:F591 G587:AF591 I592 K592:AA592 B592:C593 E592:E593 F592:G593 AC592:AF593 AB592:AB597 J593:AA593 AD594:AF594 G594:G596 I594:Z596 B594:E598 AC595:AF597 G597:AA597 G598:AF598 C599:E599 G599:Z599 AB599:AC599 AE599:AF599 B600:E600 G600:AA600 AC600:AF600 D601 F602:AA602 AC602:AF602 B602:E607 Z603:AA603 AC603:AE603 G604:AA604 AC604:AF604 F604:F619 G605:AF605 G606:Z606 AB606:AF606 G607:AF607 G608:Z608 AD608:AF608 AB608:AB609 D608:E611 B608:C615 G609:AA609 AC609:AF609 G610:AF610 G611:Z611 AB611:AF611 E612 G612:AF617 D613:E617 C616:C617 B616:B639 G618:AA618 C618:E619 AB618:AF619 G619:Z619 I621:AF622 C621:C623 E621:E623 G623:Z623 AB623:AF623 F623:F624 D624:E624 G624:AA624 AC624:AF624 AB624:AB625 I625 AD625:AF625 C625:E634 G626:Z626 AB626:AF626 F626:F629 G627:AF627 G628:AA628 AB628:AF631 G629:Y629 AA629 I630:AA630 G631:AA631 F631:F634 G632:AF632 G633:Z633 AB633:AF633 G634:AA634 AC634:AF634 AB634:AB638 I636:AA636 AC636:AF638 C636:E643 L637:AA637 K638:AA638 I638:J639 L639:AF639 F640:Z640 AB640:AF649 J641:AA641 B641:B643 K642:AA642 G643:Z643 B644:C644 G644:AA647 C645:E649 B647:B663 G648:Z648 G649:AA649 AA651:AC651 J652:AF652 E652:E660 C652:C663 J653:Z653 AB653:AF653 AC654:AE654 AB654:AB656 I655:AA656 AC655:AF656 J657:AF657 J658:AA658 AB658:AF660 I659:AA659 I660:Z660 D661:AA661 AB661:AB662 AD661:AF662 I662:AA662 E662:E663 I663:AF663 B664:E664 I664:AA664 AB664:AF665 C665 E665 I665:Z666 B665:B671 AC666:AF667 C666:E669 G667:Z667 F667:F669 AF668 G668:Y669 AD669:AF672 I670:Z671 E670:E674 J672:Z672 B673:C674 J673:AA674 AC673:AF675 K675:Z675 B675:E676 G676 I676:Z676 F676:F678 AB676:AF681 B677:C677 E677 G677:AA678 B678:E678 B679:C679 E679 J679:AA679 B680:E680 K680:AA680 B681:C681 E681 J681:AA681 B682:E682 K682:AF682 H683:AA683 E683:E684 AB683:AF684 B683:C694 J684:AA684 J685:Z686 AF685:AF701 AC686:AE689 D687:E687 S687:Z687 F688:AA688 E688:E690 I689:AA689 I690:AE690 D691:E691 J691:AA691 AB691:AE693 I692:Z692 E692:E694 G693:Z694 F693:F710 AB694 G695 I695:AE695 B695:E698 AC696:AE698 G696:AA703 AB696:AB704 B699:C699 E699 AD699:AE699 AC700:AE701 B700:E708 AC702:AF704 G704 I704:AA704 G705:Z705 AB705:AF705 G706:AF707 G708 I708:Y708 Z708:AF710 C709:E709 G709:Y710 B710:E710 B712:C712 E712 J712:AA712 AC712:AF712 F714:Z714 AC714:AF714 B714:C716 E714:E716 J715:AF715 F716:Z716 AD716:AF716 B717:E717 K717:AF717 B718:C718 E718 G718:AF718 F718:F721 B719:E719 G719:AB719 AD719:AF719 G720:AF720 D720:E724 B720:C727 G721:AA721 AC721:AF722 AB721:AB748 J722:AA722 K723:AA723 AC723:AE723 AD724:AE725 F724:AA727 D725 E725:E727 AD727:AF727 B728:E728 I728:AA728 L729:Z729 E729:E732 B729:C741 L730:AA730 AD730:AF731 I731:AA731 F732:H732 L732:AA732 D733:E733 K733:AA734 AC734:AE734 J735:AA736 F737:AA737 AC737:AE737 J738:Z739 J740 R740:AA740 J741:Z741 L742:AA742 B742:E743 H743:Z743 AD743:AF745 J744:Z744 B744:C745 E744:E745 H745:AA745 J746:AA746 AC746:AF746 B746:E757 AD747:AF747 H747:Z748 AC748:AF748 J749:AF750 J751:AA753 AC751:AF755 F754:AA754 Z755:AA756 J755:Y758 AC756:AE756 AD757:AF757 Z757:Z758 C758:E758 AC758:AF760 F759:H759 B759:E760 J759:AA760 B761:C761 E761 I761 L761:AA761 AC761:AE761 B762:E762 G762:AA766 F762:F775 C763:E763 B764:E764 AC764:AF764 B765:C765 E765 AB765:AF766 B766:E774 G767:AF772 Z773:AF773 G773:Y774 Z774:AC774 AE774:AF774 B775 G775:AA775 C775:D776 AB775:AF776 I776:Z776 J777:AF777 B777:C798 K778:AF778 D778:E785 L779:AA779 AD779:AF779 J780:AE780 G781 I781:AF781 G782:AF782 G783:AD784 AF783:AF785 AB785:AD785 G785:Y787 Z786 AB786 AD786:AF786 E786:E789 Z787:AF789 I788:Y789 D790:E790 L790:AF790 G791:AF792 E791:F795 G793:Z793 AB793:AF793 G794:AA794 AC794:AF794 G795:Z795 AC795:AC796 AD795:AF798 AA797:AC798 AB799:AB800 B800:D800 G800:I800 K800:AA800 AF800:AF801 B801:E801 G801:AC801 B802:D803 L802:AF803 E802:E809 B804:C804 L804:Z804 AB804:AF805 J805:Z805 B805:D809 J806:AF806 F807:AF807 J808:AF808 L809:Z809 AD809:AF810 AB809:AB813 F810:I810 K810:Y810 B810:E816 K811:AA812 AC811:AF813 F813:H813 J813:AA813 L814:Y814 AB814:AF814 Z814:Z815 K815:Y815 AD815:AF815 J816:AA816 AC816:AF816 AB816:AB825 C817 Z817:AA817 B817:B818 C818:AA818 E819 L819:AA819 B819:C826 J822:AA822 E822:E828 G823:AA826 F823:F838 AB826:AE826 G827:H827 J827:AE827 B827:D828 G828:Z829 AB828:AF832 B829:E829 Z830:Z832 E830:E834 G830:Y834 B830:C838 AA832 Z833:AA833 AF833 Z834:AF835 D835:E835 G835 I835:Y835 AD836:AE836 E836:E838 G836:AA838 AF836:AF839 AC837:AE837 AB837:AB838 L839:AA839 F840:AA840 AC840:AF840 B840:C843 AB840:AB847 H841:Y841 AD841:AF841 F842:Z844 AC842:AF844 B844:E845 AD845:AF845 B846:C847 E846:E847 H846:H847 K846:Z847 J848:Y849 Z848:AF850 B848:E853 L850:Y850 G851:Z851 AB851:AF851 G852:Y852 AD852:AF853 AB852:AB856 G853:AA853 G854:Z854 AD854:AE855 E854:E860 B854:C863 G855:Y855 G856:AA856 AC856:AE856 G857:AF857 AC858:AF858 G858:AB859 AD859:AF862 G860:Y860 AA860:AB860 G861:AA861 D861:E862 G862 I862:AA862 E863 G863:AA863 AC863:AF863 B866:C866 E866 J866:AA866 AD866:AF867 B867:Z867 AB868:AF868 K868:Z869 E868:E871 B868:C879 AD869:AF869 AB870:AF870 J870:Z871 F871:H871 AC871:AF871 AB871:AB874 H872 J872:AA874 AD872:AF874 D873:E876 F875:AF875 L876:AF876 G877 I877:AA877 F877:F878 E877:E879 AB877:AB879 AD877:AF879 G878:AA878 J879:Z879 AC880:AF880 B880:E884 G880:AB884 G885:Z885 AB885:AE885 D885:E886 B885:C895 K886:Z886 AB886:AB887 AD886:AF887 K887:AA887 E887:E895 J888:AF888 G889:AF889 G890:AD890 AF890 J891:AA891 AC891:AF891 AB891:AB901 G892:Z894 AD892:AF895 G895:J895 Z895 B896:E898 J896:AA898 AC896:AF898 Z900 AD900:AE900 B900:C901 E900:E901 L900:Y901 Z901:AA901 AD901:AF901 Z903 AB903:AF903 D903:E905 K903:Y905 B903:C906 AC904:AF904 Z904:AA912 AD905:AF905 E906 F906:Y907 AC906:AF907 B907:E907 AD908:AF910 J908:Y912 B908:C913 E913:H913 K913:Y913 AD913:AF913 D915:E915 J915:P915 S915:AA915 B915:C916 AD915:AF918 E916:H916 L916:AA916 B917:E918 K917:Z918 K919:AA919 AC919:AF919 B919:C920 E919:E921 AB919:AB923 L920:AA920 AD920:AF920 B921:D921 J921:AA921 AC921:AF921 E923 J923 L923:AA923 AD923:AF923 B923:C924 D924:Z924 AD924:AE924 L925:Y925 B925:E926 AD925:AF926 L926:Z926 AB926 J928:Y928 AD928:AF928 E928:E929 B928:C941 AC929:AF931 AB930:AB936 D932 J932:Y932 AD932:AE932 Z932:AA933 D933:E933 I933:Y933 AD933:AF933 G934 K934:AA934 E934:E935 F934:F936 AC934:AF936 G935:AA936 D936:E936 K937:Z937 AD937:AE937 K938:Y939 AD938:AF939 K940:AA940 AC940:AF940 D941:E941 I941:AA941 AD941:AF941 B944:E944 K944:AE945 D945:E946 B945:C951 Z946:AA946 AC946:AE946 AA947 AC947 AE947 Z948:AA948 AC948:AE948 AC949:AD949 Z949:Z950 D949:E951 AB950:AD950 Z951:AD951 AB952:AB955 H954:I954 C957:C959 AB957:AB959 AB961:AB962 I965:J965 B980 AB994:AB1008 B1002 AB1010:AB1021 D1011 AB1022:AC1022 AC1023 AB1023:AB1024 AB1027 AB1034:AB1043 AB1045:AB1046 J1046:AA1046 AC1046:AF1046 B1046:C1047 F1047:Z1047 AB1048:AB1050 AB1052:AB1057 C1053 B1060:B1061 D1060:D1061 AC1067 AB1088:AB1095 D1094:D1095 AB1106 AB1109:AB1115 AB1120:AB1135 D1131:D1135 AB1139 AB1141:AB1143 AB1145:AB1147 C1170 E1170 J1170:Z1170 B1170:B1171 C1171:AA1171 C1208:G1209 AB1211:AB1222 AB1225:AB1237 AB1241 AB1254:AB1257 AB1261:AB1263 AB1265:AB1277 Z1276:AA1276 B1276:C1277 AB1280:AB1292 AB1294:AB1296 AB1298:AB1327 AB1329 AB1335:AB1338 AB1341:AB1347 B1347:C1347 J1347 Z1347 B1356:C1356 AB1356:AB1367 C1360 B1389:C1391 B1421:C1421 J1421:Y1421 B1423 AC1440:AC1442 AB1446:AB1447 AB1470:AB1484 C1471 C1483:E1483 AB1486:AB1489 AB1491:AB1505 B1498:C1498 J1498 Z1498 B1533:D1533 B1550:E1550 Z1550:AA1550 AD1550:AF1550 AB1574:AC1574 AB1575:AB1580 AB1582:AB1584 B1583:B1585 AB1586:AB1587 AB1593:AB1601 AB1603:AB1604 AB1606 AB1609:AB1613 B1613:C1613 J1613:Y1613 AB1616 AB1618:AB1619 AB1620:AC1620 AB1621:AB1623 AB1625:AB1628 B1636 B1638 AB1639:AB1646 C1654 I1654:Z1654 AC1654:AF1654 AC1696 AB1700:AB1705 D1732 AB1734:AB1758 AB1759:AC1759 AB1760 AB1762:AB1798 AB1799:AC1799 AB1800:AB1802 AB1803:AC1803 AB1846:AB1850 AB1852:AB1858 AB1860:AB1866 AB1868:AB1870 AB1872:AB1885 B1896:E1896 L1896:AA1896 AD1896:AF1896 AB1931:AC1931 AB1932 AB1934:AB1947 B1941:E1941 J1941:AA1941 AC1941:AF1941 AB1949 AB1954 AB1956 AB1981:AB1994 B1996:C1996 E1996 I1996:AF1996 AB1997:AB2015 AB2017:AB2063 D2025:D2026 AA2044:AA2045 AB2183:AF2187 B2183:G2189 I2183:Z2189 AC2188:AF2189 D2190:E2190 B2191:D2192 I2191:Z2192 AB2191:AF2192 B2294:B2295 AB2311:AB2312 AB2315:AB2316 B2326 Z2345:AA2345 AC2348 B2363 J2363:J2364">
    <cfRule type="expression" dxfId="345" priority="953" stopIfTrue="1">
      <formula>#REF!="Confidential"</formula>
    </cfRule>
  </conditionalFormatting>
  <conditionalFormatting sqref="AB36:AB42">
    <cfRule type="expression" dxfId="344" priority="197" stopIfTrue="1">
      <formula>#REF!="Confidential"</formula>
    </cfRule>
  </conditionalFormatting>
  <conditionalFormatting sqref="AB89">
    <cfRule type="expression" dxfId="343" priority="194" stopIfTrue="1">
      <formula>#REF!="Confidential"</formula>
    </cfRule>
  </conditionalFormatting>
  <conditionalFormatting sqref="AB99">
    <cfRule type="expression" dxfId="342" priority="195" stopIfTrue="1">
      <formula>#REF!="Confidential"</formula>
    </cfRule>
  </conditionalFormatting>
  <conditionalFormatting sqref="AB193:AB199">
    <cfRule type="expression" dxfId="341" priority="196" stopIfTrue="1">
      <formula>#REF!="Confidential"</formula>
    </cfRule>
  </conditionalFormatting>
  <conditionalFormatting sqref="AB230:AB235">
    <cfRule type="expression" dxfId="340" priority="193" stopIfTrue="1">
      <formula>#REF!="Confidential"</formula>
    </cfRule>
  </conditionalFormatting>
  <conditionalFormatting sqref="AB469">
    <cfRule type="expression" dxfId="339" priority="192" stopIfTrue="1">
      <formula>#REF!="Confidential"</formula>
    </cfRule>
  </conditionalFormatting>
  <conditionalFormatting sqref="AB478:AB480">
    <cfRule type="expression" dxfId="338" priority="180" stopIfTrue="1">
      <formula>#REF!="Confidential"</formula>
    </cfRule>
  </conditionalFormatting>
  <conditionalFormatting sqref="AB531">
    <cfRule type="expression" dxfId="337" priority="75" stopIfTrue="1">
      <formula>#REF!="Confidential"</formula>
    </cfRule>
  </conditionalFormatting>
  <conditionalFormatting sqref="AB533:AB543">
    <cfRule type="expression" dxfId="336" priority="160" stopIfTrue="1">
      <formula>#REF!="Confidential"</formula>
    </cfRule>
  </conditionalFormatting>
  <conditionalFormatting sqref="AB561:AB563">
    <cfRule type="expression" dxfId="335" priority="191" stopIfTrue="1">
      <formula>#REF!="Confidential"</formula>
    </cfRule>
  </conditionalFormatting>
  <conditionalFormatting sqref="AB620">
    <cfRule type="expression" dxfId="334" priority="968" stopIfTrue="1">
      <formula>#REF!="Confidential"</formula>
    </cfRule>
  </conditionalFormatting>
  <conditionalFormatting sqref="AB650">
    <cfRule type="expression" dxfId="333" priority="230" stopIfTrue="1">
      <formula>#REF!="Confidential"</formula>
    </cfRule>
  </conditionalFormatting>
  <conditionalFormatting sqref="AB686:AB689">
    <cfRule type="expression" dxfId="332" priority="190" stopIfTrue="1">
      <formula>#REF!="Confidential"</formula>
    </cfRule>
  </conditionalFormatting>
  <conditionalFormatting sqref="AB692">
    <cfRule type="expression" dxfId="331" priority="1035" stopIfTrue="1">
      <formula>#REF!="Confidential"</formula>
    </cfRule>
  </conditionalFormatting>
  <conditionalFormatting sqref="AB712">
    <cfRule type="expression" dxfId="330" priority="179" stopIfTrue="1">
      <formula>#REF!="Confidential"</formula>
    </cfRule>
  </conditionalFormatting>
  <conditionalFormatting sqref="AB794:AB796">
    <cfRule type="expression" dxfId="329" priority="177" stopIfTrue="1">
      <formula>#REF!="Confidential"</formula>
    </cfRule>
  </conditionalFormatting>
  <conditionalFormatting sqref="AB861:AB867">
    <cfRule type="expression" dxfId="328" priority="189" stopIfTrue="1">
      <formula>#REF!="Confidential"</formula>
    </cfRule>
  </conditionalFormatting>
  <conditionalFormatting sqref="AB869">
    <cfRule type="expression" dxfId="327" priority="112" stopIfTrue="1">
      <formula>#REF!="Confidential"</formula>
    </cfRule>
  </conditionalFormatting>
  <conditionalFormatting sqref="AB904:AB905">
    <cfRule type="expression" dxfId="326" priority="188" stopIfTrue="1">
      <formula>#REF!="Confidential"</formula>
    </cfRule>
  </conditionalFormatting>
  <conditionalFormatting sqref="AB907:AB917">
    <cfRule type="expression" dxfId="325" priority="102" stopIfTrue="1">
      <formula>#REF!="Confidential"</formula>
    </cfRule>
  </conditionalFormatting>
  <conditionalFormatting sqref="AB928">
    <cfRule type="expression" dxfId="324" priority="84" stopIfTrue="1">
      <formula>#REF!="Confidential"</formula>
    </cfRule>
  </conditionalFormatting>
  <conditionalFormatting sqref="AB946">
    <cfRule type="expression" dxfId="323" priority="187" stopIfTrue="1">
      <formula>#REF!="Confidential"</formula>
    </cfRule>
  </conditionalFormatting>
  <conditionalFormatting sqref="AB964:AB968">
    <cfRule type="expression" dxfId="322" priority="186" stopIfTrue="1">
      <formula>#REF!="Confidential"</formula>
    </cfRule>
  </conditionalFormatting>
  <conditionalFormatting sqref="AB971:AB992">
    <cfRule type="expression" dxfId="321" priority="185" stopIfTrue="1">
      <formula>#REF!="Confidential"</formula>
    </cfRule>
  </conditionalFormatting>
  <conditionalFormatting sqref="AB1032">
    <cfRule type="expression" dxfId="320" priority="134" stopIfTrue="1">
      <formula>#REF!="Confidential"</formula>
    </cfRule>
  </conditionalFormatting>
  <conditionalFormatting sqref="AB1098:AB1104">
    <cfRule type="expression" dxfId="319" priority="184" stopIfTrue="1">
      <formula>#REF!="Confidential"</formula>
    </cfRule>
  </conditionalFormatting>
  <conditionalFormatting sqref="AB1117:AB1118">
    <cfRule type="expression" dxfId="318" priority="645" stopIfTrue="1">
      <formula>#REF!="Confidential"</formula>
    </cfRule>
  </conditionalFormatting>
  <conditionalFormatting sqref="AB1137">
    <cfRule type="expression" dxfId="317" priority="641" stopIfTrue="1">
      <formula>#REF!="Confidential"</formula>
    </cfRule>
  </conditionalFormatting>
  <conditionalFormatting sqref="AB1208:AB1209">
    <cfRule type="expression" dxfId="316" priority="618" stopIfTrue="1">
      <formula>#REF!="Confidential"</formula>
    </cfRule>
  </conditionalFormatting>
  <conditionalFormatting sqref="AB1243:AB1247">
    <cfRule type="expression" dxfId="315" priority="205" stopIfTrue="1">
      <formula>#REF!="Confidential"</formula>
    </cfRule>
  </conditionalFormatting>
  <conditionalFormatting sqref="AB1252">
    <cfRule type="expression" dxfId="314" priority="258" stopIfTrue="1">
      <formula>#REF!="Confidential"</formula>
    </cfRule>
  </conditionalFormatting>
  <conditionalFormatting sqref="AB1331:AB1333">
    <cfRule type="expression" dxfId="313" priority="167" stopIfTrue="1">
      <formula>#REF!="Confidential"</formula>
    </cfRule>
  </conditionalFormatting>
  <conditionalFormatting sqref="AB1349">
    <cfRule type="expression" dxfId="312" priority="127" stopIfTrue="1">
      <formula>#REF!="Confidential"</formula>
    </cfRule>
  </conditionalFormatting>
  <conditionalFormatting sqref="AB1371:AB1374">
    <cfRule type="expression" dxfId="311" priority="99" stopIfTrue="1">
      <formula>#REF!="Confidential"</formula>
    </cfRule>
  </conditionalFormatting>
  <conditionalFormatting sqref="AB1376:AB1420">
    <cfRule type="expression" dxfId="310" priority="314" stopIfTrue="1">
      <formula>#REF!="Confidential"</formula>
    </cfRule>
  </conditionalFormatting>
  <conditionalFormatting sqref="AB1444">
    <cfRule type="expression" dxfId="309" priority="183" stopIfTrue="1">
      <formula>#REF!="Confidential"</formula>
    </cfRule>
  </conditionalFormatting>
  <conditionalFormatting sqref="AB1453:AB1461">
    <cfRule type="expression" dxfId="308" priority="166" stopIfTrue="1">
      <formula>#REF!="Confidential"</formula>
    </cfRule>
  </conditionalFormatting>
  <conditionalFormatting sqref="AB1507:AB1510">
    <cfRule type="expression" dxfId="307" priority="454" stopIfTrue="1">
      <formula>#REF!="Confidential"</formula>
    </cfRule>
  </conditionalFormatting>
  <conditionalFormatting sqref="AB1512">
    <cfRule type="expression" dxfId="306" priority="204" stopIfTrue="1">
      <formula>#REF!="Confidential"</formula>
    </cfRule>
  </conditionalFormatting>
  <conditionalFormatting sqref="AB1546:AB1573">
    <cfRule type="expression" dxfId="305" priority="153" stopIfTrue="1">
      <formula>#REF!="Confidential"</formula>
    </cfRule>
  </conditionalFormatting>
  <conditionalFormatting sqref="AB1589:AB1591">
    <cfRule type="expression" dxfId="304" priority="182" stopIfTrue="1">
      <formula>#REF!="Confidential"</formula>
    </cfRule>
  </conditionalFormatting>
  <conditionalFormatting sqref="AB1630:AB1633">
    <cfRule type="expression" dxfId="303" priority="87" stopIfTrue="1">
      <formula>#REF!="Confidential"</formula>
    </cfRule>
  </conditionalFormatting>
  <conditionalFormatting sqref="AB1636">
    <cfRule type="expression" dxfId="302" priority="392" stopIfTrue="1">
      <formula>#REF!="Confidential"</formula>
    </cfRule>
  </conditionalFormatting>
  <conditionalFormatting sqref="AB1665:AB1696">
    <cfRule type="expression" dxfId="301" priority="113" stopIfTrue="1">
      <formula>#REF!="Confidential"</formula>
    </cfRule>
  </conditionalFormatting>
  <conditionalFormatting sqref="AB1698">
    <cfRule type="expression" dxfId="300" priority="365" stopIfTrue="1">
      <formula>#REF!="Confidential"</formula>
    </cfRule>
  </conditionalFormatting>
  <conditionalFormatting sqref="AB1707:AB1721">
    <cfRule type="expression" dxfId="299" priority="176" stopIfTrue="1">
      <formula>#REF!="Confidential"</formula>
    </cfRule>
  </conditionalFormatting>
  <conditionalFormatting sqref="AB1804:AB1843">
    <cfRule type="expression" dxfId="298" priority="175" stopIfTrue="1">
      <formula>#REF!="Confidential"</formula>
    </cfRule>
  </conditionalFormatting>
  <conditionalFormatting sqref="AB1905:AB1930 AB2194:AB2216 AB2220:AB2221 AB2245 AB2247:AB2250 AB2288:AB2289">
    <cfRule type="expression" dxfId="297" priority="136" stopIfTrue="1">
      <formula>#REF!="Confidential"</formula>
    </cfRule>
  </conditionalFormatting>
  <conditionalFormatting sqref="AB1958:AB1975">
    <cfRule type="expression" dxfId="296" priority="49" stopIfTrue="1">
      <formula>#REF!="Confidential"</formula>
    </cfRule>
  </conditionalFormatting>
  <conditionalFormatting sqref="AB1978:AB1979">
    <cfRule type="expression" dxfId="295" priority="214" stopIfTrue="1">
      <formula>#REF!="Confidential"</formula>
    </cfRule>
  </conditionalFormatting>
  <conditionalFormatting sqref="AB2188:AB2190">
    <cfRule type="expression" dxfId="294" priority="76" stopIfTrue="1">
      <formula>#REF!="Confidential"</formula>
    </cfRule>
  </conditionalFormatting>
  <conditionalFormatting sqref="AB2224:AB2239">
    <cfRule type="expression" dxfId="293" priority="133" stopIfTrue="1">
      <formula>#REF!="Confidential"</formula>
    </cfRule>
  </conditionalFormatting>
  <conditionalFormatting sqref="AB2253:AB2286">
    <cfRule type="expression" dxfId="292" priority="135" stopIfTrue="1">
      <formula>#REF!="Confidential"</formula>
    </cfRule>
  </conditionalFormatting>
  <conditionalFormatting sqref="AB2291:AB2292">
    <cfRule type="expression" dxfId="291" priority="130" stopIfTrue="1">
      <formula>#REF!="Confidential"</formula>
    </cfRule>
  </conditionalFormatting>
  <conditionalFormatting sqref="AB2294:AB2296">
    <cfRule type="expression" dxfId="290" priority="126" stopIfTrue="1">
      <formula>#REF!="Confidential"</formula>
    </cfRule>
  </conditionalFormatting>
  <conditionalFormatting sqref="AB2300:AB2302">
    <cfRule type="expression" dxfId="289" priority="124" stopIfTrue="1">
      <formula>#REF!="Confidential"</formula>
    </cfRule>
  </conditionalFormatting>
  <conditionalFormatting sqref="AB2304:AB2306">
    <cfRule type="expression" dxfId="288" priority="120" stopIfTrue="1">
      <formula>#REF!="Confidential"</formula>
    </cfRule>
  </conditionalFormatting>
  <conditionalFormatting sqref="AB2308:AB2309">
    <cfRule type="expression" dxfId="287" priority="59" stopIfTrue="1">
      <formula>#REF!="Confidential"</formula>
    </cfRule>
  </conditionalFormatting>
  <conditionalFormatting sqref="AB2319:AB2328">
    <cfRule type="expression" dxfId="286" priority="106" stopIfTrue="1">
      <formula>#REF!="Confidential"</formula>
    </cfRule>
  </conditionalFormatting>
  <conditionalFormatting sqref="AB2330:AB2405">
    <cfRule type="expression" dxfId="285" priority="69" stopIfTrue="1">
      <formula>#REF!="Confidential"</formula>
    </cfRule>
  </conditionalFormatting>
  <conditionalFormatting sqref="AB2407:AB2414">
    <cfRule type="expression" dxfId="284" priority="66" stopIfTrue="1">
      <formula>#REF!="Confidential"</formula>
    </cfRule>
  </conditionalFormatting>
  <conditionalFormatting sqref="AB2416:AB2426">
    <cfRule type="expression" dxfId="283" priority="62" stopIfTrue="1">
      <formula>#REF!="Confidential"</formula>
    </cfRule>
  </conditionalFormatting>
  <conditionalFormatting sqref="AB2428:AB2429">
    <cfRule type="expression" dxfId="282" priority="61" stopIfTrue="1">
      <formula>#REF!="Confidential"</formula>
    </cfRule>
  </conditionalFormatting>
  <conditionalFormatting sqref="AB2432:AB2445">
    <cfRule type="expression" dxfId="281" priority="51" stopIfTrue="1">
      <formula>#REF!="Confidential"</formula>
    </cfRule>
  </conditionalFormatting>
  <conditionalFormatting sqref="AB261:AC261">
    <cfRule type="expression" dxfId="280" priority="751" stopIfTrue="1">
      <formula>#REF!="Confidential"</formula>
    </cfRule>
  </conditionalFormatting>
  <conditionalFormatting sqref="AB776:AC776">
    <cfRule type="expression" dxfId="279" priority="919" stopIfTrue="1">
      <formula>#REF!="Confidential"</formula>
    </cfRule>
  </conditionalFormatting>
  <conditionalFormatting sqref="AB779:AC779">
    <cfRule type="expression" dxfId="278" priority="915" stopIfTrue="1">
      <formula>#REF!="Confidential"</formula>
    </cfRule>
  </conditionalFormatting>
  <conditionalFormatting sqref="AB815:AC815">
    <cfRule type="expression" dxfId="277" priority="868" stopIfTrue="1">
      <formula>#REF!="Confidential"</formula>
    </cfRule>
  </conditionalFormatting>
  <conditionalFormatting sqref="AB836:AC836">
    <cfRule type="expression" dxfId="276" priority="854" stopIfTrue="1">
      <formula>#REF!="Confidential"</formula>
    </cfRule>
  </conditionalFormatting>
  <conditionalFormatting sqref="AB943:AC943">
    <cfRule type="expression" dxfId="275" priority="753" stopIfTrue="1">
      <formula>#REF!="Confidential"</formula>
    </cfRule>
  </conditionalFormatting>
  <conditionalFormatting sqref="AB956:AC956">
    <cfRule type="expression" dxfId="274" priority="664" stopIfTrue="1">
      <formula>#REF!="Confidential"</formula>
    </cfRule>
  </conditionalFormatting>
  <conditionalFormatting sqref="AB1025:AC1025">
    <cfRule type="expression" dxfId="273" priority="692" stopIfTrue="1">
      <formula>#REF!="Confidential"</formula>
    </cfRule>
  </conditionalFormatting>
  <conditionalFormatting sqref="AB1028:AC1028">
    <cfRule type="expression" dxfId="272" priority="691" stopIfTrue="1">
      <formula>#REF!="Confidential"</formula>
    </cfRule>
  </conditionalFormatting>
  <conditionalFormatting sqref="AB1044:AC1044">
    <cfRule type="expression" dxfId="271" priority="682" stopIfTrue="1">
      <formula>#REF!="Confidential"</formula>
    </cfRule>
  </conditionalFormatting>
  <conditionalFormatting sqref="AB1530:AC1530">
    <cfRule type="expression" dxfId="270" priority="228" stopIfTrue="1">
      <formula>#REF!="Confidential"</formula>
    </cfRule>
  </conditionalFormatting>
  <conditionalFormatting sqref="AB1602:AC1602">
    <cfRule type="expression" dxfId="269" priority="409" stopIfTrue="1">
      <formula>#REF!="Confidential"</formula>
    </cfRule>
  </conditionalFormatting>
  <conditionalFormatting sqref="AB1605:AC1605">
    <cfRule type="expression" dxfId="268" priority="386" stopIfTrue="1">
      <formula>#REF!="Confidential"</formula>
    </cfRule>
  </conditionalFormatting>
  <conditionalFormatting sqref="AB1615:AC1615">
    <cfRule type="expression" dxfId="267" priority="402" stopIfTrue="1">
      <formula>#REF!="Confidential"</formula>
    </cfRule>
  </conditionalFormatting>
  <conditionalFormatting sqref="AB1617:AC1617">
    <cfRule type="expression" dxfId="266" priority="400" stopIfTrue="1">
      <formula>#REF!="Confidential"</formula>
    </cfRule>
  </conditionalFormatting>
  <conditionalFormatting sqref="AB1624:AC1624">
    <cfRule type="expression" dxfId="265" priority="398" stopIfTrue="1">
      <formula>#REF!="Confidential"</formula>
    </cfRule>
  </conditionalFormatting>
  <conditionalFormatting sqref="AB1634:AC1634">
    <cfRule type="expression" dxfId="264" priority="396" stopIfTrue="1">
      <formula>#REF!="Confidential"</formula>
    </cfRule>
  </conditionalFormatting>
  <conditionalFormatting sqref="AB1647:AC1647">
    <cfRule type="expression" dxfId="263" priority="275" stopIfTrue="1">
      <formula>#REF!="Confidential"</formula>
    </cfRule>
  </conditionalFormatting>
  <conditionalFormatting sqref="AB1664:AC1664">
    <cfRule type="expression" dxfId="262" priority="119" stopIfTrue="1">
      <formula>#REF!="Confidential"</formula>
    </cfRule>
  </conditionalFormatting>
  <conditionalFormatting sqref="AB1851:AC1851">
    <cfRule type="expression" dxfId="261" priority="301" stopIfTrue="1">
      <formula>#REF!="Confidential"</formula>
    </cfRule>
  </conditionalFormatting>
  <conditionalFormatting sqref="AB1867:AC1867">
    <cfRule type="expression" dxfId="260" priority="289" stopIfTrue="1">
      <formula>#REF!="Confidential"</formula>
    </cfRule>
  </conditionalFormatting>
  <conditionalFormatting sqref="AB1871:AC1871">
    <cfRule type="expression" dxfId="259" priority="285" stopIfTrue="1">
      <formula>#REF!="Confidential"</formula>
    </cfRule>
  </conditionalFormatting>
  <conditionalFormatting sqref="AB1933:AC1933">
    <cfRule type="expression" dxfId="258" priority="222" stopIfTrue="1">
      <formula>#REF!="Confidential"</formula>
    </cfRule>
  </conditionalFormatting>
  <conditionalFormatting sqref="AB1948:AC1948">
    <cfRule type="expression" dxfId="257" priority="235" stopIfTrue="1">
      <formula>#REF!="Confidential"</formula>
    </cfRule>
  </conditionalFormatting>
  <conditionalFormatting sqref="AB1950:AC1950">
    <cfRule type="expression" dxfId="256" priority="232" stopIfTrue="1">
      <formula>#REF!="Confidential"</formula>
    </cfRule>
  </conditionalFormatting>
  <conditionalFormatting sqref="AB1955:AC1955">
    <cfRule type="expression" dxfId="255" priority="231" stopIfTrue="1">
      <formula>#REF!="Confidential"</formula>
    </cfRule>
  </conditionalFormatting>
  <conditionalFormatting sqref="AB1980:AC1980">
    <cfRule type="expression" dxfId="254" priority="213" stopIfTrue="1">
      <formula>#REF!="Confidential"</formula>
    </cfRule>
  </conditionalFormatting>
  <conditionalFormatting sqref="AB2287:AC2287">
    <cfRule type="expression" dxfId="253" priority="131" stopIfTrue="1">
      <formula>#REF!="Confidential"</formula>
    </cfRule>
  </conditionalFormatting>
  <conditionalFormatting sqref="AB2329:AC2329">
    <cfRule type="expression" dxfId="252" priority="105" stopIfTrue="1">
      <formula>#REF!="Confidential"</formula>
    </cfRule>
  </conditionalFormatting>
  <conditionalFormatting sqref="AB448:AE448">
    <cfRule type="expression" dxfId="251" priority="886" stopIfTrue="1">
      <formula>#REF!="Confidential"</formula>
    </cfRule>
  </conditionalFormatting>
  <conditionalFormatting sqref="AB567:AE567">
    <cfRule type="expression" dxfId="250" priority="863" stopIfTrue="1">
      <formula>#REF!="Confidential"</formula>
    </cfRule>
  </conditionalFormatting>
  <conditionalFormatting sqref="AB685:AE685">
    <cfRule type="expression" dxfId="249" priority="959" stopIfTrue="1">
      <formula>#REF!="Confidential"</formula>
    </cfRule>
  </conditionalFormatting>
  <conditionalFormatting sqref="AB833:AE833">
    <cfRule type="expression" dxfId="248" priority="855" stopIfTrue="1">
      <formula>#REF!="Confidential"</formula>
    </cfRule>
  </conditionalFormatting>
  <conditionalFormatting sqref="AC19:AC20">
    <cfRule type="expression" dxfId="247" priority="814" stopIfTrue="1">
      <formula>#REF!="Confidential"</formula>
    </cfRule>
  </conditionalFormatting>
  <conditionalFormatting sqref="AC47">
    <cfRule type="expression" dxfId="246" priority="333" stopIfTrue="1">
      <formula>#REF!="Confidential"</formula>
    </cfRule>
  </conditionalFormatting>
  <conditionalFormatting sqref="AC165">
    <cfRule type="expression" dxfId="245" priority="330" stopIfTrue="1">
      <formula>#REF!="Confidential"</formula>
    </cfRule>
  </conditionalFormatting>
  <conditionalFormatting sqref="AC284:AC285">
    <cfRule type="expression" dxfId="244" priority="338" stopIfTrue="1">
      <formula>#REF!="Confidential"</formula>
    </cfRule>
  </conditionalFormatting>
  <conditionalFormatting sqref="AC310">
    <cfRule type="expression" dxfId="243" priority="331" stopIfTrue="1">
      <formula>#REF!="Confidential"</formula>
    </cfRule>
  </conditionalFormatting>
  <conditionalFormatting sqref="AC313">
    <cfRule type="expression" dxfId="242" priority="334" stopIfTrue="1">
      <formula>#REF!="Confidential"</formula>
    </cfRule>
  </conditionalFormatting>
  <conditionalFormatting sqref="AC381">
    <cfRule type="expression" dxfId="241" priority="332" stopIfTrue="1">
      <formula>#REF!="Confidential"</formula>
    </cfRule>
  </conditionalFormatting>
  <conditionalFormatting sqref="AC425">
    <cfRule type="expression" dxfId="240" priority="827" stopIfTrue="1">
      <formula>#REF!="Confidential"</formula>
    </cfRule>
  </conditionalFormatting>
  <conditionalFormatting sqref="AC427">
    <cfRule type="expression" dxfId="239" priority="797" stopIfTrue="1">
      <formula>#REF!="Confidential"</formula>
    </cfRule>
  </conditionalFormatting>
  <conditionalFormatting sqref="AC439">
    <cfRule type="expression" dxfId="238" priority="621" stopIfTrue="1">
      <formula>#REF!="Confidential"</formula>
    </cfRule>
  </conditionalFormatting>
  <conditionalFormatting sqref="AC451">
    <cfRule type="expression" dxfId="237" priority="336" stopIfTrue="1">
      <formula>#REF!="Confidential"</formula>
    </cfRule>
  </conditionalFormatting>
  <conditionalFormatting sqref="AC460">
    <cfRule type="expression" dxfId="236" priority="518" stopIfTrue="1">
      <formula>#REF!="Confidential"</formula>
    </cfRule>
  </conditionalFormatting>
  <conditionalFormatting sqref="AC479">
    <cfRule type="expression" dxfId="235" priority="681" stopIfTrue="1">
      <formula>#REF!="Confidential"</formula>
    </cfRule>
  </conditionalFormatting>
  <conditionalFormatting sqref="AC485">
    <cfRule type="expression" dxfId="234" priority="892" stopIfTrue="1">
      <formula>#REF!="Confidential"</formula>
    </cfRule>
  </conditionalFormatting>
  <conditionalFormatting sqref="AC496">
    <cfRule type="expression" dxfId="233" priority="329" stopIfTrue="1">
      <formula>#REF!="Confidential"</formula>
    </cfRule>
  </conditionalFormatting>
  <conditionalFormatting sqref="AC515">
    <cfRule type="expression" dxfId="232" priority="1004" stopIfTrue="1">
      <formula>#REF!="Confidential"</formula>
    </cfRule>
  </conditionalFormatting>
  <conditionalFormatting sqref="AC545">
    <cfRule type="expression" dxfId="231" priority="541" stopIfTrue="1">
      <formula>#REF!="Confidential"</formula>
    </cfRule>
  </conditionalFormatting>
  <conditionalFormatting sqref="AC557">
    <cfRule type="expression" dxfId="230" priority="623" stopIfTrue="1">
      <formula>#REF!="Confidential"</formula>
    </cfRule>
  </conditionalFormatting>
  <conditionalFormatting sqref="AC594">
    <cfRule type="expression" dxfId="229" priority="206" stopIfTrue="1">
      <formula>#REF!="Confidential"</formula>
    </cfRule>
  </conditionalFormatting>
  <conditionalFormatting sqref="AC625">
    <cfRule type="expression" dxfId="228" priority="654" stopIfTrue="1">
      <formula>#REF!="Confidential"</formula>
    </cfRule>
  </conditionalFormatting>
  <conditionalFormatting sqref="AC650">
    <cfRule type="expression" dxfId="227" priority="978" stopIfTrue="1">
      <formula>#REF!="Confidential"</formula>
    </cfRule>
  </conditionalFormatting>
  <conditionalFormatting sqref="AC661:AC662">
    <cfRule type="expression" dxfId="226" priority="339" stopIfTrue="1">
      <formula>#REF!="Confidential"</formula>
    </cfRule>
  </conditionalFormatting>
  <conditionalFormatting sqref="AC670:AC672">
    <cfRule type="expression" dxfId="225" priority="158" stopIfTrue="1">
      <formula>#REF!="Confidential"</formula>
    </cfRule>
  </conditionalFormatting>
  <conditionalFormatting sqref="AC724:AC725">
    <cfRule type="expression" dxfId="224" priority="948" stopIfTrue="1">
      <formula>#REF!="Confidential"</formula>
    </cfRule>
  </conditionalFormatting>
  <conditionalFormatting sqref="AC735:AC736">
    <cfRule type="expression" dxfId="223" priority="937" stopIfTrue="1">
      <formula>#REF!="Confidential"</formula>
    </cfRule>
  </conditionalFormatting>
  <conditionalFormatting sqref="AC747">
    <cfRule type="expression" dxfId="222" priority="929" stopIfTrue="1">
      <formula>#REF!="Confidential"</formula>
    </cfRule>
  </conditionalFormatting>
  <conditionalFormatting sqref="AC757">
    <cfRule type="expression" dxfId="221" priority="732" stopIfTrue="1">
      <formula>#REF!="Confidential"</formula>
    </cfRule>
  </conditionalFormatting>
  <conditionalFormatting sqref="AC786">
    <cfRule type="expression" dxfId="220" priority="268" stopIfTrue="1">
      <formula>#REF!="Confidential"</formula>
    </cfRule>
  </conditionalFormatting>
  <conditionalFormatting sqref="AC799:AC800">
    <cfRule type="expression" dxfId="219" priority="887" stopIfTrue="1">
      <formula>#REF!="Confidential"</formula>
    </cfRule>
  </conditionalFormatting>
  <conditionalFormatting sqref="AC809:AC810">
    <cfRule type="expression" dxfId="218" priority="491" stopIfTrue="1">
      <formula>#REF!="Confidential"</formula>
    </cfRule>
  </conditionalFormatting>
  <conditionalFormatting sqref="AC838">
    <cfRule type="expression" dxfId="217" priority="324" stopIfTrue="1">
      <formula>#REF!="Confidential"</formula>
    </cfRule>
  </conditionalFormatting>
  <conditionalFormatting sqref="AC841">
    <cfRule type="expression" dxfId="216" priority="849" stopIfTrue="1">
      <formula>#REF!="Confidential"</formula>
    </cfRule>
  </conditionalFormatting>
  <conditionalFormatting sqref="AC845:AC847">
    <cfRule type="expression" dxfId="215" priority="840" stopIfTrue="1">
      <formula>#REF!="Confidential"</formula>
    </cfRule>
  </conditionalFormatting>
  <conditionalFormatting sqref="AC852">
    <cfRule type="expression" dxfId="214" priority="833" stopIfTrue="1">
      <formula>#REF!="Confidential"</formula>
    </cfRule>
  </conditionalFormatting>
  <conditionalFormatting sqref="AC854">
    <cfRule type="expression" dxfId="213" priority="832" stopIfTrue="1">
      <formula>#REF!="Confidential"</formula>
    </cfRule>
  </conditionalFormatting>
  <conditionalFormatting sqref="AC859">
    <cfRule type="expression" dxfId="212" priority="829" stopIfTrue="1">
      <formula>#REF!="Confidential"</formula>
    </cfRule>
  </conditionalFormatting>
  <conditionalFormatting sqref="AC861:AC862">
    <cfRule type="expression" dxfId="211" priority="826" stopIfTrue="1">
      <formula>#REF!="Confidential"</formula>
    </cfRule>
  </conditionalFormatting>
  <conditionalFormatting sqref="AC877">
    <cfRule type="expression" dxfId="210" priority="335" stopIfTrue="1">
      <formula>#REF!="Confidential"</formula>
    </cfRule>
  </conditionalFormatting>
  <conditionalFormatting sqref="AC886:AC887">
    <cfRule type="expression" dxfId="209" priority="810" stopIfTrue="1">
      <formula>#REF!="Confidential"</formula>
    </cfRule>
  </conditionalFormatting>
  <conditionalFormatting sqref="AC895">
    <cfRule type="expression" dxfId="208" priority="465" stopIfTrue="1">
      <formula>#REF!="Confidential"</formula>
    </cfRule>
  </conditionalFormatting>
  <conditionalFormatting sqref="AC926">
    <cfRule type="expression" dxfId="207" priority="778" stopIfTrue="1">
      <formula>#REF!="Confidential"</formula>
    </cfRule>
  </conditionalFormatting>
  <conditionalFormatting sqref="AC928">
    <cfRule type="expression" dxfId="206" priority="86" stopIfTrue="1">
      <formula>#REF!="Confidential"</formula>
    </cfRule>
  </conditionalFormatting>
  <conditionalFormatting sqref="AC933">
    <cfRule type="expression" dxfId="205" priority="229" stopIfTrue="1">
      <formula>#REF!="Confidential"</formula>
    </cfRule>
  </conditionalFormatting>
  <conditionalFormatting sqref="AC937">
    <cfRule type="expression" dxfId="204" priority="760" stopIfTrue="1">
      <formula>#REF!="Confidential"</formula>
    </cfRule>
  </conditionalFormatting>
  <conditionalFormatting sqref="AC953:AC955">
    <cfRule type="expression" dxfId="203" priority="723" stopIfTrue="1">
      <formula>#REF!="Confidential"</formula>
    </cfRule>
  </conditionalFormatting>
  <conditionalFormatting sqref="AC958:AC959">
    <cfRule type="expression" dxfId="202" priority="604" stopIfTrue="1">
      <formula>#REF!="Confidential"</formula>
    </cfRule>
  </conditionalFormatting>
  <conditionalFormatting sqref="AC961:AC962">
    <cfRule type="expression" dxfId="201" priority="566" stopIfTrue="1">
      <formula>#REF!="Confidential"</formula>
    </cfRule>
  </conditionalFormatting>
  <conditionalFormatting sqref="AC964:AC965">
    <cfRule type="expression" dxfId="200" priority="547" stopIfTrue="1">
      <formula>#REF!="Confidential"</formula>
    </cfRule>
  </conditionalFormatting>
  <conditionalFormatting sqref="AC967:AC968">
    <cfRule type="expression" dxfId="199" priority="722" stopIfTrue="1">
      <formula>#REF!="Confidential"</formula>
    </cfRule>
  </conditionalFormatting>
  <conditionalFormatting sqref="AC970">
    <cfRule type="expression" dxfId="198" priority="721" stopIfTrue="1">
      <formula>#REF!="Confidential"</formula>
    </cfRule>
  </conditionalFormatting>
  <conditionalFormatting sqref="AC973">
    <cfRule type="expression" dxfId="197" priority="720" stopIfTrue="1">
      <formula>#REF!="Confidential"</formula>
    </cfRule>
  </conditionalFormatting>
  <conditionalFormatting sqref="AC976">
    <cfRule type="expression" dxfId="196" priority="719" stopIfTrue="1">
      <formula>#REF!="Confidential"</formula>
    </cfRule>
  </conditionalFormatting>
  <conditionalFormatting sqref="AC987">
    <cfRule type="expression" dxfId="195" priority="350" stopIfTrue="1">
      <formula>#REF!="Confidential"</formula>
    </cfRule>
  </conditionalFormatting>
  <conditionalFormatting sqref="AC990:AC991">
    <cfRule type="expression" dxfId="194" priority="708" stopIfTrue="1">
      <formula>#REF!="Confidential"</formula>
    </cfRule>
  </conditionalFormatting>
  <conditionalFormatting sqref="AC1003:AC1004">
    <cfRule type="expression" dxfId="193" priority="562" stopIfTrue="1">
      <formula>#REF!="Confidential"</formula>
    </cfRule>
  </conditionalFormatting>
  <conditionalFormatting sqref="AC1014:AC1019">
    <cfRule type="expression" dxfId="192" priority="482" stopIfTrue="1">
      <formula>#REF!="Confidential"</formula>
    </cfRule>
  </conditionalFormatting>
  <conditionalFormatting sqref="AC1021">
    <cfRule type="expression" dxfId="191" priority="226" stopIfTrue="1">
      <formula>#REF!="Confidential"</formula>
    </cfRule>
  </conditionalFormatting>
  <conditionalFormatting sqref="AC1049:AC1050">
    <cfRule type="expression" dxfId="190" priority="653" stopIfTrue="1">
      <formula>#REF!="Confidential"</formula>
    </cfRule>
  </conditionalFormatting>
  <conditionalFormatting sqref="AC1055:AC1057">
    <cfRule type="expression" dxfId="189" priority="668" stopIfTrue="1">
      <formula>#REF!="Confidential"</formula>
    </cfRule>
  </conditionalFormatting>
  <conditionalFormatting sqref="AC1074">
    <cfRule type="expression" dxfId="188" priority="656" stopIfTrue="1">
      <formula>#REF!="Confidential"</formula>
    </cfRule>
  </conditionalFormatting>
  <conditionalFormatting sqref="AC1095">
    <cfRule type="expression" dxfId="187" priority="649" stopIfTrue="1">
      <formula>#REF!="Confidential"</formula>
    </cfRule>
  </conditionalFormatting>
  <conditionalFormatting sqref="AC1109:AC1115">
    <cfRule type="expression" dxfId="186" priority="646" stopIfTrue="1">
      <formula>#REF!="Confidential"</formula>
    </cfRule>
  </conditionalFormatting>
  <conditionalFormatting sqref="AC1120:AC1123">
    <cfRule type="expression" dxfId="185" priority="644" stopIfTrue="1">
      <formula>#REF!="Confidential"</formula>
    </cfRule>
  </conditionalFormatting>
  <conditionalFormatting sqref="AC1126:AC1128">
    <cfRule type="expression" dxfId="184" priority="643" stopIfTrue="1">
      <formula>#REF!="Confidential"</formula>
    </cfRule>
  </conditionalFormatting>
  <conditionalFormatting sqref="AC1130:AC1131">
    <cfRule type="expression" dxfId="183" priority="356" stopIfTrue="1">
      <formula>#REF!="Confidential"</formula>
    </cfRule>
  </conditionalFormatting>
  <conditionalFormatting sqref="AC1134:AC1135">
    <cfRule type="expression" dxfId="182" priority="642" stopIfTrue="1">
      <formula>#REF!="Confidential"</formula>
    </cfRule>
  </conditionalFormatting>
  <conditionalFormatting sqref="AC1139">
    <cfRule type="expression" dxfId="181" priority="484" stopIfTrue="1">
      <formula>#REF!="Confidential"</formula>
    </cfRule>
  </conditionalFormatting>
  <conditionalFormatting sqref="AC1143">
    <cfRule type="expression" dxfId="180" priority="483" stopIfTrue="1">
      <formula>#REF!="Confidential"</formula>
    </cfRule>
  </conditionalFormatting>
  <conditionalFormatting sqref="AC1145:AC1147">
    <cfRule type="expression" dxfId="179" priority="640" stopIfTrue="1">
      <formula>#REF!="Confidential"</formula>
    </cfRule>
  </conditionalFormatting>
  <conditionalFormatting sqref="AC1152:AC1156">
    <cfRule type="expression" dxfId="178" priority="78" stopIfTrue="1">
      <formula>#REF!="Confidential"</formula>
    </cfRule>
  </conditionalFormatting>
  <conditionalFormatting sqref="AC1158:AC1163">
    <cfRule type="expression" dxfId="177" priority="122" stopIfTrue="1">
      <formula>#REF!="Confidential"</formula>
    </cfRule>
  </conditionalFormatting>
  <conditionalFormatting sqref="AC1170:AC1171">
    <cfRule type="expression" dxfId="176" priority="626" stopIfTrue="1">
      <formula>#REF!="Confidential"</formula>
    </cfRule>
  </conditionalFormatting>
  <conditionalFormatting sqref="AC1208:AC1209">
    <cfRule type="expression" dxfId="175" priority="619" stopIfTrue="1">
      <formula>#REF!="Confidential"</formula>
    </cfRule>
  </conditionalFormatting>
  <conditionalFormatting sqref="AC1212:AC1214">
    <cfRule type="expression" dxfId="174" priority="613" stopIfTrue="1">
      <formula>#REF!="Confidential"</formula>
    </cfRule>
  </conditionalFormatting>
  <conditionalFormatting sqref="AC1228:AC1235">
    <cfRule type="expression" dxfId="173" priority="313" stopIfTrue="1">
      <formula>#REF!="Confidential"</formula>
    </cfRule>
  </conditionalFormatting>
  <conditionalFormatting sqref="AC1237:AC1241">
    <cfRule type="expression" dxfId="172" priority="341" stopIfTrue="1">
      <formula>#REF!="Confidential"</formula>
    </cfRule>
  </conditionalFormatting>
  <conditionalFormatting sqref="AC1243">
    <cfRule type="expression" dxfId="171" priority="203" stopIfTrue="1">
      <formula>#REF!="Confidential"</formula>
    </cfRule>
  </conditionalFormatting>
  <conditionalFormatting sqref="AC1246:AC1247">
    <cfRule type="expression" dxfId="170" priority="589" stopIfTrue="1">
      <formula>#REF!="Confidential"</formula>
    </cfRule>
  </conditionalFormatting>
  <conditionalFormatting sqref="AC1276">
    <cfRule type="expression" dxfId="169" priority="600" stopIfTrue="1">
      <formula>#REF!="Confidential"</formula>
    </cfRule>
  </conditionalFormatting>
  <conditionalFormatting sqref="AC1280:AC1289">
    <cfRule type="expression" dxfId="168" priority="162" stopIfTrue="1">
      <formula>#REF!="Confidential"</formula>
    </cfRule>
  </conditionalFormatting>
  <conditionalFormatting sqref="AC1291:AC1292">
    <cfRule type="expression" dxfId="167" priority="590" stopIfTrue="1">
      <formula>#REF!="Confidential"</formula>
    </cfRule>
  </conditionalFormatting>
  <conditionalFormatting sqref="AC1294">
    <cfRule type="expression" dxfId="166" priority="587" stopIfTrue="1">
      <formula>#REF!="Confidential"</formula>
    </cfRule>
  </conditionalFormatting>
  <conditionalFormatting sqref="AC1299">
    <cfRule type="expression" dxfId="165" priority="586" stopIfTrue="1">
      <formula>#REF!="Confidential"</formula>
    </cfRule>
  </conditionalFormatting>
  <conditionalFormatting sqref="AC1306:AC1307">
    <cfRule type="expression" dxfId="164" priority="585" stopIfTrue="1">
      <formula>#REF!="Confidential"</formula>
    </cfRule>
  </conditionalFormatting>
  <conditionalFormatting sqref="AC1310:AC1314">
    <cfRule type="expression" dxfId="163" priority="584" stopIfTrue="1">
      <formula>#REF!="Confidential"</formula>
    </cfRule>
  </conditionalFormatting>
  <conditionalFormatting sqref="AC1324">
    <cfRule type="expression" dxfId="162" priority="581" stopIfTrue="1">
      <formula>#REF!="Confidential"</formula>
    </cfRule>
  </conditionalFormatting>
  <conditionalFormatting sqref="AC1326:AC1327">
    <cfRule type="expression" dxfId="161" priority="560" stopIfTrue="1">
      <formula>#REF!="Confidential"</formula>
    </cfRule>
  </conditionalFormatting>
  <conditionalFormatting sqref="AC1329">
    <cfRule type="expression" dxfId="160" priority="559" stopIfTrue="1">
      <formula>#REF!="Confidential"</formula>
    </cfRule>
  </conditionalFormatting>
  <conditionalFormatting sqref="AC1331:AC1332">
    <cfRule type="expression" dxfId="159" priority="340" stopIfTrue="1">
      <formula>#REF!="Confidential"</formula>
    </cfRule>
  </conditionalFormatting>
  <conditionalFormatting sqref="AC1335:AC1337">
    <cfRule type="expression" dxfId="158" priority="557" stopIfTrue="1">
      <formula>#REF!="Confidential"</formula>
    </cfRule>
  </conditionalFormatting>
  <conditionalFormatting sqref="AC1341">
    <cfRule type="expression" dxfId="157" priority="554" stopIfTrue="1">
      <formula>#REF!="Confidential"</formula>
    </cfRule>
  </conditionalFormatting>
  <conditionalFormatting sqref="AC1356:AC1358">
    <cfRule type="expression" dxfId="156" priority="546" stopIfTrue="1">
      <formula>#REF!="Confidential"</formula>
    </cfRule>
  </conditionalFormatting>
  <conditionalFormatting sqref="AC1361:AC1362">
    <cfRule type="expression" dxfId="155" priority="538" stopIfTrue="1">
      <formula>#REF!="Confidential"</formula>
    </cfRule>
  </conditionalFormatting>
  <conditionalFormatting sqref="AC1366:AC1367">
    <cfRule type="expression" dxfId="154" priority="535" stopIfTrue="1">
      <formula>#REF!="Confidential"</formula>
    </cfRule>
  </conditionalFormatting>
  <conditionalFormatting sqref="AC1371:AC1374">
    <cfRule type="expression" dxfId="153" priority="100" stopIfTrue="1">
      <formula>#REF!="Confidential"</formula>
    </cfRule>
  </conditionalFormatting>
  <conditionalFormatting sqref="AC1378:AC1384">
    <cfRule type="expression" dxfId="152" priority="526" stopIfTrue="1">
      <formula>#REF!="Confidential"</formula>
    </cfRule>
  </conditionalFormatting>
  <conditionalFormatting sqref="AC1386">
    <cfRule type="expression" dxfId="151" priority="525" stopIfTrue="1">
      <formula>#REF!="Confidential"</formula>
    </cfRule>
  </conditionalFormatting>
  <conditionalFormatting sqref="AC1388:AC1392">
    <cfRule type="expression" dxfId="150" priority="516" stopIfTrue="1">
      <formula>#REF!="Confidential"</formula>
    </cfRule>
  </conditionalFormatting>
  <conditionalFormatting sqref="AC1413">
    <cfRule type="expression" dxfId="149" priority="511" stopIfTrue="1">
      <formula>#REF!="Confidential"</formula>
    </cfRule>
  </conditionalFormatting>
  <conditionalFormatting sqref="AC1415:AC1419">
    <cfRule type="expression" dxfId="148" priority="507" stopIfTrue="1">
      <formula>#REF!="Confidential"</formula>
    </cfRule>
  </conditionalFormatting>
  <conditionalFormatting sqref="AC1424:AC1425">
    <cfRule type="expression" dxfId="147" priority="371" stopIfTrue="1">
      <formula>#REF!="Confidential"</formula>
    </cfRule>
  </conditionalFormatting>
  <conditionalFormatting sqref="AC1427:AC1429">
    <cfRule type="expression" dxfId="146" priority="495" stopIfTrue="1">
      <formula>#REF!="Confidential"</formula>
    </cfRule>
  </conditionalFormatting>
  <conditionalFormatting sqref="AC1432:AC1435">
    <cfRule type="expression" dxfId="145" priority="108" stopIfTrue="1">
      <formula>#REF!="Confidential"</formula>
    </cfRule>
  </conditionalFormatting>
  <conditionalFormatting sqref="AC1437:AC1438">
    <cfRule type="expression" dxfId="144" priority="486" stopIfTrue="1">
      <formula>#REF!="Confidential"</formula>
    </cfRule>
  </conditionalFormatting>
  <conditionalFormatting sqref="AC1452">
    <cfRule type="expression" dxfId="143" priority="380" stopIfTrue="1">
      <formula>#REF!="Confidential"</formula>
    </cfRule>
  </conditionalFormatting>
  <conditionalFormatting sqref="AC1474">
    <cfRule type="expression" dxfId="142" priority="63" stopIfTrue="1">
      <formula>#REF!="Confidential"</formula>
    </cfRule>
  </conditionalFormatting>
  <conditionalFormatting sqref="AC1476">
    <cfRule type="expression" dxfId="141" priority="480" stopIfTrue="1">
      <formula>#REF!="Confidential"</formula>
    </cfRule>
  </conditionalFormatting>
  <conditionalFormatting sqref="AC1478:AC1481">
    <cfRule type="expression" dxfId="140" priority="353" stopIfTrue="1">
      <formula>#REF!="Confidential"</formula>
    </cfRule>
  </conditionalFormatting>
  <conditionalFormatting sqref="AC1483:AC1484">
    <cfRule type="expression" dxfId="139" priority="472" stopIfTrue="1">
      <formula>#REF!="Confidential"</formula>
    </cfRule>
  </conditionalFormatting>
  <conditionalFormatting sqref="AC1489">
    <cfRule type="expression" dxfId="138" priority="446" stopIfTrue="1">
      <formula>#REF!="Confidential"</formula>
    </cfRule>
  </conditionalFormatting>
  <conditionalFormatting sqref="AC1492:AC1493">
    <cfRule type="expression" dxfId="137" priority="467" stopIfTrue="1">
      <formula>#REF!="Confidential"</formula>
    </cfRule>
  </conditionalFormatting>
  <conditionalFormatting sqref="AC1515">
    <cfRule type="expression" dxfId="136" priority="453" stopIfTrue="1">
      <formula>#REF!="Confidential"</formula>
    </cfRule>
  </conditionalFormatting>
  <conditionalFormatting sqref="AC1540:AC1544">
    <cfRule type="expression" dxfId="135" priority="142" stopIfTrue="1">
      <formula>#REF!="Confidential"</formula>
    </cfRule>
  </conditionalFormatting>
  <conditionalFormatting sqref="AC1546:AC1548">
    <cfRule type="expression" dxfId="134" priority="225" stopIfTrue="1">
      <formula>#REF!="Confidential"</formula>
    </cfRule>
  </conditionalFormatting>
  <conditionalFormatting sqref="AC1559:AC1560">
    <cfRule type="expression" dxfId="133" priority="432" stopIfTrue="1">
      <formula>#REF!="Confidential"</formula>
    </cfRule>
  </conditionalFormatting>
  <conditionalFormatting sqref="AC1562:AC1566">
    <cfRule type="expression" dxfId="132" priority="431" stopIfTrue="1">
      <formula>#REF!="Confidential"</formula>
    </cfRule>
  </conditionalFormatting>
  <conditionalFormatting sqref="AC1569:AC1570">
    <cfRule type="expression" dxfId="131" priority="429" stopIfTrue="1">
      <formula>#REF!="Confidential"</formula>
    </cfRule>
  </conditionalFormatting>
  <conditionalFormatting sqref="AC1573">
    <cfRule type="expression" dxfId="130" priority="425" stopIfTrue="1">
      <formula>#REF!="Confidential"</formula>
    </cfRule>
  </conditionalFormatting>
  <conditionalFormatting sqref="AC1577:AC1579">
    <cfRule type="expression" dxfId="129" priority="223" stopIfTrue="1">
      <formula>#REF!="Confidential"</formula>
    </cfRule>
  </conditionalFormatting>
  <conditionalFormatting sqref="AC1611:AC1612">
    <cfRule type="expression" dxfId="128" priority="406" stopIfTrue="1">
      <formula>#REF!="Confidential"</formula>
    </cfRule>
  </conditionalFormatting>
  <conditionalFormatting sqref="AC1619">
    <cfRule type="expression" dxfId="127" priority="399" stopIfTrue="1">
      <formula>#REF!="Confidential"</formula>
    </cfRule>
  </conditionalFormatting>
  <conditionalFormatting sqref="AC1626">
    <cfRule type="expression" dxfId="126" priority="287" stopIfTrue="1">
      <formula>#REF!="Confidential"</formula>
    </cfRule>
  </conditionalFormatting>
  <conditionalFormatting sqref="AC1641:AC1644">
    <cfRule type="expression" dxfId="125" priority="286" stopIfTrue="1">
      <formula>#REF!="Confidential"</formula>
    </cfRule>
  </conditionalFormatting>
  <conditionalFormatting sqref="AC1646">
    <cfRule type="expression" dxfId="124" priority="389" stopIfTrue="1">
      <formula>#REF!="Confidential"</formula>
    </cfRule>
  </conditionalFormatting>
  <conditionalFormatting sqref="AC1650:AC1652">
    <cfRule type="expression" dxfId="123" priority="387" stopIfTrue="1">
      <formula>#REF!="Confidential"</formula>
    </cfRule>
  </conditionalFormatting>
  <conditionalFormatting sqref="AC1681">
    <cfRule type="expression" dxfId="122" priority="379" stopIfTrue="1">
      <formula>#REF!="Confidential"</formula>
    </cfRule>
  </conditionalFormatting>
  <conditionalFormatting sqref="AC1690:AC1693">
    <cfRule type="expression" dxfId="121" priority="369" stopIfTrue="1">
      <formula>#REF!="Confidential"</formula>
    </cfRule>
  </conditionalFormatting>
  <conditionalFormatting sqref="AC1701:AC1706">
    <cfRule type="expression" dxfId="120" priority="367" stopIfTrue="1">
      <formula>#REF!="Confidential"</formula>
    </cfRule>
  </conditionalFormatting>
  <conditionalFormatting sqref="AC1708:AC1715">
    <cfRule type="expression" dxfId="119" priority="364" stopIfTrue="1">
      <formula>#REF!="Confidential"</formula>
    </cfRule>
  </conditionalFormatting>
  <conditionalFormatting sqref="AC1718">
    <cfRule type="expression" dxfId="118" priority="362" stopIfTrue="1">
      <formula>#REF!="Confidential"</formula>
    </cfRule>
  </conditionalFormatting>
  <conditionalFormatting sqref="AC1721">
    <cfRule type="expression" dxfId="117" priority="360" stopIfTrue="1">
      <formula>#REF!="Confidential"</formula>
    </cfRule>
  </conditionalFormatting>
  <conditionalFormatting sqref="AC1724">
    <cfRule type="expression" dxfId="116" priority="359" stopIfTrue="1">
      <formula>#REF!="Confidential"</formula>
    </cfRule>
  </conditionalFormatting>
  <conditionalFormatting sqref="AC1745">
    <cfRule type="expression" dxfId="115" priority="337" stopIfTrue="1">
      <formula>#REF!="Confidential"</formula>
    </cfRule>
  </conditionalFormatting>
  <conditionalFormatting sqref="AC1747:AC1758">
    <cfRule type="expression" dxfId="114" priority="327" stopIfTrue="1">
      <formula>#REF!="Confidential"</formula>
    </cfRule>
  </conditionalFormatting>
  <conditionalFormatting sqref="AC1765">
    <cfRule type="expression" dxfId="113" priority="325" stopIfTrue="1">
      <formula>#REF!="Confidential"</formula>
    </cfRule>
  </conditionalFormatting>
  <conditionalFormatting sqref="AC1797:AC1798">
    <cfRule type="expression" dxfId="112" priority="317" stopIfTrue="1">
      <formula>#REF!="Confidential"</formula>
    </cfRule>
  </conditionalFormatting>
  <conditionalFormatting sqref="AC1800">
    <cfRule type="expression" dxfId="111" priority="315" stopIfTrue="1">
      <formula>#REF!="Confidential"</formula>
    </cfRule>
  </conditionalFormatting>
  <conditionalFormatting sqref="AC1847:AC1850">
    <cfRule type="expression" dxfId="110" priority="256" stopIfTrue="1">
      <formula>#REF!="Confidential"</formula>
    </cfRule>
  </conditionalFormatting>
  <conditionalFormatting sqref="AC1854">
    <cfRule type="expression" dxfId="109" priority="299" stopIfTrue="1">
      <formula>#REF!="Confidential"</formula>
    </cfRule>
  </conditionalFormatting>
  <conditionalFormatting sqref="AC1863:AC1865">
    <cfRule type="expression" dxfId="108" priority="281" stopIfTrue="1">
      <formula>#REF!="Confidential"</formula>
    </cfRule>
  </conditionalFormatting>
  <conditionalFormatting sqref="AC1873:AC1876">
    <cfRule type="expression" dxfId="107" priority="283" stopIfTrue="1">
      <formula>#REF!="Confidential"</formula>
    </cfRule>
  </conditionalFormatting>
  <conditionalFormatting sqref="AC1878">
    <cfRule type="expression" dxfId="106" priority="282" stopIfTrue="1">
      <formula>#REF!="Confidential"</formula>
    </cfRule>
  </conditionalFormatting>
  <conditionalFormatting sqref="AC1883">
    <cfRule type="expression" dxfId="105" priority="154" stopIfTrue="1">
      <formula>#REF!="Confidential"</formula>
    </cfRule>
  </conditionalFormatting>
  <conditionalFormatting sqref="AC1887">
    <cfRule type="expression" dxfId="104" priority="279" stopIfTrue="1">
      <formula>#REF!="Confidential"</formula>
    </cfRule>
  </conditionalFormatting>
  <conditionalFormatting sqref="AC1896:AC1898">
    <cfRule type="expression" dxfId="103" priority="271" stopIfTrue="1">
      <formula>#REF!="Confidential"</formula>
    </cfRule>
  </conditionalFormatting>
  <conditionalFormatting sqref="AC1908">
    <cfRule type="expression" dxfId="102" priority="266" stopIfTrue="1">
      <formula>#REF!="Confidential"</formula>
    </cfRule>
  </conditionalFormatting>
  <conditionalFormatting sqref="AC1912">
    <cfRule type="expression" dxfId="101" priority="174" stopIfTrue="1">
      <formula>#REF!="Confidential"</formula>
    </cfRule>
  </conditionalFormatting>
  <conditionalFormatting sqref="AC1914">
    <cfRule type="expression" dxfId="100" priority="259" stopIfTrue="1">
      <formula>#REF!="Confidential"</formula>
    </cfRule>
  </conditionalFormatting>
  <conditionalFormatting sqref="AC1921">
    <cfRule type="expression" dxfId="99" priority="254" stopIfTrue="1">
      <formula>#REF!="Confidential"</formula>
    </cfRule>
  </conditionalFormatting>
  <conditionalFormatting sqref="AC1927">
    <cfRule type="expression" dxfId="98" priority="67" stopIfTrue="1">
      <formula>#REF!="Confidential"</formula>
    </cfRule>
  </conditionalFormatting>
  <conditionalFormatting sqref="AC1930">
    <cfRule type="expression" dxfId="97" priority="249" stopIfTrue="1">
      <formula>#REF!="Confidential"</formula>
    </cfRule>
  </conditionalFormatting>
  <conditionalFormatting sqref="AC1938:AC1939">
    <cfRule type="expression" dxfId="96" priority="245" stopIfTrue="1">
      <formula>#REF!="Confidential"</formula>
    </cfRule>
  </conditionalFormatting>
  <conditionalFormatting sqref="AC1942">
    <cfRule type="expression" dxfId="95" priority="239" stopIfTrue="1">
      <formula>#REF!="Confidential"</formula>
    </cfRule>
  </conditionalFormatting>
  <conditionalFormatting sqref="AC1949">
    <cfRule type="expression" dxfId="94" priority="233" stopIfTrue="1">
      <formula>#REF!="Confidential"</formula>
    </cfRule>
  </conditionalFormatting>
  <conditionalFormatting sqref="AC1958:AC1959">
    <cfRule type="expression" dxfId="93" priority="219" stopIfTrue="1">
      <formula>#REF!="Confidential"</formula>
    </cfRule>
  </conditionalFormatting>
  <conditionalFormatting sqref="AC1963:AC1967">
    <cfRule type="expression" dxfId="92" priority="65" stopIfTrue="1">
      <formula>#REF!="Confidential"</formula>
    </cfRule>
  </conditionalFormatting>
  <conditionalFormatting sqref="AC1971">
    <cfRule type="expression" dxfId="91" priority="50" stopIfTrue="1">
      <formula>#REF!="Confidential"</formula>
    </cfRule>
  </conditionalFormatting>
  <conditionalFormatting sqref="AC1976">
    <cfRule type="expression" dxfId="90" priority="216" stopIfTrue="1">
      <formula>#REF!="Confidential"</formula>
    </cfRule>
  </conditionalFormatting>
  <conditionalFormatting sqref="AC1978">
    <cfRule type="expression" dxfId="89" priority="215" stopIfTrue="1">
      <formula>#REF!="Confidential"</formula>
    </cfRule>
  </conditionalFormatting>
  <conditionalFormatting sqref="AC1999:AC2000">
    <cfRule type="expression" dxfId="88" priority="211" stopIfTrue="1">
      <formula>#REF!="Confidential"</formula>
    </cfRule>
  </conditionalFormatting>
  <conditionalFormatting sqref="AC2012:AC2015">
    <cfRule type="expression" dxfId="87" priority="210" stopIfTrue="1">
      <formula>#REF!="Confidential"</formula>
    </cfRule>
  </conditionalFormatting>
  <conditionalFormatting sqref="AC2017:AC2023">
    <cfRule type="expression" dxfId="86" priority="207" stopIfTrue="1">
      <formula>#REF!="Confidential"</formula>
    </cfRule>
  </conditionalFormatting>
  <conditionalFormatting sqref="AC2038">
    <cfRule type="expression" dxfId="85" priority="201" stopIfTrue="1">
      <formula>#REF!="Confidential"</formula>
    </cfRule>
  </conditionalFormatting>
  <conditionalFormatting sqref="AC2041">
    <cfRule type="expression" dxfId="84" priority="199" stopIfTrue="1">
      <formula>#REF!="Confidential"</formula>
    </cfRule>
  </conditionalFormatting>
  <conditionalFormatting sqref="AC2051">
    <cfRule type="expression" dxfId="83" priority="172" stopIfTrue="1">
      <formula>#REF!="Confidential"</formula>
    </cfRule>
  </conditionalFormatting>
  <conditionalFormatting sqref="AC2145:AC2146">
    <cfRule type="expression" dxfId="82" priority="161" stopIfTrue="1">
      <formula>#REF!="Confidential"</formula>
    </cfRule>
  </conditionalFormatting>
  <conditionalFormatting sqref="AC2235">
    <cfRule type="expression" dxfId="81" priority="146" stopIfTrue="1">
      <formula>#REF!="Confidential"</formula>
    </cfRule>
  </conditionalFormatting>
  <conditionalFormatting sqref="AC2294:AC2295">
    <cfRule type="expression" dxfId="80" priority="128" stopIfTrue="1">
      <formula>#REF!="Confidential"</formula>
    </cfRule>
  </conditionalFormatting>
  <conditionalFormatting sqref="AC2300:AC2302">
    <cfRule type="expression" dxfId="79" priority="125" stopIfTrue="1">
      <formula>#REF!="Confidential"</formula>
    </cfRule>
  </conditionalFormatting>
  <conditionalFormatting sqref="AC2304">
    <cfRule type="expression" dxfId="78" priority="123" stopIfTrue="1">
      <formula>#REF!="Confidential"</formula>
    </cfRule>
  </conditionalFormatting>
  <conditionalFormatting sqref="AC2306">
    <cfRule type="expression" dxfId="77" priority="121" stopIfTrue="1">
      <formula>#REF!="Confidential"</formula>
    </cfRule>
  </conditionalFormatting>
  <conditionalFormatting sqref="AC2308:AC2309">
    <cfRule type="expression" dxfId="76" priority="60" stopIfTrue="1">
      <formula>#REF!="Confidential"</formula>
    </cfRule>
  </conditionalFormatting>
  <conditionalFormatting sqref="AC2311:AC2312">
    <cfRule type="expression" dxfId="75" priority="118" stopIfTrue="1">
      <formula>#REF!="Confidential"</formula>
    </cfRule>
  </conditionalFormatting>
  <conditionalFormatting sqref="AC2315">
    <cfRule type="expression" dxfId="74" priority="116" stopIfTrue="1">
      <formula>#REF!="Confidential"</formula>
    </cfRule>
  </conditionalFormatting>
  <conditionalFormatting sqref="AC2319">
    <cfRule type="expression" dxfId="73" priority="115" stopIfTrue="1">
      <formula>#REF!="Confidential"</formula>
    </cfRule>
  </conditionalFormatting>
  <conditionalFormatting sqref="AC2328">
    <cfRule type="expression" dxfId="72" priority="107" stopIfTrue="1">
      <formula>#REF!="Confidential"</formula>
    </cfRule>
  </conditionalFormatting>
  <conditionalFormatting sqref="AC2331:AC2333">
    <cfRule type="expression" dxfId="71" priority="97" stopIfTrue="1">
      <formula>#REF!="Confidential"</formula>
    </cfRule>
  </conditionalFormatting>
  <conditionalFormatting sqref="AC2337:AC2338">
    <cfRule type="expression" dxfId="70" priority="94" stopIfTrue="1">
      <formula>#REF!="Confidential"</formula>
    </cfRule>
  </conditionalFormatting>
  <conditionalFormatting sqref="AC2342:AC2345">
    <cfRule type="expression" dxfId="69" priority="91" stopIfTrue="1">
      <formula>#REF!="Confidential"</formula>
    </cfRule>
  </conditionalFormatting>
  <conditionalFormatting sqref="AC2358:AC2373">
    <cfRule type="expression" dxfId="68" priority="80" stopIfTrue="1">
      <formula>#REF!="Confidential"</formula>
    </cfRule>
  </conditionalFormatting>
  <conditionalFormatting sqref="AC2392:AC2399">
    <cfRule type="expression" dxfId="67" priority="71" stopIfTrue="1">
      <formula>#REF!="Confidential"</formula>
    </cfRule>
  </conditionalFormatting>
  <conditionalFormatting sqref="AC2401:AC2403">
    <cfRule type="expression" dxfId="66" priority="70" stopIfTrue="1">
      <formula>#REF!="Confidential"</formula>
    </cfRule>
  </conditionalFormatting>
  <conditionalFormatting sqref="AC2411">
    <cfRule type="expression" dxfId="65" priority="64" stopIfTrue="1">
      <formula>#REF!="Confidential"</formula>
    </cfRule>
  </conditionalFormatting>
  <conditionalFormatting sqref="AC668:AE668">
    <cfRule type="expression" dxfId="64" priority="984" stopIfTrue="1">
      <formula>#REF!="Confidential"</formula>
    </cfRule>
  </conditionalFormatting>
  <conditionalFormatting sqref="AC763:AE763">
    <cfRule type="expression" dxfId="63" priority="921" stopIfTrue="1">
      <formula>#REF!="Confidential"</formula>
    </cfRule>
  </conditionalFormatting>
  <conditionalFormatting sqref="AC817:AE819">
    <cfRule type="expression" dxfId="62" priority="861" stopIfTrue="1">
      <formula>#REF!="Confidential"</formula>
    </cfRule>
  </conditionalFormatting>
  <conditionalFormatting sqref="AC822:AE825">
    <cfRule type="expression" dxfId="61" priority="857" stopIfTrue="1">
      <formula>#REF!="Confidential"</formula>
    </cfRule>
  </conditionalFormatting>
  <conditionalFormatting sqref="AC881:AE884">
    <cfRule type="expression" dxfId="60" priority="580" stopIfTrue="1">
      <formula>#REF!="Confidential"</formula>
    </cfRule>
  </conditionalFormatting>
  <conditionalFormatting sqref="AC1360:AE1360">
    <cfRule type="expression" dxfId="59" priority="543" stopIfTrue="1">
      <formula>#REF!="Confidential"</formula>
    </cfRule>
  </conditionalFormatting>
  <conditionalFormatting sqref="AD471">
    <cfRule type="expression" dxfId="58" priority="240" stopIfTrue="1">
      <formula>#REF!="Confidential"</formula>
    </cfRule>
  </conditionalFormatting>
  <conditionalFormatting sqref="AD599">
    <cfRule type="expression" dxfId="57" priority="614" stopIfTrue="1">
      <formula>#REF!="Confidential"</formula>
    </cfRule>
  </conditionalFormatting>
  <conditionalFormatting sqref="AD774">
    <cfRule type="expression" dxfId="56" priority="815" stopIfTrue="1">
      <formula>#REF!="Confidential"</formula>
    </cfRule>
  </conditionalFormatting>
  <conditionalFormatting sqref="AD947">
    <cfRule type="expression" dxfId="55" priority="744" stopIfTrue="1">
      <formula>#REF!="Confidential"</formula>
    </cfRule>
  </conditionalFormatting>
  <conditionalFormatting sqref="AD1208:AD1209">
    <cfRule type="expression" dxfId="54" priority="617" stopIfTrue="1">
      <formula>#REF!="Confidential"</formula>
    </cfRule>
  </conditionalFormatting>
  <conditionalFormatting sqref="AD732:AE733">
    <cfRule type="expression" dxfId="53" priority="943" stopIfTrue="1">
      <formula>#REF!="Confidential"</formula>
    </cfRule>
  </conditionalFormatting>
  <conditionalFormatting sqref="AD735:AE736">
    <cfRule type="expression" dxfId="52" priority="938" stopIfTrue="1">
      <formula>#REF!="Confidential"</formula>
    </cfRule>
  </conditionalFormatting>
  <conditionalFormatting sqref="AD800:AE801">
    <cfRule type="expression" dxfId="51" priority="888" stopIfTrue="1">
      <formula>#REF!="Confidential"</formula>
    </cfRule>
  </conditionalFormatting>
  <conditionalFormatting sqref="AD838:AE838">
    <cfRule type="expression" dxfId="50" priority="853" stopIfTrue="1">
      <formula>#REF!="Confidential"</formula>
    </cfRule>
  </conditionalFormatting>
  <conditionalFormatting sqref="AD846:AE847">
    <cfRule type="expression" dxfId="49" priority="842" stopIfTrue="1">
      <formula>#REF!="Confidential"</formula>
    </cfRule>
  </conditionalFormatting>
  <conditionalFormatting sqref="AD911:AE912">
    <cfRule type="expression" dxfId="48" priority="792" stopIfTrue="1">
      <formula>#REF!="Confidential"</formula>
    </cfRule>
  </conditionalFormatting>
  <conditionalFormatting sqref="AD1047:AE1047">
    <cfRule type="expression" dxfId="47" priority="678" stopIfTrue="1">
      <formula>#REF!="Confidential"</formula>
    </cfRule>
  </conditionalFormatting>
  <conditionalFormatting sqref="AD1170:AE1171">
    <cfRule type="expression" dxfId="46" priority="627" stopIfTrue="1">
      <formula>#REF!="Confidential"</formula>
    </cfRule>
  </conditionalFormatting>
  <conditionalFormatting sqref="AD1276:AE1276">
    <cfRule type="expression" dxfId="45" priority="601" stopIfTrue="1">
      <formula>#REF!="Confidential"</formula>
    </cfRule>
  </conditionalFormatting>
  <conditionalFormatting sqref="AE233">
    <cfRule type="expression" dxfId="44" priority="900" stopIfTrue="1">
      <formula>#REF!="Confidential"</formula>
    </cfRule>
  </conditionalFormatting>
  <conditionalFormatting sqref="AE244">
    <cfRule type="expression" dxfId="43" priority="901" stopIfTrue="1">
      <formula>#REF!="Confidential"</formula>
    </cfRule>
  </conditionalFormatting>
  <conditionalFormatting sqref="AE248">
    <cfRule type="expression" dxfId="42" priority="457" stopIfTrue="1">
      <formula>#REF!="Confidential"</formula>
    </cfRule>
  </conditionalFormatting>
  <conditionalFormatting sqref="AE344">
    <cfRule type="expression" dxfId="41" priority="902" stopIfTrue="1">
      <formula>#REF!="Confidential"</formula>
    </cfRule>
  </conditionalFormatting>
  <conditionalFormatting sqref="AE374:AE376">
    <cfRule type="expression" dxfId="40" priority="903" stopIfTrue="1">
      <formula>#REF!="Confidential"</formula>
    </cfRule>
  </conditionalFormatting>
  <conditionalFormatting sqref="AE378:AE379">
    <cfRule type="expression" dxfId="39" priority="904" stopIfTrue="1">
      <formula>#REF!="Confidential"</formula>
    </cfRule>
  </conditionalFormatting>
  <conditionalFormatting sqref="AE386">
    <cfRule type="expression" dxfId="38" priority="905" stopIfTrue="1">
      <formula>#REF!="Confidential"</formula>
    </cfRule>
  </conditionalFormatting>
  <conditionalFormatting sqref="AE404:AE405">
    <cfRule type="expression" dxfId="37" priority="906" stopIfTrue="1">
      <formula>#REF!="Confidential"</formula>
    </cfRule>
  </conditionalFormatting>
  <conditionalFormatting sqref="AE442">
    <cfRule type="expression" dxfId="36" priority="532" stopIfTrue="1">
      <formula>#REF!="Confidential"</formula>
    </cfRule>
  </conditionalFormatting>
  <conditionalFormatting sqref="AE449:AE451">
    <cfRule type="expression" dxfId="35" priority="911" stopIfTrue="1">
      <formula>#REF!="Confidential"</formula>
    </cfRule>
  </conditionalFormatting>
  <conditionalFormatting sqref="AE456">
    <cfRule type="expression" dxfId="34" priority="912" stopIfTrue="1">
      <formula>#REF!="Confidential"</formula>
    </cfRule>
  </conditionalFormatting>
  <conditionalFormatting sqref="AE469:AE470 H553 J553:K553 I553:I555 F578:G585 I582 AB600:AB604 D620:D623 F621:G622 I652:I654 AB666:AB675 H692 AC727:AC733 AD728:AE729 AF728:AF729 AF732:AF742 E734:E741 F738:I742 AD738:AE742 AC738:AC745 AA741 AB751:AB764 AE783:AE785 Z796:Z798 D819 F819:K819 D830:D834 D836:D843 D854:D860 J903 AB938:AB942 AC941 J944:J951 F946:G951 K946:Y951 H949:I950 AC995:AC1001 D1000 F1004:H1004 D1035:D1043 AB1059:AB1061 F1060:H1063 D1064:D1066 AB1064:AB1086 G1066:H1066 F1066:F1067 G1067 I1067:O1067 Z1067 D1088:D1091 AC1098:AC1106 D1106:D1107 D1143:D1161 AB1149:AB1195 D1164:D1165 AC1173:AC1195 AB1197:AB1203 AC1198:AC1201 AC1203:AC1205 D1218:D1222 AC1220:AC1222 F1279:I1283 F1285:H1291 I1285:I1294 AC1320:AC1322 D1377 J1377 D1387:D1388 AC1396:AC1409 H1399:H1409 AB1423:AB1442 D1474:D1475 AB1514:AB1529 AC1517:AC1525 AB1532:AB1544 AC1533:AC1538 AC1550:AC1556 AB1648:AB1663 AB1723:AB1732 AC1727:AC1733 D1746 I1746:I1748 F1746:G1749 AC1760 AC1802 AB1887:AB1901 AC1902:AC1903 AB1951:AB1952 AB2065:AB2182 B2345">
    <cfRule type="expression" dxfId="33" priority="92" stopIfTrue="1">
      <formula>#REF!="Confidential"</formula>
    </cfRule>
  </conditionalFormatting>
  <conditionalFormatting sqref="AE472">
    <cfRule type="expression" dxfId="32" priority="907" stopIfTrue="1">
      <formula>#REF!="Confidential"</formula>
    </cfRule>
  </conditionalFormatting>
  <conditionalFormatting sqref="AE476">
    <cfRule type="expression" dxfId="31" priority="908" stopIfTrue="1">
      <formula>#REF!="Confidential"</formula>
    </cfRule>
  </conditionalFormatting>
  <conditionalFormatting sqref="AE495">
    <cfRule type="expression" dxfId="30" priority="786" stopIfTrue="1">
      <formula>#REF!="Confidential"</formula>
    </cfRule>
  </conditionalFormatting>
  <conditionalFormatting sqref="AE501">
    <cfRule type="expression" dxfId="29" priority="913" stopIfTrue="1">
      <formula>#REF!="Confidential"</formula>
    </cfRule>
  </conditionalFormatting>
  <conditionalFormatting sqref="AE515">
    <cfRule type="expression" dxfId="28" priority="1003" stopIfTrue="1">
      <formula>#REF!="Confidential"</formula>
    </cfRule>
  </conditionalFormatting>
  <conditionalFormatting sqref="AE533">
    <cfRule type="expression" dxfId="27" priority="909" stopIfTrue="1">
      <formula>#REF!="Confidential"</formula>
    </cfRule>
  </conditionalFormatting>
  <conditionalFormatting sqref="AE545">
    <cfRule type="expression" dxfId="26" priority="910" stopIfTrue="1">
      <formula>#REF!="Confidential"</formula>
    </cfRule>
  </conditionalFormatting>
  <conditionalFormatting sqref="AE890">
    <cfRule type="expression" dxfId="25" priority="804" stopIfTrue="1">
      <formula>#REF!="Confidential"</formula>
    </cfRule>
  </conditionalFormatting>
  <conditionalFormatting sqref="AE914">
    <cfRule type="expression" dxfId="24" priority="787" stopIfTrue="1">
      <formula>#REF!="Confidential"</formula>
    </cfRule>
  </conditionalFormatting>
  <conditionalFormatting sqref="AE949:AE951">
    <cfRule type="expression" dxfId="23" priority="567" stopIfTrue="1">
      <formula>#REF!="Confidential"</formula>
    </cfRule>
  </conditionalFormatting>
  <conditionalFormatting sqref="AF523">
    <cfRule type="expression" dxfId="22" priority="873" stopIfTrue="1">
      <formula>#REF!="Confidential"</formula>
    </cfRule>
  </conditionalFormatting>
  <conditionalFormatting sqref="AF583:AF585">
    <cfRule type="expression" dxfId="21" priority="765" stopIfTrue="1">
      <formula>#REF!="Confidential"</formula>
    </cfRule>
  </conditionalFormatting>
  <conditionalFormatting sqref="AF654">
    <cfRule type="expression" dxfId="20" priority="988" stopIfTrue="1">
      <formula>#REF!="Confidential"</formula>
    </cfRule>
  </conditionalFormatting>
  <conditionalFormatting sqref="AF723:AF726">
    <cfRule type="expression" dxfId="19" priority="949" stopIfTrue="1">
      <formula>#REF!="Confidential"</formula>
    </cfRule>
  </conditionalFormatting>
  <conditionalFormatting sqref="AF756">
    <cfRule type="expression" dxfId="18" priority="860" stopIfTrue="1">
      <formula>#REF!="Confidential"</formula>
    </cfRule>
  </conditionalFormatting>
  <conditionalFormatting sqref="AF761:AF763">
    <cfRule type="expression" dxfId="17" priority="920" stopIfTrue="1">
      <formula>#REF!="Confidential"</formula>
    </cfRule>
  </conditionalFormatting>
  <conditionalFormatting sqref="AF780">
    <cfRule type="expression" dxfId="16" priority="914" stopIfTrue="1">
      <formula>#REF!="Confidential"</formula>
    </cfRule>
  </conditionalFormatting>
  <conditionalFormatting sqref="AF817:AF819">
    <cfRule type="expression" dxfId="15" priority="852" stopIfTrue="1">
      <formula>#REF!="Confidential"</formula>
    </cfRule>
  </conditionalFormatting>
  <conditionalFormatting sqref="AF846:AF847">
    <cfRule type="expression" dxfId="14" priority="839" stopIfTrue="1">
      <formula>#REF!="Confidential"</formula>
    </cfRule>
  </conditionalFormatting>
  <conditionalFormatting sqref="AF881:AF885">
    <cfRule type="expression" dxfId="13" priority="542" stopIfTrue="1">
      <formula>#REF!="Confidential"</formula>
    </cfRule>
  </conditionalFormatting>
  <conditionalFormatting sqref="AF911:AF912">
    <cfRule type="expression" dxfId="12" priority="531" stopIfTrue="1">
      <formula>#REF!="Confidential"</formula>
    </cfRule>
  </conditionalFormatting>
  <conditionalFormatting sqref="AF924">
    <cfRule type="expression" dxfId="11" priority="757" stopIfTrue="1">
      <formula>#REF!="Confidential"</formula>
    </cfRule>
  </conditionalFormatting>
  <conditionalFormatting sqref="AF937">
    <cfRule type="expression" dxfId="10" priority="675" stopIfTrue="1">
      <formula>#REF!="Confidential"</formula>
    </cfRule>
  </conditionalFormatting>
  <conditionalFormatting sqref="AF944:AF946">
    <cfRule type="expression" dxfId="9" priority="743" stopIfTrue="1">
      <formula>#REF!="Confidential"</formula>
    </cfRule>
  </conditionalFormatting>
  <conditionalFormatting sqref="AF949:AF951">
    <cfRule type="expression" dxfId="8" priority="569" stopIfTrue="1">
      <formula>#REF!="Confidential"</formula>
    </cfRule>
  </conditionalFormatting>
  <conditionalFormatting sqref="AF986">
    <cfRule type="expression" dxfId="7" priority="603" stopIfTrue="1">
      <formula>#REF!="Confidential"</formula>
    </cfRule>
  </conditionalFormatting>
  <conditionalFormatting sqref="AF1001">
    <cfRule type="expression" dxfId="6" priority="611" stopIfTrue="1">
      <formula>#REF!="Confidential"</formula>
    </cfRule>
  </conditionalFormatting>
  <conditionalFormatting sqref="AF1047">
    <cfRule type="expression" dxfId="5" priority="674" stopIfTrue="1">
      <formula>#REF!="Confidential"</formula>
    </cfRule>
  </conditionalFormatting>
  <conditionalFormatting sqref="AF1170">
    <cfRule type="expression" dxfId="4" priority="628" stopIfTrue="1">
      <formula>#REF!="Confidential"</formula>
    </cfRule>
  </conditionalFormatting>
  <conditionalFormatting sqref="AF1208:AF1209">
    <cfRule type="expression" dxfId="3" priority="615" stopIfTrue="1">
      <formula>#REF!="Confidential"</formula>
    </cfRule>
  </conditionalFormatting>
  <conditionalFormatting sqref="AF1276">
    <cfRule type="expression" dxfId="2" priority="599" stopIfTrue="1">
      <formula>#REF!="Confidential"</formula>
    </cfRule>
  </conditionalFormatting>
  <conditionalFormatting sqref="AF1423">
    <cfRule type="expression" dxfId="1" priority="502" stopIfTrue="1">
      <formula>#REF!="Confidential"</formula>
    </cfRule>
  </conditionalFormatting>
  <conditionalFormatting sqref="AF1549">
    <cfRule type="expression" dxfId="0" priority="138" stopIfTrue="1">
      <formula>#REF!="Confidential"</formula>
    </cfRule>
  </conditionalFormatting>
  <dataValidations count="1">
    <dataValidation type="whole" allowBlank="1" showInputMessage="1" showErrorMessage="1" sqref="L915:P915 S915:Y915 L2104:P2104 Q2103:Y2104 P2279:Y2279 L2279:N2286 O2280:Y2286 L2105:Y2278 L916:Y2102 L12:Y914 L2287:Y2445 L2479:Y1048576" xr:uid="{3DBD8D25-D4B6-4928-A2C5-84FA88FE34E1}">
      <formula1>0</formula1>
      <formula2>1</formula2>
    </dataValidation>
  </dataValidations>
  <hyperlinks>
    <hyperlink ref="B1114" r:id="rId1" display="https://xfuels.de/hykero/" xr:uid="{0F8D5A97-4044-4F34-A365-2CB468C40484}"/>
    <hyperlink ref="B1688" r:id="rId2" xr:uid="{B06C97BA-7D6A-40E6-BDF0-2D44D69D1D81}"/>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6">
        <x14:dataValidation type="list" allowBlank="1" showInputMessage="1" showErrorMessage="1" xr:uid="{A5978DF6-3F2E-4EA1-8FC0-FC45324E683C}">
          <x14:formula1>
            <xm:f>Lists!$D$3:$D$14</xm:f>
          </x14:formula1>
          <xm:sqref>G2126:G2445 G12:G2124</xm:sqref>
        </x14:dataValidation>
        <x14:dataValidation type="list" allowBlank="1" showInputMessage="1" showErrorMessage="1" xr:uid="{0558062E-A589-4277-93B1-E1C26EEEC82A}">
          <x14:formula1>
            <xm:f>Lists!$L$3:$L$9</xm:f>
          </x14:formula1>
          <xm:sqref>K5:K2445</xm:sqref>
        </x14:dataValidation>
        <x14:dataValidation type="list" allowBlank="1" showInputMessage="1" showErrorMessage="1" xr:uid="{A1E9F294-5117-4D4A-9514-2614D45F69B7}">
          <x14:formula1>
            <xm:f>Lists!$N$3:$N$9</xm:f>
          </x14:formula1>
          <xm:sqref>J5:J2445</xm:sqref>
        </x14:dataValidation>
        <x14:dataValidation type="list" allowBlank="1" showInputMessage="1" showErrorMessage="1" xr:uid="{4AF34708-FB9F-4211-B7C0-45EDD14A008D}">
          <x14:formula1>
            <xm:f>Lists!$I$3:$I$8</xm:f>
          </x14:formula1>
          <xm:sqref>I2126:I2445 I12:I2124</xm:sqref>
        </x14:dataValidation>
        <x14:dataValidation type="list" allowBlank="1" showInputMessage="1" showErrorMessage="1" xr:uid="{1D91C1EA-7363-4AC3-9D53-72BE8293B77C}">
          <x14:formula1>
            <xm:f>Lists!$A$3:$A$11</xm:f>
          </x14:formula1>
          <xm:sqref>F5:F2445</xm:sqref>
        </x14:dataValidation>
        <x14:dataValidation type="list" allowBlank="1" showInputMessage="1" showErrorMessage="1" xr:uid="{962B7EDE-6590-4D45-852A-5B3ABFEF5602}">
          <x14:formula1>
            <xm:f>Countries!$A$2:$A$215</xm:f>
          </x14:formula1>
          <xm:sqref>C2116:C2124 C2128:C2445 C2032:C2114 C12:C2030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4BFF"/>
  </sheetPr>
  <dimension ref="A1:XEQ2915"/>
  <sheetViews>
    <sheetView zoomScale="85" zoomScaleNormal="85" zoomScalePageLayoutView="80" workbookViewId="0">
      <pane xSplit="1" ySplit="2" topLeftCell="B541" activePane="bottomRight" state="frozen"/>
      <selection pane="topRight" activeCell="B1" sqref="B1"/>
      <selection pane="bottomLeft" activeCell="A3" sqref="A3"/>
      <selection pane="bottomRight" activeCell="B2003" sqref="B2003"/>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17" t="s">
        <v>3</v>
      </c>
    </row>
    <row r="2" spans="1:16362" s="15" customFormat="1" ht="33" customHeight="1" x14ac:dyDescent="0.25">
      <c r="A2" s="16" t="s">
        <v>4</v>
      </c>
      <c r="B2" s="16" t="s">
        <v>5</v>
      </c>
    </row>
    <row r="3" spans="1:16362" s="1" customFormat="1" ht="18" customHeight="1" x14ac:dyDescent="0.25">
      <c r="A3" s="1">
        <v>1</v>
      </c>
      <c r="B3" s="1" t="s">
        <v>196</v>
      </c>
    </row>
    <row r="4" spans="1:16362" s="1" customFormat="1" ht="18" customHeight="1" x14ac:dyDescent="0.25">
      <c r="A4" s="1">
        <v>2</v>
      </c>
      <c r="B4" s="1" t="s">
        <v>197</v>
      </c>
    </row>
    <row r="5" spans="1:16362" s="1" customFormat="1" ht="18" customHeight="1" x14ac:dyDescent="0.25">
      <c r="A5" s="1">
        <v>3</v>
      </c>
      <c r="B5" s="1" t="s">
        <v>198</v>
      </c>
    </row>
    <row r="6" spans="1:16362" s="1" customFormat="1" ht="18" customHeight="1" x14ac:dyDescent="0.25">
      <c r="A6" s="18">
        <v>4</v>
      </c>
      <c r="B6" s="1" t="s">
        <v>199</v>
      </c>
    </row>
    <row r="7" spans="1:16362" s="1" customFormat="1" ht="18" customHeight="1" x14ac:dyDescent="0.25">
      <c r="A7" s="1">
        <v>5</v>
      </c>
      <c r="B7" s="1" t="s">
        <v>200</v>
      </c>
    </row>
    <row r="8" spans="1:16362" s="1" customFormat="1" ht="18" customHeight="1" x14ac:dyDescent="0.25">
      <c r="A8" s="1">
        <v>6</v>
      </c>
      <c r="B8" s="1" t="s">
        <v>201</v>
      </c>
    </row>
    <row r="9" spans="1:16362" s="1" customFormat="1" ht="18" customHeight="1" x14ac:dyDescent="0.25">
      <c r="A9" s="1">
        <v>7</v>
      </c>
      <c r="B9" s="1" t="s">
        <v>202</v>
      </c>
    </row>
    <row r="10" spans="1:16362" s="1" customFormat="1" ht="18" customHeight="1" x14ac:dyDescent="0.25">
      <c r="A10" s="18">
        <v>8</v>
      </c>
      <c r="B10" s="1" t="s">
        <v>203</v>
      </c>
    </row>
    <row r="11" spans="1:16362" s="1" customFormat="1" ht="18" customHeight="1" x14ac:dyDescent="0.25">
      <c r="A11" s="1">
        <v>9</v>
      </c>
      <c r="B11" s="1" t="s">
        <v>204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c r="SV11" s="18"/>
      <c r="SW11" s="18"/>
      <c r="SX11" s="18"/>
      <c r="SY11" s="18"/>
      <c r="SZ11" s="18"/>
      <c r="TA11" s="18"/>
      <c r="TB11" s="18"/>
      <c r="TC11" s="18"/>
      <c r="TD11" s="18"/>
      <c r="TE11" s="18"/>
      <c r="TF11" s="18"/>
      <c r="TG11" s="18"/>
      <c r="TH11" s="18"/>
      <c r="TI11" s="18"/>
      <c r="TJ11" s="18"/>
      <c r="TK11" s="18"/>
      <c r="TL11" s="18"/>
      <c r="TM11" s="18"/>
      <c r="TN11" s="18"/>
      <c r="TO11" s="18"/>
      <c r="TP11" s="18"/>
      <c r="TQ11" s="18"/>
      <c r="TR11" s="18"/>
      <c r="TS11" s="18"/>
      <c r="TT11" s="18"/>
      <c r="TU11" s="18"/>
      <c r="TV11" s="18"/>
      <c r="TW11" s="18"/>
      <c r="TX11" s="18"/>
      <c r="TY11" s="18"/>
      <c r="TZ11" s="18"/>
      <c r="UA11" s="18"/>
      <c r="UB11" s="18"/>
      <c r="UC11" s="18"/>
      <c r="UD11" s="18"/>
      <c r="UE11" s="18"/>
      <c r="UF11" s="18"/>
      <c r="UG11" s="18"/>
      <c r="UH11" s="18"/>
      <c r="UI11" s="18"/>
      <c r="UJ11" s="18"/>
      <c r="UK11" s="18"/>
      <c r="UL11" s="18"/>
      <c r="UM11" s="18"/>
      <c r="UN11" s="18"/>
      <c r="UO11" s="18"/>
      <c r="UP11" s="18"/>
      <c r="UQ11" s="18"/>
      <c r="UR11" s="18"/>
      <c r="US11" s="18"/>
      <c r="UT11" s="18"/>
      <c r="UU11" s="18"/>
      <c r="UV11" s="18"/>
      <c r="UW11" s="18"/>
      <c r="UX11" s="18"/>
      <c r="UY11" s="18"/>
      <c r="UZ11" s="18"/>
      <c r="VA11" s="18"/>
      <c r="VB11" s="18"/>
      <c r="VC11" s="18"/>
      <c r="VD11" s="18"/>
      <c r="VE11" s="18"/>
      <c r="VF11" s="18"/>
      <c r="VG11" s="18"/>
      <c r="VH11" s="18"/>
      <c r="VI11" s="18"/>
      <c r="VJ11" s="18"/>
      <c r="VK11" s="18"/>
      <c r="VL11" s="18"/>
      <c r="VM11" s="18"/>
      <c r="VN11" s="18"/>
      <c r="VO11" s="18"/>
      <c r="VP11" s="18"/>
      <c r="VQ11" s="18"/>
      <c r="VR11" s="18"/>
      <c r="VS11" s="18"/>
      <c r="VT11" s="18"/>
      <c r="VU11" s="18"/>
      <c r="VV11" s="18"/>
      <c r="VW11" s="18"/>
      <c r="VX11" s="18"/>
      <c r="VY11" s="18"/>
      <c r="VZ11" s="18"/>
      <c r="WA11" s="18"/>
      <c r="WB11" s="18"/>
      <c r="WC11" s="18"/>
      <c r="WD11" s="18"/>
      <c r="WE11" s="18"/>
      <c r="WF11" s="18"/>
      <c r="WG11" s="18"/>
      <c r="WH11" s="18"/>
      <c r="WI11" s="18"/>
      <c r="WJ11" s="18"/>
      <c r="WK11" s="18"/>
      <c r="WL11" s="18"/>
      <c r="WM11" s="18"/>
      <c r="WN11" s="18"/>
      <c r="WO11" s="18"/>
      <c r="WP11" s="18"/>
      <c r="WQ11" s="18"/>
      <c r="WR11" s="18"/>
      <c r="WS11" s="18"/>
      <c r="WT11" s="18"/>
      <c r="WU11" s="18"/>
      <c r="WV11" s="18"/>
      <c r="WW11" s="18"/>
      <c r="WX11" s="18"/>
      <c r="WY11" s="18"/>
      <c r="WZ11" s="18"/>
      <c r="XA11" s="18"/>
      <c r="XB11" s="18"/>
      <c r="XC11" s="18"/>
      <c r="XD11" s="18"/>
      <c r="XE11" s="18"/>
      <c r="XF11" s="18"/>
      <c r="XG11" s="18"/>
      <c r="XH11" s="18"/>
      <c r="XI11" s="18"/>
      <c r="XJ11" s="18"/>
      <c r="XK11" s="18"/>
      <c r="XL11" s="18"/>
      <c r="XM11" s="18"/>
      <c r="XN11" s="18"/>
      <c r="XO11" s="18"/>
      <c r="XP11" s="18"/>
      <c r="XQ11" s="18"/>
      <c r="XR11" s="18"/>
      <c r="XS11" s="18"/>
      <c r="XT11" s="18"/>
      <c r="XU11" s="18"/>
      <c r="XV11" s="18"/>
      <c r="XW11" s="18"/>
      <c r="XX11" s="18"/>
      <c r="XY11" s="18"/>
      <c r="XZ11" s="18"/>
      <c r="YA11" s="18"/>
      <c r="YB11" s="18"/>
      <c r="YC11" s="18"/>
      <c r="YD11" s="18"/>
      <c r="YE11" s="18"/>
      <c r="YF11" s="18"/>
      <c r="YG11" s="18"/>
      <c r="YH11" s="18"/>
      <c r="YI11" s="18"/>
      <c r="YJ11" s="18"/>
      <c r="YK11" s="18"/>
      <c r="YL11" s="18"/>
      <c r="YM11" s="18"/>
      <c r="YN11" s="18"/>
      <c r="YO11" s="18"/>
      <c r="YP11" s="18"/>
      <c r="YQ11" s="18"/>
      <c r="YR11" s="18"/>
      <c r="YS11" s="18"/>
      <c r="YT11" s="18"/>
      <c r="YU11" s="18"/>
      <c r="YV11" s="18"/>
      <c r="YW11" s="18"/>
      <c r="YX11" s="18"/>
      <c r="YY11" s="18"/>
      <c r="YZ11" s="18"/>
      <c r="ZA11" s="18"/>
      <c r="ZB11" s="18"/>
      <c r="ZC11" s="18"/>
      <c r="ZD11" s="18"/>
      <c r="ZE11" s="18"/>
      <c r="ZF11" s="18"/>
      <c r="ZG11" s="18"/>
      <c r="ZH11" s="18"/>
      <c r="ZI11" s="18"/>
      <c r="ZJ11" s="18"/>
      <c r="ZK11" s="18"/>
      <c r="ZL11" s="18"/>
      <c r="ZM11" s="18"/>
      <c r="ZN11" s="18"/>
      <c r="ZO11" s="18"/>
      <c r="ZP11" s="18"/>
      <c r="ZQ11" s="18"/>
      <c r="ZR11" s="18"/>
      <c r="ZS11" s="18"/>
      <c r="ZT11" s="18"/>
      <c r="ZU11" s="18"/>
      <c r="ZV11" s="18"/>
      <c r="ZW11" s="18"/>
      <c r="ZX11" s="18"/>
      <c r="ZY11" s="18"/>
      <c r="ZZ11" s="18"/>
      <c r="AAA11" s="18"/>
      <c r="AAB11" s="18"/>
      <c r="AAC11" s="18"/>
      <c r="AAD11" s="18"/>
      <c r="AAE11" s="18"/>
      <c r="AAF11" s="18"/>
      <c r="AAG11" s="18"/>
      <c r="AAH11" s="18"/>
      <c r="AAI11" s="18"/>
      <c r="AAJ11" s="18"/>
      <c r="AAK11" s="18"/>
      <c r="AAL11" s="18"/>
      <c r="AAM11" s="18"/>
      <c r="AAN11" s="18"/>
      <c r="AAO11" s="18"/>
      <c r="AAP11" s="18"/>
      <c r="AAQ11" s="18"/>
      <c r="AAR11" s="18"/>
      <c r="AAS11" s="18"/>
      <c r="AAT11" s="18"/>
      <c r="AAU11" s="18"/>
      <c r="AAV11" s="18"/>
      <c r="AAW11" s="18"/>
      <c r="AAX11" s="18"/>
      <c r="AAY11" s="18"/>
      <c r="AAZ11" s="18"/>
      <c r="ABA11" s="18"/>
      <c r="ABB11" s="18"/>
      <c r="ABC11" s="18"/>
      <c r="ABD11" s="18"/>
      <c r="ABE11" s="18"/>
      <c r="ABF11" s="18"/>
      <c r="ABG11" s="18"/>
      <c r="ABH11" s="18"/>
      <c r="ABI11" s="18"/>
      <c r="ABJ11" s="18"/>
      <c r="ABK11" s="18"/>
      <c r="ABL11" s="18"/>
      <c r="ABM11" s="18"/>
      <c r="ABN11" s="18"/>
      <c r="ABO11" s="18"/>
      <c r="ABP11" s="18"/>
      <c r="ABQ11" s="18"/>
      <c r="ABR11" s="18"/>
      <c r="ABS11" s="18"/>
      <c r="ABT11" s="18"/>
      <c r="ABU11" s="18"/>
      <c r="ABV11" s="18"/>
      <c r="ABW11" s="18"/>
      <c r="ABX11" s="18"/>
      <c r="ABY11" s="18"/>
      <c r="ABZ11" s="18"/>
      <c r="ACA11" s="18"/>
      <c r="ACB11" s="18"/>
      <c r="ACC11" s="18"/>
      <c r="ACD11" s="18"/>
      <c r="ACE11" s="18"/>
      <c r="ACF11" s="18"/>
      <c r="ACG11" s="18"/>
      <c r="ACH11" s="18"/>
      <c r="ACI11" s="18"/>
      <c r="ACJ11" s="18"/>
      <c r="ACK11" s="18"/>
      <c r="ACL11" s="18"/>
      <c r="ACM11" s="18"/>
      <c r="ACN11" s="18"/>
      <c r="ACO11" s="18"/>
      <c r="ACP11" s="18"/>
      <c r="ACQ11" s="18"/>
      <c r="ACR11" s="18"/>
      <c r="ACS11" s="18"/>
      <c r="ACT11" s="18"/>
      <c r="ACU11" s="18"/>
      <c r="ACV11" s="18"/>
      <c r="ACW11" s="18"/>
      <c r="ACX11" s="18"/>
      <c r="ACY11" s="18"/>
      <c r="ACZ11" s="18"/>
      <c r="ADA11" s="18"/>
      <c r="ADB11" s="18"/>
      <c r="ADC11" s="18"/>
      <c r="ADD11" s="18"/>
      <c r="ADE11" s="18"/>
      <c r="ADF11" s="18"/>
      <c r="ADG11" s="18"/>
      <c r="ADH11" s="18"/>
      <c r="ADI11" s="18"/>
      <c r="ADJ11" s="18"/>
      <c r="ADK11" s="18"/>
      <c r="ADL11" s="18"/>
      <c r="ADM11" s="18"/>
      <c r="ADN11" s="18"/>
      <c r="ADO11" s="18"/>
      <c r="ADP11" s="18"/>
      <c r="ADQ11" s="18"/>
      <c r="ADR11" s="18"/>
      <c r="ADS11" s="18"/>
      <c r="ADT11" s="18"/>
      <c r="ADU11" s="18"/>
      <c r="ADV11" s="18"/>
      <c r="ADW11" s="18"/>
      <c r="ADX11" s="18"/>
      <c r="ADY11" s="18"/>
      <c r="ADZ11" s="18"/>
      <c r="AEA11" s="18"/>
      <c r="AEB11" s="18"/>
      <c r="AEC11" s="18"/>
      <c r="AED11" s="18"/>
      <c r="AEE11" s="18"/>
      <c r="AEF11" s="18"/>
      <c r="AEG11" s="18"/>
      <c r="AEH11" s="18"/>
      <c r="AEI11" s="18"/>
      <c r="AEJ11" s="18"/>
      <c r="AEK11" s="18"/>
      <c r="AEL11" s="18"/>
      <c r="AEM11" s="18"/>
      <c r="AEN11" s="18"/>
      <c r="AEO11" s="18"/>
      <c r="AEP11" s="18"/>
      <c r="AEQ11" s="18"/>
      <c r="AER11" s="18"/>
      <c r="AES11" s="18"/>
      <c r="AET11" s="18"/>
      <c r="AEU11" s="18"/>
      <c r="AEV11" s="18"/>
      <c r="AEW11" s="18"/>
      <c r="AEX11" s="18"/>
      <c r="AEY11" s="18"/>
      <c r="AEZ11" s="18"/>
      <c r="AFA11" s="18"/>
      <c r="AFB11" s="18"/>
      <c r="AFC11" s="18"/>
      <c r="AFD11" s="18"/>
      <c r="AFE11" s="18"/>
      <c r="AFF11" s="18"/>
      <c r="AFG11" s="18"/>
      <c r="AFH11" s="18"/>
      <c r="AFI11" s="18"/>
      <c r="AFJ11" s="18"/>
      <c r="AFK11" s="18"/>
      <c r="AFL11" s="18"/>
      <c r="AFM11" s="18"/>
      <c r="AFN11" s="18"/>
      <c r="AFO11" s="18"/>
      <c r="AFP11" s="18"/>
      <c r="AFQ11" s="18"/>
      <c r="AFR11" s="18"/>
      <c r="AFS11" s="18"/>
      <c r="AFT11" s="18"/>
      <c r="AFU11" s="18"/>
      <c r="AFV11" s="18"/>
      <c r="AFW11" s="18"/>
      <c r="AFX11" s="18"/>
      <c r="AFY11" s="18"/>
      <c r="AFZ11" s="18"/>
      <c r="AGA11" s="18"/>
      <c r="AGB11" s="18"/>
      <c r="AGC11" s="18"/>
      <c r="AGD11" s="18"/>
      <c r="AGE11" s="18"/>
      <c r="AGF11" s="18"/>
      <c r="AGG11" s="18"/>
      <c r="AGH11" s="18"/>
      <c r="AGI11" s="18"/>
      <c r="AGJ11" s="18"/>
      <c r="AGK11" s="18"/>
      <c r="AGL11" s="18"/>
      <c r="AGM11" s="18"/>
      <c r="AGN11" s="18"/>
      <c r="AGO11" s="18"/>
      <c r="AGP11" s="18"/>
      <c r="AGQ11" s="18"/>
      <c r="AGR11" s="18"/>
      <c r="AGS11" s="18"/>
      <c r="AGT11" s="18"/>
      <c r="AGU11" s="18"/>
      <c r="AGV11" s="18"/>
      <c r="AGW11" s="18"/>
      <c r="AGX11" s="18"/>
      <c r="AGY11" s="18"/>
      <c r="AGZ11" s="18"/>
      <c r="AHA11" s="18"/>
      <c r="AHB11" s="18"/>
      <c r="AHC11" s="18"/>
      <c r="AHD11" s="18"/>
      <c r="AHE11" s="18"/>
      <c r="AHF11" s="18"/>
      <c r="AHG11" s="18"/>
      <c r="AHH11" s="18"/>
      <c r="AHI11" s="18"/>
      <c r="AHJ11" s="18"/>
      <c r="AHK11" s="18"/>
      <c r="AHL11" s="18"/>
      <c r="AHM11" s="18"/>
      <c r="AHN11" s="18"/>
      <c r="AHO11" s="18"/>
      <c r="AHP11" s="18"/>
      <c r="AHQ11" s="18"/>
      <c r="AHR11" s="18"/>
      <c r="AHS11" s="18"/>
      <c r="AHT11" s="18"/>
      <c r="AHU11" s="18"/>
      <c r="AHV11" s="18"/>
      <c r="AHW11" s="18"/>
      <c r="AHX11" s="18"/>
      <c r="AHY11" s="18"/>
      <c r="AHZ11" s="18"/>
      <c r="AIA11" s="18"/>
      <c r="AIB11" s="18"/>
      <c r="AIC11" s="18"/>
      <c r="AID11" s="18"/>
      <c r="AIE11" s="18"/>
      <c r="AIF11" s="18"/>
      <c r="AIG11" s="18"/>
      <c r="AIH11" s="18"/>
      <c r="AII11" s="18"/>
      <c r="AIJ11" s="18"/>
      <c r="AIK11" s="18"/>
      <c r="AIL11" s="18"/>
      <c r="AIM11" s="18"/>
      <c r="AIN11" s="18"/>
      <c r="AIO11" s="18"/>
      <c r="AIP11" s="18"/>
      <c r="AIQ11" s="18"/>
      <c r="AIR11" s="18"/>
      <c r="AIS11" s="18"/>
      <c r="AIT11" s="18"/>
      <c r="AIU11" s="18"/>
      <c r="AIV11" s="18"/>
      <c r="AIW11" s="18"/>
      <c r="AIX11" s="18"/>
      <c r="AIY11" s="18"/>
      <c r="AIZ11" s="18"/>
      <c r="AJA11" s="18"/>
      <c r="AJB11" s="18"/>
      <c r="AJC11" s="18"/>
      <c r="AJD11" s="18"/>
      <c r="AJE11" s="18"/>
      <c r="AJF11" s="18"/>
      <c r="AJG11" s="18"/>
      <c r="AJH11" s="18"/>
      <c r="AJI11" s="18"/>
      <c r="AJJ11" s="18"/>
      <c r="AJK11" s="18"/>
      <c r="AJL11" s="18"/>
      <c r="AJM11" s="18"/>
      <c r="AJN11" s="18"/>
      <c r="AJO11" s="18"/>
      <c r="AJP11" s="18"/>
      <c r="AJQ11" s="18"/>
      <c r="AJR11" s="18"/>
      <c r="AJS11" s="18"/>
      <c r="AJT11" s="18"/>
      <c r="AJU11" s="18"/>
      <c r="AJV11" s="18"/>
      <c r="AJW11" s="18"/>
      <c r="AJX11" s="18"/>
      <c r="AJY11" s="18"/>
      <c r="AJZ11" s="18"/>
      <c r="AKA11" s="18"/>
      <c r="AKB11" s="18"/>
      <c r="AKC11" s="18"/>
      <c r="AKD11" s="18"/>
      <c r="AKE11" s="18"/>
      <c r="AKF11" s="18"/>
      <c r="AKG11" s="18"/>
      <c r="AKH11" s="18"/>
      <c r="AKI11" s="18"/>
      <c r="AKJ11" s="18"/>
      <c r="AKK11" s="18"/>
      <c r="AKL11" s="18"/>
      <c r="AKM11" s="18"/>
      <c r="AKN11" s="18"/>
      <c r="AKO11" s="18"/>
      <c r="AKP11" s="18"/>
      <c r="AKQ11" s="18"/>
      <c r="AKR11" s="18"/>
      <c r="AKS11" s="18"/>
      <c r="AKT11" s="18"/>
      <c r="AKU11" s="18"/>
      <c r="AKV11" s="18"/>
      <c r="AKW11" s="18"/>
      <c r="AKX11" s="18"/>
      <c r="AKY11" s="18"/>
      <c r="AKZ11" s="18"/>
      <c r="ALA11" s="18"/>
      <c r="ALB11" s="18"/>
      <c r="ALC11" s="18"/>
      <c r="ALD11" s="18"/>
      <c r="ALE11" s="18"/>
      <c r="ALF11" s="18"/>
      <c r="ALG11" s="18"/>
      <c r="ALH11" s="18"/>
      <c r="ALI11" s="18"/>
      <c r="ALJ11" s="18"/>
      <c r="ALK11" s="18"/>
      <c r="ALL11" s="18"/>
      <c r="ALM11" s="18"/>
      <c r="ALN11" s="18"/>
      <c r="ALO11" s="18"/>
      <c r="ALP11" s="18"/>
      <c r="ALQ11" s="18"/>
      <c r="ALR11" s="18"/>
      <c r="ALS11" s="18"/>
      <c r="ALT11" s="18"/>
      <c r="ALU11" s="18"/>
      <c r="ALV11" s="18"/>
      <c r="ALW11" s="18"/>
      <c r="ALX11" s="18"/>
      <c r="ALY11" s="18"/>
      <c r="ALZ11" s="18"/>
      <c r="AMA11" s="18"/>
      <c r="AMB11" s="18"/>
      <c r="AMC11" s="18"/>
      <c r="AMD11" s="18"/>
      <c r="AME11" s="18"/>
      <c r="AMF11" s="18"/>
      <c r="AMG11" s="18"/>
      <c r="AMH11" s="18"/>
      <c r="AMI11" s="18"/>
      <c r="AMJ11" s="18"/>
      <c r="AMK11" s="18"/>
      <c r="AML11" s="18"/>
      <c r="AMM11" s="18"/>
      <c r="AMN11" s="18"/>
      <c r="AMO11" s="18"/>
      <c r="AMP11" s="18"/>
      <c r="AMQ11" s="18"/>
      <c r="AMR11" s="18"/>
      <c r="AMS11" s="18"/>
      <c r="AMT11" s="18"/>
      <c r="AMU11" s="18"/>
      <c r="AMV11" s="18"/>
      <c r="AMW11" s="18"/>
      <c r="AMX11" s="18"/>
      <c r="AMY11" s="18"/>
      <c r="AMZ11" s="18"/>
      <c r="ANA11" s="18"/>
      <c r="ANB11" s="18"/>
      <c r="ANC11" s="18"/>
      <c r="AND11" s="18"/>
      <c r="ANE11" s="18"/>
      <c r="ANF11" s="18"/>
      <c r="ANG11" s="18"/>
      <c r="ANH11" s="18"/>
      <c r="ANI11" s="18"/>
      <c r="ANJ11" s="18"/>
      <c r="ANK11" s="18"/>
      <c r="ANL11" s="18"/>
      <c r="ANM11" s="18"/>
      <c r="ANN11" s="18"/>
      <c r="ANO11" s="18"/>
      <c r="ANP11" s="18"/>
      <c r="ANQ11" s="18"/>
      <c r="ANR11" s="18"/>
      <c r="ANS11" s="18"/>
      <c r="ANT11" s="18"/>
      <c r="ANU11" s="18"/>
      <c r="ANV11" s="18"/>
      <c r="ANW11" s="18"/>
      <c r="ANX11" s="18"/>
      <c r="ANY11" s="18"/>
      <c r="ANZ11" s="18"/>
      <c r="AOA11" s="18"/>
      <c r="AOB11" s="18"/>
      <c r="AOC11" s="18"/>
      <c r="AOD11" s="18"/>
      <c r="AOE11" s="18"/>
      <c r="AOF11" s="18"/>
      <c r="AOG11" s="18"/>
      <c r="AOH11" s="18"/>
      <c r="AOI11" s="18"/>
      <c r="AOJ11" s="18"/>
      <c r="AOK11" s="18"/>
      <c r="AOL11" s="18"/>
      <c r="AOM11" s="18"/>
      <c r="AON11" s="18"/>
      <c r="AOO11" s="18"/>
      <c r="AOP11" s="18"/>
      <c r="AOQ11" s="18"/>
      <c r="AOR11" s="18"/>
      <c r="AOS11" s="18"/>
      <c r="AOT11" s="18"/>
      <c r="AOU11" s="18"/>
      <c r="AOV11" s="18"/>
      <c r="AOW11" s="18"/>
      <c r="AOX11" s="18"/>
      <c r="AOY11" s="18"/>
      <c r="AOZ11" s="18"/>
      <c r="APA11" s="18"/>
      <c r="APB11" s="18"/>
      <c r="APC11" s="18"/>
      <c r="APD11" s="18"/>
      <c r="APE11" s="18"/>
      <c r="APF11" s="18"/>
      <c r="APG11" s="18"/>
      <c r="APH11" s="18"/>
      <c r="API11" s="18"/>
      <c r="APJ11" s="18"/>
      <c r="APK11" s="18"/>
      <c r="APL11" s="18"/>
      <c r="APM11" s="18"/>
      <c r="APN11" s="18"/>
      <c r="APO11" s="18"/>
      <c r="APP11" s="18"/>
      <c r="APQ11" s="18"/>
      <c r="APR11" s="18"/>
      <c r="APS11" s="18"/>
      <c r="APT11" s="18"/>
      <c r="APU11" s="18"/>
      <c r="APV11" s="18"/>
      <c r="APW11" s="18"/>
      <c r="APX11" s="18"/>
      <c r="APY11" s="18"/>
      <c r="APZ11" s="18"/>
      <c r="AQA11" s="18"/>
      <c r="AQB11" s="18"/>
      <c r="AQC11" s="18"/>
      <c r="AQD11" s="18"/>
      <c r="AQE11" s="18"/>
      <c r="AQF11" s="18"/>
      <c r="AQG11" s="18"/>
      <c r="AQH11" s="18"/>
      <c r="AQI11" s="18"/>
      <c r="AQJ11" s="18"/>
      <c r="AQK11" s="18"/>
      <c r="AQL11" s="18"/>
      <c r="AQM11" s="18"/>
      <c r="AQN11" s="18"/>
      <c r="AQO11" s="18"/>
      <c r="AQP11" s="18"/>
      <c r="AQQ11" s="18"/>
      <c r="AQR11" s="18"/>
      <c r="AQS11" s="18"/>
      <c r="AQT11" s="18"/>
      <c r="AQU11" s="18"/>
      <c r="AQV11" s="18"/>
      <c r="AQW11" s="18"/>
      <c r="AQX11" s="18"/>
      <c r="AQY11" s="18"/>
      <c r="AQZ11" s="18"/>
      <c r="ARA11" s="18"/>
      <c r="ARB11" s="18"/>
      <c r="ARC11" s="18"/>
      <c r="ARD11" s="18"/>
      <c r="ARE11" s="18"/>
      <c r="ARF11" s="18"/>
      <c r="ARG11" s="18"/>
      <c r="ARH11" s="18"/>
      <c r="ARI11" s="18"/>
      <c r="ARJ11" s="18"/>
      <c r="ARK11" s="18"/>
      <c r="ARL11" s="18"/>
      <c r="ARM11" s="18"/>
      <c r="ARN11" s="18"/>
      <c r="ARO11" s="18"/>
      <c r="ARP11" s="18"/>
      <c r="ARQ11" s="18"/>
      <c r="ARR11" s="18"/>
      <c r="ARS11" s="18"/>
      <c r="ART11" s="18"/>
      <c r="ARU11" s="18"/>
      <c r="ARV11" s="18"/>
      <c r="ARW11" s="18"/>
      <c r="ARX11" s="18"/>
      <c r="ARY11" s="18"/>
      <c r="ARZ11" s="18"/>
      <c r="ASA11" s="18"/>
      <c r="ASB11" s="18"/>
      <c r="ASC11" s="18"/>
      <c r="ASD11" s="18"/>
      <c r="ASE11" s="18"/>
      <c r="ASF11" s="18"/>
      <c r="ASG11" s="18"/>
      <c r="ASH11" s="18"/>
      <c r="ASI11" s="18"/>
      <c r="ASJ11" s="18"/>
      <c r="ASK11" s="18"/>
      <c r="ASL11" s="18"/>
      <c r="ASM11" s="18"/>
      <c r="ASN11" s="18"/>
      <c r="ASO11" s="18"/>
      <c r="ASP11" s="18"/>
      <c r="ASQ11" s="18"/>
      <c r="ASR11" s="18"/>
      <c r="ASS11" s="18"/>
      <c r="AST11" s="18"/>
      <c r="ASU11" s="18"/>
      <c r="ASV11" s="18"/>
      <c r="ASW11" s="18"/>
      <c r="ASX11" s="18"/>
      <c r="ASY11" s="18"/>
      <c r="ASZ11" s="18"/>
      <c r="ATA11" s="18"/>
      <c r="ATB11" s="18"/>
      <c r="ATC11" s="18"/>
      <c r="ATD11" s="18"/>
      <c r="ATE11" s="18"/>
      <c r="ATF11" s="18"/>
      <c r="ATG11" s="18"/>
      <c r="ATH11" s="18"/>
      <c r="ATI11" s="18"/>
      <c r="ATJ11" s="18"/>
      <c r="ATK11" s="18"/>
      <c r="ATL11" s="18"/>
      <c r="ATM11" s="18"/>
      <c r="ATN11" s="18"/>
      <c r="ATO11" s="18"/>
      <c r="ATP11" s="18"/>
      <c r="ATQ11" s="18"/>
      <c r="ATR11" s="18"/>
      <c r="ATS11" s="18"/>
      <c r="ATT11" s="18"/>
      <c r="ATU11" s="18"/>
      <c r="ATV11" s="18"/>
      <c r="ATW11" s="18"/>
      <c r="ATX11" s="18"/>
      <c r="ATY11" s="18"/>
      <c r="ATZ11" s="18"/>
      <c r="AUA11" s="18"/>
      <c r="AUB11" s="18"/>
      <c r="AUC11" s="18"/>
      <c r="AUD11" s="18"/>
      <c r="AUE11" s="18"/>
      <c r="AUF11" s="18"/>
      <c r="AUG11" s="18"/>
      <c r="AUH11" s="18"/>
      <c r="AUI11" s="18"/>
      <c r="AUJ11" s="18"/>
      <c r="AUK11" s="18"/>
      <c r="AUL11" s="18"/>
      <c r="AUM11" s="18"/>
      <c r="AUN11" s="18"/>
      <c r="AUO11" s="18"/>
      <c r="AUP11" s="18"/>
      <c r="AUQ11" s="18"/>
      <c r="AUR11" s="18"/>
      <c r="AUS11" s="18"/>
      <c r="AUT11" s="18"/>
      <c r="AUU11" s="18"/>
      <c r="AUV11" s="18"/>
      <c r="AUW11" s="18"/>
      <c r="AUX11" s="18"/>
      <c r="AUY11" s="18"/>
      <c r="AUZ11" s="18"/>
      <c r="AVA11" s="18"/>
      <c r="AVB11" s="18"/>
      <c r="AVC11" s="18"/>
      <c r="AVD11" s="18"/>
      <c r="AVE11" s="18"/>
      <c r="AVF11" s="18"/>
      <c r="AVG11" s="18"/>
      <c r="AVH11" s="18"/>
      <c r="AVI11" s="18"/>
      <c r="AVJ11" s="18"/>
      <c r="AVK11" s="18"/>
      <c r="AVL11" s="18"/>
      <c r="AVM11" s="18"/>
      <c r="AVN11" s="18"/>
      <c r="AVO11" s="18"/>
      <c r="AVP11" s="18"/>
      <c r="AVQ11" s="18"/>
      <c r="AVR11" s="18"/>
      <c r="AVS11" s="18"/>
      <c r="AVT11" s="18"/>
      <c r="AVU11" s="18"/>
      <c r="AVV11" s="18"/>
      <c r="AVW11" s="18"/>
      <c r="AVX11" s="18"/>
      <c r="AVY11" s="18"/>
      <c r="AVZ11" s="18"/>
      <c r="AWA11" s="18"/>
      <c r="AWB11" s="18"/>
      <c r="AWC11" s="18"/>
      <c r="AWD11" s="18"/>
      <c r="AWE11" s="18"/>
      <c r="AWF11" s="18"/>
      <c r="AWG11" s="18"/>
      <c r="AWH11" s="18"/>
      <c r="AWI11" s="18"/>
      <c r="AWJ11" s="18"/>
      <c r="AWK11" s="18"/>
      <c r="AWL11" s="18"/>
      <c r="AWM11" s="18"/>
      <c r="AWN11" s="18"/>
      <c r="AWO11" s="18"/>
      <c r="AWP11" s="18"/>
      <c r="AWQ11" s="18"/>
      <c r="AWR11" s="18"/>
      <c r="AWS11" s="18"/>
      <c r="AWT11" s="18"/>
      <c r="AWU11" s="18"/>
      <c r="AWV11" s="18"/>
      <c r="AWW11" s="18"/>
      <c r="AWX11" s="18"/>
      <c r="AWY11" s="18"/>
      <c r="AWZ11" s="18"/>
      <c r="AXA11" s="18"/>
      <c r="AXB11" s="18"/>
      <c r="AXC11" s="18"/>
      <c r="AXD11" s="18"/>
      <c r="AXE11" s="18"/>
      <c r="AXF11" s="18"/>
      <c r="AXG11" s="18"/>
      <c r="AXH11" s="18"/>
      <c r="AXI11" s="18"/>
      <c r="AXJ11" s="18"/>
      <c r="AXK11" s="18"/>
      <c r="AXL11" s="18"/>
      <c r="AXM11" s="18"/>
      <c r="AXN11" s="18"/>
      <c r="AXO11" s="18"/>
      <c r="AXP11" s="18"/>
      <c r="AXQ11" s="18"/>
      <c r="AXR11" s="18"/>
      <c r="AXS11" s="18"/>
      <c r="AXT11" s="18"/>
      <c r="AXU11" s="18"/>
      <c r="AXV11" s="18"/>
      <c r="AXW11" s="18"/>
      <c r="AXX11" s="18"/>
      <c r="AXY11" s="18"/>
      <c r="AXZ11" s="18"/>
      <c r="AYA11" s="18"/>
      <c r="AYB11" s="18"/>
      <c r="AYC11" s="18"/>
      <c r="AYD11" s="18"/>
      <c r="AYE11" s="18"/>
      <c r="AYF11" s="18"/>
      <c r="AYG11" s="18"/>
      <c r="AYH11" s="18"/>
      <c r="AYI11" s="18"/>
      <c r="AYJ11" s="18"/>
      <c r="AYK11" s="18"/>
      <c r="AYL11" s="18"/>
      <c r="AYM11" s="18"/>
      <c r="AYN11" s="18"/>
      <c r="AYO11" s="18"/>
      <c r="AYP11" s="18"/>
      <c r="AYQ11" s="18"/>
      <c r="AYR11" s="18"/>
      <c r="AYS11" s="18"/>
      <c r="AYT11" s="18"/>
      <c r="AYU11" s="18"/>
      <c r="AYV11" s="18"/>
      <c r="AYW11" s="18"/>
      <c r="AYX11" s="18"/>
      <c r="AYY11" s="18"/>
      <c r="AYZ11" s="18"/>
      <c r="AZA11" s="18"/>
      <c r="AZB11" s="18"/>
      <c r="AZC11" s="18"/>
      <c r="AZD11" s="18"/>
      <c r="AZE11" s="18"/>
      <c r="AZF11" s="18"/>
      <c r="AZG11" s="18"/>
      <c r="AZH11" s="18"/>
      <c r="AZI11" s="18"/>
      <c r="AZJ11" s="18"/>
      <c r="AZK11" s="18"/>
      <c r="AZL11" s="18"/>
      <c r="AZM11" s="18"/>
      <c r="AZN11" s="18"/>
      <c r="AZO11" s="18"/>
      <c r="AZP11" s="18"/>
      <c r="AZQ11" s="18"/>
      <c r="AZR11" s="18"/>
      <c r="AZS11" s="18"/>
      <c r="AZT11" s="18"/>
      <c r="AZU11" s="18"/>
      <c r="AZV11" s="18"/>
      <c r="AZW11" s="18"/>
      <c r="AZX11" s="18"/>
      <c r="AZY11" s="18"/>
      <c r="AZZ11" s="18"/>
      <c r="BAA11" s="18"/>
      <c r="BAB11" s="18"/>
      <c r="BAC11" s="18"/>
      <c r="BAD11" s="18"/>
      <c r="BAE11" s="18"/>
      <c r="BAF11" s="18"/>
      <c r="BAG11" s="18"/>
      <c r="BAH11" s="18"/>
      <c r="BAI11" s="18"/>
      <c r="BAJ11" s="18"/>
      <c r="BAK11" s="18"/>
      <c r="BAL11" s="18"/>
      <c r="BAM11" s="18"/>
      <c r="BAN11" s="18"/>
      <c r="BAO11" s="18"/>
      <c r="BAP11" s="18"/>
      <c r="BAQ11" s="18"/>
      <c r="BAR11" s="18"/>
      <c r="BAS11" s="18"/>
      <c r="BAT11" s="18"/>
      <c r="BAU11" s="18"/>
      <c r="BAV11" s="18"/>
      <c r="BAW11" s="18"/>
      <c r="BAX11" s="18"/>
      <c r="BAY11" s="18"/>
      <c r="BAZ11" s="18"/>
      <c r="BBA11" s="18"/>
      <c r="BBB11" s="18"/>
      <c r="BBC11" s="18"/>
      <c r="BBD11" s="18"/>
      <c r="BBE11" s="18"/>
      <c r="BBF11" s="18"/>
      <c r="BBG11" s="18"/>
      <c r="BBH11" s="18"/>
      <c r="BBI11" s="18"/>
      <c r="BBJ11" s="18"/>
      <c r="BBK11" s="18"/>
      <c r="BBL11" s="18"/>
      <c r="BBM11" s="18"/>
      <c r="BBN11" s="18"/>
      <c r="BBO11" s="18"/>
      <c r="BBP11" s="18"/>
      <c r="BBQ11" s="18"/>
      <c r="BBR11" s="18"/>
      <c r="BBS11" s="18"/>
      <c r="BBT11" s="18"/>
      <c r="BBU11" s="18"/>
      <c r="BBV11" s="18"/>
      <c r="BBW11" s="18"/>
      <c r="BBX11" s="18"/>
      <c r="BBY11" s="18"/>
      <c r="BBZ11" s="18"/>
      <c r="BCA11" s="18"/>
      <c r="BCB11" s="18"/>
      <c r="BCC11" s="18"/>
      <c r="BCD11" s="18"/>
      <c r="BCE11" s="18"/>
      <c r="BCF11" s="18"/>
      <c r="BCG11" s="18"/>
      <c r="BCH11" s="18"/>
      <c r="BCI11" s="18"/>
      <c r="BCJ11" s="18"/>
      <c r="BCK11" s="18"/>
      <c r="BCL11" s="18"/>
      <c r="BCM11" s="18"/>
      <c r="BCN11" s="18"/>
      <c r="BCO11" s="18"/>
      <c r="BCP11" s="18"/>
      <c r="BCQ11" s="18"/>
      <c r="BCR11" s="18"/>
      <c r="BCS11" s="18"/>
      <c r="BCT11" s="18"/>
      <c r="BCU11" s="18"/>
      <c r="BCV11" s="18"/>
      <c r="BCW11" s="18"/>
      <c r="BCX11" s="18"/>
      <c r="BCY11" s="18"/>
      <c r="BCZ11" s="18"/>
      <c r="BDA11" s="18"/>
      <c r="BDB11" s="18"/>
      <c r="BDC11" s="18"/>
      <c r="BDD11" s="18"/>
      <c r="BDE11" s="18"/>
      <c r="BDF11" s="18"/>
      <c r="BDG11" s="18"/>
      <c r="BDH11" s="18"/>
      <c r="BDI11" s="18"/>
      <c r="BDJ11" s="18"/>
      <c r="BDK11" s="18"/>
      <c r="BDL11" s="18"/>
      <c r="BDM11" s="18"/>
      <c r="BDN11" s="18"/>
      <c r="BDO11" s="18"/>
      <c r="BDP11" s="18"/>
      <c r="BDQ11" s="18"/>
      <c r="BDR11" s="18"/>
      <c r="BDS11" s="18"/>
      <c r="BDT11" s="18"/>
      <c r="BDU11" s="18"/>
      <c r="BDV11" s="18"/>
      <c r="BDW11" s="18"/>
      <c r="BDX11" s="18"/>
      <c r="BDY11" s="18"/>
      <c r="BDZ11" s="18"/>
      <c r="BEA11" s="18"/>
      <c r="BEB11" s="18"/>
      <c r="BEC11" s="18"/>
      <c r="BED11" s="18"/>
      <c r="BEE11" s="18"/>
      <c r="BEF11" s="18"/>
      <c r="BEG11" s="18"/>
      <c r="BEH11" s="18"/>
      <c r="BEI11" s="18"/>
      <c r="BEJ11" s="18"/>
      <c r="BEK11" s="18"/>
      <c r="BEL11" s="18"/>
      <c r="BEM11" s="18"/>
      <c r="BEN11" s="18"/>
      <c r="BEO11" s="18"/>
      <c r="BEP11" s="18"/>
      <c r="BEQ11" s="18"/>
      <c r="BER11" s="18"/>
      <c r="BES11" s="18"/>
      <c r="BET11" s="18"/>
      <c r="BEU11" s="18"/>
      <c r="BEV11" s="18"/>
      <c r="BEW11" s="18"/>
      <c r="BEX11" s="18"/>
      <c r="BEY11" s="18"/>
      <c r="BEZ11" s="18"/>
      <c r="BFA11" s="18"/>
      <c r="BFB11" s="18"/>
      <c r="BFC11" s="18"/>
      <c r="BFD11" s="18"/>
      <c r="BFE11" s="18"/>
      <c r="BFF11" s="18"/>
      <c r="BFG11" s="18"/>
      <c r="BFH11" s="18"/>
      <c r="BFI11" s="18"/>
      <c r="BFJ11" s="18"/>
      <c r="BFK11" s="18"/>
      <c r="BFL11" s="18"/>
      <c r="BFM11" s="18"/>
      <c r="BFN11" s="18"/>
      <c r="BFO11" s="18"/>
      <c r="BFP11" s="18"/>
      <c r="BFQ11" s="18"/>
      <c r="BFR11" s="18"/>
      <c r="BFS11" s="18"/>
      <c r="BFT11" s="18"/>
      <c r="BFU11" s="18"/>
      <c r="BFV11" s="18"/>
      <c r="BFW11" s="18"/>
      <c r="BFX11" s="18"/>
      <c r="BFY11" s="18"/>
      <c r="BFZ11" s="18"/>
      <c r="BGA11" s="18"/>
      <c r="BGB11" s="18"/>
      <c r="BGC11" s="18"/>
      <c r="BGD11" s="18"/>
      <c r="BGE11" s="18"/>
      <c r="BGF11" s="18"/>
      <c r="BGG11" s="18"/>
      <c r="BGH11" s="18"/>
      <c r="BGI11" s="18"/>
      <c r="BGJ11" s="18"/>
      <c r="BGK11" s="18"/>
      <c r="BGL11" s="18"/>
      <c r="BGM11" s="18"/>
      <c r="BGN11" s="18"/>
      <c r="BGO11" s="18"/>
      <c r="BGP11" s="18"/>
      <c r="BGQ11" s="18"/>
      <c r="BGR11" s="18"/>
      <c r="BGS11" s="18"/>
      <c r="BGT11" s="18"/>
      <c r="BGU11" s="18"/>
      <c r="BGV11" s="18"/>
      <c r="BGW11" s="18"/>
      <c r="BGX11" s="18"/>
      <c r="BGY11" s="18"/>
      <c r="BGZ11" s="18"/>
      <c r="BHA11" s="18"/>
      <c r="BHB11" s="18"/>
      <c r="BHC11" s="18"/>
      <c r="BHD11" s="18"/>
      <c r="BHE11" s="18"/>
      <c r="BHF11" s="18"/>
      <c r="BHG11" s="18"/>
      <c r="BHH11" s="18"/>
      <c r="BHI11" s="18"/>
      <c r="BHJ11" s="18"/>
      <c r="BHK11" s="18"/>
      <c r="BHL11" s="18"/>
      <c r="BHM11" s="18"/>
      <c r="BHN11" s="18"/>
      <c r="BHO11" s="18"/>
      <c r="BHP11" s="18"/>
      <c r="BHQ11" s="18"/>
      <c r="BHR11" s="18"/>
      <c r="BHS11" s="18"/>
      <c r="BHT11" s="18"/>
      <c r="BHU11" s="18"/>
      <c r="BHV11" s="18"/>
      <c r="BHW11" s="18"/>
      <c r="BHX11" s="18"/>
      <c r="BHY11" s="18"/>
      <c r="BHZ11" s="18"/>
      <c r="BIA11" s="18"/>
      <c r="BIB11" s="18"/>
      <c r="BIC11" s="18"/>
      <c r="BID11" s="18"/>
      <c r="BIE11" s="18"/>
      <c r="BIF11" s="18"/>
      <c r="BIG11" s="18"/>
      <c r="BIH11" s="18"/>
      <c r="BII11" s="18"/>
      <c r="BIJ11" s="18"/>
      <c r="BIK11" s="18"/>
      <c r="BIL11" s="18"/>
      <c r="BIM11" s="18"/>
      <c r="BIN11" s="18"/>
      <c r="BIO11" s="18"/>
      <c r="BIP11" s="18"/>
      <c r="BIQ11" s="18"/>
      <c r="BIR11" s="18"/>
      <c r="BIS11" s="18"/>
      <c r="BIT11" s="18"/>
      <c r="BIU11" s="18"/>
      <c r="BIV11" s="18"/>
      <c r="BIW11" s="18"/>
      <c r="BIX11" s="18"/>
      <c r="BIY11" s="18"/>
      <c r="BIZ11" s="18"/>
      <c r="BJA11" s="18"/>
      <c r="BJB11" s="18"/>
      <c r="BJC11" s="18"/>
      <c r="BJD11" s="18"/>
      <c r="BJE11" s="18"/>
      <c r="BJF11" s="18"/>
      <c r="BJG11" s="18"/>
      <c r="BJH11" s="18"/>
      <c r="BJI11" s="18"/>
      <c r="BJJ11" s="18"/>
      <c r="BJK11" s="18"/>
      <c r="BJL11" s="18"/>
      <c r="BJM11" s="18"/>
      <c r="BJN11" s="18"/>
      <c r="BJO11" s="18"/>
      <c r="BJP11" s="18"/>
      <c r="BJQ11" s="18"/>
      <c r="BJR11" s="18"/>
      <c r="BJS11" s="18"/>
      <c r="BJT11" s="18"/>
      <c r="BJU11" s="18"/>
      <c r="BJV11" s="18"/>
      <c r="BJW11" s="18"/>
      <c r="BJX11" s="18"/>
      <c r="BJY11" s="18"/>
      <c r="BJZ11" s="18"/>
      <c r="BKA11" s="18"/>
      <c r="BKB11" s="18"/>
      <c r="BKC11" s="18"/>
      <c r="BKD11" s="18"/>
      <c r="BKE11" s="18"/>
      <c r="BKF11" s="18"/>
      <c r="BKG11" s="18"/>
      <c r="BKH11" s="18"/>
      <c r="BKI11" s="18"/>
      <c r="BKJ11" s="18"/>
      <c r="BKK11" s="18"/>
      <c r="BKL11" s="18"/>
      <c r="BKM11" s="18"/>
      <c r="BKN11" s="18"/>
      <c r="BKO11" s="18"/>
      <c r="BKP11" s="18"/>
      <c r="BKQ11" s="18"/>
      <c r="BKR11" s="18"/>
      <c r="BKS11" s="18"/>
      <c r="BKT11" s="18"/>
      <c r="BKU11" s="18"/>
      <c r="BKV11" s="18"/>
      <c r="BKW11" s="18"/>
      <c r="BKX11" s="18"/>
      <c r="BKY11" s="18"/>
      <c r="BKZ11" s="18"/>
      <c r="BLA11" s="18"/>
      <c r="BLB11" s="18"/>
      <c r="BLC11" s="18"/>
      <c r="BLD11" s="18"/>
      <c r="BLE11" s="18"/>
      <c r="BLF11" s="18"/>
      <c r="BLG11" s="18"/>
      <c r="BLH11" s="18"/>
      <c r="BLI11" s="18"/>
      <c r="BLJ11" s="18"/>
      <c r="BLK11" s="18"/>
      <c r="BLL11" s="18"/>
      <c r="BLM11" s="18"/>
      <c r="BLN11" s="18"/>
      <c r="BLO11" s="18"/>
      <c r="BLP11" s="18"/>
      <c r="BLQ11" s="18"/>
      <c r="BLR11" s="18"/>
      <c r="BLS11" s="18"/>
      <c r="BLT11" s="18"/>
      <c r="BLU11" s="18"/>
      <c r="BLV11" s="18"/>
      <c r="BLW11" s="18"/>
      <c r="BLX11" s="18"/>
      <c r="BLY11" s="18"/>
      <c r="BLZ11" s="18"/>
      <c r="BMA11" s="18"/>
      <c r="BMB11" s="18"/>
      <c r="BMC11" s="18"/>
      <c r="BMD11" s="18"/>
      <c r="BME11" s="18"/>
      <c r="BMF11" s="18"/>
      <c r="BMG11" s="18"/>
      <c r="BMH11" s="18"/>
      <c r="BMI11" s="18"/>
      <c r="BMJ11" s="18"/>
      <c r="BMK11" s="18"/>
      <c r="BML11" s="18"/>
      <c r="BMM11" s="18"/>
      <c r="BMN11" s="18"/>
      <c r="BMO11" s="18"/>
      <c r="BMP11" s="18"/>
      <c r="BMQ11" s="18"/>
      <c r="BMR11" s="18"/>
      <c r="BMS11" s="18"/>
      <c r="BMT11" s="18"/>
      <c r="BMU11" s="18"/>
      <c r="BMV11" s="18"/>
      <c r="BMW11" s="18"/>
      <c r="BMX11" s="18"/>
      <c r="BMY11" s="18"/>
      <c r="BMZ11" s="18"/>
      <c r="BNA11" s="18"/>
      <c r="BNB11" s="18"/>
      <c r="BNC11" s="18"/>
      <c r="BND11" s="18"/>
      <c r="BNE11" s="18"/>
      <c r="BNF11" s="18"/>
      <c r="BNG11" s="18"/>
      <c r="BNH11" s="18"/>
      <c r="BNI11" s="18"/>
      <c r="BNJ11" s="18"/>
      <c r="BNK11" s="18"/>
      <c r="BNL11" s="18"/>
      <c r="BNM11" s="18"/>
      <c r="BNN11" s="18"/>
      <c r="BNO11" s="18"/>
      <c r="BNP11" s="18"/>
      <c r="BNQ11" s="18"/>
      <c r="BNR11" s="18"/>
      <c r="BNS11" s="18"/>
      <c r="BNT11" s="18"/>
      <c r="BNU11" s="18"/>
      <c r="BNV11" s="18"/>
      <c r="BNW11" s="18"/>
      <c r="BNX11" s="18"/>
      <c r="BNY11" s="18"/>
      <c r="BNZ11" s="18"/>
      <c r="BOA11" s="18"/>
      <c r="BOB11" s="18"/>
      <c r="BOC11" s="18"/>
      <c r="BOD11" s="18"/>
      <c r="BOE11" s="18"/>
      <c r="BOF11" s="18"/>
      <c r="BOG11" s="18"/>
      <c r="BOH11" s="18"/>
      <c r="BOI11" s="18"/>
      <c r="BOJ11" s="18"/>
      <c r="BOK11" s="18"/>
      <c r="BOL11" s="18"/>
      <c r="BOM11" s="18"/>
      <c r="BON11" s="18"/>
      <c r="BOO11" s="18"/>
      <c r="BOP11" s="18"/>
      <c r="BOQ11" s="18"/>
      <c r="BOR11" s="18"/>
      <c r="BOS11" s="18"/>
      <c r="BOT11" s="18"/>
      <c r="BOU11" s="18"/>
      <c r="BOV11" s="18"/>
      <c r="BOW11" s="18"/>
      <c r="BOX11" s="18"/>
      <c r="BOY11" s="18"/>
      <c r="BOZ11" s="18"/>
      <c r="BPA11" s="18"/>
      <c r="BPB11" s="18"/>
      <c r="BPC11" s="18"/>
      <c r="BPD11" s="18"/>
      <c r="BPE11" s="18"/>
      <c r="BPF11" s="18"/>
      <c r="BPG11" s="18"/>
      <c r="BPH11" s="18"/>
      <c r="BPI11" s="18"/>
      <c r="BPJ11" s="18"/>
      <c r="BPK11" s="18"/>
      <c r="BPL11" s="18"/>
      <c r="BPM11" s="18"/>
      <c r="BPN11" s="18"/>
      <c r="BPO11" s="18"/>
      <c r="BPP11" s="18"/>
      <c r="BPQ11" s="18"/>
      <c r="BPR11" s="18"/>
      <c r="BPS11" s="18"/>
      <c r="BPT11" s="18"/>
      <c r="BPU11" s="18"/>
      <c r="BPV11" s="18"/>
      <c r="BPW11" s="18"/>
      <c r="BPX11" s="18"/>
      <c r="BPY11" s="18"/>
      <c r="BPZ11" s="18"/>
      <c r="BQA11" s="18"/>
      <c r="BQB11" s="18"/>
      <c r="BQC11" s="18"/>
      <c r="BQD11" s="18"/>
      <c r="BQE11" s="18"/>
      <c r="BQF11" s="18"/>
      <c r="BQG11" s="18"/>
      <c r="BQH11" s="18"/>
      <c r="BQI11" s="18"/>
      <c r="BQJ11" s="18"/>
      <c r="BQK11" s="18"/>
      <c r="BQL11" s="18"/>
      <c r="BQM11" s="18"/>
      <c r="BQN11" s="18"/>
      <c r="BQO11" s="18"/>
      <c r="BQP11" s="18"/>
      <c r="BQQ11" s="18"/>
      <c r="BQR11" s="18"/>
      <c r="BQS11" s="18"/>
      <c r="BQT11" s="18"/>
      <c r="BQU11" s="18"/>
      <c r="BQV11" s="18"/>
      <c r="BQW11" s="18"/>
      <c r="BQX11" s="18"/>
      <c r="BQY11" s="18"/>
      <c r="BQZ11" s="18"/>
      <c r="BRA11" s="18"/>
      <c r="BRB11" s="18"/>
      <c r="BRC11" s="18"/>
      <c r="BRD11" s="18"/>
      <c r="BRE11" s="18"/>
      <c r="BRF11" s="18"/>
      <c r="BRG11" s="18"/>
      <c r="BRH11" s="18"/>
      <c r="BRI11" s="18"/>
      <c r="BRJ11" s="18"/>
      <c r="BRK11" s="18"/>
      <c r="BRL11" s="18"/>
      <c r="BRM11" s="18"/>
      <c r="BRN11" s="18"/>
      <c r="BRO11" s="18"/>
      <c r="BRP11" s="18"/>
      <c r="BRQ11" s="18"/>
      <c r="BRR11" s="18"/>
      <c r="BRS11" s="18"/>
      <c r="BRT11" s="18"/>
      <c r="BRU11" s="18"/>
      <c r="BRV11" s="18"/>
      <c r="BRW11" s="18"/>
      <c r="BRX11" s="18"/>
      <c r="BRY11" s="18"/>
      <c r="BRZ11" s="18"/>
      <c r="BSA11" s="18"/>
      <c r="BSB11" s="18"/>
      <c r="BSC11" s="18"/>
      <c r="BSD11" s="18"/>
      <c r="BSE11" s="18"/>
      <c r="BSF11" s="18"/>
      <c r="BSG11" s="18"/>
      <c r="BSH11" s="18"/>
      <c r="BSI11" s="18"/>
      <c r="BSJ11" s="18"/>
      <c r="BSK11" s="18"/>
      <c r="BSL11" s="18"/>
      <c r="BSM11" s="18"/>
      <c r="BSN11" s="18"/>
      <c r="BSO11" s="18"/>
      <c r="BSP11" s="18"/>
      <c r="BSQ11" s="18"/>
      <c r="BSR11" s="18"/>
      <c r="BSS11" s="18"/>
      <c r="BST11" s="18"/>
      <c r="BSU11" s="18"/>
      <c r="BSV11" s="18"/>
      <c r="BSW11" s="18"/>
      <c r="BSX11" s="18"/>
      <c r="BSY11" s="18"/>
      <c r="BSZ11" s="18"/>
      <c r="BTA11" s="18"/>
      <c r="BTB11" s="18"/>
      <c r="BTC11" s="18"/>
      <c r="BTD11" s="18"/>
      <c r="BTE11" s="18"/>
      <c r="BTF11" s="18"/>
      <c r="BTG11" s="18"/>
      <c r="BTH11" s="18"/>
      <c r="BTI11" s="18"/>
      <c r="BTJ11" s="18"/>
      <c r="BTK11" s="18"/>
      <c r="BTL11" s="18"/>
      <c r="BTM11" s="18"/>
      <c r="BTN11" s="18"/>
      <c r="BTO11" s="18"/>
      <c r="BTP11" s="18"/>
      <c r="BTQ11" s="18"/>
      <c r="BTR11" s="18"/>
      <c r="BTS11" s="18"/>
      <c r="BTT11" s="18"/>
      <c r="BTU11" s="18"/>
      <c r="BTV11" s="18"/>
      <c r="BTW11" s="18"/>
      <c r="BTX11" s="18"/>
      <c r="BTY11" s="18"/>
      <c r="BTZ11" s="18"/>
      <c r="BUA11" s="18"/>
      <c r="BUB11" s="18"/>
      <c r="BUC11" s="18"/>
      <c r="BUD11" s="18"/>
      <c r="BUE11" s="18"/>
      <c r="BUF11" s="18"/>
      <c r="BUG11" s="18"/>
      <c r="BUH11" s="18"/>
      <c r="BUI11" s="18"/>
      <c r="BUJ11" s="18"/>
      <c r="BUK11" s="18"/>
      <c r="BUL11" s="18"/>
      <c r="BUM11" s="18"/>
      <c r="BUN11" s="18"/>
      <c r="BUO11" s="18"/>
      <c r="BUP11" s="18"/>
      <c r="BUQ11" s="18"/>
      <c r="BUR11" s="18"/>
      <c r="BUS11" s="18"/>
      <c r="BUT11" s="18"/>
      <c r="BUU11" s="18"/>
      <c r="BUV11" s="18"/>
      <c r="BUW11" s="18"/>
      <c r="BUX11" s="18"/>
      <c r="BUY11" s="18"/>
      <c r="BUZ11" s="18"/>
      <c r="BVA11" s="18"/>
      <c r="BVB11" s="18"/>
      <c r="BVC11" s="18"/>
      <c r="BVD11" s="18"/>
      <c r="BVE11" s="18"/>
      <c r="BVF11" s="18"/>
      <c r="BVG11" s="18"/>
      <c r="BVH11" s="18"/>
      <c r="BVI11" s="18"/>
      <c r="BVJ11" s="18"/>
      <c r="BVK11" s="18"/>
      <c r="BVL11" s="18"/>
      <c r="BVM11" s="18"/>
      <c r="BVN11" s="18"/>
      <c r="BVO11" s="18"/>
      <c r="BVP11" s="18"/>
      <c r="BVQ11" s="18"/>
      <c r="BVR11" s="18"/>
      <c r="BVS11" s="18"/>
      <c r="BVT11" s="18"/>
      <c r="BVU11" s="18"/>
      <c r="BVV11" s="18"/>
      <c r="BVW11" s="18"/>
      <c r="BVX11" s="18"/>
      <c r="BVY11" s="18"/>
      <c r="BVZ11" s="18"/>
      <c r="BWA11" s="18"/>
      <c r="BWB11" s="18"/>
      <c r="BWC11" s="18"/>
      <c r="BWD11" s="18"/>
      <c r="BWE11" s="18"/>
      <c r="BWF11" s="18"/>
      <c r="BWG11" s="18"/>
      <c r="BWH11" s="18"/>
      <c r="BWI11" s="18"/>
      <c r="BWJ11" s="18"/>
      <c r="BWK11" s="18"/>
      <c r="BWL11" s="18"/>
      <c r="BWM11" s="18"/>
      <c r="BWN11" s="18"/>
      <c r="BWO11" s="18"/>
      <c r="BWP11" s="18"/>
      <c r="BWQ11" s="18"/>
      <c r="BWR11" s="18"/>
      <c r="BWS11" s="18"/>
      <c r="BWT11" s="18"/>
      <c r="BWU11" s="18"/>
      <c r="BWV11" s="18"/>
      <c r="BWW11" s="18"/>
      <c r="BWX11" s="18"/>
      <c r="BWY11" s="18"/>
      <c r="BWZ11" s="18"/>
      <c r="BXA11" s="18"/>
      <c r="BXB11" s="18"/>
      <c r="BXC11" s="18"/>
      <c r="BXD11" s="18"/>
      <c r="BXE11" s="18"/>
      <c r="BXF11" s="18"/>
      <c r="BXG11" s="18"/>
      <c r="BXH11" s="18"/>
      <c r="BXI11" s="18"/>
      <c r="BXJ11" s="18"/>
      <c r="BXK11" s="18"/>
      <c r="BXL11" s="18"/>
      <c r="BXM11" s="18"/>
      <c r="BXN11" s="18"/>
      <c r="BXO11" s="18"/>
      <c r="BXP11" s="18"/>
      <c r="BXQ11" s="18"/>
      <c r="BXR11" s="18"/>
      <c r="BXS11" s="18"/>
      <c r="BXT11" s="18"/>
      <c r="BXU11" s="18"/>
      <c r="BXV11" s="18"/>
      <c r="BXW11" s="18"/>
      <c r="BXX11" s="18"/>
      <c r="BXY11" s="18"/>
      <c r="BXZ11" s="18"/>
      <c r="BYA11" s="18"/>
      <c r="BYB11" s="18"/>
      <c r="BYC11" s="18"/>
      <c r="BYD11" s="18"/>
      <c r="BYE11" s="18"/>
      <c r="BYF11" s="18"/>
      <c r="BYG11" s="18"/>
      <c r="BYH11" s="18"/>
      <c r="BYI11" s="18"/>
      <c r="BYJ11" s="18"/>
      <c r="BYK11" s="18"/>
      <c r="BYL11" s="18"/>
      <c r="BYM11" s="18"/>
      <c r="BYN11" s="18"/>
      <c r="BYO11" s="18"/>
      <c r="BYP11" s="18"/>
      <c r="BYQ11" s="18"/>
      <c r="BYR11" s="18"/>
      <c r="BYS11" s="18"/>
      <c r="BYT11" s="18"/>
      <c r="BYU11" s="18"/>
      <c r="BYV11" s="18"/>
      <c r="BYW11" s="18"/>
      <c r="BYX11" s="18"/>
      <c r="BYY11" s="18"/>
      <c r="BYZ11" s="18"/>
      <c r="BZA11" s="18"/>
      <c r="BZB11" s="18"/>
      <c r="BZC11" s="18"/>
      <c r="BZD11" s="18"/>
      <c r="BZE11" s="18"/>
      <c r="BZF11" s="18"/>
      <c r="BZG11" s="18"/>
      <c r="BZH11" s="18"/>
      <c r="BZI11" s="18"/>
      <c r="BZJ11" s="18"/>
      <c r="BZK11" s="18"/>
      <c r="BZL11" s="18"/>
      <c r="BZM11" s="18"/>
      <c r="BZN11" s="18"/>
      <c r="BZO11" s="18"/>
      <c r="BZP11" s="18"/>
      <c r="BZQ11" s="18"/>
      <c r="BZR11" s="18"/>
      <c r="BZS11" s="18"/>
      <c r="BZT11" s="18"/>
      <c r="BZU11" s="18"/>
      <c r="BZV11" s="18"/>
      <c r="BZW11" s="18"/>
      <c r="BZX11" s="18"/>
      <c r="BZY11" s="18"/>
      <c r="BZZ11" s="18"/>
      <c r="CAA11" s="18"/>
      <c r="CAB11" s="18"/>
      <c r="CAC11" s="18"/>
      <c r="CAD11" s="18"/>
      <c r="CAE11" s="18"/>
      <c r="CAF11" s="18"/>
      <c r="CAG11" s="18"/>
      <c r="CAH11" s="18"/>
      <c r="CAI11" s="18"/>
      <c r="CAJ11" s="18"/>
      <c r="CAK11" s="18"/>
      <c r="CAL11" s="18"/>
      <c r="CAM11" s="18"/>
      <c r="CAN11" s="18"/>
      <c r="CAO11" s="18"/>
      <c r="CAP11" s="18"/>
      <c r="CAQ11" s="18"/>
      <c r="CAR11" s="18"/>
      <c r="CAS11" s="18"/>
      <c r="CAT11" s="18"/>
      <c r="CAU11" s="18"/>
      <c r="CAV11" s="18"/>
      <c r="CAW11" s="18"/>
      <c r="CAX11" s="18"/>
      <c r="CAY11" s="18"/>
      <c r="CAZ11" s="18"/>
      <c r="CBA11" s="18"/>
      <c r="CBB11" s="18"/>
      <c r="CBC11" s="18"/>
      <c r="CBD11" s="18"/>
      <c r="CBE11" s="18"/>
      <c r="CBF11" s="18"/>
      <c r="CBG11" s="18"/>
      <c r="CBH11" s="18"/>
      <c r="CBI11" s="18"/>
      <c r="CBJ11" s="18"/>
      <c r="CBK11" s="18"/>
      <c r="CBL11" s="18"/>
      <c r="CBM11" s="18"/>
      <c r="CBN11" s="18"/>
      <c r="CBO11" s="18"/>
      <c r="CBP11" s="18"/>
      <c r="CBQ11" s="18"/>
      <c r="CBR11" s="18"/>
      <c r="CBS11" s="18"/>
      <c r="CBT11" s="18"/>
      <c r="CBU11" s="18"/>
      <c r="CBV11" s="18"/>
      <c r="CBW11" s="18"/>
      <c r="CBX11" s="18"/>
      <c r="CBY11" s="18"/>
      <c r="CBZ11" s="18"/>
      <c r="CCA11" s="18"/>
      <c r="CCB11" s="18"/>
      <c r="CCC11" s="18"/>
      <c r="CCD11" s="18"/>
      <c r="CCE11" s="18"/>
      <c r="CCF11" s="18"/>
      <c r="CCG11" s="18"/>
      <c r="CCH11" s="18"/>
      <c r="CCI11" s="18"/>
      <c r="CCJ11" s="18"/>
      <c r="CCK11" s="18"/>
      <c r="CCL11" s="18"/>
      <c r="CCM11" s="18"/>
      <c r="CCN11" s="18"/>
      <c r="CCO11" s="18"/>
      <c r="CCP11" s="18"/>
      <c r="CCQ11" s="18"/>
      <c r="CCR11" s="18"/>
      <c r="CCS11" s="18"/>
      <c r="CCT11" s="18"/>
      <c r="CCU11" s="18"/>
      <c r="CCV11" s="18"/>
      <c r="CCW11" s="18"/>
      <c r="CCX11" s="18"/>
      <c r="CCY11" s="18"/>
      <c r="CCZ11" s="18"/>
      <c r="CDA11" s="18"/>
      <c r="CDB11" s="18"/>
      <c r="CDC11" s="18"/>
      <c r="CDD11" s="18"/>
      <c r="CDE11" s="18"/>
      <c r="CDF11" s="18"/>
      <c r="CDG11" s="18"/>
      <c r="CDH11" s="18"/>
      <c r="CDI11" s="18"/>
      <c r="CDJ11" s="18"/>
      <c r="CDK11" s="18"/>
      <c r="CDL11" s="18"/>
      <c r="CDM11" s="18"/>
      <c r="CDN11" s="18"/>
      <c r="CDO11" s="18"/>
      <c r="CDP11" s="18"/>
      <c r="CDQ11" s="18"/>
      <c r="CDR11" s="18"/>
      <c r="CDS11" s="18"/>
      <c r="CDT11" s="18"/>
      <c r="CDU11" s="18"/>
      <c r="CDV11" s="18"/>
      <c r="CDW11" s="18"/>
      <c r="CDX11" s="18"/>
      <c r="CDY11" s="18"/>
      <c r="CDZ11" s="18"/>
      <c r="CEA11" s="18"/>
      <c r="CEB11" s="18"/>
      <c r="CEC11" s="18"/>
      <c r="CED11" s="18"/>
      <c r="CEE11" s="18"/>
      <c r="CEF11" s="18"/>
      <c r="CEG11" s="18"/>
      <c r="CEH11" s="18"/>
      <c r="CEI11" s="18"/>
      <c r="CEJ11" s="18"/>
      <c r="CEK11" s="18"/>
      <c r="CEL11" s="18"/>
      <c r="CEM11" s="18"/>
      <c r="CEN11" s="18"/>
      <c r="CEO11" s="18"/>
      <c r="CEP11" s="18"/>
      <c r="CEQ11" s="18"/>
      <c r="CER11" s="18"/>
      <c r="CES11" s="18"/>
      <c r="CET11" s="18"/>
      <c r="CEU11" s="18"/>
      <c r="CEV11" s="18"/>
      <c r="CEW11" s="18"/>
      <c r="CEX11" s="18"/>
      <c r="CEY11" s="18"/>
      <c r="CEZ11" s="18"/>
      <c r="CFA11" s="18"/>
      <c r="CFB11" s="18"/>
      <c r="CFC11" s="18"/>
      <c r="CFD11" s="18"/>
      <c r="CFE11" s="18"/>
      <c r="CFF11" s="18"/>
      <c r="CFG11" s="18"/>
      <c r="CFH11" s="18"/>
      <c r="CFI11" s="18"/>
      <c r="CFJ11" s="18"/>
      <c r="CFK11" s="18"/>
      <c r="CFL11" s="18"/>
      <c r="CFM11" s="18"/>
      <c r="CFN11" s="18"/>
      <c r="CFO11" s="18"/>
      <c r="CFP11" s="18"/>
      <c r="CFQ11" s="18"/>
      <c r="CFR11" s="18"/>
      <c r="CFS11" s="18"/>
      <c r="CFT11" s="18"/>
      <c r="CFU11" s="18"/>
      <c r="CFV11" s="18"/>
      <c r="CFW11" s="18"/>
      <c r="CFX11" s="18"/>
      <c r="CFY11" s="18"/>
      <c r="CFZ11" s="18"/>
      <c r="CGA11" s="18"/>
      <c r="CGB11" s="18"/>
      <c r="CGC11" s="18"/>
      <c r="CGD11" s="18"/>
      <c r="CGE11" s="18"/>
      <c r="CGF11" s="18"/>
      <c r="CGG11" s="18"/>
      <c r="CGH11" s="18"/>
      <c r="CGI11" s="18"/>
      <c r="CGJ11" s="18"/>
      <c r="CGK11" s="18"/>
      <c r="CGL11" s="18"/>
      <c r="CGM11" s="18"/>
      <c r="CGN11" s="18"/>
      <c r="CGO11" s="18"/>
      <c r="CGP11" s="18"/>
      <c r="CGQ11" s="18"/>
      <c r="CGR11" s="18"/>
      <c r="CGS11" s="18"/>
      <c r="CGT11" s="18"/>
      <c r="CGU11" s="18"/>
      <c r="CGV11" s="18"/>
      <c r="CGW11" s="18"/>
      <c r="CGX11" s="18"/>
      <c r="CGY11" s="18"/>
      <c r="CGZ11" s="18"/>
      <c r="CHA11" s="18"/>
      <c r="CHB11" s="18"/>
      <c r="CHC11" s="18"/>
      <c r="CHD11" s="18"/>
      <c r="CHE11" s="18"/>
      <c r="CHF11" s="18"/>
      <c r="CHG11" s="18"/>
      <c r="CHH11" s="18"/>
      <c r="CHI11" s="18"/>
      <c r="CHJ11" s="18"/>
      <c r="CHK11" s="18"/>
      <c r="CHL11" s="18"/>
      <c r="CHM11" s="18"/>
      <c r="CHN11" s="18"/>
      <c r="CHO11" s="18"/>
      <c r="CHP11" s="18"/>
      <c r="CHQ11" s="18"/>
      <c r="CHR11" s="18"/>
      <c r="CHS11" s="18"/>
      <c r="CHT11" s="18"/>
      <c r="CHU11" s="18"/>
      <c r="CHV11" s="18"/>
      <c r="CHW11" s="18"/>
      <c r="CHX11" s="18"/>
      <c r="CHY11" s="18"/>
      <c r="CHZ11" s="18"/>
      <c r="CIA11" s="18"/>
      <c r="CIB11" s="18"/>
      <c r="CIC11" s="18"/>
      <c r="CID11" s="18"/>
      <c r="CIE11" s="18"/>
      <c r="CIF11" s="18"/>
      <c r="CIG11" s="18"/>
      <c r="CIH11" s="18"/>
      <c r="CII11" s="18"/>
      <c r="CIJ11" s="18"/>
      <c r="CIK11" s="18"/>
      <c r="CIL11" s="18"/>
      <c r="CIM11" s="18"/>
      <c r="CIN11" s="18"/>
      <c r="CIO11" s="18"/>
      <c r="CIP11" s="18"/>
      <c r="CIQ11" s="18"/>
      <c r="CIR11" s="18"/>
      <c r="CIS11" s="18"/>
      <c r="CIT11" s="18"/>
      <c r="CIU11" s="18"/>
      <c r="CIV11" s="18"/>
      <c r="CIW11" s="18"/>
      <c r="CIX11" s="18"/>
      <c r="CIY11" s="18"/>
      <c r="CIZ11" s="18"/>
      <c r="CJA11" s="18"/>
      <c r="CJB11" s="18"/>
      <c r="CJC11" s="18"/>
      <c r="CJD11" s="18"/>
      <c r="CJE11" s="18"/>
      <c r="CJF11" s="18"/>
      <c r="CJG11" s="18"/>
      <c r="CJH11" s="18"/>
      <c r="CJI11" s="18"/>
      <c r="CJJ11" s="18"/>
      <c r="CJK11" s="18"/>
      <c r="CJL11" s="18"/>
      <c r="CJM11" s="18"/>
      <c r="CJN11" s="18"/>
      <c r="CJO11" s="18"/>
      <c r="CJP11" s="18"/>
      <c r="CJQ11" s="18"/>
      <c r="CJR11" s="18"/>
      <c r="CJS11" s="18"/>
      <c r="CJT11" s="18"/>
      <c r="CJU11" s="18"/>
      <c r="CJV11" s="18"/>
      <c r="CJW11" s="18"/>
      <c r="CJX11" s="18"/>
      <c r="CJY11" s="18"/>
      <c r="CJZ11" s="18"/>
      <c r="CKA11" s="18"/>
      <c r="CKB11" s="18"/>
      <c r="CKC11" s="18"/>
      <c r="CKD11" s="18"/>
      <c r="CKE11" s="18"/>
      <c r="CKF11" s="18"/>
      <c r="CKG11" s="18"/>
      <c r="CKH11" s="18"/>
      <c r="CKI11" s="18"/>
      <c r="CKJ11" s="18"/>
      <c r="CKK11" s="18"/>
      <c r="CKL11" s="18"/>
      <c r="CKM11" s="18"/>
      <c r="CKN11" s="18"/>
      <c r="CKO11" s="18"/>
      <c r="CKP11" s="18"/>
      <c r="CKQ11" s="18"/>
      <c r="CKR11" s="18"/>
      <c r="CKS11" s="18"/>
      <c r="CKT11" s="18"/>
      <c r="CKU11" s="18"/>
      <c r="CKV11" s="18"/>
      <c r="CKW11" s="18"/>
      <c r="CKX11" s="18"/>
      <c r="CKY11" s="18"/>
      <c r="CKZ11" s="18"/>
      <c r="CLA11" s="18"/>
      <c r="CLB11" s="18"/>
      <c r="CLC11" s="18"/>
      <c r="CLD11" s="18"/>
      <c r="CLE11" s="18"/>
      <c r="CLF11" s="18"/>
      <c r="CLG11" s="18"/>
      <c r="CLH11" s="18"/>
      <c r="CLI11" s="18"/>
      <c r="CLJ11" s="18"/>
      <c r="CLK11" s="18"/>
      <c r="CLL11" s="18"/>
      <c r="CLM11" s="18"/>
      <c r="CLN11" s="18"/>
      <c r="CLO11" s="18"/>
      <c r="CLP11" s="18"/>
      <c r="CLQ11" s="18"/>
      <c r="CLR11" s="18"/>
      <c r="CLS11" s="18"/>
      <c r="CLT11" s="18"/>
      <c r="CLU11" s="18"/>
      <c r="CLV11" s="18"/>
      <c r="CLW11" s="18"/>
      <c r="CLX11" s="18"/>
      <c r="CLY11" s="18"/>
      <c r="CLZ11" s="18"/>
      <c r="CMA11" s="18"/>
      <c r="CMB11" s="18"/>
      <c r="CMC11" s="18"/>
      <c r="CMD11" s="18"/>
      <c r="CME11" s="18"/>
      <c r="CMF11" s="18"/>
      <c r="CMG11" s="18"/>
      <c r="CMH11" s="18"/>
      <c r="CMI11" s="18"/>
      <c r="CMJ11" s="18"/>
      <c r="CMK11" s="18"/>
      <c r="CML11" s="18"/>
      <c r="CMM11" s="18"/>
      <c r="CMN11" s="18"/>
      <c r="CMO11" s="18"/>
      <c r="CMP11" s="18"/>
      <c r="CMQ11" s="18"/>
      <c r="CMR11" s="18"/>
      <c r="CMS11" s="18"/>
      <c r="CMT11" s="18"/>
      <c r="CMU11" s="18"/>
      <c r="CMV11" s="18"/>
      <c r="CMW11" s="18"/>
      <c r="CMX11" s="18"/>
      <c r="CMY11" s="18"/>
      <c r="CMZ11" s="18"/>
      <c r="CNA11" s="18"/>
      <c r="CNB11" s="18"/>
      <c r="CNC11" s="18"/>
      <c r="CND11" s="18"/>
      <c r="CNE11" s="18"/>
      <c r="CNF11" s="18"/>
      <c r="CNG11" s="18"/>
      <c r="CNH11" s="18"/>
      <c r="CNI11" s="18"/>
      <c r="CNJ11" s="18"/>
      <c r="CNK11" s="18"/>
      <c r="CNL11" s="18"/>
      <c r="CNM11" s="18"/>
      <c r="CNN11" s="18"/>
      <c r="CNO11" s="18"/>
      <c r="CNP11" s="18"/>
      <c r="CNQ11" s="18"/>
      <c r="CNR11" s="18"/>
      <c r="CNS11" s="18"/>
      <c r="CNT11" s="18"/>
      <c r="CNU11" s="18"/>
      <c r="CNV11" s="18"/>
      <c r="CNW11" s="18"/>
      <c r="CNX11" s="18"/>
      <c r="CNY11" s="18"/>
      <c r="CNZ11" s="18"/>
      <c r="COA11" s="18"/>
      <c r="COB11" s="18"/>
      <c r="COC11" s="18"/>
      <c r="COD11" s="18"/>
      <c r="COE11" s="18"/>
      <c r="COF11" s="18"/>
      <c r="COG11" s="18"/>
      <c r="COH11" s="18"/>
      <c r="COI11" s="18"/>
      <c r="COJ11" s="18"/>
      <c r="COK11" s="18"/>
      <c r="COL11" s="18"/>
      <c r="COM11" s="18"/>
      <c r="CON11" s="18"/>
      <c r="COO11" s="18"/>
      <c r="COP11" s="18"/>
      <c r="COQ11" s="18"/>
      <c r="COR11" s="18"/>
      <c r="COS11" s="18"/>
      <c r="COT11" s="18"/>
      <c r="COU11" s="18"/>
      <c r="COV11" s="18"/>
      <c r="COW11" s="18"/>
      <c r="COX11" s="18"/>
      <c r="COY11" s="18"/>
      <c r="COZ11" s="18"/>
      <c r="CPA11" s="18"/>
      <c r="CPB11" s="18"/>
      <c r="CPC11" s="18"/>
      <c r="CPD11" s="18"/>
      <c r="CPE11" s="18"/>
      <c r="CPF11" s="18"/>
      <c r="CPG11" s="18"/>
      <c r="CPH11" s="18"/>
      <c r="CPI11" s="18"/>
      <c r="CPJ11" s="18"/>
      <c r="CPK11" s="18"/>
      <c r="CPL11" s="18"/>
      <c r="CPM11" s="18"/>
      <c r="CPN11" s="18"/>
      <c r="CPO11" s="18"/>
      <c r="CPP11" s="18"/>
      <c r="CPQ11" s="18"/>
      <c r="CPR11" s="18"/>
      <c r="CPS11" s="18"/>
      <c r="CPT11" s="18"/>
      <c r="CPU11" s="18"/>
      <c r="CPV11" s="18"/>
      <c r="CPW11" s="18"/>
      <c r="CPX11" s="18"/>
      <c r="CPY11" s="18"/>
      <c r="CPZ11" s="18"/>
      <c r="CQA11" s="18"/>
      <c r="CQB11" s="18"/>
      <c r="CQC11" s="18"/>
      <c r="CQD11" s="18"/>
      <c r="CQE11" s="18"/>
      <c r="CQF11" s="18"/>
      <c r="CQG11" s="18"/>
      <c r="CQH11" s="18"/>
      <c r="CQI11" s="18"/>
      <c r="CQJ11" s="18"/>
      <c r="CQK11" s="18"/>
      <c r="CQL11" s="18"/>
      <c r="CQM11" s="18"/>
      <c r="CQN11" s="18"/>
      <c r="CQO11" s="18"/>
      <c r="CQP11" s="18"/>
      <c r="CQQ11" s="18"/>
      <c r="CQR11" s="18"/>
      <c r="CQS11" s="18"/>
      <c r="CQT11" s="18"/>
      <c r="CQU11" s="18"/>
      <c r="CQV11" s="18"/>
      <c r="CQW11" s="18"/>
      <c r="CQX11" s="18"/>
      <c r="CQY11" s="18"/>
      <c r="CQZ11" s="18"/>
      <c r="CRA11" s="18"/>
      <c r="CRB11" s="18"/>
      <c r="CRC11" s="18"/>
      <c r="CRD11" s="18"/>
      <c r="CRE11" s="18"/>
      <c r="CRF11" s="18"/>
      <c r="CRG11" s="18"/>
      <c r="CRH11" s="18"/>
      <c r="CRI11" s="18"/>
      <c r="CRJ11" s="18"/>
      <c r="CRK11" s="18"/>
      <c r="CRL11" s="18"/>
      <c r="CRM11" s="18"/>
      <c r="CRN11" s="18"/>
      <c r="CRO11" s="18"/>
      <c r="CRP11" s="18"/>
      <c r="CRQ11" s="18"/>
      <c r="CRR11" s="18"/>
      <c r="CRS11" s="18"/>
      <c r="CRT11" s="18"/>
      <c r="CRU11" s="18"/>
      <c r="CRV11" s="18"/>
      <c r="CRW11" s="18"/>
      <c r="CRX11" s="18"/>
      <c r="CRY11" s="18"/>
      <c r="CRZ11" s="18"/>
      <c r="CSA11" s="18"/>
      <c r="CSB11" s="18"/>
      <c r="CSC11" s="18"/>
      <c r="CSD11" s="18"/>
      <c r="CSE11" s="18"/>
      <c r="CSF11" s="18"/>
      <c r="CSG11" s="18"/>
      <c r="CSH11" s="18"/>
      <c r="CSI11" s="18"/>
      <c r="CSJ11" s="18"/>
      <c r="CSK11" s="18"/>
      <c r="CSL11" s="18"/>
      <c r="CSM11" s="18"/>
      <c r="CSN11" s="18"/>
      <c r="CSO11" s="18"/>
      <c r="CSP11" s="18"/>
      <c r="CSQ11" s="18"/>
      <c r="CSR11" s="18"/>
      <c r="CSS11" s="18"/>
      <c r="CST11" s="18"/>
      <c r="CSU11" s="18"/>
      <c r="CSV11" s="18"/>
      <c r="CSW11" s="18"/>
      <c r="CSX11" s="18"/>
      <c r="CSY11" s="18"/>
      <c r="CSZ11" s="18"/>
      <c r="CTA11" s="18"/>
      <c r="CTB11" s="18"/>
      <c r="CTC11" s="18"/>
      <c r="CTD11" s="18"/>
      <c r="CTE11" s="18"/>
      <c r="CTF11" s="18"/>
      <c r="CTG11" s="18"/>
      <c r="CTH11" s="18"/>
      <c r="CTI11" s="18"/>
      <c r="CTJ11" s="18"/>
      <c r="CTK11" s="18"/>
      <c r="CTL11" s="18"/>
      <c r="CTM11" s="18"/>
      <c r="CTN11" s="18"/>
      <c r="CTO11" s="18"/>
      <c r="CTP11" s="18"/>
      <c r="CTQ11" s="18"/>
      <c r="CTR11" s="18"/>
      <c r="CTS11" s="18"/>
      <c r="CTT11" s="18"/>
      <c r="CTU11" s="18"/>
      <c r="CTV11" s="18"/>
      <c r="CTW11" s="18"/>
      <c r="CTX11" s="18"/>
      <c r="CTY11" s="18"/>
      <c r="CTZ11" s="18"/>
      <c r="CUA11" s="18"/>
      <c r="CUB11" s="18"/>
      <c r="CUC11" s="18"/>
      <c r="CUD11" s="18"/>
      <c r="CUE11" s="18"/>
      <c r="CUF11" s="18"/>
      <c r="CUG11" s="18"/>
      <c r="CUH11" s="18"/>
      <c r="CUI11" s="18"/>
      <c r="CUJ11" s="18"/>
      <c r="CUK11" s="18"/>
      <c r="CUL11" s="18"/>
      <c r="CUM11" s="18"/>
      <c r="CUN11" s="18"/>
      <c r="CUO11" s="18"/>
      <c r="CUP11" s="18"/>
      <c r="CUQ11" s="18"/>
      <c r="CUR11" s="18"/>
      <c r="CUS11" s="18"/>
      <c r="CUT11" s="18"/>
      <c r="CUU11" s="18"/>
      <c r="CUV11" s="18"/>
      <c r="CUW11" s="18"/>
      <c r="CUX11" s="18"/>
      <c r="CUY11" s="18"/>
      <c r="CUZ11" s="18"/>
      <c r="CVA11" s="18"/>
      <c r="CVB11" s="18"/>
      <c r="CVC11" s="18"/>
      <c r="CVD11" s="18"/>
      <c r="CVE11" s="18"/>
      <c r="CVF11" s="18"/>
      <c r="CVG11" s="18"/>
      <c r="CVH11" s="18"/>
      <c r="CVI11" s="18"/>
      <c r="CVJ11" s="18"/>
      <c r="CVK11" s="18"/>
      <c r="CVL11" s="18"/>
      <c r="CVM11" s="18"/>
      <c r="CVN11" s="18"/>
      <c r="CVO11" s="18"/>
      <c r="CVP11" s="18"/>
      <c r="CVQ11" s="18"/>
      <c r="CVR11" s="18"/>
      <c r="CVS11" s="18"/>
      <c r="CVT11" s="18"/>
      <c r="CVU11" s="18"/>
      <c r="CVV11" s="18"/>
      <c r="CVW11" s="18"/>
      <c r="CVX11" s="18"/>
      <c r="CVY11" s="18"/>
      <c r="CVZ11" s="18"/>
      <c r="CWA11" s="18"/>
      <c r="CWB11" s="18"/>
      <c r="CWC11" s="18"/>
      <c r="CWD11" s="18"/>
      <c r="CWE11" s="18"/>
      <c r="CWF11" s="18"/>
      <c r="CWG11" s="18"/>
      <c r="CWH11" s="18"/>
      <c r="CWI11" s="18"/>
      <c r="CWJ11" s="18"/>
      <c r="CWK11" s="18"/>
      <c r="CWL11" s="18"/>
      <c r="CWM11" s="18"/>
      <c r="CWN11" s="18"/>
      <c r="CWO11" s="18"/>
      <c r="CWP11" s="18"/>
      <c r="CWQ11" s="18"/>
      <c r="CWR11" s="18"/>
      <c r="CWS11" s="18"/>
      <c r="CWT11" s="18"/>
      <c r="CWU11" s="18"/>
      <c r="CWV11" s="18"/>
      <c r="CWW11" s="18"/>
      <c r="CWX11" s="18"/>
      <c r="CWY11" s="18"/>
      <c r="CWZ11" s="18"/>
      <c r="CXA11" s="18"/>
      <c r="CXB11" s="18"/>
      <c r="CXC11" s="18"/>
      <c r="CXD11" s="18"/>
      <c r="CXE11" s="18"/>
      <c r="CXF11" s="18"/>
      <c r="CXG11" s="18"/>
      <c r="CXH11" s="18"/>
      <c r="CXI11" s="18"/>
      <c r="CXJ11" s="18"/>
      <c r="CXK11" s="18"/>
      <c r="CXL11" s="18"/>
      <c r="CXM11" s="18"/>
      <c r="CXN11" s="18"/>
      <c r="CXO11" s="18"/>
      <c r="CXP11" s="18"/>
      <c r="CXQ11" s="18"/>
      <c r="CXR11" s="18"/>
      <c r="CXS11" s="18"/>
      <c r="CXT11" s="18"/>
      <c r="CXU11" s="18"/>
      <c r="CXV11" s="18"/>
      <c r="CXW11" s="18"/>
      <c r="CXX11" s="18"/>
      <c r="CXY11" s="18"/>
      <c r="CXZ11" s="18"/>
      <c r="CYA11" s="18"/>
      <c r="CYB11" s="18"/>
      <c r="CYC11" s="18"/>
      <c r="CYD11" s="18"/>
      <c r="CYE11" s="18"/>
      <c r="CYF11" s="18"/>
      <c r="CYG11" s="18"/>
      <c r="CYH11" s="18"/>
      <c r="CYI11" s="18"/>
      <c r="CYJ11" s="18"/>
      <c r="CYK11" s="18"/>
      <c r="CYL11" s="18"/>
      <c r="CYM11" s="18"/>
      <c r="CYN11" s="18"/>
      <c r="CYO11" s="18"/>
      <c r="CYP11" s="18"/>
      <c r="CYQ11" s="18"/>
      <c r="CYR11" s="18"/>
      <c r="CYS11" s="18"/>
      <c r="CYT11" s="18"/>
      <c r="CYU11" s="18"/>
      <c r="CYV11" s="18"/>
      <c r="CYW11" s="18"/>
      <c r="CYX11" s="18"/>
      <c r="CYY11" s="18"/>
      <c r="CYZ11" s="18"/>
      <c r="CZA11" s="18"/>
      <c r="CZB11" s="18"/>
      <c r="CZC11" s="18"/>
      <c r="CZD11" s="18"/>
      <c r="CZE11" s="18"/>
      <c r="CZF11" s="18"/>
      <c r="CZG11" s="18"/>
      <c r="CZH11" s="18"/>
      <c r="CZI11" s="18"/>
      <c r="CZJ11" s="18"/>
      <c r="CZK11" s="18"/>
      <c r="CZL11" s="18"/>
      <c r="CZM11" s="18"/>
      <c r="CZN11" s="18"/>
      <c r="CZO11" s="18"/>
      <c r="CZP11" s="18"/>
      <c r="CZQ11" s="18"/>
      <c r="CZR11" s="18"/>
      <c r="CZS11" s="18"/>
      <c r="CZT11" s="18"/>
      <c r="CZU11" s="18"/>
      <c r="CZV11" s="18"/>
      <c r="CZW11" s="18"/>
      <c r="CZX11" s="18"/>
      <c r="CZY11" s="18"/>
      <c r="CZZ11" s="18"/>
      <c r="DAA11" s="18"/>
      <c r="DAB11" s="18"/>
      <c r="DAC11" s="18"/>
      <c r="DAD11" s="18"/>
      <c r="DAE11" s="18"/>
      <c r="DAF11" s="18"/>
      <c r="DAG11" s="18"/>
      <c r="DAH11" s="18"/>
      <c r="DAI11" s="18"/>
      <c r="DAJ11" s="18"/>
      <c r="DAK11" s="18"/>
      <c r="DAL11" s="18"/>
      <c r="DAM11" s="18"/>
      <c r="DAN11" s="18"/>
      <c r="DAO11" s="18"/>
      <c r="DAP11" s="18"/>
      <c r="DAQ11" s="18"/>
      <c r="DAR11" s="18"/>
      <c r="DAS11" s="18"/>
      <c r="DAT11" s="18"/>
      <c r="DAU11" s="18"/>
      <c r="DAV11" s="18"/>
      <c r="DAW11" s="18"/>
      <c r="DAX11" s="18"/>
      <c r="DAY11" s="18"/>
      <c r="DAZ11" s="18"/>
      <c r="DBA11" s="18"/>
      <c r="DBB11" s="18"/>
      <c r="DBC11" s="18"/>
      <c r="DBD11" s="18"/>
      <c r="DBE11" s="18"/>
      <c r="DBF11" s="18"/>
      <c r="DBG11" s="18"/>
      <c r="DBH11" s="18"/>
      <c r="DBI11" s="18"/>
      <c r="DBJ11" s="18"/>
      <c r="DBK11" s="18"/>
      <c r="DBL11" s="18"/>
      <c r="DBM11" s="18"/>
      <c r="DBN11" s="18"/>
      <c r="DBO11" s="18"/>
      <c r="DBP11" s="18"/>
      <c r="DBQ11" s="18"/>
      <c r="DBR11" s="18"/>
      <c r="DBS11" s="18"/>
      <c r="DBT11" s="18"/>
      <c r="DBU11" s="18"/>
      <c r="DBV11" s="18"/>
      <c r="DBW11" s="18"/>
      <c r="DBX11" s="18"/>
      <c r="DBY11" s="18"/>
      <c r="DBZ11" s="18"/>
      <c r="DCA11" s="18"/>
      <c r="DCB11" s="18"/>
      <c r="DCC11" s="18"/>
      <c r="DCD11" s="18"/>
      <c r="DCE11" s="18"/>
      <c r="DCF11" s="18"/>
      <c r="DCG11" s="18"/>
      <c r="DCH11" s="18"/>
      <c r="DCI11" s="18"/>
      <c r="DCJ11" s="18"/>
      <c r="DCK11" s="18"/>
      <c r="DCL11" s="18"/>
      <c r="DCM11" s="18"/>
      <c r="DCN11" s="18"/>
      <c r="DCO11" s="18"/>
      <c r="DCP11" s="18"/>
      <c r="DCQ11" s="18"/>
      <c r="DCR11" s="18"/>
      <c r="DCS11" s="18"/>
      <c r="DCT11" s="18"/>
      <c r="DCU11" s="18"/>
      <c r="DCV11" s="18"/>
      <c r="DCW11" s="18"/>
      <c r="DCX11" s="18"/>
      <c r="DCY11" s="18"/>
      <c r="DCZ11" s="18"/>
      <c r="DDA11" s="18"/>
      <c r="DDB11" s="18"/>
      <c r="DDC11" s="18"/>
      <c r="DDD11" s="18"/>
      <c r="DDE11" s="18"/>
      <c r="DDF11" s="18"/>
      <c r="DDG11" s="18"/>
      <c r="DDH11" s="18"/>
      <c r="DDI11" s="18"/>
      <c r="DDJ11" s="18"/>
      <c r="DDK11" s="18"/>
      <c r="DDL11" s="18"/>
      <c r="DDM11" s="18"/>
      <c r="DDN11" s="18"/>
      <c r="DDO11" s="18"/>
      <c r="DDP11" s="18"/>
      <c r="DDQ11" s="18"/>
      <c r="DDR11" s="18"/>
      <c r="DDS11" s="18"/>
      <c r="DDT11" s="18"/>
      <c r="DDU11" s="18"/>
      <c r="DDV11" s="18"/>
      <c r="DDW11" s="18"/>
      <c r="DDX11" s="18"/>
      <c r="DDY11" s="18"/>
      <c r="DDZ11" s="18"/>
      <c r="DEA11" s="18"/>
      <c r="DEB11" s="18"/>
      <c r="DEC11" s="18"/>
      <c r="DED11" s="18"/>
      <c r="DEE11" s="18"/>
      <c r="DEF11" s="18"/>
      <c r="DEG11" s="18"/>
      <c r="DEH11" s="18"/>
      <c r="DEI11" s="18"/>
      <c r="DEJ11" s="18"/>
      <c r="DEK11" s="18"/>
      <c r="DEL11" s="18"/>
      <c r="DEM11" s="18"/>
      <c r="DEN11" s="18"/>
      <c r="DEO11" s="18"/>
      <c r="DEP11" s="18"/>
      <c r="DEQ11" s="18"/>
      <c r="DER11" s="18"/>
      <c r="DES11" s="18"/>
      <c r="DET11" s="18"/>
      <c r="DEU11" s="18"/>
      <c r="DEV11" s="18"/>
      <c r="DEW11" s="18"/>
      <c r="DEX11" s="18"/>
      <c r="DEY11" s="18"/>
      <c r="DEZ11" s="18"/>
      <c r="DFA11" s="18"/>
      <c r="DFB11" s="18"/>
      <c r="DFC11" s="18"/>
      <c r="DFD11" s="18"/>
      <c r="DFE11" s="18"/>
      <c r="DFF11" s="18"/>
      <c r="DFG11" s="18"/>
      <c r="DFH11" s="18"/>
      <c r="DFI11" s="18"/>
      <c r="DFJ11" s="18"/>
      <c r="DFK11" s="18"/>
      <c r="DFL11" s="18"/>
      <c r="DFM11" s="18"/>
      <c r="DFN11" s="18"/>
      <c r="DFO11" s="18"/>
      <c r="DFP11" s="18"/>
      <c r="DFQ11" s="18"/>
      <c r="DFR11" s="18"/>
      <c r="DFS11" s="18"/>
      <c r="DFT11" s="18"/>
      <c r="DFU11" s="18"/>
      <c r="DFV11" s="18"/>
      <c r="DFW11" s="18"/>
      <c r="DFX11" s="18"/>
      <c r="DFY11" s="18"/>
      <c r="DFZ11" s="18"/>
      <c r="DGA11" s="18"/>
      <c r="DGB11" s="18"/>
      <c r="DGC11" s="18"/>
      <c r="DGD11" s="18"/>
      <c r="DGE11" s="18"/>
      <c r="DGF11" s="18"/>
      <c r="DGG11" s="18"/>
      <c r="DGH11" s="18"/>
      <c r="DGI11" s="18"/>
      <c r="DGJ11" s="18"/>
      <c r="DGK11" s="18"/>
      <c r="DGL11" s="18"/>
      <c r="DGM11" s="18"/>
      <c r="DGN11" s="18"/>
      <c r="DGO11" s="18"/>
      <c r="DGP11" s="18"/>
      <c r="DGQ11" s="18"/>
      <c r="DGR11" s="18"/>
      <c r="DGS11" s="18"/>
      <c r="DGT11" s="18"/>
      <c r="DGU11" s="18"/>
      <c r="DGV11" s="18"/>
      <c r="DGW11" s="18"/>
      <c r="DGX11" s="18"/>
      <c r="DGY11" s="18"/>
      <c r="DGZ11" s="18"/>
      <c r="DHA11" s="18"/>
      <c r="DHB11" s="18"/>
      <c r="DHC11" s="18"/>
      <c r="DHD11" s="18"/>
      <c r="DHE11" s="18"/>
      <c r="DHF11" s="18"/>
      <c r="DHG11" s="18"/>
      <c r="DHH11" s="18"/>
      <c r="DHI11" s="18"/>
      <c r="DHJ11" s="18"/>
      <c r="DHK11" s="18"/>
      <c r="DHL11" s="18"/>
      <c r="DHM11" s="18"/>
      <c r="DHN11" s="18"/>
      <c r="DHO11" s="18"/>
      <c r="DHP11" s="18"/>
      <c r="DHQ11" s="18"/>
      <c r="DHR11" s="18"/>
      <c r="DHS11" s="18"/>
      <c r="DHT11" s="18"/>
      <c r="DHU11" s="18"/>
      <c r="DHV11" s="18"/>
      <c r="DHW11" s="18"/>
      <c r="DHX11" s="18"/>
      <c r="DHY11" s="18"/>
      <c r="DHZ11" s="18"/>
      <c r="DIA11" s="18"/>
      <c r="DIB11" s="18"/>
      <c r="DIC11" s="18"/>
      <c r="DID11" s="18"/>
      <c r="DIE11" s="18"/>
      <c r="DIF11" s="18"/>
      <c r="DIG11" s="18"/>
      <c r="DIH11" s="18"/>
      <c r="DII11" s="18"/>
      <c r="DIJ11" s="18"/>
      <c r="DIK11" s="18"/>
      <c r="DIL11" s="18"/>
      <c r="DIM11" s="18"/>
      <c r="DIN11" s="18"/>
      <c r="DIO11" s="18"/>
      <c r="DIP11" s="18"/>
      <c r="DIQ11" s="18"/>
      <c r="DIR11" s="18"/>
      <c r="DIS11" s="18"/>
      <c r="DIT11" s="18"/>
      <c r="DIU11" s="18"/>
      <c r="DIV11" s="18"/>
      <c r="DIW11" s="18"/>
      <c r="DIX11" s="18"/>
      <c r="DIY11" s="18"/>
      <c r="DIZ11" s="18"/>
      <c r="DJA11" s="18"/>
      <c r="DJB11" s="18"/>
      <c r="DJC11" s="18"/>
      <c r="DJD11" s="18"/>
      <c r="DJE11" s="18"/>
      <c r="DJF11" s="18"/>
      <c r="DJG11" s="18"/>
      <c r="DJH11" s="18"/>
      <c r="DJI11" s="18"/>
      <c r="DJJ11" s="18"/>
      <c r="DJK11" s="18"/>
      <c r="DJL11" s="18"/>
      <c r="DJM11" s="18"/>
      <c r="DJN11" s="18"/>
      <c r="DJO11" s="18"/>
      <c r="DJP11" s="18"/>
      <c r="DJQ11" s="18"/>
      <c r="DJR11" s="18"/>
      <c r="DJS11" s="18"/>
      <c r="DJT11" s="18"/>
      <c r="DJU11" s="18"/>
      <c r="DJV11" s="18"/>
      <c r="DJW11" s="18"/>
      <c r="DJX11" s="18"/>
      <c r="DJY11" s="18"/>
      <c r="DJZ11" s="18"/>
      <c r="DKA11" s="18"/>
      <c r="DKB11" s="18"/>
      <c r="DKC11" s="18"/>
      <c r="DKD11" s="18"/>
      <c r="DKE11" s="18"/>
      <c r="DKF11" s="18"/>
      <c r="DKG11" s="18"/>
      <c r="DKH11" s="18"/>
      <c r="DKI11" s="18"/>
      <c r="DKJ11" s="18"/>
      <c r="DKK11" s="18"/>
      <c r="DKL11" s="18"/>
      <c r="DKM11" s="18"/>
      <c r="DKN11" s="18"/>
      <c r="DKO11" s="18"/>
      <c r="DKP11" s="18"/>
      <c r="DKQ11" s="18"/>
      <c r="DKR11" s="18"/>
      <c r="DKS11" s="18"/>
      <c r="DKT11" s="18"/>
      <c r="DKU11" s="18"/>
      <c r="DKV11" s="18"/>
      <c r="DKW11" s="18"/>
      <c r="DKX11" s="18"/>
      <c r="DKY11" s="18"/>
      <c r="DKZ11" s="18"/>
      <c r="DLA11" s="18"/>
      <c r="DLB11" s="18"/>
      <c r="DLC11" s="18"/>
      <c r="DLD11" s="18"/>
      <c r="DLE11" s="18"/>
      <c r="DLF11" s="18"/>
      <c r="DLG11" s="18"/>
      <c r="DLH11" s="18"/>
      <c r="DLI11" s="18"/>
      <c r="DLJ11" s="18"/>
      <c r="DLK11" s="18"/>
      <c r="DLL11" s="18"/>
      <c r="DLM11" s="18"/>
      <c r="DLN11" s="18"/>
      <c r="DLO11" s="18"/>
      <c r="DLP11" s="18"/>
      <c r="DLQ11" s="18"/>
      <c r="DLR11" s="18"/>
      <c r="DLS11" s="18"/>
      <c r="DLT11" s="18"/>
      <c r="DLU11" s="18"/>
      <c r="DLV11" s="18"/>
      <c r="DLW11" s="18"/>
      <c r="DLX11" s="18"/>
      <c r="DLY11" s="18"/>
      <c r="DLZ11" s="18"/>
      <c r="DMA11" s="18"/>
      <c r="DMB11" s="18"/>
      <c r="DMC11" s="18"/>
      <c r="DMD11" s="18"/>
      <c r="DME11" s="18"/>
      <c r="DMF11" s="18"/>
      <c r="DMG11" s="18"/>
      <c r="DMH11" s="18"/>
      <c r="DMI11" s="18"/>
      <c r="DMJ11" s="18"/>
      <c r="DMK11" s="18"/>
      <c r="DML11" s="18"/>
      <c r="DMM11" s="18"/>
      <c r="DMN11" s="18"/>
      <c r="DMO11" s="18"/>
      <c r="DMP11" s="18"/>
      <c r="DMQ11" s="18"/>
      <c r="DMR11" s="18"/>
      <c r="DMS11" s="18"/>
      <c r="DMT11" s="18"/>
      <c r="DMU11" s="18"/>
      <c r="DMV11" s="18"/>
      <c r="DMW11" s="18"/>
      <c r="DMX11" s="18"/>
      <c r="DMY11" s="18"/>
      <c r="DMZ11" s="18"/>
      <c r="DNA11" s="18"/>
      <c r="DNB11" s="18"/>
      <c r="DNC11" s="18"/>
      <c r="DND11" s="18"/>
      <c r="DNE11" s="18"/>
      <c r="DNF11" s="18"/>
      <c r="DNG11" s="18"/>
      <c r="DNH11" s="18"/>
      <c r="DNI11" s="18"/>
      <c r="DNJ11" s="18"/>
      <c r="DNK11" s="18"/>
      <c r="DNL11" s="18"/>
      <c r="DNM11" s="18"/>
      <c r="DNN11" s="18"/>
      <c r="DNO11" s="18"/>
      <c r="DNP11" s="18"/>
      <c r="DNQ11" s="18"/>
      <c r="DNR11" s="18"/>
      <c r="DNS11" s="18"/>
      <c r="DNT11" s="18"/>
      <c r="DNU11" s="18"/>
      <c r="DNV11" s="18"/>
      <c r="DNW11" s="18"/>
      <c r="DNX11" s="18"/>
      <c r="DNY11" s="18"/>
      <c r="DNZ11" s="18"/>
      <c r="DOA11" s="18"/>
      <c r="DOB11" s="18"/>
      <c r="DOC11" s="18"/>
      <c r="DOD11" s="18"/>
      <c r="DOE11" s="18"/>
      <c r="DOF11" s="18"/>
      <c r="DOG11" s="18"/>
      <c r="DOH11" s="18"/>
      <c r="DOI11" s="18"/>
      <c r="DOJ11" s="18"/>
      <c r="DOK11" s="18"/>
      <c r="DOL11" s="18"/>
      <c r="DOM11" s="18"/>
      <c r="DON11" s="18"/>
      <c r="DOO11" s="18"/>
      <c r="DOP11" s="18"/>
      <c r="DOQ11" s="18"/>
      <c r="DOR11" s="18"/>
      <c r="DOS11" s="18"/>
      <c r="DOT11" s="18"/>
      <c r="DOU11" s="18"/>
      <c r="DOV11" s="18"/>
      <c r="DOW11" s="18"/>
      <c r="DOX11" s="18"/>
      <c r="DOY11" s="18"/>
      <c r="DOZ11" s="18"/>
      <c r="DPA11" s="18"/>
      <c r="DPB11" s="18"/>
      <c r="DPC11" s="18"/>
      <c r="DPD11" s="18"/>
      <c r="DPE11" s="18"/>
      <c r="DPF11" s="18"/>
      <c r="DPG11" s="18"/>
      <c r="DPH11" s="18"/>
      <c r="DPI11" s="18"/>
      <c r="DPJ11" s="18"/>
      <c r="DPK11" s="18"/>
      <c r="DPL11" s="18"/>
      <c r="DPM11" s="18"/>
      <c r="DPN11" s="18"/>
      <c r="DPO11" s="18"/>
      <c r="DPP11" s="18"/>
      <c r="DPQ11" s="18"/>
      <c r="DPR11" s="18"/>
      <c r="DPS11" s="18"/>
      <c r="DPT11" s="18"/>
      <c r="DPU11" s="18"/>
      <c r="DPV11" s="18"/>
      <c r="DPW11" s="18"/>
      <c r="DPX11" s="18"/>
      <c r="DPY11" s="18"/>
      <c r="DPZ11" s="18"/>
      <c r="DQA11" s="18"/>
      <c r="DQB11" s="18"/>
      <c r="DQC11" s="18"/>
      <c r="DQD11" s="18"/>
      <c r="DQE11" s="18"/>
      <c r="DQF11" s="18"/>
      <c r="DQG11" s="18"/>
      <c r="DQH11" s="18"/>
      <c r="DQI11" s="18"/>
      <c r="DQJ11" s="18"/>
      <c r="DQK11" s="18"/>
      <c r="DQL11" s="18"/>
      <c r="DQM11" s="18"/>
      <c r="DQN11" s="18"/>
      <c r="DQO11" s="18"/>
      <c r="DQP11" s="18"/>
      <c r="DQQ11" s="18"/>
      <c r="DQR11" s="18"/>
      <c r="DQS11" s="18"/>
      <c r="DQT11" s="18"/>
      <c r="DQU11" s="18"/>
      <c r="DQV11" s="18"/>
      <c r="DQW11" s="18"/>
      <c r="DQX11" s="18"/>
      <c r="DQY11" s="18"/>
      <c r="DQZ11" s="18"/>
      <c r="DRA11" s="18"/>
      <c r="DRB11" s="18"/>
      <c r="DRC11" s="18"/>
      <c r="DRD11" s="18"/>
      <c r="DRE11" s="18"/>
      <c r="DRF11" s="18"/>
      <c r="DRG11" s="18"/>
      <c r="DRH11" s="18"/>
      <c r="DRI11" s="18"/>
      <c r="DRJ11" s="18"/>
      <c r="DRK11" s="18"/>
      <c r="DRL11" s="18"/>
      <c r="DRM11" s="18"/>
      <c r="DRN11" s="18"/>
      <c r="DRO11" s="18"/>
      <c r="DRP11" s="18"/>
      <c r="DRQ11" s="18"/>
      <c r="DRR11" s="18"/>
      <c r="DRS11" s="18"/>
      <c r="DRT11" s="18"/>
      <c r="DRU11" s="18"/>
      <c r="DRV11" s="18"/>
      <c r="DRW11" s="18"/>
      <c r="DRX11" s="18"/>
      <c r="DRY11" s="18"/>
      <c r="DRZ11" s="18"/>
      <c r="DSA11" s="18"/>
      <c r="DSB11" s="18"/>
      <c r="DSC11" s="18"/>
      <c r="DSD11" s="18"/>
      <c r="DSE11" s="18"/>
      <c r="DSF11" s="18"/>
      <c r="DSG11" s="18"/>
      <c r="DSH11" s="18"/>
      <c r="DSI11" s="18"/>
      <c r="DSJ11" s="18"/>
      <c r="DSK11" s="18"/>
      <c r="DSL11" s="18"/>
      <c r="DSM11" s="18"/>
      <c r="DSN11" s="18"/>
      <c r="DSO11" s="18"/>
      <c r="DSP11" s="18"/>
      <c r="DSQ11" s="18"/>
      <c r="DSR11" s="18"/>
      <c r="DSS11" s="18"/>
      <c r="DST11" s="18"/>
      <c r="DSU11" s="18"/>
      <c r="DSV11" s="18"/>
      <c r="DSW11" s="18"/>
      <c r="DSX11" s="18"/>
      <c r="DSY11" s="18"/>
      <c r="DSZ11" s="18"/>
      <c r="DTA11" s="18"/>
      <c r="DTB11" s="18"/>
      <c r="DTC11" s="18"/>
      <c r="DTD11" s="18"/>
      <c r="DTE11" s="18"/>
      <c r="DTF11" s="18"/>
      <c r="DTG11" s="18"/>
      <c r="DTH11" s="18"/>
      <c r="DTI11" s="18"/>
      <c r="DTJ11" s="18"/>
      <c r="DTK11" s="18"/>
      <c r="DTL11" s="18"/>
      <c r="DTM11" s="18"/>
      <c r="DTN11" s="18"/>
      <c r="DTO11" s="18"/>
      <c r="DTP11" s="18"/>
      <c r="DTQ11" s="18"/>
      <c r="DTR11" s="18"/>
      <c r="DTS11" s="18"/>
      <c r="DTT11" s="18"/>
      <c r="DTU11" s="18"/>
      <c r="DTV11" s="18"/>
      <c r="DTW11" s="18"/>
      <c r="DTX11" s="18"/>
      <c r="DTY11" s="18"/>
      <c r="DTZ11" s="18"/>
      <c r="DUA11" s="18"/>
      <c r="DUB11" s="18"/>
      <c r="DUC11" s="18"/>
      <c r="DUD11" s="18"/>
      <c r="DUE11" s="18"/>
      <c r="DUF11" s="18"/>
      <c r="DUG11" s="18"/>
      <c r="DUH11" s="18"/>
      <c r="DUI11" s="18"/>
      <c r="DUJ11" s="18"/>
      <c r="DUK11" s="18"/>
      <c r="DUL11" s="18"/>
      <c r="DUM11" s="18"/>
      <c r="DUN11" s="18"/>
      <c r="DUO11" s="18"/>
      <c r="DUP11" s="18"/>
      <c r="DUQ11" s="18"/>
      <c r="DUR11" s="18"/>
      <c r="DUS11" s="18"/>
      <c r="DUT11" s="18"/>
      <c r="DUU11" s="18"/>
      <c r="DUV11" s="18"/>
      <c r="DUW11" s="18"/>
      <c r="DUX11" s="18"/>
      <c r="DUY11" s="18"/>
      <c r="DUZ11" s="18"/>
      <c r="DVA11" s="18"/>
      <c r="DVB11" s="18"/>
      <c r="DVC11" s="18"/>
      <c r="DVD11" s="18"/>
      <c r="DVE11" s="18"/>
      <c r="DVF11" s="18"/>
      <c r="DVG11" s="18"/>
      <c r="DVH11" s="18"/>
      <c r="DVI11" s="18"/>
      <c r="DVJ11" s="18"/>
      <c r="DVK11" s="18"/>
      <c r="DVL11" s="18"/>
      <c r="DVM11" s="18"/>
      <c r="DVN11" s="18"/>
      <c r="DVO11" s="18"/>
      <c r="DVP11" s="18"/>
      <c r="DVQ11" s="18"/>
      <c r="DVR11" s="18"/>
      <c r="DVS11" s="18"/>
      <c r="DVT11" s="18"/>
      <c r="DVU11" s="18"/>
      <c r="DVV11" s="18"/>
      <c r="DVW11" s="18"/>
      <c r="DVX11" s="18"/>
      <c r="DVY11" s="18"/>
      <c r="DVZ11" s="18"/>
      <c r="DWA11" s="18"/>
      <c r="DWB11" s="18"/>
      <c r="DWC11" s="18"/>
      <c r="DWD11" s="18"/>
      <c r="DWE11" s="18"/>
      <c r="DWF11" s="18"/>
      <c r="DWG11" s="18"/>
      <c r="DWH11" s="18"/>
      <c r="DWI11" s="18"/>
      <c r="DWJ11" s="18"/>
      <c r="DWK11" s="18"/>
      <c r="DWL11" s="18"/>
      <c r="DWM11" s="18"/>
      <c r="DWN11" s="18"/>
      <c r="DWO11" s="18"/>
      <c r="DWP11" s="18"/>
      <c r="DWQ11" s="18"/>
      <c r="DWR11" s="18"/>
      <c r="DWS11" s="18"/>
      <c r="DWT11" s="18"/>
      <c r="DWU11" s="18"/>
      <c r="DWV11" s="18"/>
      <c r="DWW11" s="18"/>
      <c r="DWX11" s="18"/>
      <c r="DWY11" s="18"/>
      <c r="DWZ11" s="18"/>
      <c r="DXA11" s="18"/>
      <c r="DXB11" s="18"/>
      <c r="DXC11" s="18"/>
      <c r="DXD11" s="18"/>
      <c r="DXE11" s="18"/>
      <c r="DXF11" s="18"/>
      <c r="DXG11" s="18"/>
      <c r="DXH11" s="18"/>
      <c r="DXI11" s="18"/>
      <c r="DXJ11" s="18"/>
      <c r="DXK11" s="18"/>
      <c r="DXL11" s="18"/>
      <c r="DXM11" s="18"/>
      <c r="DXN11" s="18"/>
      <c r="DXO11" s="18"/>
      <c r="DXP11" s="18"/>
      <c r="DXQ11" s="18"/>
      <c r="DXR11" s="18"/>
      <c r="DXS11" s="18"/>
      <c r="DXT11" s="18"/>
      <c r="DXU11" s="18"/>
      <c r="DXV11" s="18"/>
      <c r="DXW11" s="18"/>
      <c r="DXX11" s="18"/>
      <c r="DXY11" s="18"/>
      <c r="DXZ11" s="18"/>
      <c r="DYA11" s="18"/>
      <c r="DYB11" s="18"/>
      <c r="DYC11" s="18"/>
      <c r="DYD11" s="18"/>
      <c r="DYE11" s="18"/>
      <c r="DYF11" s="18"/>
      <c r="DYG11" s="18"/>
      <c r="DYH11" s="18"/>
      <c r="DYI11" s="18"/>
      <c r="DYJ11" s="18"/>
      <c r="DYK11" s="18"/>
      <c r="DYL11" s="18"/>
      <c r="DYM11" s="18"/>
      <c r="DYN11" s="18"/>
      <c r="DYO11" s="18"/>
      <c r="DYP11" s="18"/>
      <c r="DYQ11" s="18"/>
      <c r="DYR11" s="18"/>
      <c r="DYS11" s="18"/>
      <c r="DYT11" s="18"/>
      <c r="DYU11" s="18"/>
      <c r="DYV11" s="18"/>
      <c r="DYW11" s="18"/>
      <c r="DYX11" s="18"/>
      <c r="DYY11" s="18"/>
      <c r="DYZ11" s="18"/>
      <c r="DZA11" s="18"/>
      <c r="DZB11" s="18"/>
      <c r="DZC11" s="18"/>
      <c r="DZD11" s="18"/>
      <c r="DZE11" s="18"/>
      <c r="DZF11" s="18"/>
      <c r="DZG11" s="18"/>
      <c r="DZH11" s="18"/>
      <c r="DZI11" s="18"/>
      <c r="DZJ11" s="18"/>
      <c r="DZK11" s="18"/>
      <c r="DZL11" s="18"/>
      <c r="DZM11" s="18"/>
      <c r="DZN11" s="18"/>
      <c r="DZO11" s="18"/>
      <c r="DZP11" s="18"/>
      <c r="DZQ11" s="18"/>
      <c r="DZR11" s="18"/>
      <c r="DZS11" s="18"/>
      <c r="DZT11" s="18"/>
      <c r="DZU11" s="18"/>
      <c r="DZV11" s="18"/>
      <c r="DZW11" s="18"/>
      <c r="DZX11" s="18"/>
      <c r="DZY11" s="18"/>
      <c r="DZZ11" s="18"/>
      <c r="EAA11" s="18"/>
      <c r="EAB11" s="18"/>
      <c r="EAC11" s="18"/>
      <c r="EAD11" s="18"/>
      <c r="EAE11" s="18"/>
      <c r="EAF11" s="18"/>
      <c r="EAG11" s="18"/>
      <c r="EAH11" s="18"/>
      <c r="EAI11" s="18"/>
      <c r="EAJ11" s="18"/>
      <c r="EAK11" s="18"/>
      <c r="EAL11" s="18"/>
      <c r="EAM11" s="18"/>
      <c r="EAN11" s="18"/>
      <c r="EAO11" s="18"/>
      <c r="EAP11" s="18"/>
      <c r="EAQ11" s="18"/>
      <c r="EAR11" s="18"/>
      <c r="EAS11" s="18"/>
      <c r="EAT11" s="18"/>
      <c r="EAU11" s="18"/>
      <c r="EAV11" s="18"/>
      <c r="EAW11" s="18"/>
      <c r="EAX11" s="18"/>
      <c r="EAY11" s="18"/>
      <c r="EAZ11" s="18"/>
      <c r="EBA11" s="18"/>
      <c r="EBB11" s="18"/>
      <c r="EBC11" s="18"/>
      <c r="EBD11" s="18"/>
      <c r="EBE11" s="18"/>
      <c r="EBF11" s="18"/>
      <c r="EBG11" s="18"/>
      <c r="EBH11" s="18"/>
      <c r="EBI11" s="18"/>
      <c r="EBJ11" s="18"/>
      <c r="EBK11" s="18"/>
      <c r="EBL11" s="18"/>
      <c r="EBM11" s="18"/>
      <c r="EBN11" s="18"/>
      <c r="EBO11" s="18"/>
      <c r="EBP11" s="18"/>
      <c r="EBQ11" s="18"/>
      <c r="EBR11" s="18"/>
      <c r="EBS11" s="18"/>
      <c r="EBT11" s="18"/>
      <c r="EBU11" s="18"/>
      <c r="EBV11" s="18"/>
      <c r="EBW11" s="18"/>
      <c r="EBX11" s="18"/>
      <c r="EBY11" s="18"/>
      <c r="EBZ11" s="18"/>
      <c r="ECA11" s="18"/>
      <c r="ECB11" s="18"/>
      <c r="ECC11" s="18"/>
      <c r="ECD11" s="18"/>
      <c r="ECE11" s="18"/>
      <c r="ECF11" s="18"/>
      <c r="ECG11" s="18"/>
      <c r="ECH11" s="18"/>
      <c r="ECI11" s="18"/>
      <c r="ECJ11" s="18"/>
      <c r="ECK11" s="18"/>
      <c r="ECL11" s="18"/>
      <c r="ECM11" s="18"/>
      <c r="ECN11" s="18"/>
      <c r="ECO11" s="18"/>
      <c r="ECP11" s="18"/>
      <c r="ECQ11" s="18"/>
      <c r="ECR11" s="18"/>
      <c r="ECS11" s="18"/>
      <c r="ECT11" s="18"/>
      <c r="ECU11" s="18"/>
      <c r="ECV11" s="18"/>
      <c r="ECW11" s="18"/>
      <c r="ECX11" s="18"/>
      <c r="ECY11" s="18"/>
      <c r="ECZ11" s="18"/>
      <c r="EDA11" s="18"/>
      <c r="EDB11" s="18"/>
      <c r="EDC11" s="18"/>
      <c r="EDD11" s="18"/>
      <c r="EDE11" s="18"/>
      <c r="EDF11" s="18"/>
      <c r="EDG11" s="18"/>
      <c r="EDH11" s="18"/>
      <c r="EDI11" s="18"/>
      <c r="EDJ11" s="18"/>
      <c r="EDK11" s="18"/>
      <c r="EDL11" s="18"/>
      <c r="EDM11" s="18"/>
      <c r="EDN11" s="18"/>
      <c r="EDO11" s="18"/>
      <c r="EDP11" s="18"/>
      <c r="EDQ11" s="18"/>
      <c r="EDR11" s="18"/>
      <c r="EDS11" s="18"/>
      <c r="EDT11" s="18"/>
      <c r="EDU11" s="18"/>
      <c r="EDV11" s="18"/>
      <c r="EDW11" s="18"/>
      <c r="EDX11" s="18"/>
      <c r="EDY11" s="18"/>
      <c r="EDZ11" s="18"/>
      <c r="EEA11" s="18"/>
      <c r="EEB11" s="18"/>
      <c r="EEC11" s="18"/>
      <c r="EED11" s="18"/>
      <c r="EEE11" s="18"/>
      <c r="EEF11" s="18"/>
      <c r="EEG11" s="18"/>
      <c r="EEH11" s="18"/>
      <c r="EEI11" s="18"/>
      <c r="EEJ11" s="18"/>
      <c r="EEK11" s="18"/>
      <c r="EEL11" s="18"/>
      <c r="EEM11" s="18"/>
      <c r="EEN11" s="18"/>
      <c r="EEO11" s="18"/>
      <c r="EEP11" s="18"/>
      <c r="EEQ11" s="18"/>
      <c r="EER11" s="18"/>
      <c r="EES11" s="18"/>
      <c r="EET11" s="18"/>
      <c r="EEU11" s="18"/>
      <c r="EEV11" s="18"/>
      <c r="EEW11" s="18"/>
      <c r="EEX11" s="18"/>
      <c r="EEY11" s="18"/>
      <c r="EEZ11" s="18"/>
      <c r="EFA11" s="18"/>
      <c r="EFB11" s="18"/>
      <c r="EFC11" s="18"/>
      <c r="EFD11" s="18"/>
      <c r="EFE11" s="18"/>
      <c r="EFF11" s="18"/>
      <c r="EFG11" s="18"/>
      <c r="EFH11" s="18"/>
      <c r="EFI11" s="18"/>
      <c r="EFJ11" s="18"/>
      <c r="EFK11" s="18"/>
      <c r="EFL11" s="18"/>
      <c r="EFM11" s="18"/>
      <c r="EFN11" s="18"/>
      <c r="EFO11" s="18"/>
      <c r="EFP11" s="18"/>
      <c r="EFQ11" s="18"/>
      <c r="EFR11" s="18"/>
      <c r="EFS11" s="18"/>
      <c r="EFT11" s="18"/>
      <c r="EFU11" s="18"/>
      <c r="EFV11" s="18"/>
      <c r="EFW11" s="18"/>
      <c r="EFX11" s="18"/>
      <c r="EFY11" s="18"/>
      <c r="EFZ11" s="18"/>
      <c r="EGA11" s="18"/>
      <c r="EGB11" s="18"/>
      <c r="EGC11" s="18"/>
      <c r="EGD11" s="18"/>
      <c r="EGE11" s="18"/>
      <c r="EGF11" s="18"/>
      <c r="EGG11" s="18"/>
      <c r="EGH11" s="18"/>
      <c r="EGI11" s="18"/>
      <c r="EGJ11" s="18"/>
      <c r="EGK11" s="18"/>
      <c r="EGL11" s="18"/>
      <c r="EGM11" s="18"/>
      <c r="EGN11" s="18"/>
      <c r="EGO11" s="18"/>
      <c r="EGP11" s="18"/>
      <c r="EGQ11" s="18"/>
      <c r="EGR11" s="18"/>
      <c r="EGS11" s="18"/>
      <c r="EGT11" s="18"/>
      <c r="EGU11" s="18"/>
      <c r="EGV11" s="18"/>
      <c r="EGW11" s="18"/>
      <c r="EGX11" s="18"/>
      <c r="EGY11" s="18"/>
      <c r="EGZ11" s="18"/>
      <c r="EHA11" s="18"/>
      <c r="EHB11" s="18"/>
      <c r="EHC11" s="18"/>
      <c r="EHD11" s="18"/>
      <c r="EHE11" s="18"/>
      <c r="EHF11" s="18"/>
      <c r="EHG11" s="18"/>
      <c r="EHH11" s="18"/>
      <c r="EHI11" s="18"/>
      <c r="EHJ11" s="18"/>
      <c r="EHK11" s="18"/>
      <c r="EHL11" s="18"/>
      <c r="EHM11" s="18"/>
      <c r="EHN11" s="18"/>
      <c r="EHO11" s="18"/>
      <c r="EHP11" s="18"/>
      <c r="EHQ11" s="18"/>
      <c r="EHR11" s="18"/>
      <c r="EHS11" s="18"/>
      <c r="EHT11" s="18"/>
      <c r="EHU11" s="18"/>
      <c r="EHV11" s="18"/>
      <c r="EHW11" s="18"/>
      <c r="EHX11" s="18"/>
      <c r="EHY11" s="18"/>
      <c r="EHZ11" s="18"/>
      <c r="EIA11" s="18"/>
      <c r="EIB11" s="18"/>
      <c r="EIC11" s="18"/>
      <c r="EID11" s="18"/>
      <c r="EIE11" s="18"/>
      <c r="EIF11" s="18"/>
      <c r="EIG11" s="18"/>
      <c r="EIH11" s="18"/>
      <c r="EII11" s="18"/>
      <c r="EIJ11" s="18"/>
      <c r="EIK11" s="18"/>
      <c r="EIL11" s="18"/>
      <c r="EIM11" s="18"/>
      <c r="EIN11" s="18"/>
      <c r="EIO11" s="18"/>
      <c r="EIP11" s="18"/>
      <c r="EIQ11" s="18"/>
      <c r="EIR11" s="18"/>
      <c r="EIS11" s="18"/>
      <c r="EIT11" s="18"/>
      <c r="EIU11" s="18"/>
      <c r="EIV11" s="18"/>
      <c r="EIW11" s="18"/>
      <c r="EIX11" s="18"/>
      <c r="EIY11" s="18"/>
      <c r="EIZ11" s="18"/>
      <c r="EJA11" s="18"/>
      <c r="EJB11" s="18"/>
      <c r="EJC11" s="18"/>
      <c r="EJD11" s="18"/>
      <c r="EJE11" s="18"/>
      <c r="EJF11" s="18"/>
      <c r="EJG11" s="18"/>
      <c r="EJH11" s="18"/>
      <c r="EJI11" s="18"/>
      <c r="EJJ11" s="18"/>
      <c r="EJK11" s="18"/>
      <c r="EJL11" s="18"/>
      <c r="EJM11" s="18"/>
      <c r="EJN11" s="18"/>
      <c r="EJO11" s="18"/>
      <c r="EJP11" s="18"/>
      <c r="EJQ11" s="18"/>
      <c r="EJR11" s="18"/>
      <c r="EJS11" s="18"/>
      <c r="EJT11" s="18"/>
      <c r="EJU11" s="18"/>
      <c r="EJV11" s="18"/>
      <c r="EJW11" s="18"/>
      <c r="EJX11" s="18"/>
      <c r="EJY11" s="18"/>
      <c r="EJZ11" s="18"/>
      <c r="EKA11" s="18"/>
      <c r="EKB11" s="18"/>
      <c r="EKC11" s="18"/>
      <c r="EKD11" s="18"/>
      <c r="EKE11" s="18"/>
      <c r="EKF11" s="18"/>
      <c r="EKG11" s="18"/>
      <c r="EKH11" s="18"/>
      <c r="EKI11" s="18"/>
      <c r="EKJ11" s="18"/>
      <c r="EKK11" s="18"/>
      <c r="EKL11" s="18"/>
      <c r="EKM11" s="18"/>
      <c r="EKN11" s="18"/>
      <c r="EKO11" s="18"/>
      <c r="EKP11" s="18"/>
      <c r="EKQ11" s="18"/>
      <c r="EKR11" s="18"/>
      <c r="EKS11" s="18"/>
      <c r="EKT11" s="18"/>
      <c r="EKU11" s="18"/>
      <c r="EKV11" s="18"/>
      <c r="EKW11" s="18"/>
      <c r="EKX11" s="18"/>
      <c r="EKY11" s="18"/>
      <c r="EKZ11" s="18"/>
      <c r="ELA11" s="18"/>
      <c r="ELB11" s="18"/>
      <c r="ELC11" s="18"/>
      <c r="ELD11" s="18"/>
      <c r="ELE11" s="18"/>
      <c r="ELF11" s="18"/>
      <c r="ELG11" s="18"/>
      <c r="ELH11" s="18"/>
      <c r="ELI11" s="18"/>
      <c r="ELJ11" s="18"/>
      <c r="ELK11" s="18"/>
      <c r="ELL11" s="18"/>
      <c r="ELM11" s="18"/>
      <c r="ELN11" s="18"/>
      <c r="ELO11" s="18"/>
      <c r="ELP11" s="18"/>
      <c r="ELQ11" s="18"/>
      <c r="ELR11" s="18"/>
      <c r="ELS11" s="18"/>
      <c r="ELT11" s="18"/>
      <c r="ELU11" s="18"/>
      <c r="ELV11" s="18"/>
      <c r="ELW11" s="18"/>
      <c r="ELX11" s="18"/>
      <c r="ELY11" s="18"/>
      <c r="ELZ11" s="18"/>
      <c r="EMA11" s="18"/>
      <c r="EMB11" s="18"/>
      <c r="EMC11" s="18"/>
      <c r="EMD11" s="18"/>
      <c r="EME11" s="18"/>
      <c r="EMF11" s="18"/>
      <c r="EMG11" s="18"/>
      <c r="EMH11" s="18"/>
      <c r="EMI11" s="18"/>
      <c r="EMJ11" s="18"/>
      <c r="EMK11" s="18"/>
      <c r="EML11" s="18"/>
      <c r="EMM11" s="18"/>
      <c r="EMN11" s="18"/>
      <c r="EMO11" s="18"/>
      <c r="EMP11" s="18"/>
      <c r="EMQ11" s="18"/>
      <c r="EMR11" s="18"/>
      <c r="EMS11" s="18"/>
      <c r="EMT11" s="18"/>
      <c r="EMU11" s="18"/>
      <c r="EMV11" s="18"/>
      <c r="EMW11" s="18"/>
      <c r="EMX11" s="18"/>
      <c r="EMY11" s="18"/>
      <c r="EMZ11" s="18"/>
      <c r="ENA11" s="18"/>
      <c r="ENB11" s="18"/>
      <c r="ENC11" s="18"/>
      <c r="END11" s="18"/>
      <c r="ENE11" s="18"/>
      <c r="ENF11" s="18"/>
      <c r="ENG11" s="18"/>
      <c r="ENH11" s="18"/>
      <c r="ENI11" s="18"/>
      <c r="ENJ11" s="18"/>
      <c r="ENK11" s="18"/>
      <c r="ENL11" s="18"/>
      <c r="ENM11" s="18"/>
      <c r="ENN11" s="18"/>
      <c r="ENO11" s="18"/>
      <c r="ENP11" s="18"/>
      <c r="ENQ11" s="18"/>
      <c r="ENR11" s="18"/>
      <c r="ENS11" s="18"/>
      <c r="ENT11" s="18"/>
      <c r="ENU11" s="18"/>
      <c r="ENV11" s="18"/>
      <c r="ENW11" s="18"/>
      <c r="ENX11" s="18"/>
      <c r="ENY11" s="18"/>
      <c r="ENZ11" s="18"/>
      <c r="EOA11" s="18"/>
      <c r="EOB11" s="18"/>
      <c r="EOC11" s="18"/>
      <c r="EOD11" s="18"/>
      <c r="EOE11" s="18"/>
      <c r="EOF11" s="18"/>
      <c r="EOG11" s="18"/>
      <c r="EOH11" s="18"/>
      <c r="EOI11" s="18"/>
      <c r="EOJ11" s="18"/>
      <c r="EOK11" s="18"/>
      <c r="EOL11" s="18"/>
      <c r="EOM11" s="18"/>
      <c r="EON11" s="18"/>
      <c r="EOO11" s="18"/>
      <c r="EOP11" s="18"/>
      <c r="EOQ11" s="18"/>
      <c r="EOR11" s="18"/>
      <c r="EOS11" s="18"/>
      <c r="EOT11" s="18"/>
      <c r="EOU11" s="18"/>
      <c r="EOV11" s="18"/>
      <c r="EOW11" s="18"/>
      <c r="EOX11" s="18"/>
      <c r="EOY11" s="18"/>
      <c r="EOZ11" s="18"/>
      <c r="EPA11" s="18"/>
      <c r="EPB11" s="18"/>
      <c r="EPC11" s="18"/>
      <c r="EPD11" s="18"/>
      <c r="EPE11" s="18"/>
      <c r="EPF11" s="18"/>
      <c r="EPG11" s="18"/>
      <c r="EPH11" s="18"/>
      <c r="EPI11" s="18"/>
      <c r="EPJ11" s="18"/>
      <c r="EPK11" s="18"/>
      <c r="EPL11" s="18"/>
      <c r="EPM11" s="18"/>
      <c r="EPN11" s="18"/>
      <c r="EPO11" s="18"/>
      <c r="EPP11" s="18"/>
      <c r="EPQ11" s="18"/>
      <c r="EPR11" s="18"/>
      <c r="EPS11" s="18"/>
      <c r="EPT11" s="18"/>
      <c r="EPU11" s="18"/>
      <c r="EPV11" s="18"/>
      <c r="EPW11" s="18"/>
      <c r="EPX11" s="18"/>
      <c r="EPY11" s="18"/>
      <c r="EPZ11" s="18"/>
      <c r="EQA11" s="18"/>
      <c r="EQB11" s="18"/>
      <c r="EQC11" s="18"/>
      <c r="EQD11" s="18"/>
      <c r="EQE11" s="18"/>
      <c r="EQF11" s="18"/>
      <c r="EQG11" s="18"/>
      <c r="EQH11" s="18"/>
      <c r="EQI11" s="18"/>
      <c r="EQJ11" s="18"/>
      <c r="EQK11" s="18"/>
      <c r="EQL11" s="18"/>
      <c r="EQM11" s="18"/>
      <c r="EQN11" s="18"/>
      <c r="EQO11" s="18"/>
      <c r="EQP11" s="18"/>
      <c r="EQQ11" s="18"/>
      <c r="EQR11" s="18"/>
      <c r="EQS11" s="18"/>
      <c r="EQT11" s="18"/>
      <c r="EQU11" s="18"/>
      <c r="EQV11" s="18"/>
      <c r="EQW11" s="18"/>
      <c r="EQX11" s="18"/>
      <c r="EQY11" s="18"/>
      <c r="EQZ11" s="18"/>
      <c r="ERA11" s="18"/>
      <c r="ERB11" s="18"/>
      <c r="ERC11" s="18"/>
      <c r="ERD11" s="18"/>
      <c r="ERE11" s="18"/>
      <c r="ERF11" s="18"/>
      <c r="ERG11" s="18"/>
      <c r="ERH11" s="18"/>
      <c r="ERI11" s="18"/>
      <c r="ERJ11" s="18"/>
      <c r="ERK11" s="18"/>
      <c r="ERL11" s="18"/>
      <c r="ERM11" s="18"/>
      <c r="ERN11" s="18"/>
      <c r="ERO11" s="18"/>
      <c r="ERP11" s="18"/>
      <c r="ERQ11" s="18"/>
      <c r="ERR11" s="18"/>
      <c r="ERS11" s="18"/>
      <c r="ERT11" s="18"/>
      <c r="ERU11" s="18"/>
      <c r="ERV11" s="18"/>
      <c r="ERW11" s="18"/>
      <c r="ERX11" s="18"/>
      <c r="ERY11" s="18"/>
      <c r="ERZ11" s="18"/>
      <c r="ESA11" s="18"/>
      <c r="ESB11" s="18"/>
      <c r="ESC11" s="18"/>
      <c r="ESD11" s="18"/>
      <c r="ESE11" s="18"/>
      <c r="ESF11" s="18"/>
      <c r="ESG11" s="18"/>
      <c r="ESH11" s="18"/>
      <c r="ESI11" s="18"/>
      <c r="ESJ11" s="18"/>
      <c r="ESK11" s="18"/>
      <c r="ESL11" s="18"/>
      <c r="ESM11" s="18"/>
      <c r="ESN11" s="18"/>
      <c r="ESO11" s="18"/>
      <c r="ESP11" s="18"/>
      <c r="ESQ11" s="18"/>
      <c r="ESR11" s="18"/>
      <c r="ESS11" s="18"/>
      <c r="EST11" s="18"/>
      <c r="ESU11" s="18"/>
      <c r="ESV11" s="18"/>
      <c r="ESW11" s="18"/>
      <c r="ESX11" s="18"/>
      <c r="ESY11" s="18"/>
      <c r="ESZ11" s="18"/>
      <c r="ETA11" s="18"/>
      <c r="ETB11" s="18"/>
      <c r="ETC11" s="18"/>
      <c r="ETD11" s="18"/>
      <c r="ETE11" s="18"/>
      <c r="ETF11" s="18"/>
      <c r="ETG11" s="18"/>
      <c r="ETH11" s="18"/>
      <c r="ETI11" s="18"/>
      <c r="ETJ11" s="18"/>
      <c r="ETK11" s="18"/>
      <c r="ETL11" s="18"/>
      <c r="ETM11" s="18"/>
      <c r="ETN11" s="18"/>
      <c r="ETO11" s="18"/>
      <c r="ETP11" s="18"/>
      <c r="ETQ11" s="18"/>
      <c r="ETR11" s="18"/>
      <c r="ETS11" s="18"/>
      <c r="ETT11" s="18"/>
      <c r="ETU11" s="18"/>
      <c r="ETV11" s="18"/>
      <c r="ETW11" s="18"/>
      <c r="ETX11" s="18"/>
      <c r="ETY11" s="18"/>
      <c r="ETZ11" s="18"/>
      <c r="EUA11" s="18"/>
      <c r="EUB11" s="18"/>
      <c r="EUC11" s="18"/>
      <c r="EUD11" s="18"/>
      <c r="EUE11" s="18"/>
      <c r="EUF11" s="18"/>
      <c r="EUG11" s="18"/>
      <c r="EUH11" s="18"/>
      <c r="EUI11" s="18"/>
      <c r="EUJ11" s="18"/>
      <c r="EUK11" s="18"/>
      <c r="EUL11" s="18"/>
      <c r="EUM11" s="18"/>
      <c r="EUN11" s="18"/>
      <c r="EUO11" s="18"/>
      <c r="EUP11" s="18"/>
      <c r="EUQ11" s="18"/>
      <c r="EUR11" s="18"/>
      <c r="EUS11" s="18"/>
      <c r="EUT11" s="18"/>
      <c r="EUU11" s="18"/>
      <c r="EUV11" s="18"/>
      <c r="EUW11" s="18"/>
      <c r="EUX11" s="18"/>
      <c r="EUY11" s="18"/>
      <c r="EUZ11" s="18"/>
      <c r="EVA11" s="18"/>
      <c r="EVB11" s="18"/>
      <c r="EVC11" s="18"/>
      <c r="EVD11" s="18"/>
      <c r="EVE11" s="18"/>
      <c r="EVF11" s="18"/>
      <c r="EVG11" s="18"/>
      <c r="EVH11" s="18"/>
      <c r="EVI11" s="18"/>
      <c r="EVJ11" s="18"/>
      <c r="EVK11" s="18"/>
      <c r="EVL11" s="18"/>
      <c r="EVM11" s="18"/>
      <c r="EVN11" s="18"/>
      <c r="EVO11" s="18"/>
      <c r="EVP11" s="18"/>
      <c r="EVQ11" s="18"/>
      <c r="EVR11" s="18"/>
      <c r="EVS11" s="18"/>
      <c r="EVT11" s="18"/>
      <c r="EVU11" s="18"/>
      <c r="EVV11" s="18"/>
      <c r="EVW11" s="18"/>
      <c r="EVX11" s="18"/>
      <c r="EVY11" s="18"/>
      <c r="EVZ11" s="18"/>
      <c r="EWA11" s="18"/>
      <c r="EWB11" s="18"/>
      <c r="EWC11" s="18"/>
      <c r="EWD11" s="18"/>
      <c r="EWE11" s="18"/>
      <c r="EWF11" s="18"/>
      <c r="EWG11" s="18"/>
      <c r="EWH11" s="18"/>
      <c r="EWI11" s="18"/>
      <c r="EWJ11" s="18"/>
      <c r="EWK11" s="18"/>
      <c r="EWL11" s="18"/>
      <c r="EWM11" s="18"/>
      <c r="EWN11" s="18"/>
      <c r="EWO11" s="18"/>
      <c r="EWP11" s="18"/>
      <c r="EWQ11" s="18"/>
      <c r="EWR11" s="18"/>
      <c r="EWS11" s="18"/>
      <c r="EWT11" s="18"/>
      <c r="EWU11" s="18"/>
      <c r="EWV11" s="18"/>
      <c r="EWW11" s="18"/>
      <c r="EWX11" s="18"/>
      <c r="EWY11" s="18"/>
      <c r="EWZ11" s="18"/>
      <c r="EXA11" s="18"/>
      <c r="EXB11" s="18"/>
      <c r="EXC11" s="18"/>
      <c r="EXD11" s="18"/>
      <c r="EXE11" s="18"/>
      <c r="EXF11" s="18"/>
      <c r="EXG11" s="18"/>
      <c r="EXH11" s="18"/>
      <c r="EXI11" s="18"/>
      <c r="EXJ11" s="18"/>
      <c r="EXK11" s="18"/>
      <c r="EXL11" s="18"/>
      <c r="EXM11" s="18"/>
      <c r="EXN11" s="18"/>
      <c r="EXO11" s="18"/>
      <c r="EXP11" s="18"/>
      <c r="EXQ11" s="18"/>
      <c r="EXR11" s="18"/>
      <c r="EXS11" s="18"/>
      <c r="EXT11" s="18"/>
      <c r="EXU11" s="18"/>
      <c r="EXV11" s="18"/>
      <c r="EXW11" s="18"/>
      <c r="EXX11" s="18"/>
      <c r="EXY11" s="18"/>
      <c r="EXZ11" s="18"/>
      <c r="EYA11" s="18"/>
      <c r="EYB11" s="18"/>
      <c r="EYC11" s="18"/>
      <c r="EYD11" s="18"/>
      <c r="EYE11" s="18"/>
      <c r="EYF11" s="18"/>
      <c r="EYG11" s="18"/>
      <c r="EYH11" s="18"/>
      <c r="EYI11" s="18"/>
      <c r="EYJ11" s="18"/>
      <c r="EYK11" s="18"/>
      <c r="EYL11" s="18"/>
      <c r="EYM11" s="18"/>
      <c r="EYN11" s="18"/>
      <c r="EYO11" s="18"/>
      <c r="EYP11" s="18"/>
      <c r="EYQ11" s="18"/>
      <c r="EYR11" s="18"/>
      <c r="EYS11" s="18"/>
      <c r="EYT11" s="18"/>
      <c r="EYU11" s="18"/>
      <c r="EYV11" s="18"/>
      <c r="EYW11" s="18"/>
      <c r="EYX11" s="18"/>
      <c r="EYY11" s="18"/>
      <c r="EYZ11" s="18"/>
      <c r="EZA11" s="18"/>
      <c r="EZB11" s="18"/>
      <c r="EZC11" s="18"/>
      <c r="EZD11" s="18"/>
      <c r="EZE11" s="18"/>
      <c r="EZF11" s="18"/>
      <c r="EZG11" s="18"/>
      <c r="EZH11" s="18"/>
      <c r="EZI11" s="18"/>
      <c r="EZJ11" s="18"/>
      <c r="EZK11" s="18"/>
      <c r="EZL11" s="18"/>
      <c r="EZM11" s="18"/>
      <c r="EZN11" s="18"/>
      <c r="EZO11" s="18"/>
      <c r="EZP11" s="18"/>
      <c r="EZQ11" s="18"/>
      <c r="EZR11" s="18"/>
      <c r="EZS11" s="18"/>
      <c r="EZT11" s="18"/>
      <c r="EZU11" s="18"/>
      <c r="EZV11" s="18"/>
      <c r="EZW11" s="18"/>
      <c r="EZX11" s="18"/>
      <c r="EZY11" s="18"/>
      <c r="EZZ11" s="18"/>
      <c r="FAA11" s="18"/>
      <c r="FAB11" s="18"/>
      <c r="FAC11" s="18"/>
      <c r="FAD11" s="18"/>
      <c r="FAE11" s="18"/>
      <c r="FAF11" s="18"/>
      <c r="FAG11" s="18"/>
      <c r="FAH11" s="18"/>
      <c r="FAI11" s="18"/>
      <c r="FAJ11" s="18"/>
      <c r="FAK11" s="18"/>
      <c r="FAL11" s="18"/>
      <c r="FAM11" s="18"/>
      <c r="FAN11" s="18"/>
      <c r="FAO11" s="18"/>
      <c r="FAP11" s="18"/>
      <c r="FAQ11" s="18"/>
      <c r="FAR11" s="18"/>
      <c r="FAS11" s="18"/>
      <c r="FAT11" s="18"/>
      <c r="FAU11" s="18"/>
      <c r="FAV11" s="18"/>
      <c r="FAW11" s="18"/>
      <c r="FAX11" s="18"/>
      <c r="FAY11" s="18"/>
      <c r="FAZ11" s="18"/>
      <c r="FBA11" s="18"/>
      <c r="FBB11" s="18"/>
      <c r="FBC11" s="18"/>
      <c r="FBD11" s="18"/>
      <c r="FBE11" s="18"/>
      <c r="FBF11" s="18"/>
      <c r="FBG11" s="18"/>
      <c r="FBH11" s="18"/>
      <c r="FBI11" s="18"/>
      <c r="FBJ11" s="18"/>
      <c r="FBK11" s="18"/>
      <c r="FBL11" s="18"/>
      <c r="FBM11" s="18"/>
      <c r="FBN11" s="18"/>
      <c r="FBO11" s="18"/>
      <c r="FBP11" s="18"/>
      <c r="FBQ11" s="18"/>
      <c r="FBR11" s="18"/>
      <c r="FBS11" s="18"/>
      <c r="FBT11" s="18"/>
      <c r="FBU11" s="18"/>
      <c r="FBV11" s="18"/>
      <c r="FBW11" s="18"/>
      <c r="FBX11" s="18"/>
      <c r="FBY11" s="18"/>
      <c r="FBZ11" s="18"/>
      <c r="FCA11" s="18"/>
      <c r="FCB11" s="18"/>
      <c r="FCC11" s="18"/>
      <c r="FCD11" s="18"/>
      <c r="FCE11" s="18"/>
      <c r="FCF11" s="18"/>
      <c r="FCG11" s="18"/>
      <c r="FCH11" s="18"/>
      <c r="FCI11" s="18"/>
      <c r="FCJ11" s="18"/>
      <c r="FCK11" s="18"/>
      <c r="FCL11" s="18"/>
      <c r="FCM11" s="18"/>
      <c r="FCN11" s="18"/>
      <c r="FCO11" s="18"/>
      <c r="FCP11" s="18"/>
      <c r="FCQ11" s="18"/>
      <c r="FCR11" s="18"/>
      <c r="FCS11" s="18"/>
      <c r="FCT11" s="18"/>
      <c r="FCU11" s="18"/>
      <c r="FCV11" s="18"/>
      <c r="FCW11" s="18"/>
      <c r="FCX11" s="18"/>
      <c r="FCY11" s="18"/>
      <c r="FCZ11" s="18"/>
      <c r="FDA11" s="18"/>
      <c r="FDB11" s="18"/>
      <c r="FDC11" s="18"/>
      <c r="FDD11" s="18"/>
      <c r="FDE11" s="18"/>
      <c r="FDF11" s="18"/>
      <c r="FDG11" s="18"/>
      <c r="FDH11" s="18"/>
      <c r="FDI11" s="18"/>
      <c r="FDJ11" s="18"/>
      <c r="FDK11" s="18"/>
      <c r="FDL11" s="18"/>
      <c r="FDM11" s="18"/>
      <c r="FDN11" s="18"/>
      <c r="FDO11" s="18"/>
      <c r="FDP11" s="18"/>
      <c r="FDQ11" s="18"/>
      <c r="FDR11" s="18"/>
      <c r="FDS11" s="18"/>
      <c r="FDT11" s="18"/>
      <c r="FDU11" s="18"/>
      <c r="FDV11" s="18"/>
      <c r="FDW11" s="18"/>
      <c r="FDX11" s="18"/>
      <c r="FDY11" s="18"/>
      <c r="FDZ11" s="18"/>
      <c r="FEA11" s="18"/>
      <c r="FEB11" s="18"/>
      <c r="FEC11" s="18"/>
      <c r="FED11" s="18"/>
      <c r="FEE11" s="18"/>
      <c r="FEF11" s="18"/>
      <c r="FEG11" s="18"/>
      <c r="FEH11" s="18"/>
      <c r="FEI11" s="18"/>
      <c r="FEJ11" s="18"/>
      <c r="FEK11" s="18"/>
      <c r="FEL11" s="18"/>
      <c r="FEM11" s="18"/>
      <c r="FEN11" s="18"/>
      <c r="FEO11" s="18"/>
      <c r="FEP11" s="18"/>
      <c r="FEQ11" s="18"/>
      <c r="FER11" s="18"/>
      <c r="FES11" s="18"/>
      <c r="FET11" s="18"/>
      <c r="FEU11" s="18"/>
      <c r="FEV11" s="18"/>
      <c r="FEW11" s="18"/>
      <c r="FEX11" s="18"/>
      <c r="FEY11" s="18"/>
      <c r="FEZ11" s="18"/>
      <c r="FFA11" s="18"/>
      <c r="FFB11" s="18"/>
      <c r="FFC11" s="18"/>
      <c r="FFD11" s="18"/>
      <c r="FFE11" s="18"/>
      <c r="FFF11" s="18"/>
      <c r="FFG11" s="18"/>
      <c r="FFH11" s="18"/>
      <c r="FFI11" s="18"/>
      <c r="FFJ11" s="18"/>
      <c r="FFK11" s="18"/>
      <c r="FFL11" s="18"/>
      <c r="FFM11" s="18"/>
      <c r="FFN11" s="18"/>
      <c r="FFO11" s="18"/>
      <c r="FFP11" s="18"/>
      <c r="FFQ11" s="18"/>
      <c r="FFR11" s="18"/>
      <c r="FFS11" s="18"/>
      <c r="FFT11" s="18"/>
      <c r="FFU11" s="18"/>
      <c r="FFV11" s="18"/>
      <c r="FFW11" s="18"/>
      <c r="FFX11" s="18"/>
      <c r="FFY11" s="18"/>
      <c r="FFZ11" s="18"/>
      <c r="FGA11" s="18"/>
      <c r="FGB11" s="18"/>
      <c r="FGC11" s="18"/>
      <c r="FGD11" s="18"/>
      <c r="FGE11" s="18"/>
      <c r="FGF11" s="18"/>
      <c r="FGG11" s="18"/>
      <c r="FGH11" s="18"/>
      <c r="FGI11" s="18"/>
      <c r="FGJ11" s="18"/>
      <c r="FGK11" s="18"/>
      <c r="FGL11" s="18"/>
      <c r="FGM11" s="18"/>
      <c r="FGN11" s="18"/>
      <c r="FGO11" s="18"/>
      <c r="FGP11" s="18"/>
      <c r="FGQ11" s="18"/>
      <c r="FGR11" s="18"/>
      <c r="FGS11" s="18"/>
      <c r="FGT11" s="18"/>
      <c r="FGU11" s="18"/>
      <c r="FGV11" s="18"/>
      <c r="FGW11" s="18"/>
      <c r="FGX11" s="18"/>
      <c r="FGY11" s="18"/>
      <c r="FGZ11" s="18"/>
      <c r="FHA11" s="18"/>
      <c r="FHB11" s="18"/>
      <c r="FHC11" s="18"/>
      <c r="FHD11" s="18"/>
      <c r="FHE11" s="18"/>
      <c r="FHF11" s="18"/>
      <c r="FHG11" s="18"/>
      <c r="FHH11" s="18"/>
      <c r="FHI11" s="18"/>
      <c r="FHJ11" s="18"/>
      <c r="FHK11" s="18"/>
      <c r="FHL11" s="18"/>
      <c r="FHM11" s="18"/>
      <c r="FHN11" s="18"/>
      <c r="FHO11" s="18"/>
      <c r="FHP11" s="18"/>
      <c r="FHQ11" s="18"/>
      <c r="FHR11" s="18"/>
      <c r="FHS11" s="18"/>
      <c r="FHT11" s="18"/>
      <c r="FHU11" s="18"/>
      <c r="FHV11" s="18"/>
      <c r="FHW11" s="18"/>
      <c r="FHX11" s="18"/>
      <c r="FHY11" s="18"/>
      <c r="FHZ11" s="18"/>
      <c r="FIA11" s="18"/>
      <c r="FIB11" s="18"/>
      <c r="FIC11" s="18"/>
      <c r="FID11" s="18"/>
      <c r="FIE11" s="18"/>
      <c r="FIF11" s="18"/>
      <c r="FIG11" s="18"/>
      <c r="FIH11" s="18"/>
      <c r="FII11" s="18"/>
      <c r="FIJ11" s="18"/>
      <c r="FIK11" s="18"/>
      <c r="FIL11" s="18"/>
      <c r="FIM11" s="18"/>
      <c r="FIN11" s="18"/>
      <c r="FIO11" s="18"/>
      <c r="FIP11" s="18"/>
      <c r="FIQ11" s="18"/>
      <c r="FIR11" s="18"/>
      <c r="FIS11" s="18"/>
      <c r="FIT11" s="18"/>
      <c r="FIU11" s="18"/>
      <c r="FIV11" s="18"/>
      <c r="FIW11" s="18"/>
      <c r="FIX11" s="18"/>
      <c r="FIY11" s="18"/>
      <c r="FIZ11" s="18"/>
      <c r="FJA11" s="18"/>
      <c r="FJB11" s="18"/>
      <c r="FJC11" s="18"/>
      <c r="FJD11" s="18"/>
      <c r="FJE11" s="18"/>
      <c r="FJF11" s="18"/>
      <c r="FJG11" s="18"/>
      <c r="FJH11" s="18"/>
      <c r="FJI11" s="18"/>
      <c r="FJJ11" s="18"/>
      <c r="FJK11" s="18"/>
      <c r="FJL11" s="18"/>
      <c r="FJM11" s="18"/>
      <c r="FJN11" s="18"/>
      <c r="FJO11" s="18"/>
      <c r="FJP11" s="18"/>
      <c r="FJQ11" s="18"/>
      <c r="FJR11" s="18"/>
      <c r="FJS11" s="18"/>
      <c r="FJT11" s="18"/>
      <c r="FJU11" s="18"/>
      <c r="FJV11" s="18"/>
      <c r="FJW11" s="18"/>
      <c r="FJX11" s="18"/>
      <c r="FJY11" s="18"/>
      <c r="FJZ11" s="18"/>
      <c r="FKA11" s="18"/>
      <c r="FKB11" s="18"/>
      <c r="FKC11" s="18"/>
      <c r="FKD11" s="18"/>
      <c r="FKE11" s="18"/>
      <c r="FKF11" s="18"/>
      <c r="FKG11" s="18"/>
      <c r="FKH11" s="18"/>
      <c r="FKI11" s="18"/>
      <c r="FKJ11" s="18"/>
      <c r="FKK11" s="18"/>
      <c r="FKL11" s="18"/>
      <c r="FKM11" s="18"/>
      <c r="FKN11" s="18"/>
      <c r="FKO11" s="18"/>
      <c r="FKP11" s="18"/>
      <c r="FKQ11" s="18"/>
      <c r="FKR11" s="18"/>
      <c r="FKS11" s="18"/>
      <c r="FKT11" s="18"/>
      <c r="FKU11" s="18"/>
      <c r="FKV11" s="18"/>
      <c r="FKW11" s="18"/>
      <c r="FKX11" s="18"/>
      <c r="FKY11" s="18"/>
      <c r="FKZ11" s="18"/>
      <c r="FLA11" s="18"/>
      <c r="FLB11" s="18"/>
      <c r="FLC11" s="18"/>
      <c r="FLD11" s="18"/>
      <c r="FLE11" s="18"/>
      <c r="FLF11" s="18"/>
      <c r="FLG11" s="18"/>
      <c r="FLH11" s="18"/>
      <c r="FLI11" s="18"/>
      <c r="FLJ11" s="18"/>
      <c r="FLK11" s="18"/>
      <c r="FLL11" s="18"/>
      <c r="FLM11" s="18"/>
      <c r="FLN11" s="18"/>
      <c r="FLO11" s="18"/>
      <c r="FLP11" s="18"/>
      <c r="FLQ11" s="18"/>
      <c r="FLR11" s="18"/>
      <c r="FLS11" s="18"/>
      <c r="FLT11" s="18"/>
      <c r="FLU11" s="18"/>
      <c r="FLV11" s="18"/>
      <c r="FLW11" s="18"/>
      <c r="FLX11" s="18"/>
      <c r="FLY11" s="18"/>
      <c r="FLZ11" s="18"/>
      <c r="FMA11" s="18"/>
      <c r="FMB11" s="18"/>
      <c r="FMC11" s="18"/>
      <c r="FMD11" s="18"/>
      <c r="FME11" s="18"/>
      <c r="FMF11" s="18"/>
      <c r="FMG11" s="18"/>
      <c r="FMH11" s="18"/>
      <c r="FMI11" s="18"/>
      <c r="FMJ11" s="18"/>
      <c r="FMK11" s="18"/>
      <c r="FML11" s="18"/>
      <c r="FMM11" s="18"/>
      <c r="FMN11" s="18"/>
      <c r="FMO11" s="18"/>
      <c r="FMP11" s="18"/>
      <c r="FMQ11" s="18"/>
      <c r="FMR11" s="18"/>
      <c r="FMS11" s="18"/>
      <c r="FMT11" s="18"/>
      <c r="FMU11" s="18"/>
      <c r="FMV11" s="18"/>
      <c r="FMW11" s="18"/>
      <c r="FMX11" s="18"/>
      <c r="FMY11" s="18"/>
      <c r="FMZ11" s="18"/>
      <c r="FNA11" s="18"/>
      <c r="FNB11" s="18"/>
      <c r="FNC11" s="18"/>
      <c r="FND11" s="18"/>
      <c r="FNE11" s="18"/>
      <c r="FNF11" s="18"/>
      <c r="FNG11" s="18"/>
      <c r="FNH11" s="18"/>
      <c r="FNI11" s="18"/>
      <c r="FNJ11" s="18"/>
      <c r="FNK11" s="18"/>
      <c r="FNL11" s="18"/>
      <c r="FNM11" s="18"/>
      <c r="FNN11" s="18"/>
      <c r="FNO11" s="18"/>
      <c r="FNP11" s="18"/>
      <c r="FNQ11" s="18"/>
      <c r="FNR11" s="18"/>
      <c r="FNS11" s="18"/>
      <c r="FNT11" s="18"/>
      <c r="FNU11" s="18"/>
      <c r="FNV11" s="18"/>
      <c r="FNW11" s="18"/>
      <c r="FNX11" s="18"/>
      <c r="FNY11" s="18"/>
      <c r="FNZ11" s="18"/>
      <c r="FOA11" s="18"/>
      <c r="FOB11" s="18"/>
      <c r="FOC11" s="18"/>
      <c r="FOD11" s="18"/>
      <c r="FOE11" s="18"/>
      <c r="FOF11" s="18"/>
      <c r="FOG11" s="18"/>
      <c r="FOH11" s="18"/>
      <c r="FOI11" s="18"/>
      <c r="FOJ11" s="18"/>
      <c r="FOK11" s="18"/>
      <c r="FOL11" s="18"/>
      <c r="FOM11" s="18"/>
      <c r="FON11" s="18"/>
      <c r="FOO11" s="18"/>
      <c r="FOP11" s="18"/>
      <c r="FOQ11" s="18"/>
      <c r="FOR11" s="18"/>
      <c r="FOS11" s="18"/>
      <c r="FOT11" s="18"/>
      <c r="FOU11" s="18"/>
      <c r="FOV11" s="18"/>
      <c r="FOW11" s="18"/>
      <c r="FOX11" s="18"/>
      <c r="FOY11" s="18"/>
      <c r="FOZ11" s="18"/>
      <c r="FPA11" s="18"/>
      <c r="FPB11" s="18"/>
      <c r="FPC11" s="18"/>
      <c r="FPD11" s="18"/>
      <c r="FPE11" s="18"/>
      <c r="FPF11" s="18"/>
      <c r="FPG11" s="18"/>
      <c r="FPH11" s="18"/>
      <c r="FPI11" s="18"/>
      <c r="FPJ11" s="18"/>
      <c r="FPK11" s="18"/>
      <c r="FPL11" s="18"/>
      <c r="FPM11" s="18"/>
      <c r="FPN11" s="18"/>
      <c r="FPO11" s="18"/>
      <c r="FPP11" s="18"/>
      <c r="FPQ11" s="18"/>
      <c r="FPR11" s="18"/>
      <c r="FPS11" s="18"/>
      <c r="FPT11" s="18"/>
      <c r="FPU11" s="18"/>
      <c r="FPV11" s="18"/>
      <c r="FPW11" s="18"/>
      <c r="FPX11" s="18"/>
      <c r="FPY11" s="18"/>
      <c r="FPZ11" s="18"/>
      <c r="FQA11" s="18"/>
      <c r="FQB11" s="18"/>
      <c r="FQC11" s="18"/>
      <c r="FQD11" s="18"/>
      <c r="FQE11" s="18"/>
      <c r="FQF11" s="18"/>
      <c r="FQG11" s="18"/>
      <c r="FQH11" s="18"/>
      <c r="FQI11" s="18"/>
      <c r="FQJ11" s="18"/>
      <c r="FQK11" s="18"/>
      <c r="FQL11" s="18"/>
      <c r="FQM11" s="18"/>
      <c r="FQN11" s="18"/>
      <c r="FQO11" s="18"/>
      <c r="FQP11" s="18"/>
      <c r="FQQ11" s="18"/>
      <c r="FQR11" s="18"/>
      <c r="FQS11" s="18"/>
      <c r="FQT11" s="18"/>
      <c r="FQU11" s="18"/>
      <c r="FQV11" s="18"/>
      <c r="FQW11" s="18"/>
      <c r="FQX11" s="18"/>
      <c r="FQY11" s="18"/>
      <c r="FQZ11" s="18"/>
      <c r="FRA11" s="18"/>
      <c r="FRB11" s="18"/>
      <c r="FRC11" s="18"/>
      <c r="FRD11" s="18"/>
      <c r="FRE11" s="18"/>
      <c r="FRF11" s="18"/>
      <c r="FRG11" s="18"/>
      <c r="FRH11" s="18"/>
      <c r="FRI11" s="18"/>
      <c r="FRJ11" s="18"/>
      <c r="FRK11" s="18"/>
      <c r="FRL11" s="18"/>
      <c r="FRM11" s="18"/>
      <c r="FRN11" s="18"/>
      <c r="FRO11" s="18"/>
      <c r="FRP11" s="18"/>
      <c r="FRQ11" s="18"/>
      <c r="FRR11" s="18"/>
      <c r="FRS11" s="18"/>
      <c r="FRT11" s="18"/>
      <c r="FRU11" s="18"/>
      <c r="FRV11" s="18"/>
      <c r="FRW11" s="18"/>
      <c r="FRX11" s="18"/>
      <c r="FRY11" s="18"/>
      <c r="FRZ11" s="18"/>
      <c r="FSA11" s="18"/>
      <c r="FSB11" s="18"/>
      <c r="FSC11" s="18"/>
      <c r="FSD11" s="18"/>
      <c r="FSE11" s="18"/>
      <c r="FSF11" s="18"/>
      <c r="FSG11" s="18"/>
      <c r="FSH11" s="18"/>
      <c r="FSI11" s="18"/>
      <c r="FSJ11" s="18"/>
      <c r="FSK11" s="18"/>
      <c r="FSL11" s="18"/>
      <c r="FSM11" s="18"/>
      <c r="FSN11" s="18"/>
      <c r="FSO11" s="18"/>
      <c r="FSP11" s="18"/>
      <c r="FSQ11" s="18"/>
      <c r="FSR11" s="18"/>
      <c r="FSS11" s="18"/>
      <c r="FST11" s="18"/>
      <c r="FSU11" s="18"/>
      <c r="FSV11" s="18"/>
      <c r="FSW11" s="18"/>
      <c r="FSX11" s="18"/>
      <c r="FSY11" s="18"/>
      <c r="FSZ11" s="18"/>
      <c r="FTA11" s="18"/>
      <c r="FTB11" s="18"/>
      <c r="FTC11" s="18"/>
      <c r="FTD11" s="18"/>
      <c r="FTE11" s="18"/>
      <c r="FTF11" s="18"/>
      <c r="FTG11" s="18"/>
      <c r="FTH11" s="18"/>
      <c r="FTI11" s="18"/>
      <c r="FTJ11" s="18"/>
      <c r="FTK11" s="18"/>
      <c r="FTL11" s="18"/>
      <c r="FTM11" s="18"/>
      <c r="FTN11" s="18"/>
      <c r="FTO11" s="18"/>
      <c r="FTP11" s="18"/>
      <c r="FTQ11" s="18"/>
      <c r="FTR11" s="18"/>
      <c r="FTS11" s="18"/>
      <c r="FTT11" s="18"/>
      <c r="FTU11" s="18"/>
      <c r="FTV11" s="18"/>
      <c r="FTW11" s="18"/>
      <c r="FTX11" s="18"/>
      <c r="FTY11" s="18"/>
      <c r="FTZ11" s="18"/>
      <c r="FUA11" s="18"/>
      <c r="FUB11" s="18"/>
      <c r="FUC11" s="18"/>
      <c r="FUD11" s="18"/>
      <c r="FUE11" s="18"/>
      <c r="FUF11" s="18"/>
      <c r="FUG11" s="18"/>
      <c r="FUH11" s="18"/>
      <c r="FUI11" s="18"/>
      <c r="FUJ11" s="18"/>
      <c r="FUK11" s="18"/>
      <c r="FUL11" s="18"/>
      <c r="FUM11" s="18"/>
      <c r="FUN11" s="18"/>
      <c r="FUO11" s="18"/>
      <c r="FUP11" s="18"/>
      <c r="FUQ11" s="18"/>
      <c r="FUR11" s="18"/>
      <c r="FUS11" s="18"/>
      <c r="FUT11" s="18"/>
      <c r="FUU11" s="18"/>
      <c r="FUV11" s="18"/>
      <c r="FUW11" s="18"/>
      <c r="FUX11" s="18"/>
      <c r="FUY11" s="18"/>
      <c r="FUZ11" s="18"/>
      <c r="FVA11" s="18"/>
      <c r="FVB11" s="18"/>
      <c r="FVC11" s="18"/>
      <c r="FVD11" s="18"/>
      <c r="FVE11" s="18"/>
      <c r="FVF11" s="18"/>
      <c r="FVG11" s="18"/>
      <c r="FVH11" s="18"/>
      <c r="FVI11" s="18"/>
      <c r="FVJ11" s="18"/>
      <c r="FVK11" s="18"/>
      <c r="FVL11" s="18"/>
      <c r="FVM11" s="18"/>
      <c r="FVN11" s="18"/>
      <c r="FVO11" s="18"/>
      <c r="FVP11" s="18"/>
      <c r="FVQ11" s="18"/>
      <c r="FVR11" s="18"/>
      <c r="FVS11" s="18"/>
      <c r="FVT11" s="18"/>
      <c r="FVU11" s="18"/>
      <c r="FVV11" s="18"/>
      <c r="FVW11" s="18"/>
      <c r="FVX11" s="18"/>
      <c r="FVY11" s="18"/>
      <c r="FVZ11" s="18"/>
      <c r="FWA11" s="18"/>
      <c r="FWB11" s="18"/>
      <c r="FWC11" s="18"/>
      <c r="FWD11" s="18"/>
      <c r="FWE11" s="18"/>
      <c r="FWF11" s="18"/>
      <c r="FWG11" s="18"/>
      <c r="FWH11" s="18"/>
      <c r="FWI11" s="18"/>
      <c r="FWJ11" s="18"/>
      <c r="FWK11" s="18"/>
      <c r="FWL11" s="18"/>
      <c r="FWM11" s="18"/>
      <c r="FWN11" s="18"/>
      <c r="FWO11" s="18"/>
      <c r="FWP11" s="18"/>
      <c r="FWQ11" s="18"/>
      <c r="FWR11" s="18"/>
      <c r="FWS11" s="18"/>
      <c r="FWT11" s="18"/>
      <c r="FWU11" s="18"/>
      <c r="FWV11" s="18"/>
      <c r="FWW11" s="18"/>
      <c r="FWX11" s="18"/>
      <c r="FWY11" s="18"/>
      <c r="FWZ11" s="18"/>
      <c r="FXA11" s="18"/>
      <c r="FXB11" s="18"/>
      <c r="FXC11" s="18"/>
      <c r="FXD11" s="18"/>
      <c r="FXE11" s="18"/>
      <c r="FXF11" s="18"/>
      <c r="FXG11" s="18"/>
      <c r="FXH11" s="18"/>
      <c r="FXI11" s="18"/>
      <c r="FXJ11" s="18"/>
      <c r="FXK11" s="18"/>
      <c r="FXL11" s="18"/>
      <c r="FXM11" s="18"/>
      <c r="FXN11" s="18"/>
      <c r="FXO11" s="18"/>
      <c r="FXP11" s="18"/>
      <c r="FXQ11" s="18"/>
      <c r="FXR11" s="18"/>
      <c r="FXS11" s="18"/>
      <c r="FXT11" s="18"/>
      <c r="FXU11" s="18"/>
      <c r="FXV11" s="18"/>
      <c r="FXW11" s="18"/>
      <c r="FXX11" s="18"/>
      <c r="FXY11" s="18"/>
      <c r="FXZ11" s="18"/>
      <c r="FYA11" s="18"/>
      <c r="FYB11" s="18"/>
      <c r="FYC11" s="18"/>
      <c r="FYD11" s="18"/>
      <c r="FYE11" s="18"/>
      <c r="FYF11" s="18"/>
      <c r="FYG11" s="18"/>
      <c r="FYH11" s="18"/>
      <c r="FYI11" s="18"/>
      <c r="FYJ11" s="18"/>
      <c r="FYK11" s="18"/>
      <c r="FYL11" s="18"/>
      <c r="FYM11" s="18"/>
      <c r="FYN11" s="18"/>
      <c r="FYO11" s="18"/>
      <c r="FYP11" s="18"/>
      <c r="FYQ11" s="18"/>
      <c r="FYR11" s="18"/>
      <c r="FYS11" s="18"/>
      <c r="FYT11" s="18"/>
      <c r="FYU11" s="18"/>
      <c r="FYV11" s="18"/>
      <c r="FYW11" s="18"/>
      <c r="FYX11" s="18"/>
      <c r="FYY11" s="18"/>
      <c r="FYZ11" s="18"/>
      <c r="FZA11" s="18"/>
      <c r="FZB11" s="18"/>
      <c r="FZC11" s="18"/>
      <c r="FZD11" s="18"/>
      <c r="FZE11" s="18"/>
      <c r="FZF11" s="18"/>
      <c r="FZG11" s="18"/>
      <c r="FZH11" s="18"/>
      <c r="FZI11" s="18"/>
      <c r="FZJ11" s="18"/>
      <c r="FZK11" s="18"/>
      <c r="FZL11" s="18"/>
      <c r="FZM11" s="18"/>
      <c r="FZN11" s="18"/>
      <c r="FZO11" s="18"/>
      <c r="FZP11" s="18"/>
      <c r="FZQ11" s="18"/>
      <c r="FZR11" s="18"/>
      <c r="FZS11" s="18"/>
      <c r="FZT11" s="18"/>
      <c r="FZU11" s="18"/>
      <c r="FZV11" s="18"/>
      <c r="FZW11" s="18"/>
      <c r="FZX11" s="18"/>
      <c r="FZY11" s="18"/>
      <c r="FZZ11" s="18"/>
      <c r="GAA11" s="18"/>
      <c r="GAB11" s="18"/>
      <c r="GAC11" s="18"/>
      <c r="GAD11" s="18"/>
      <c r="GAE11" s="18"/>
      <c r="GAF11" s="18"/>
      <c r="GAG11" s="18"/>
      <c r="GAH11" s="18"/>
      <c r="GAI11" s="18"/>
      <c r="GAJ11" s="18"/>
      <c r="GAK11" s="18"/>
      <c r="GAL11" s="18"/>
      <c r="GAM11" s="18"/>
      <c r="GAN11" s="18"/>
      <c r="GAO11" s="18"/>
      <c r="GAP11" s="18"/>
      <c r="GAQ11" s="18"/>
      <c r="GAR11" s="18"/>
      <c r="GAS11" s="18"/>
      <c r="GAT11" s="18"/>
      <c r="GAU11" s="18"/>
      <c r="GAV11" s="18"/>
      <c r="GAW11" s="18"/>
      <c r="GAX11" s="18"/>
      <c r="GAY11" s="18"/>
      <c r="GAZ11" s="18"/>
      <c r="GBA11" s="18"/>
      <c r="GBB11" s="18"/>
      <c r="GBC11" s="18"/>
      <c r="GBD11" s="18"/>
      <c r="GBE11" s="18"/>
      <c r="GBF11" s="18"/>
      <c r="GBG11" s="18"/>
      <c r="GBH11" s="18"/>
      <c r="GBI11" s="18"/>
      <c r="GBJ11" s="18"/>
      <c r="GBK11" s="18"/>
      <c r="GBL11" s="18"/>
      <c r="GBM11" s="18"/>
      <c r="GBN11" s="18"/>
      <c r="GBO11" s="18"/>
      <c r="GBP11" s="18"/>
      <c r="GBQ11" s="18"/>
      <c r="GBR11" s="18"/>
      <c r="GBS11" s="18"/>
      <c r="GBT11" s="18"/>
      <c r="GBU11" s="18"/>
      <c r="GBV11" s="18"/>
      <c r="GBW11" s="18"/>
      <c r="GBX11" s="18"/>
      <c r="GBY11" s="18"/>
      <c r="GBZ11" s="18"/>
      <c r="GCA11" s="18"/>
      <c r="GCB11" s="18"/>
      <c r="GCC11" s="18"/>
      <c r="GCD11" s="18"/>
      <c r="GCE11" s="18"/>
      <c r="GCF11" s="18"/>
      <c r="GCG11" s="18"/>
      <c r="GCH11" s="18"/>
      <c r="GCI11" s="18"/>
      <c r="GCJ11" s="18"/>
      <c r="GCK11" s="18"/>
      <c r="GCL11" s="18"/>
      <c r="GCM11" s="18"/>
      <c r="GCN11" s="18"/>
      <c r="GCO11" s="18"/>
      <c r="GCP11" s="18"/>
      <c r="GCQ11" s="18"/>
      <c r="GCR11" s="18"/>
      <c r="GCS11" s="18"/>
      <c r="GCT11" s="18"/>
      <c r="GCU11" s="18"/>
      <c r="GCV11" s="18"/>
      <c r="GCW11" s="18"/>
      <c r="GCX11" s="18"/>
      <c r="GCY11" s="18"/>
      <c r="GCZ11" s="18"/>
      <c r="GDA11" s="18"/>
      <c r="GDB11" s="18"/>
      <c r="GDC11" s="18"/>
      <c r="GDD11" s="18"/>
      <c r="GDE11" s="18"/>
      <c r="GDF11" s="18"/>
      <c r="GDG11" s="18"/>
      <c r="GDH11" s="18"/>
      <c r="GDI11" s="18"/>
      <c r="GDJ11" s="18"/>
      <c r="GDK11" s="18"/>
      <c r="GDL11" s="18"/>
      <c r="GDM11" s="18"/>
      <c r="GDN11" s="18"/>
      <c r="GDO11" s="18"/>
      <c r="GDP11" s="18"/>
      <c r="GDQ11" s="18"/>
      <c r="GDR11" s="18"/>
      <c r="GDS11" s="18"/>
      <c r="GDT11" s="18"/>
      <c r="GDU11" s="18"/>
      <c r="GDV11" s="18"/>
      <c r="GDW11" s="18"/>
      <c r="GDX11" s="18"/>
      <c r="GDY11" s="18"/>
      <c r="GDZ11" s="18"/>
      <c r="GEA11" s="18"/>
      <c r="GEB11" s="18"/>
      <c r="GEC11" s="18"/>
      <c r="GED11" s="18"/>
      <c r="GEE11" s="18"/>
      <c r="GEF11" s="18"/>
      <c r="GEG11" s="18"/>
      <c r="GEH11" s="18"/>
      <c r="GEI11" s="18"/>
      <c r="GEJ11" s="18"/>
      <c r="GEK11" s="18"/>
      <c r="GEL11" s="18"/>
      <c r="GEM11" s="18"/>
      <c r="GEN11" s="18"/>
      <c r="GEO11" s="18"/>
      <c r="GEP11" s="18"/>
      <c r="GEQ11" s="18"/>
      <c r="GER11" s="18"/>
      <c r="GES11" s="18"/>
      <c r="GET11" s="18"/>
      <c r="GEU11" s="18"/>
      <c r="GEV11" s="18"/>
      <c r="GEW11" s="18"/>
      <c r="GEX11" s="18"/>
      <c r="GEY11" s="18"/>
      <c r="GEZ11" s="18"/>
      <c r="GFA11" s="18"/>
      <c r="GFB11" s="18"/>
      <c r="GFC11" s="18"/>
      <c r="GFD11" s="18"/>
      <c r="GFE11" s="18"/>
      <c r="GFF11" s="18"/>
      <c r="GFG11" s="18"/>
      <c r="GFH11" s="18"/>
      <c r="GFI11" s="18"/>
      <c r="GFJ11" s="18"/>
      <c r="GFK11" s="18"/>
      <c r="GFL11" s="18"/>
      <c r="GFM11" s="18"/>
      <c r="GFN11" s="18"/>
      <c r="GFO11" s="18"/>
      <c r="GFP11" s="18"/>
      <c r="GFQ11" s="18"/>
      <c r="GFR11" s="18"/>
      <c r="GFS11" s="18"/>
      <c r="GFT11" s="18"/>
      <c r="GFU11" s="18"/>
      <c r="GFV11" s="18"/>
      <c r="GFW11" s="18"/>
      <c r="GFX11" s="18"/>
      <c r="GFY11" s="18"/>
      <c r="GFZ11" s="18"/>
      <c r="GGA11" s="18"/>
      <c r="GGB11" s="18"/>
      <c r="GGC11" s="18"/>
      <c r="GGD11" s="18"/>
      <c r="GGE11" s="18"/>
      <c r="GGF11" s="18"/>
      <c r="GGG11" s="18"/>
      <c r="GGH11" s="18"/>
      <c r="GGI11" s="18"/>
      <c r="GGJ11" s="18"/>
      <c r="GGK11" s="18"/>
      <c r="GGL11" s="18"/>
      <c r="GGM11" s="18"/>
      <c r="GGN11" s="18"/>
      <c r="GGO11" s="18"/>
      <c r="GGP11" s="18"/>
      <c r="GGQ11" s="18"/>
      <c r="GGR11" s="18"/>
      <c r="GGS11" s="18"/>
      <c r="GGT11" s="18"/>
      <c r="GGU11" s="18"/>
      <c r="GGV11" s="18"/>
      <c r="GGW11" s="18"/>
      <c r="GGX11" s="18"/>
      <c r="GGY11" s="18"/>
      <c r="GGZ11" s="18"/>
      <c r="GHA11" s="18"/>
      <c r="GHB11" s="18"/>
      <c r="GHC11" s="18"/>
      <c r="GHD11" s="18"/>
      <c r="GHE11" s="18"/>
      <c r="GHF11" s="18"/>
      <c r="GHG11" s="18"/>
      <c r="GHH11" s="18"/>
      <c r="GHI11" s="18"/>
      <c r="GHJ11" s="18"/>
      <c r="GHK11" s="18"/>
      <c r="GHL11" s="18"/>
      <c r="GHM11" s="18"/>
      <c r="GHN11" s="18"/>
      <c r="GHO11" s="18"/>
      <c r="GHP11" s="18"/>
      <c r="GHQ11" s="18"/>
      <c r="GHR11" s="18"/>
      <c r="GHS11" s="18"/>
      <c r="GHT11" s="18"/>
      <c r="GHU11" s="18"/>
      <c r="GHV11" s="18"/>
      <c r="GHW11" s="18"/>
      <c r="GHX11" s="18"/>
      <c r="GHY11" s="18"/>
      <c r="GHZ11" s="18"/>
      <c r="GIA11" s="18"/>
      <c r="GIB11" s="18"/>
      <c r="GIC11" s="18"/>
      <c r="GID11" s="18"/>
      <c r="GIE11" s="18"/>
      <c r="GIF11" s="18"/>
      <c r="GIG11" s="18"/>
      <c r="GIH11" s="18"/>
      <c r="GII11" s="18"/>
      <c r="GIJ11" s="18"/>
      <c r="GIK11" s="18"/>
      <c r="GIL11" s="18"/>
      <c r="GIM11" s="18"/>
      <c r="GIN11" s="18"/>
      <c r="GIO11" s="18"/>
      <c r="GIP11" s="18"/>
      <c r="GIQ11" s="18"/>
      <c r="GIR11" s="18"/>
      <c r="GIS11" s="18"/>
      <c r="GIT11" s="18"/>
      <c r="GIU11" s="18"/>
      <c r="GIV11" s="18"/>
      <c r="GIW11" s="18"/>
      <c r="GIX11" s="18"/>
      <c r="GIY11" s="18"/>
      <c r="GIZ11" s="18"/>
      <c r="GJA11" s="18"/>
      <c r="GJB11" s="18"/>
      <c r="GJC11" s="18"/>
      <c r="GJD11" s="18"/>
      <c r="GJE11" s="18"/>
      <c r="GJF11" s="18"/>
      <c r="GJG11" s="18"/>
      <c r="GJH11" s="18"/>
      <c r="GJI11" s="18"/>
      <c r="GJJ11" s="18"/>
      <c r="GJK11" s="18"/>
      <c r="GJL11" s="18"/>
      <c r="GJM11" s="18"/>
      <c r="GJN11" s="18"/>
      <c r="GJO11" s="18"/>
      <c r="GJP11" s="18"/>
      <c r="GJQ11" s="18"/>
      <c r="GJR11" s="18"/>
      <c r="GJS11" s="18"/>
      <c r="GJT11" s="18"/>
      <c r="GJU11" s="18"/>
      <c r="GJV11" s="18"/>
      <c r="GJW11" s="18"/>
      <c r="GJX11" s="18"/>
      <c r="GJY11" s="18"/>
      <c r="GJZ11" s="18"/>
      <c r="GKA11" s="18"/>
      <c r="GKB11" s="18"/>
      <c r="GKC11" s="18"/>
      <c r="GKD11" s="18"/>
      <c r="GKE11" s="18"/>
      <c r="GKF11" s="18"/>
      <c r="GKG11" s="18"/>
      <c r="GKH11" s="18"/>
      <c r="GKI11" s="18"/>
      <c r="GKJ11" s="18"/>
      <c r="GKK11" s="18"/>
      <c r="GKL11" s="18"/>
      <c r="GKM11" s="18"/>
      <c r="GKN11" s="18"/>
      <c r="GKO11" s="18"/>
      <c r="GKP11" s="18"/>
      <c r="GKQ11" s="18"/>
      <c r="GKR11" s="18"/>
      <c r="GKS11" s="18"/>
      <c r="GKT11" s="18"/>
      <c r="GKU11" s="18"/>
      <c r="GKV11" s="18"/>
      <c r="GKW11" s="18"/>
      <c r="GKX11" s="18"/>
      <c r="GKY11" s="18"/>
      <c r="GKZ11" s="18"/>
      <c r="GLA11" s="18"/>
      <c r="GLB11" s="18"/>
      <c r="GLC11" s="18"/>
      <c r="GLD11" s="18"/>
      <c r="GLE11" s="18"/>
      <c r="GLF11" s="18"/>
      <c r="GLG11" s="18"/>
      <c r="GLH11" s="18"/>
      <c r="GLI11" s="18"/>
      <c r="GLJ11" s="18"/>
      <c r="GLK11" s="18"/>
      <c r="GLL11" s="18"/>
      <c r="GLM11" s="18"/>
      <c r="GLN11" s="18"/>
      <c r="GLO11" s="18"/>
      <c r="GLP11" s="18"/>
      <c r="GLQ11" s="18"/>
      <c r="GLR11" s="18"/>
      <c r="GLS11" s="18"/>
      <c r="GLT11" s="18"/>
      <c r="GLU11" s="18"/>
      <c r="GLV11" s="18"/>
      <c r="GLW11" s="18"/>
      <c r="GLX11" s="18"/>
      <c r="GLY11" s="18"/>
      <c r="GLZ11" s="18"/>
      <c r="GMA11" s="18"/>
      <c r="GMB11" s="18"/>
      <c r="GMC11" s="18"/>
      <c r="GMD11" s="18"/>
      <c r="GME11" s="18"/>
      <c r="GMF11" s="18"/>
      <c r="GMG11" s="18"/>
      <c r="GMH11" s="18"/>
      <c r="GMI11" s="18"/>
      <c r="GMJ11" s="18"/>
      <c r="GMK11" s="18"/>
      <c r="GML11" s="18"/>
      <c r="GMM11" s="18"/>
      <c r="GMN11" s="18"/>
      <c r="GMO11" s="18"/>
      <c r="GMP11" s="18"/>
      <c r="GMQ11" s="18"/>
      <c r="GMR11" s="18"/>
      <c r="GMS11" s="18"/>
      <c r="GMT11" s="18"/>
      <c r="GMU11" s="18"/>
      <c r="GMV11" s="18"/>
      <c r="GMW11" s="18"/>
      <c r="GMX11" s="18"/>
      <c r="GMY11" s="18"/>
      <c r="GMZ11" s="18"/>
      <c r="GNA11" s="18"/>
      <c r="GNB11" s="18"/>
      <c r="GNC11" s="18"/>
      <c r="GND11" s="18"/>
      <c r="GNE11" s="18"/>
      <c r="GNF11" s="18"/>
      <c r="GNG11" s="18"/>
      <c r="GNH11" s="18"/>
      <c r="GNI11" s="18"/>
      <c r="GNJ11" s="18"/>
      <c r="GNK11" s="18"/>
      <c r="GNL11" s="18"/>
      <c r="GNM11" s="18"/>
      <c r="GNN11" s="18"/>
      <c r="GNO11" s="18"/>
      <c r="GNP11" s="18"/>
      <c r="GNQ11" s="18"/>
      <c r="GNR11" s="18"/>
      <c r="GNS11" s="18"/>
      <c r="GNT11" s="18"/>
      <c r="GNU11" s="18"/>
      <c r="GNV11" s="18"/>
      <c r="GNW11" s="18"/>
      <c r="GNX11" s="18"/>
      <c r="GNY11" s="18"/>
      <c r="GNZ11" s="18"/>
      <c r="GOA11" s="18"/>
      <c r="GOB11" s="18"/>
      <c r="GOC11" s="18"/>
      <c r="GOD11" s="18"/>
      <c r="GOE11" s="18"/>
      <c r="GOF11" s="18"/>
      <c r="GOG11" s="18"/>
      <c r="GOH11" s="18"/>
      <c r="GOI11" s="18"/>
      <c r="GOJ11" s="18"/>
      <c r="GOK11" s="18"/>
      <c r="GOL11" s="18"/>
      <c r="GOM11" s="18"/>
      <c r="GON11" s="18"/>
      <c r="GOO11" s="18"/>
      <c r="GOP11" s="18"/>
      <c r="GOQ11" s="18"/>
      <c r="GOR11" s="18"/>
      <c r="GOS11" s="18"/>
      <c r="GOT11" s="18"/>
      <c r="GOU11" s="18"/>
      <c r="GOV11" s="18"/>
      <c r="GOW11" s="18"/>
      <c r="GOX11" s="18"/>
      <c r="GOY11" s="18"/>
      <c r="GOZ11" s="18"/>
      <c r="GPA11" s="18"/>
      <c r="GPB11" s="18"/>
      <c r="GPC11" s="18"/>
      <c r="GPD11" s="18"/>
      <c r="GPE11" s="18"/>
      <c r="GPF11" s="18"/>
      <c r="GPG11" s="18"/>
      <c r="GPH11" s="18"/>
      <c r="GPI11" s="18"/>
      <c r="GPJ11" s="18"/>
      <c r="GPK11" s="18"/>
      <c r="GPL11" s="18"/>
      <c r="GPM11" s="18"/>
      <c r="GPN11" s="18"/>
      <c r="GPO11" s="18"/>
      <c r="GPP11" s="18"/>
      <c r="GPQ11" s="18"/>
      <c r="GPR11" s="18"/>
      <c r="GPS11" s="18"/>
      <c r="GPT11" s="18"/>
      <c r="GPU11" s="18"/>
      <c r="GPV11" s="18"/>
      <c r="GPW11" s="18"/>
      <c r="GPX11" s="18"/>
      <c r="GPY11" s="18"/>
      <c r="GPZ11" s="18"/>
      <c r="GQA11" s="18"/>
      <c r="GQB11" s="18"/>
      <c r="GQC11" s="18"/>
      <c r="GQD11" s="18"/>
      <c r="GQE11" s="18"/>
      <c r="GQF11" s="18"/>
      <c r="GQG11" s="18"/>
      <c r="GQH11" s="18"/>
      <c r="GQI11" s="18"/>
      <c r="GQJ11" s="18"/>
      <c r="GQK11" s="18"/>
      <c r="GQL11" s="18"/>
      <c r="GQM11" s="18"/>
      <c r="GQN11" s="18"/>
      <c r="GQO11" s="18"/>
      <c r="GQP11" s="18"/>
      <c r="GQQ11" s="18"/>
      <c r="GQR11" s="18"/>
      <c r="GQS11" s="18"/>
      <c r="GQT11" s="18"/>
      <c r="GQU11" s="18"/>
      <c r="GQV11" s="18"/>
      <c r="GQW11" s="18"/>
      <c r="GQX11" s="18"/>
      <c r="GQY11" s="18"/>
      <c r="GQZ11" s="18"/>
      <c r="GRA11" s="18"/>
      <c r="GRB11" s="18"/>
      <c r="GRC11" s="18"/>
      <c r="GRD11" s="18"/>
      <c r="GRE11" s="18"/>
      <c r="GRF11" s="18"/>
      <c r="GRG11" s="18"/>
      <c r="GRH11" s="18"/>
      <c r="GRI11" s="18"/>
      <c r="GRJ11" s="18"/>
      <c r="GRK11" s="18"/>
      <c r="GRL11" s="18"/>
      <c r="GRM11" s="18"/>
      <c r="GRN11" s="18"/>
      <c r="GRO11" s="18"/>
      <c r="GRP11" s="18"/>
      <c r="GRQ11" s="18"/>
      <c r="GRR11" s="18"/>
      <c r="GRS11" s="18"/>
      <c r="GRT11" s="18"/>
      <c r="GRU11" s="18"/>
      <c r="GRV11" s="18"/>
      <c r="GRW11" s="18"/>
      <c r="GRX11" s="18"/>
      <c r="GRY11" s="18"/>
      <c r="GRZ11" s="18"/>
      <c r="GSA11" s="18"/>
      <c r="GSB11" s="18"/>
      <c r="GSC11" s="18"/>
      <c r="GSD11" s="18"/>
      <c r="GSE11" s="18"/>
      <c r="GSF11" s="18"/>
      <c r="GSG11" s="18"/>
      <c r="GSH11" s="18"/>
      <c r="GSI11" s="18"/>
      <c r="GSJ11" s="18"/>
      <c r="GSK11" s="18"/>
      <c r="GSL11" s="18"/>
      <c r="GSM11" s="18"/>
      <c r="GSN11" s="18"/>
      <c r="GSO11" s="18"/>
      <c r="GSP11" s="18"/>
      <c r="GSQ11" s="18"/>
      <c r="GSR11" s="18"/>
      <c r="GSS11" s="18"/>
      <c r="GST11" s="18"/>
      <c r="GSU11" s="18"/>
      <c r="GSV11" s="18"/>
      <c r="GSW11" s="18"/>
      <c r="GSX11" s="18"/>
      <c r="GSY11" s="18"/>
      <c r="GSZ11" s="18"/>
      <c r="GTA11" s="18"/>
      <c r="GTB11" s="18"/>
      <c r="GTC11" s="18"/>
      <c r="GTD11" s="18"/>
      <c r="GTE11" s="18"/>
      <c r="GTF11" s="18"/>
      <c r="GTG11" s="18"/>
      <c r="GTH11" s="18"/>
      <c r="GTI11" s="18"/>
      <c r="GTJ11" s="18"/>
      <c r="GTK11" s="18"/>
      <c r="GTL11" s="18"/>
      <c r="GTM11" s="18"/>
      <c r="GTN11" s="18"/>
      <c r="GTO11" s="18"/>
      <c r="GTP11" s="18"/>
      <c r="GTQ11" s="18"/>
      <c r="GTR11" s="18"/>
      <c r="GTS11" s="18"/>
      <c r="GTT11" s="18"/>
      <c r="GTU11" s="18"/>
      <c r="GTV11" s="18"/>
      <c r="GTW11" s="18"/>
      <c r="GTX11" s="18"/>
      <c r="GTY11" s="18"/>
      <c r="GTZ11" s="18"/>
      <c r="GUA11" s="18"/>
      <c r="GUB11" s="18"/>
      <c r="GUC11" s="18"/>
      <c r="GUD11" s="18"/>
      <c r="GUE11" s="18"/>
      <c r="GUF11" s="18"/>
      <c r="GUG11" s="18"/>
      <c r="GUH11" s="18"/>
      <c r="GUI11" s="18"/>
      <c r="GUJ11" s="18"/>
      <c r="GUK11" s="18"/>
      <c r="GUL11" s="18"/>
      <c r="GUM11" s="18"/>
      <c r="GUN11" s="18"/>
      <c r="GUO11" s="18"/>
      <c r="GUP11" s="18"/>
      <c r="GUQ11" s="18"/>
      <c r="GUR11" s="18"/>
      <c r="GUS11" s="18"/>
      <c r="GUT11" s="18"/>
      <c r="GUU11" s="18"/>
      <c r="GUV11" s="18"/>
      <c r="GUW11" s="18"/>
      <c r="GUX11" s="18"/>
      <c r="GUY11" s="18"/>
      <c r="GUZ11" s="18"/>
      <c r="GVA11" s="18"/>
      <c r="GVB11" s="18"/>
      <c r="GVC11" s="18"/>
      <c r="GVD11" s="18"/>
      <c r="GVE11" s="18"/>
      <c r="GVF11" s="18"/>
      <c r="GVG11" s="18"/>
      <c r="GVH11" s="18"/>
      <c r="GVI11" s="18"/>
      <c r="GVJ11" s="18"/>
      <c r="GVK11" s="18"/>
      <c r="GVL11" s="18"/>
      <c r="GVM11" s="18"/>
      <c r="GVN11" s="18"/>
      <c r="GVO11" s="18"/>
      <c r="GVP11" s="18"/>
      <c r="GVQ11" s="18"/>
      <c r="GVR11" s="18"/>
      <c r="GVS11" s="18"/>
      <c r="GVT11" s="18"/>
      <c r="GVU11" s="18"/>
      <c r="GVV11" s="18"/>
      <c r="GVW11" s="18"/>
      <c r="GVX11" s="18"/>
      <c r="GVY11" s="18"/>
      <c r="GVZ11" s="18"/>
      <c r="GWA11" s="18"/>
      <c r="GWB11" s="18"/>
      <c r="GWC11" s="18"/>
      <c r="GWD11" s="18"/>
      <c r="GWE11" s="18"/>
      <c r="GWF11" s="18"/>
      <c r="GWG11" s="18"/>
      <c r="GWH11" s="18"/>
      <c r="GWI11" s="18"/>
      <c r="GWJ11" s="18"/>
      <c r="GWK11" s="18"/>
      <c r="GWL11" s="18"/>
      <c r="GWM11" s="18"/>
      <c r="GWN11" s="18"/>
      <c r="GWO11" s="18"/>
      <c r="GWP11" s="18"/>
      <c r="GWQ11" s="18"/>
      <c r="GWR11" s="18"/>
      <c r="GWS11" s="18"/>
      <c r="GWT11" s="18"/>
      <c r="GWU11" s="18"/>
      <c r="GWV11" s="18"/>
      <c r="GWW11" s="18"/>
      <c r="GWX11" s="18"/>
      <c r="GWY11" s="18"/>
      <c r="GWZ11" s="18"/>
      <c r="GXA11" s="18"/>
      <c r="GXB11" s="18"/>
      <c r="GXC11" s="18"/>
      <c r="GXD11" s="18"/>
      <c r="GXE11" s="18"/>
      <c r="GXF11" s="18"/>
      <c r="GXG11" s="18"/>
      <c r="GXH11" s="18"/>
      <c r="GXI11" s="18"/>
      <c r="GXJ11" s="18"/>
      <c r="GXK11" s="18"/>
      <c r="GXL11" s="18"/>
      <c r="GXM11" s="18"/>
      <c r="GXN11" s="18"/>
      <c r="GXO11" s="18"/>
      <c r="GXP11" s="18"/>
      <c r="GXQ11" s="18"/>
      <c r="GXR11" s="18"/>
      <c r="GXS11" s="18"/>
      <c r="GXT11" s="18"/>
      <c r="GXU11" s="18"/>
      <c r="GXV11" s="18"/>
      <c r="GXW11" s="18"/>
      <c r="GXX11" s="18"/>
      <c r="GXY11" s="18"/>
      <c r="GXZ11" s="18"/>
      <c r="GYA11" s="18"/>
      <c r="GYB11" s="18"/>
      <c r="GYC11" s="18"/>
      <c r="GYD11" s="18"/>
      <c r="GYE11" s="18"/>
      <c r="GYF11" s="18"/>
      <c r="GYG11" s="18"/>
      <c r="GYH11" s="18"/>
      <c r="GYI11" s="18"/>
      <c r="GYJ11" s="18"/>
      <c r="GYK11" s="18"/>
      <c r="GYL11" s="18"/>
      <c r="GYM11" s="18"/>
      <c r="GYN11" s="18"/>
      <c r="GYO11" s="18"/>
      <c r="GYP11" s="18"/>
      <c r="GYQ11" s="18"/>
      <c r="GYR11" s="18"/>
      <c r="GYS11" s="18"/>
      <c r="GYT11" s="18"/>
      <c r="GYU11" s="18"/>
      <c r="GYV11" s="18"/>
      <c r="GYW11" s="18"/>
      <c r="GYX11" s="18"/>
      <c r="GYY11" s="18"/>
      <c r="GYZ11" s="18"/>
      <c r="GZA11" s="18"/>
      <c r="GZB11" s="18"/>
      <c r="GZC11" s="18"/>
      <c r="GZD11" s="18"/>
      <c r="GZE11" s="18"/>
      <c r="GZF11" s="18"/>
      <c r="GZG11" s="18"/>
      <c r="GZH11" s="18"/>
      <c r="GZI11" s="18"/>
      <c r="GZJ11" s="18"/>
      <c r="GZK11" s="18"/>
      <c r="GZL11" s="18"/>
      <c r="GZM11" s="18"/>
      <c r="GZN11" s="18"/>
      <c r="GZO11" s="18"/>
      <c r="GZP11" s="18"/>
      <c r="GZQ11" s="18"/>
      <c r="GZR11" s="18"/>
      <c r="GZS11" s="18"/>
      <c r="GZT11" s="18"/>
      <c r="GZU11" s="18"/>
      <c r="GZV11" s="18"/>
      <c r="GZW11" s="18"/>
      <c r="GZX11" s="18"/>
      <c r="GZY11" s="18"/>
      <c r="GZZ11" s="18"/>
      <c r="HAA11" s="18"/>
      <c r="HAB11" s="18"/>
      <c r="HAC11" s="18"/>
      <c r="HAD11" s="18"/>
      <c r="HAE11" s="18"/>
      <c r="HAF11" s="18"/>
      <c r="HAG11" s="18"/>
      <c r="HAH11" s="18"/>
      <c r="HAI11" s="18"/>
      <c r="HAJ11" s="18"/>
      <c r="HAK11" s="18"/>
      <c r="HAL11" s="18"/>
      <c r="HAM11" s="18"/>
      <c r="HAN11" s="18"/>
      <c r="HAO11" s="18"/>
      <c r="HAP11" s="18"/>
      <c r="HAQ11" s="18"/>
      <c r="HAR11" s="18"/>
      <c r="HAS11" s="18"/>
      <c r="HAT11" s="18"/>
      <c r="HAU11" s="18"/>
      <c r="HAV11" s="18"/>
      <c r="HAW11" s="18"/>
      <c r="HAX11" s="18"/>
      <c r="HAY11" s="18"/>
      <c r="HAZ11" s="18"/>
      <c r="HBA11" s="18"/>
      <c r="HBB11" s="18"/>
      <c r="HBC11" s="18"/>
      <c r="HBD11" s="18"/>
      <c r="HBE11" s="18"/>
      <c r="HBF11" s="18"/>
      <c r="HBG11" s="18"/>
      <c r="HBH11" s="18"/>
      <c r="HBI11" s="18"/>
      <c r="HBJ11" s="18"/>
      <c r="HBK11" s="18"/>
      <c r="HBL11" s="18"/>
      <c r="HBM11" s="18"/>
      <c r="HBN11" s="18"/>
      <c r="HBO11" s="18"/>
      <c r="HBP11" s="18"/>
      <c r="HBQ11" s="18"/>
      <c r="HBR11" s="18"/>
      <c r="HBS11" s="18"/>
      <c r="HBT11" s="18"/>
      <c r="HBU11" s="18"/>
      <c r="HBV11" s="18"/>
      <c r="HBW11" s="18"/>
      <c r="HBX11" s="18"/>
      <c r="HBY11" s="18"/>
      <c r="HBZ11" s="18"/>
      <c r="HCA11" s="18"/>
      <c r="HCB11" s="18"/>
      <c r="HCC11" s="18"/>
      <c r="HCD11" s="18"/>
      <c r="HCE11" s="18"/>
      <c r="HCF11" s="18"/>
      <c r="HCG11" s="18"/>
      <c r="HCH11" s="18"/>
      <c r="HCI11" s="18"/>
      <c r="HCJ11" s="18"/>
      <c r="HCK11" s="18"/>
      <c r="HCL11" s="18"/>
      <c r="HCM11" s="18"/>
      <c r="HCN11" s="18"/>
      <c r="HCO11" s="18"/>
      <c r="HCP11" s="18"/>
      <c r="HCQ11" s="18"/>
      <c r="HCR11" s="18"/>
      <c r="HCS11" s="18"/>
      <c r="HCT11" s="18"/>
      <c r="HCU11" s="18"/>
      <c r="HCV11" s="18"/>
      <c r="HCW11" s="18"/>
      <c r="HCX11" s="18"/>
      <c r="HCY11" s="18"/>
      <c r="HCZ11" s="18"/>
      <c r="HDA11" s="18"/>
      <c r="HDB11" s="18"/>
      <c r="HDC11" s="18"/>
      <c r="HDD11" s="18"/>
      <c r="HDE11" s="18"/>
      <c r="HDF11" s="18"/>
      <c r="HDG11" s="18"/>
      <c r="HDH11" s="18"/>
      <c r="HDI11" s="18"/>
      <c r="HDJ11" s="18"/>
      <c r="HDK11" s="18"/>
      <c r="HDL11" s="18"/>
      <c r="HDM11" s="18"/>
      <c r="HDN11" s="18"/>
      <c r="HDO11" s="18"/>
      <c r="HDP11" s="18"/>
      <c r="HDQ11" s="18"/>
      <c r="HDR11" s="18"/>
      <c r="HDS11" s="18"/>
      <c r="HDT11" s="18"/>
      <c r="HDU11" s="18"/>
      <c r="HDV11" s="18"/>
      <c r="HDW11" s="18"/>
      <c r="HDX11" s="18"/>
      <c r="HDY11" s="18"/>
      <c r="HDZ11" s="18"/>
      <c r="HEA11" s="18"/>
      <c r="HEB11" s="18"/>
      <c r="HEC11" s="18"/>
      <c r="HED11" s="18"/>
      <c r="HEE11" s="18"/>
      <c r="HEF11" s="18"/>
      <c r="HEG11" s="18"/>
      <c r="HEH11" s="18"/>
      <c r="HEI11" s="18"/>
      <c r="HEJ11" s="18"/>
      <c r="HEK11" s="18"/>
      <c r="HEL11" s="18"/>
      <c r="HEM11" s="18"/>
      <c r="HEN11" s="18"/>
      <c r="HEO11" s="18"/>
      <c r="HEP11" s="18"/>
      <c r="HEQ11" s="18"/>
      <c r="HER11" s="18"/>
      <c r="HES11" s="18"/>
      <c r="HET11" s="18"/>
      <c r="HEU11" s="18"/>
      <c r="HEV11" s="18"/>
      <c r="HEW11" s="18"/>
      <c r="HEX11" s="18"/>
      <c r="HEY11" s="18"/>
      <c r="HEZ11" s="18"/>
      <c r="HFA11" s="18"/>
      <c r="HFB11" s="18"/>
      <c r="HFC11" s="18"/>
      <c r="HFD11" s="18"/>
      <c r="HFE11" s="18"/>
      <c r="HFF11" s="18"/>
      <c r="HFG11" s="18"/>
      <c r="HFH11" s="18"/>
      <c r="HFI11" s="18"/>
      <c r="HFJ11" s="18"/>
      <c r="HFK11" s="18"/>
      <c r="HFL11" s="18"/>
      <c r="HFM11" s="18"/>
      <c r="HFN11" s="18"/>
      <c r="HFO11" s="18"/>
      <c r="HFP11" s="18"/>
      <c r="HFQ11" s="18"/>
      <c r="HFR11" s="18"/>
      <c r="HFS11" s="18"/>
      <c r="HFT11" s="18"/>
      <c r="HFU11" s="18"/>
      <c r="HFV11" s="18"/>
      <c r="HFW11" s="18"/>
      <c r="HFX11" s="18"/>
      <c r="HFY11" s="18"/>
      <c r="HFZ11" s="18"/>
      <c r="HGA11" s="18"/>
      <c r="HGB11" s="18"/>
      <c r="HGC11" s="18"/>
      <c r="HGD11" s="18"/>
      <c r="HGE11" s="18"/>
      <c r="HGF11" s="18"/>
      <c r="HGG11" s="18"/>
      <c r="HGH11" s="18"/>
      <c r="HGI11" s="18"/>
      <c r="HGJ11" s="18"/>
      <c r="HGK11" s="18"/>
      <c r="HGL11" s="18"/>
      <c r="HGM11" s="18"/>
      <c r="HGN11" s="18"/>
      <c r="HGO11" s="18"/>
      <c r="HGP11" s="18"/>
      <c r="HGQ11" s="18"/>
      <c r="HGR11" s="18"/>
      <c r="HGS11" s="18"/>
      <c r="HGT11" s="18"/>
      <c r="HGU11" s="18"/>
      <c r="HGV11" s="18"/>
      <c r="HGW11" s="18"/>
      <c r="HGX11" s="18"/>
      <c r="HGY11" s="18"/>
      <c r="HGZ11" s="18"/>
      <c r="HHA11" s="18"/>
      <c r="HHB11" s="18"/>
      <c r="HHC11" s="18"/>
      <c r="HHD11" s="18"/>
      <c r="HHE11" s="18"/>
      <c r="HHF11" s="18"/>
      <c r="HHG11" s="18"/>
      <c r="HHH11" s="18"/>
      <c r="HHI11" s="18"/>
      <c r="HHJ11" s="18"/>
      <c r="HHK11" s="18"/>
      <c r="HHL11" s="18"/>
      <c r="HHM11" s="18"/>
      <c r="HHN11" s="18"/>
      <c r="HHO11" s="18"/>
      <c r="HHP11" s="18"/>
      <c r="HHQ11" s="18"/>
      <c r="HHR11" s="18"/>
      <c r="HHS11" s="18"/>
      <c r="HHT11" s="18"/>
      <c r="HHU11" s="18"/>
      <c r="HHV11" s="18"/>
      <c r="HHW11" s="18"/>
      <c r="HHX11" s="18"/>
      <c r="HHY11" s="18"/>
      <c r="HHZ11" s="18"/>
      <c r="HIA11" s="18"/>
      <c r="HIB11" s="18"/>
      <c r="HIC11" s="18"/>
      <c r="HID11" s="18"/>
      <c r="HIE11" s="18"/>
      <c r="HIF11" s="18"/>
      <c r="HIG11" s="18"/>
      <c r="HIH11" s="18"/>
      <c r="HII11" s="18"/>
      <c r="HIJ11" s="18"/>
      <c r="HIK11" s="18"/>
      <c r="HIL11" s="18"/>
      <c r="HIM11" s="18"/>
      <c r="HIN11" s="18"/>
      <c r="HIO11" s="18"/>
      <c r="HIP11" s="18"/>
      <c r="HIQ11" s="18"/>
      <c r="HIR11" s="18"/>
      <c r="HIS11" s="18"/>
      <c r="HIT11" s="18"/>
      <c r="HIU11" s="18"/>
      <c r="HIV11" s="18"/>
      <c r="HIW11" s="18"/>
      <c r="HIX11" s="18"/>
      <c r="HIY11" s="18"/>
      <c r="HIZ11" s="18"/>
      <c r="HJA11" s="18"/>
      <c r="HJB11" s="18"/>
      <c r="HJC11" s="18"/>
      <c r="HJD11" s="18"/>
      <c r="HJE11" s="18"/>
      <c r="HJF11" s="18"/>
      <c r="HJG11" s="18"/>
      <c r="HJH11" s="18"/>
      <c r="HJI11" s="18"/>
      <c r="HJJ11" s="18"/>
      <c r="HJK11" s="18"/>
      <c r="HJL11" s="18"/>
      <c r="HJM11" s="18"/>
      <c r="HJN11" s="18"/>
      <c r="HJO11" s="18"/>
      <c r="HJP11" s="18"/>
      <c r="HJQ11" s="18"/>
      <c r="HJR11" s="18"/>
      <c r="HJS11" s="18"/>
      <c r="HJT11" s="18"/>
      <c r="HJU11" s="18"/>
      <c r="HJV11" s="18"/>
      <c r="HJW11" s="18"/>
      <c r="HJX11" s="18"/>
      <c r="HJY11" s="18"/>
      <c r="HJZ11" s="18"/>
      <c r="HKA11" s="18"/>
      <c r="HKB11" s="18"/>
      <c r="HKC11" s="18"/>
      <c r="HKD11" s="18"/>
      <c r="HKE11" s="18"/>
      <c r="HKF11" s="18"/>
      <c r="HKG11" s="18"/>
      <c r="HKH11" s="18"/>
      <c r="HKI11" s="18"/>
      <c r="HKJ11" s="18"/>
      <c r="HKK11" s="18"/>
      <c r="HKL11" s="18"/>
      <c r="HKM11" s="18"/>
      <c r="HKN11" s="18"/>
      <c r="HKO11" s="18"/>
      <c r="HKP11" s="18"/>
      <c r="HKQ11" s="18"/>
      <c r="HKR11" s="18"/>
      <c r="HKS11" s="18"/>
      <c r="HKT11" s="18"/>
      <c r="HKU11" s="18"/>
      <c r="HKV11" s="18"/>
      <c r="HKW11" s="18"/>
      <c r="HKX11" s="18"/>
      <c r="HKY11" s="18"/>
      <c r="HKZ11" s="18"/>
      <c r="HLA11" s="18"/>
      <c r="HLB11" s="18"/>
      <c r="HLC11" s="18"/>
      <c r="HLD11" s="18"/>
      <c r="HLE11" s="18"/>
      <c r="HLF11" s="18"/>
      <c r="HLG11" s="18"/>
      <c r="HLH11" s="18"/>
      <c r="HLI11" s="18"/>
      <c r="HLJ11" s="18"/>
      <c r="HLK11" s="18"/>
      <c r="HLL11" s="18"/>
      <c r="HLM11" s="18"/>
      <c r="HLN11" s="18"/>
      <c r="HLO11" s="18"/>
      <c r="HLP11" s="18"/>
      <c r="HLQ11" s="18"/>
      <c r="HLR11" s="18"/>
      <c r="HLS11" s="18"/>
      <c r="HLT11" s="18"/>
      <c r="HLU11" s="18"/>
      <c r="HLV11" s="18"/>
      <c r="HLW11" s="18"/>
      <c r="HLX11" s="18"/>
      <c r="HLY11" s="18"/>
      <c r="HLZ11" s="18"/>
      <c r="HMA11" s="18"/>
      <c r="HMB11" s="18"/>
      <c r="HMC11" s="18"/>
      <c r="HMD11" s="18"/>
      <c r="HME11" s="18"/>
      <c r="HMF11" s="18"/>
      <c r="HMG11" s="18"/>
      <c r="HMH11" s="18"/>
      <c r="HMI11" s="18"/>
      <c r="HMJ11" s="18"/>
      <c r="HMK11" s="18"/>
      <c r="HML11" s="18"/>
      <c r="HMM11" s="18"/>
      <c r="HMN11" s="18"/>
      <c r="HMO11" s="18"/>
      <c r="HMP11" s="18"/>
      <c r="HMQ11" s="18"/>
      <c r="HMR11" s="18"/>
      <c r="HMS11" s="18"/>
      <c r="HMT11" s="18"/>
      <c r="HMU11" s="18"/>
      <c r="HMV11" s="18"/>
      <c r="HMW11" s="18"/>
      <c r="HMX11" s="18"/>
      <c r="HMY11" s="18"/>
      <c r="HMZ11" s="18"/>
      <c r="HNA11" s="18"/>
      <c r="HNB11" s="18"/>
      <c r="HNC11" s="18"/>
      <c r="HND11" s="18"/>
      <c r="HNE11" s="18"/>
      <c r="HNF11" s="18"/>
      <c r="HNG11" s="18"/>
      <c r="HNH11" s="18"/>
      <c r="HNI11" s="18"/>
      <c r="HNJ11" s="18"/>
      <c r="HNK11" s="18"/>
      <c r="HNL11" s="18"/>
      <c r="HNM11" s="18"/>
      <c r="HNN11" s="18"/>
      <c r="HNO11" s="18"/>
      <c r="HNP11" s="18"/>
      <c r="HNQ11" s="18"/>
      <c r="HNR11" s="18"/>
      <c r="HNS11" s="18"/>
      <c r="HNT11" s="18"/>
      <c r="HNU11" s="18"/>
      <c r="HNV11" s="18"/>
      <c r="HNW11" s="18"/>
      <c r="HNX11" s="18"/>
      <c r="HNY11" s="18"/>
      <c r="HNZ11" s="18"/>
      <c r="HOA11" s="18"/>
      <c r="HOB11" s="18"/>
      <c r="HOC11" s="18"/>
      <c r="HOD11" s="18"/>
      <c r="HOE11" s="18"/>
      <c r="HOF11" s="18"/>
      <c r="HOG11" s="18"/>
      <c r="HOH11" s="18"/>
      <c r="HOI11" s="18"/>
      <c r="HOJ11" s="18"/>
      <c r="HOK11" s="18"/>
      <c r="HOL11" s="18"/>
      <c r="HOM11" s="18"/>
      <c r="HON11" s="18"/>
      <c r="HOO11" s="18"/>
      <c r="HOP11" s="18"/>
      <c r="HOQ11" s="18"/>
      <c r="HOR11" s="18"/>
      <c r="HOS11" s="18"/>
      <c r="HOT11" s="18"/>
      <c r="HOU11" s="18"/>
      <c r="HOV11" s="18"/>
      <c r="HOW11" s="18"/>
      <c r="HOX11" s="18"/>
      <c r="HOY11" s="18"/>
      <c r="HOZ11" s="18"/>
      <c r="HPA11" s="18"/>
      <c r="HPB11" s="18"/>
      <c r="HPC11" s="18"/>
      <c r="HPD11" s="18"/>
      <c r="HPE11" s="18"/>
      <c r="HPF11" s="18"/>
      <c r="HPG11" s="18"/>
      <c r="HPH11" s="18"/>
      <c r="HPI11" s="18"/>
      <c r="HPJ11" s="18"/>
      <c r="HPK11" s="18"/>
      <c r="HPL11" s="18"/>
      <c r="HPM11" s="18"/>
      <c r="HPN11" s="18"/>
      <c r="HPO11" s="18"/>
      <c r="HPP11" s="18"/>
      <c r="HPQ11" s="18"/>
      <c r="HPR11" s="18"/>
      <c r="HPS11" s="18"/>
      <c r="HPT11" s="18"/>
      <c r="HPU11" s="18"/>
      <c r="HPV11" s="18"/>
      <c r="HPW11" s="18"/>
      <c r="HPX11" s="18"/>
      <c r="HPY11" s="18"/>
      <c r="HPZ11" s="18"/>
      <c r="HQA11" s="18"/>
      <c r="HQB11" s="18"/>
      <c r="HQC11" s="18"/>
      <c r="HQD11" s="18"/>
      <c r="HQE11" s="18"/>
      <c r="HQF11" s="18"/>
      <c r="HQG11" s="18"/>
      <c r="HQH11" s="18"/>
      <c r="HQI11" s="18"/>
      <c r="HQJ11" s="18"/>
      <c r="HQK11" s="18"/>
      <c r="HQL11" s="18"/>
      <c r="HQM11" s="18"/>
      <c r="HQN11" s="18"/>
      <c r="HQO11" s="18"/>
      <c r="HQP11" s="18"/>
      <c r="HQQ11" s="18"/>
      <c r="HQR11" s="18"/>
      <c r="HQS11" s="18"/>
      <c r="HQT11" s="18"/>
      <c r="HQU11" s="18"/>
      <c r="HQV11" s="18"/>
      <c r="HQW11" s="18"/>
      <c r="HQX11" s="18"/>
      <c r="HQY11" s="18"/>
      <c r="HQZ11" s="18"/>
      <c r="HRA11" s="18"/>
      <c r="HRB11" s="18"/>
      <c r="HRC11" s="18"/>
      <c r="HRD11" s="18"/>
      <c r="HRE11" s="18"/>
      <c r="HRF11" s="18"/>
      <c r="HRG11" s="18"/>
      <c r="HRH11" s="18"/>
      <c r="HRI11" s="18"/>
      <c r="HRJ11" s="18"/>
      <c r="HRK11" s="18"/>
      <c r="HRL11" s="18"/>
      <c r="HRM11" s="18"/>
      <c r="HRN11" s="18"/>
      <c r="HRO11" s="18"/>
      <c r="HRP11" s="18"/>
      <c r="HRQ11" s="18"/>
      <c r="HRR11" s="18"/>
      <c r="HRS11" s="18"/>
      <c r="HRT11" s="18"/>
      <c r="HRU11" s="18"/>
      <c r="HRV11" s="18"/>
      <c r="HRW11" s="18"/>
      <c r="HRX11" s="18"/>
      <c r="HRY11" s="18"/>
      <c r="HRZ11" s="18"/>
      <c r="HSA11" s="18"/>
      <c r="HSB11" s="18"/>
      <c r="HSC11" s="18"/>
      <c r="HSD11" s="18"/>
      <c r="HSE11" s="18"/>
      <c r="HSF11" s="18"/>
      <c r="HSG11" s="18"/>
      <c r="HSH11" s="18"/>
      <c r="HSI11" s="18"/>
      <c r="HSJ11" s="18"/>
      <c r="HSK11" s="18"/>
      <c r="HSL11" s="18"/>
      <c r="HSM11" s="18"/>
      <c r="HSN11" s="18"/>
      <c r="HSO11" s="18"/>
      <c r="HSP11" s="18"/>
      <c r="HSQ11" s="18"/>
      <c r="HSR11" s="18"/>
      <c r="HSS11" s="18"/>
      <c r="HST11" s="18"/>
      <c r="HSU11" s="18"/>
      <c r="HSV11" s="18"/>
      <c r="HSW11" s="18"/>
      <c r="HSX11" s="18"/>
      <c r="HSY11" s="18"/>
      <c r="HSZ11" s="18"/>
      <c r="HTA11" s="18"/>
      <c r="HTB11" s="18"/>
      <c r="HTC11" s="18"/>
      <c r="HTD11" s="18"/>
      <c r="HTE11" s="18"/>
      <c r="HTF11" s="18"/>
      <c r="HTG11" s="18"/>
      <c r="HTH11" s="18"/>
      <c r="HTI11" s="18"/>
      <c r="HTJ11" s="18"/>
      <c r="HTK11" s="18"/>
      <c r="HTL11" s="18"/>
      <c r="HTM11" s="18"/>
      <c r="HTN11" s="18"/>
      <c r="HTO11" s="18"/>
      <c r="HTP11" s="18"/>
      <c r="HTQ11" s="18"/>
      <c r="HTR11" s="18"/>
      <c r="HTS11" s="18"/>
      <c r="HTT11" s="18"/>
      <c r="HTU11" s="18"/>
      <c r="HTV11" s="18"/>
      <c r="HTW11" s="18"/>
      <c r="HTX11" s="18"/>
      <c r="HTY11" s="18"/>
      <c r="HTZ11" s="18"/>
      <c r="HUA11" s="18"/>
      <c r="HUB11" s="18"/>
      <c r="HUC11" s="18"/>
      <c r="HUD11" s="18"/>
      <c r="HUE11" s="18"/>
      <c r="HUF11" s="18"/>
      <c r="HUG11" s="18"/>
      <c r="HUH11" s="18"/>
      <c r="HUI11" s="18"/>
      <c r="HUJ11" s="18"/>
      <c r="HUK11" s="18"/>
      <c r="HUL11" s="18"/>
      <c r="HUM11" s="18"/>
      <c r="HUN11" s="18"/>
      <c r="HUO11" s="18"/>
      <c r="HUP11" s="18"/>
      <c r="HUQ11" s="18"/>
      <c r="HUR11" s="18"/>
      <c r="HUS11" s="18"/>
      <c r="HUT11" s="18"/>
      <c r="HUU11" s="18"/>
      <c r="HUV11" s="18"/>
      <c r="HUW11" s="18"/>
      <c r="HUX11" s="18"/>
      <c r="HUY11" s="18"/>
      <c r="HUZ11" s="18"/>
      <c r="HVA11" s="18"/>
      <c r="HVB11" s="18"/>
      <c r="HVC11" s="18"/>
      <c r="HVD11" s="18"/>
      <c r="HVE11" s="18"/>
      <c r="HVF11" s="18"/>
      <c r="HVG11" s="18"/>
      <c r="HVH11" s="18"/>
      <c r="HVI11" s="18"/>
      <c r="HVJ11" s="18"/>
      <c r="HVK11" s="18"/>
      <c r="HVL11" s="18"/>
      <c r="HVM11" s="18"/>
      <c r="HVN11" s="18"/>
      <c r="HVO11" s="18"/>
      <c r="HVP11" s="18"/>
      <c r="HVQ11" s="18"/>
      <c r="HVR11" s="18"/>
      <c r="HVS11" s="18"/>
      <c r="HVT11" s="18"/>
      <c r="HVU11" s="18"/>
      <c r="HVV11" s="18"/>
      <c r="HVW11" s="18"/>
      <c r="HVX11" s="18"/>
      <c r="HVY11" s="18"/>
      <c r="HVZ11" s="18"/>
      <c r="HWA11" s="18"/>
      <c r="HWB11" s="18"/>
      <c r="HWC11" s="18"/>
      <c r="HWD11" s="18"/>
      <c r="HWE11" s="18"/>
      <c r="HWF11" s="18"/>
      <c r="HWG11" s="18"/>
      <c r="HWH11" s="18"/>
      <c r="HWI11" s="18"/>
      <c r="HWJ11" s="18"/>
      <c r="HWK11" s="18"/>
      <c r="HWL11" s="18"/>
      <c r="HWM11" s="18"/>
      <c r="HWN11" s="18"/>
      <c r="HWO11" s="18"/>
      <c r="HWP11" s="18"/>
      <c r="HWQ11" s="18"/>
      <c r="HWR11" s="18"/>
      <c r="HWS11" s="18"/>
      <c r="HWT11" s="18"/>
      <c r="HWU11" s="18"/>
      <c r="HWV11" s="18"/>
      <c r="HWW11" s="18"/>
      <c r="HWX11" s="18"/>
      <c r="HWY11" s="18"/>
      <c r="HWZ11" s="18"/>
      <c r="HXA11" s="18"/>
      <c r="HXB11" s="18"/>
      <c r="HXC11" s="18"/>
      <c r="HXD11" s="18"/>
      <c r="HXE11" s="18"/>
      <c r="HXF11" s="18"/>
      <c r="HXG11" s="18"/>
      <c r="HXH11" s="18"/>
      <c r="HXI11" s="18"/>
      <c r="HXJ11" s="18"/>
      <c r="HXK11" s="18"/>
      <c r="HXL11" s="18"/>
      <c r="HXM11" s="18"/>
      <c r="HXN11" s="18"/>
      <c r="HXO11" s="18"/>
      <c r="HXP11" s="18"/>
      <c r="HXQ11" s="18"/>
      <c r="HXR11" s="18"/>
      <c r="HXS11" s="18"/>
      <c r="HXT11" s="18"/>
      <c r="HXU11" s="18"/>
      <c r="HXV11" s="18"/>
      <c r="HXW11" s="18"/>
      <c r="HXX11" s="18"/>
      <c r="HXY11" s="18"/>
      <c r="HXZ11" s="18"/>
      <c r="HYA11" s="18"/>
      <c r="HYB11" s="18"/>
      <c r="HYC11" s="18"/>
      <c r="HYD11" s="18"/>
      <c r="HYE11" s="18"/>
      <c r="HYF11" s="18"/>
      <c r="HYG11" s="18"/>
      <c r="HYH11" s="18"/>
      <c r="HYI11" s="18"/>
      <c r="HYJ11" s="18"/>
      <c r="HYK11" s="18"/>
      <c r="HYL11" s="18"/>
      <c r="HYM11" s="18"/>
      <c r="HYN11" s="18"/>
      <c r="HYO11" s="18"/>
      <c r="HYP11" s="18"/>
      <c r="HYQ11" s="18"/>
      <c r="HYR11" s="18"/>
      <c r="HYS11" s="18"/>
      <c r="HYT11" s="18"/>
      <c r="HYU11" s="18"/>
      <c r="HYV11" s="18"/>
      <c r="HYW11" s="18"/>
      <c r="HYX11" s="18"/>
      <c r="HYY11" s="18"/>
      <c r="HYZ11" s="18"/>
      <c r="HZA11" s="18"/>
      <c r="HZB11" s="18"/>
      <c r="HZC11" s="18"/>
      <c r="HZD11" s="18"/>
      <c r="HZE11" s="18"/>
      <c r="HZF11" s="18"/>
      <c r="HZG11" s="18"/>
      <c r="HZH11" s="18"/>
      <c r="HZI11" s="18"/>
      <c r="HZJ11" s="18"/>
      <c r="HZK11" s="18"/>
      <c r="HZL11" s="18"/>
      <c r="HZM11" s="18"/>
      <c r="HZN11" s="18"/>
      <c r="HZO11" s="18"/>
      <c r="HZP11" s="18"/>
      <c r="HZQ11" s="18"/>
      <c r="HZR11" s="18"/>
      <c r="HZS11" s="18"/>
      <c r="HZT11" s="18"/>
      <c r="HZU11" s="18"/>
      <c r="HZV11" s="18"/>
      <c r="HZW11" s="18"/>
      <c r="HZX11" s="18"/>
      <c r="HZY11" s="18"/>
      <c r="HZZ11" s="18"/>
      <c r="IAA11" s="18"/>
      <c r="IAB11" s="18"/>
      <c r="IAC11" s="18"/>
      <c r="IAD11" s="18"/>
      <c r="IAE11" s="18"/>
      <c r="IAF11" s="18"/>
      <c r="IAG11" s="18"/>
      <c r="IAH11" s="18"/>
      <c r="IAI11" s="18"/>
      <c r="IAJ11" s="18"/>
      <c r="IAK11" s="18"/>
      <c r="IAL11" s="18"/>
      <c r="IAM11" s="18"/>
      <c r="IAN11" s="18"/>
      <c r="IAO11" s="18"/>
      <c r="IAP11" s="18"/>
      <c r="IAQ11" s="18"/>
      <c r="IAR11" s="18"/>
      <c r="IAS11" s="18"/>
      <c r="IAT11" s="18"/>
      <c r="IAU11" s="18"/>
      <c r="IAV11" s="18"/>
      <c r="IAW11" s="18"/>
      <c r="IAX11" s="18"/>
      <c r="IAY11" s="18"/>
      <c r="IAZ11" s="18"/>
      <c r="IBA11" s="18"/>
      <c r="IBB11" s="18"/>
      <c r="IBC11" s="18"/>
      <c r="IBD11" s="18"/>
      <c r="IBE11" s="18"/>
      <c r="IBF11" s="18"/>
      <c r="IBG11" s="18"/>
      <c r="IBH11" s="18"/>
      <c r="IBI11" s="18"/>
      <c r="IBJ11" s="18"/>
      <c r="IBK11" s="18"/>
      <c r="IBL11" s="18"/>
      <c r="IBM11" s="18"/>
      <c r="IBN11" s="18"/>
      <c r="IBO11" s="18"/>
      <c r="IBP11" s="18"/>
      <c r="IBQ11" s="18"/>
      <c r="IBR11" s="18"/>
      <c r="IBS11" s="18"/>
      <c r="IBT11" s="18"/>
      <c r="IBU11" s="18"/>
      <c r="IBV11" s="18"/>
      <c r="IBW11" s="18"/>
      <c r="IBX11" s="18"/>
      <c r="IBY11" s="18"/>
      <c r="IBZ11" s="18"/>
      <c r="ICA11" s="18"/>
      <c r="ICB11" s="18"/>
      <c r="ICC11" s="18"/>
      <c r="ICD11" s="18"/>
      <c r="ICE11" s="18"/>
      <c r="ICF11" s="18"/>
      <c r="ICG11" s="18"/>
      <c r="ICH11" s="18"/>
      <c r="ICI11" s="18"/>
      <c r="ICJ11" s="18"/>
      <c r="ICK11" s="18"/>
      <c r="ICL11" s="18"/>
      <c r="ICM11" s="18"/>
      <c r="ICN11" s="18"/>
      <c r="ICO11" s="18"/>
      <c r="ICP11" s="18"/>
      <c r="ICQ11" s="18"/>
      <c r="ICR11" s="18"/>
      <c r="ICS11" s="18"/>
      <c r="ICT11" s="18"/>
      <c r="ICU11" s="18"/>
      <c r="ICV11" s="18"/>
      <c r="ICW11" s="18"/>
      <c r="ICX11" s="18"/>
      <c r="ICY11" s="18"/>
      <c r="ICZ11" s="18"/>
      <c r="IDA11" s="18"/>
      <c r="IDB11" s="18"/>
      <c r="IDC11" s="18"/>
      <c r="IDD11" s="18"/>
      <c r="IDE11" s="18"/>
      <c r="IDF11" s="18"/>
      <c r="IDG11" s="18"/>
      <c r="IDH11" s="18"/>
      <c r="IDI11" s="18"/>
      <c r="IDJ11" s="18"/>
      <c r="IDK11" s="18"/>
      <c r="IDL11" s="18"/>
      <c r="IDM11" s="18"/>
      <c r="IDN11" s="18"/>
      <c r="IDO11" s="18"/>
      <c r="IDP11" s="18"/>
      <c r="IDQ11" s="18"/>
      <c r="IDR11" s="18"/>
      <c r="IDS11" s="18"/>
      <c r="IDT11" s="18"/>
      <c r="IDU11" s="18"/>
      <c r="IDV11" s="18"/>
      <c r="IDW11" s="18"/>
      <c r="IDX11" s="18"/>
      <c r="IDY11" s="18"/>
      <c r="IDZ11" s="18"/>
      <c r="IEA11" s="18"/>
      <c r="IEB11" s="18"/>
      <c r="IEC11" s="18"/>
      <c r="IED11" s="18"/>
      <c r="IEE11" s="18"/>
      <c r="IEF11" s="18"/>
      <c r="IEG11" s="18"/>
      <c r="IEH11" s="18"/>
      <c r="IEI11" s="18"/>
      <c r="IEJ11" s="18"/>
      <c r="IEK11" s="18"/>
      <c r="IEL11" s="18"/>
      <c r="IEM11" s="18"/>
      <c r="IEN11" s="18"/>
      <c r="IEO11" s="18"/>
      <c r="IEP11" s="18"/>
      <c r="IEQ11" s="18"/>
      <c r="IER11" s="18"/>
      <c r="IES11" s="18"/>
      <c r="IET11" s="18"/>
      <c r="IEU11" s="18"/>
      <c r="IEV11" s="18"/>
      <c r="IEW11" s="18"/>
      <c r="IEX11" s="18"/>
      <c r="IEY11" s="18"/>
      <c r="IEZ11" s="18"/>
      <c r="IFA11" s="18"/>
      <c r="IFB11" s="18"/>
      <c r="IFC11" s="18"/>
      <c r="IFD11" s="18"/>
      <c r="IFE11" s="18"/>
      <c r="IFF11" s="18"/>
      <c r="IFG11" s="18"/>
      <c r="IFH11" s="18"/>
      <c r="IFI11" s="18"/>
      <c r="IFJ11" s="18"/>
      <c r="IFK11" s="18"/>
      <c r="IFL11" s="18"/>
      <c r="IFM11" s="18"/>
      <c r="IFN11" s="18"/>
      <c r="IFO11" s="18"/>
      <c r="IFP11" s="18"/>
      <c r="IFQ11" s="18"/>
      <c r="IFR11" s="18"/>
      <c r="IFS11" s="18"/>
      <c r="IFT11" s="18"/>
      <c r="IFU11" s="18"/>
      <c r="IFV11" s="18"/>
      <c r="IFW11" s="18"/>
      <c r="IFX11" s="18"/>
      <c r="IFY11" s="18"/>
      <c r="IFZ11" s="18"/>
      <c r="IGA11" s="18"/>
      <c r="IGB11" s="18"/>
      <c r="IGC11" s="18"/>
      <c r="IGD11" s="18"/>
      <c r="IGE11" s="18"/>
      <c r="IGF11" s="18"/>
      <c r="IGG11" s="18"/>
      <c r="IGH11" s="18"/>
      <c r="IGI11" s="18"/>
      <c r="IGJ11" s="18"/>
      <c r="IGK11" s="18"/>
      <c r="IGL11" s="18"/>
      <c r="IGM11" s="18"/>
      <c r="IGN11" s="18"/>
      <c r="IGO11" s="18"/>
      <c r="IGP11" s="18"/>
      <c r="IGQ11" s="18"/>
      <c r="IGR11" s="18"/>
      <c r="IGS11" s="18"/>
      <c r="IGT11" s="18"/>
      <c r="IGU11" s="18"/>
      <c r="IGV11" s="18"/>
      <c r="IGW11" s="18"/>
      <c r="IGX11" s="18"/>
      <c r="IGY11" s="18"/>
      <c r="IGZ11" s="18"/>
      <c r="IHA11" s="18"/>
      <c r="IHB11" s="18"/>
      <c r="IHC11" s="18"/>
      <c r="IHD11" s="18"/>
      <c r="IHE11" s="18"/>
      <c r="IHF11" s="18"/>
      <c r="IHG11" s="18"/>
      <c r="IHH11" s="18"/>
      <c r="IHI11" s="18"/>
      <c r="IHJ11" s="18"/>
      <c r="IHK11" s="18"/>
      <c r="IHL11" s="18"/>
      <c r="IHM11" s="18"/>
      <c r="IHN11" s="18"/>
      <c r="IHO11" s="18"/>
      <c r="IHP11" s="18"/>
      <c r="IHQ11" s="18"/>
      <c r="IHR11" s="18"/>
      <c r="IHS11" s="18"/>
      <c r="IHT11" s="18"/>
      <c r="IHU11" s="18"/>
      <c r="IHV11" s="18"/>
      <c r="IHW11" s="18"/>
      <c r="IHX11" s="18"/>
      <c r="IHY11" s="18"/>
      <c r="IHZ11" s="18"/>
      <c r="IIA11" s="18"/>
      <c r="IIB11" s="18"/>
      <c r="IIC11" s="18"/>
      <c r="IID11" s="18"/>
      <c r="IIE11" s="18"/>
      <c r="IIF11" s="18"/>
      <c r="IIG11" s="18"/>
      <c r="IIH11" s="18"/>
      <c r="III11" s="18"/>
      <c r="IIJ11" s="18"/>
      <c r="IIK11" s="18"/>
      <c r="IIL11" s="18"/>
      <c r="IIM11" s="18"/>
      <c r="IIN11" s="18"/>
      <c r="IIO11" s="18"/>
      <c r="IIP11" s="18"/>
      <c r="IIQ11" s="18"/>
      <c r="IIR11" s="18"/>
      <c r="IIS11" s="18"/>
      <c r="IIT11" s="18"/>
      <c r="IIU11" s="18"/>
      <c r="IIV11" s="18"/>
      <c r="IIW11" s="18"/>
      <c r="IIX11" s="18"/>
      <c r="IIY11" s="18"/>
      <c r="IIZ11" s="18"/>
      <c r="IJA11" s="18"/>
      <c r="IJB11" s="18"/>
      <c r="IJC11" s="18"/>
      <c r="IJD11" s="18"/>
      <c r="IJE11" s="18"/>
      <c r="IJF11" s="18"/>
      <c r="IJG11" s="18"/>
      <c r="IJH11" s="18"/>
      <c r="IJI11" s="18"/>
      <c r="IJJ11" s="18"/>
      <c r="IJK11" s="18"/>
      <c r="IJL11" s="18"/>
      <c r="IJM11" s="18"/>
      <c r="IJN11" s="18"/>
      <c r="IJO11" s="18"/>
      <c r="IJP11" s="18"/>
      <c r="IJQ11" s="18"/>
      <c r="IJR11" s="18"/>
      <c r="IJS11" s="18"/>
      <c r="IJT11" s="18"/>
      <c r="IJU11" s="18"/>
      <c r="IJV11" s="18"/>
      <c r="IJW11" s="18"/>
      <c r="IJX11" s="18"/>
      <c r="IJY11" s="18"/>
      <c r="IJZ11" s="18"/>
      <c r="IKA11" s="18"/>
      <c r="IKB11" s="18"/>
      <c r="IKC11" s="18"/>
      <c r="IKD11" s="18"/>
      <c r="IKE11" s="18"/>
      <c r="IKF11" s="18"/>
      <c r="IKG11" s="18"/>
      <c r="IKH11" s="18"/>
      <c r="IKI11" s="18"/>
      <c r="IKJ11" s="18"/>
      <c r="IKK11" s="18"/>
      <c r="IKL11" s="18"/>
      <c r="IKM11" s="18"/>
      <c r="IKN11" s="18"/>
      <c r="IKO11" s="18"/>
      <c r="IKP11" s="18"/>
      <c r="IKQ11" s="18"/>
      <c r="IKR11" s="18"/>
      <c r="IKS11" s="18"/>
      <c r="IKT11" s="18"/>
      <c r="IKU11" s="18"/>
      <c r="IKV11" s="18"/>
      <c r="IKW11" s="18"/>
      <c r="IKX11" s="18"/>
      <c r="IKY11" s="18"/>
      <c r="IKZ11" s="18"/>
      <c r="ILA11" s="18"/>
      <c r="ILB11" s="18"/>
      <c r="ILC11" s="18"/>
      <c r="ILD11" s="18"/>
      <c r="ILE11" s="18"/>
      <c r="ILF11" s="18"/>
      <c r="ILG11" s="18"/>
      <c r="ILH11" s="18"/>
      <c r="ILI11" s="18"/>
      <c r="ILJ11" s="18"/>
      <c r="ILK11" s="18"/>
      <c r="ILL11" s="18"/>
      <c r="ILM11" s="18"/>
      <c r="ILN11" s="18"/>
      <c r="ILO11" s="18"/>
      <c r="ILP11" s="18"/>
      <c r="ILQ11" s="18"/>
      <c r="ILR11" s="18"/>
      <c r="ILS11" s="18"/>
      <c r="ILT11" s="18"/>
      <c r="ILU11" s="18"/>
      <c r="ILV11" s="18"/>
      <c r="ILW11" s="18"/>
      <c r="ILX11" s="18"/>
      <c r="ILY11" s="18"/>
      <c r="ILZ11" s="18"/>
      <c r="IMA11" s="18"/>
      <c r="IMB11" s="18"/>
      <c r="IMC11" s="18"/>
      <c r="IMD11" s="18"/>
      <c r="IME11" s="18"/>
      <c r="IMF11" s="18"/>
      <c r="IMG11" s="18"/>
      <c r="IMH11" s="18"/>
      <c r="IMI11" s="18"/>
      <c r="IMJ11" s="18"/>
      <c r="IMK11" s="18"/>
      <c r="IML11" s="18"/>
      <c r="IMM11" s="18"/>
      <c r="IMN11" s="18"/>
      <c r="IMO11" s="18"/>
      <c r="IMP11" s="18"/>
      <c r="IMQ11" s="18"/>
      <c r="IMR11" s="18"/>
      <c r="IMS11" s="18"/>
      <c r="IMT11" s="18"/>
      <c r="IMU11" s="18"/>
      <c r="IMV11" s="18"/>
      <c r="IMW11" s="18"/>
      <c r="IMX11" s="18"/>
      <c r="IMY11" s="18"/>
      <c r="IMZ11" s="18"/>
      <c r="INA11" s="18"/>
      <c r="INB11" s="18"/>
      <c r="INC11" s="18"/>
      <c r="IND11" s="18"/>
      <c r="INE11" s="18"/>
      <c r="INF11" s="18"/>
      <c r="ING11" s="18"/>
      <c r="INH11" s="18"/>
      <c r="INI11" s="18"/>
      <c r="INJ11" s="18"/>
      <c r="INK11" s="18"/>
      <c r="INL11" s="18"/>
      <c r="INM11" s="18"/>
      <c r="INN11" s="18"/>
      <c r="INO11" s="18"/>
      <c r="INP11" s="18"/>
      <c r="INQ11" s="18"/>
      <c r="INR11" s="18"/>
      <c r="INS11" s="18"/>
      <c r="INT11" s="18"/>
      <c r="INU11" s="18"/>
      <c r="INV11" s="18"/>
      <c r="INW11" s="18"/>
      <c r="INX11" s="18"/>
      <c r="INY11" s="18"/>
      <c r="INZ11" s="18"/>
      <c r="IOA11" s="18"/>
      <c r="IOB11" s="18"/>
      <c r="IOC11" s="18"/>
      <c r="IOD11" s="18"/>
      <c r="IOE11" s="18"/>
      <c r="IOF11" s="18"/>
      <c r="IOG11" s="18"/>
      <c r="IOH11" s="18"/>
      <c r="IOI11" s="18"/>
      <c r="IOJ11" s="18"/>
      <c r="IOK11" s="18"/>
      <c r="IOL11" s="18"/>
      <c r="IOM11" s="18"/>
      <c r="ION11" s="18"/>
      <c r="IOO11" s="18"/>
      <c r="IOP11" s="18"/>
      <c r="IOQ11" s="18"/>
      <c r="IOR11" s="18"/>
      <c r="IOS11" s="18"/>
      <c r="IOT11" s="18"/>
      <c r="IOU11" s="18"/>
      <c r="IOV11" s="18"/>
      <c r="IOW11" s="18"/>
      <c r="IOX11" s="18"/>
      <c r="IOY11" s="18"/>
      <c r="IOZ11" s="18"/>
      <c r="IPA11" s="18"/>
      <c r="IPB11" s="18"/>
      <c r="IPC11" s="18"/>
      <c r="IPD11" s="18"/>
      <c r="IPE11" s="18"/>
      <c r="IPF11" s="18"/>
      <c r="IPG11" s="18"/>
      <c r="IPH11" s="18"/>
      <c r="IPI11" s="18"/>
      <c r="IPJ11" s="18"/>
      <c r="IPK11" s="18"/>
      <c r="IPL11" s="18"/>
      <c r="IPM11" s="18"/>
      <c r="IPN11" s="18"/>
      <c r="IPO11" s="18"/>
      <c r="IPP11" s="18"/>
      <c r="IPQ11" s="18"/>
      <c r="IPR11" s="18"/>
      <c r="IPS11" s="18"/>
      <c r="IPT11" s="18"/>
      <c r="IPU11" s="18"/>
      <c r="IPV11" s="18"/>
      <c r="IPW11" s="18"/>
      <c r="IPX11" s="18"/>
      <c r="IPY11" s="18"/>
      <c r="IPZ11" s="18"/>
      <c r="IQA11" s="18"/>
      <c r="IQB11" s="18"/>
      <c r="IQC11" s="18"/>
      <c r="IQD11" s="18"/>
      <c r="IQE11" s="18"/>
      <c r="IQF11" s="18"/>
      <c r="IQG11" s="18"/>
      <c r="IQH11" s="18"/>
      <c r="IQI11" s="18"/>
      <c r="IQJ11" s="18"/>
      <c r="IQK11" s="18"/>
      <c r="IQL11" s="18"/>
      <c r="IQM11" s="18"/>
      <c r="IQN11" s="18"/>
      <c r="IQO11" s="18"/>
      <c r="IQP11" s="18"/>
      <c r="IQQ11" s="18"/>
      <c r="IQR11" s="18"/>
      <c r="IQS11" s="18"/>
      <c r="IQT11" s="18"/>
      <c r="IQU11" s="18"/>
      <c r="IQV11" s="18"/>
      <c r="IQW11" s="18"/>
      <c r="IQX11" s="18"/>
      <c r="IQY11" s="18"/>
      <c r="IQZ11" s="18"/>
      <c r="IRA11" s="18"/>
      <c r="IRB11" s="18"/>
      <c r="IRC11" s="18"/>
      <c r="IRD11" s="18"/>
      <c r="IRE11" s="18"/>
      <c r="IRF11" s="18"/>
      <c r="IRG11" s="18"/>
      <c r="IRH11" s="18"/>
      <c r="IRI11" s="18"/>
      <c r="IRJ11" s="18"/>
      <c r="IRK11" s="18"/>
      <c r="IRL11" s="18"/>
      <c r="IRM11" s="18"/>
      <c r="IRN11" s="18"/>
      <c r="IRO11" s="18"/>
      <c r="IRP11" s="18"/>
      <c r="IRQ11" s="18"/>
      <c r="IRR11" s="18"/>
      <c r="IRS11" s="18"/>
      <c r="IRT11" s="18"/>
      <c r="IRU11" s="18"/>
      <c r="IRV11" s="18"/>
      <c r="IRW11" s="18"/>
      <c r="IRX11" s="18"/>
      <c r="IRY11" s="18"/>
      <c r="IRZ11" s="18"/>
      <c r="ISA11" s="18"/>
      <c r="ISB11" s="18"/>
      <c r="ISC11" s="18"/>
      <c r="ISD11" s="18"/>
      <c r="ISE11" s="18"/>
      <c r="ISF11" s="18"/>
      <c r="ISG11" s="18"/>
      <c r="ISH11" s="18"/>
      <c r="ISI11" s="18"/>
      <c r="ISJ11" s="18"/>
      <c r="ISK11" s="18"/>
      <c r="ISL11" s="18"/>
      <c r="ISM11" s="18"/>
      <c r="ISN11" s="18"/>
      <c r="ISO11" s="18"/>
      <c r="ISP11" s="18"/>
      <c r="ISQ11" s="18"/>
      <c r="ISR11" s="18"/>
      <c r="ISS11" s="18"/>
      <c r="IST11" s="18"/>
      <c r="ISU11" s="18"/>
      <c r="ISV11" s="18"/>
      <c r="ISW11" s="18"/>
      <c r="ISX11" s="18"/>
      <c r="ISY11" s="18"/>
      <c r="ISZ11" s="18"/>
      <c r="ITA11" s="18"/>
      <c r="ITB11" s="18"/>
      <c r="ITC11" s="18"/>
      <c r="ITD11" s="18"/>
      <c r="ITE11" s="18"/>
      <c r="ITF11" s="18"/>
      <c r="ITG11" s="18"/>
      <c r="ITH11" s="18"/>
      <c r="ITI11" s="18"/>
      <c r="ITJ11" s="18"/>
      <c r="ITK11" s="18"/>
      <c r="ITL11" s="18"/>
      <c r="ITM11" s="18"/>
      <c r="ITN11" s="18"/>
      <c r="ITO11" s="18"/>
      <c r="ITP11" s="18"/>
      <c r="ITQ11" s="18"/>
      <c r="ITR11" s="18"/>
      <c r="ITS11" s="18"/>
      <c r="ITT11" s="18"/>
      <c r="ITU11" s="18"/>
      <c r="ITV11" s="18"/>
      <c r="ITW11" s="18"/>
      <c r="ITX11" s="18"/>
      <c r="ITY11" s="18"/>
      <c r="ITZ11" s="18"/>
      <c r="IUA11" s="18"/>
      <c r="IUB11" s="18"/>
      <c r="IUC11" s="18"/>
      <c r="IUD11" s="18"/>
      <c r="IUE11" s="18"/>
      <c r="IUF11" s="18"/>
      <c r="IUG11" s="18"/>
      <c r="IUH11" s="18"/>
      <c r="IUI11" s="18"/>
      <c r="IUJ11" s="18"/>
      <c r="IUK11" s="18"/>
      <c r="IUL11" s="18"/>
      <c r="IUM11" s="18"/>
      <c r="IUN11" s="18"/>
      <c r="IUO11" s="18"/>
      <c r="IUP11" s="18"/>
      <c r="IUQ11" s="18"/>
      <c r="IUR11" s="18"/>
      <c r="IUS11" s="18"/>
      <c r="IUT11" s="18"/>
      <c r="IUU11" s="18"/>
      <c r="IUV11" s="18"/>
      <c r="IUW11" s="18"/>
      <c r="IUX11" s="18"/>
      <c r="IUY11" s="18"/>
      <c r="IUZ11" s="18"/>
      <c r="IVA11" s="18"/>
      <c r="IVB11" s="18"/>
      <c r="IVC11" s="18"/>
      <c r="IVD11" s="18"/>
      <c r="IVE11" s="18"/>
      <c r="IVF11" s="18"/>
      <c r="IVG11" s="18"/>
      <c r="IVH11" s="18"/>
      <c r="IVI11" s="18"/>
      <c r="IVJ11" s="18"/>
      <c r="IVK11" s="18"/>
      <c r="IVL11" s="18"/>
      <c r="IVM11" s="18"/>
      <c r="IVN11" s="18"/>
      <c r="IVO11" s="18"/>
      <c r="IVP11" s="18"/>
      <c r="IVQ11" s="18"/>
      <c r="IVR11" s="18"/>
      <c r="IVS11" s="18"/>
      <c r="IVT11" s="18"/>
      <c r="IVU11" s="18"/>
      <c r="IVV11" s="18"/>
      <c r="IVW11" s="18"/>
      <c r="IVX11" s="18"/>
      <c r="IVY11" s="18"/>
      <c r="IVZ11" s="18"/>
      <c r="IWA11" s="18"/>
      <c r="IWB11" s="18"/>
      <c r="IWC11" s="18"/>
      <c r="IWD11" s="18"/>
      <c r="IWE11" s="18"/>
      <c r="IWF11" s="18"/>
      <c r="IWG11" s="18"/>
      <c r="IWH11" s="18"/>
      <c r="IWI11" s="18"/>
      <c r="IWJ11" s="18"/>
      <c r="IWK11" s="18"/>
      <c r="IWL11" s="18"/>
      <c r="IWM11" s="18"/>
      <c r="IWN11" s="18"/>
      <c r="IWO11" s="18"/>
      <c r="IWP11" s="18"/>
      <c r="IWQ11" s="18"/>
      <c r="IWR11" s="18"/>
      <c r="IWS11" s="18"/>
      <c r="IWT11" s="18"/>
      <c r="IWU11" s="18"/>
      <c r="IWV11" s="18"/>
      <c r="IWW11" s="18"/>
      <c r="IWX11" s="18"/>
      <c r="IWY11" s="18"/>
      <c r="IWZ11" s="18"/>
      <c r="IXA11" s="18"/>
      <c r="IXB11" s="18"/>
      <c r="IXC11" s="18"/>
      <c r="IXD11" s="18"/>
      <c r="IXE11" s="18"/>
      <c r="IXF11" s="18"/>
      <c r="IXG11" s="18"/>
      <c r="IXH11" s="18"/>
      <c r="IXI11" s="18"/>
      <c r="IXJ11" s="18"/>
      <c r="IXK11" s="18"/>
      <c r="IXL11" s="18"/>
      <c r="IXM11" s="18"/>
      <c r="IXN11" s="18"/>
      <c r="IXO11" s="18"/>
      <c r="IXP11" s="18"/>
      <c r="IXQ11" s="18"/>
      <c r="IXR11" s="18"/>
      <c r="IXS11" s="18"/>
      <c r="IXT11" s="18"/>
      <c r="IXU11" s="18"/>
      <c r="IXV11" s="18"/>
      <c r="IXW11" s="18"/>
      <c r="IXX11" s="18"/>
      <c r="IXY11" s="18"/>
      <c r="IXZ11" s="18"/>
      <c r="IYA11" s="18"/>
      <c r="IYB11" s="18"/>
      <c r="IYC11" s="18"/>
      <c r="IYD11" s="18"/>
      <c r="IYE11" s="18"/>
      <c r="IYF11" s="18"/>
      <c r="IYG11" s="18"/>
      <c r="IYH11" s="18"/>
      <c r="IYI11" s="18"/>
      <c r="IYJ11" s="18"/>
      <c r="IYK11" s="18"/>
      <c r="IYL11" s="18"/>
      <c r="IYM11" s="18"/>
      <c r="IYN11" s="18"/>
      <c r="IYO11" s="18"/>
      <c r="IYP11" s="18"/>
      <c r="IYQ11" s="18"/>
      <c r="IYR11" s="18"/>
      <c r="IYS11" s="18"/>
      <c r="IYT11" s="18"/>
      <c r="IYU11" s="18"/>
      <c r="IYV11" s="18"/>
      <c r="IYW11" s="18"/>
      <c r="IYX11" s="18"/>
      <c r="IYY11" s="18"/>
      <c r="IYZ11" s="18"/>
      <c r="IZA11" s="18"/>
      <c r="IZB11" s="18"/>
      <c r="IZC11" s="18"/>
      <c r="IZD11" s="18"/>
      <c r="IZE11" s="18"/>
      <c r="IZF11" s="18"/>
      <c r="IZG11" s="18"/>
      <c r="IZH11" s="18"/>
      <c r="IZI11" s="18"/>
      <c r="IZJ11" s="18"/>
      <c r="IZK11" s="18"/>
      <c r="IZL11" s="18"/>
      <c r="IZM11" s="18"/>
      <c r="IZN11" s="18"/>
      <c r="IZO11" s="18"/>
      <c r="IZP11" s="18"/>
      <c r="IZQ11" s="18"/>
      <c r="IZR11" s="18"/>
      <c r="IZS11" s="18"/>
      <c r="IZT11" s="18"/>
      <c r="IZU11" s="18"/>
      <c r="IZV11" s="18"/>
      <c r="IZW11" s="18"/>
      <c r="IZX11" s="18"/>
      <c r="IZY11" s="18"/>
      <c r="IZZ11" s="18"/>
      <c r="JAA11" s="18"/>
      <c r="JAB11" s="18"/>
      <c r="JAC11" s="18"/>
      <c r="JAD11" s="18"/>
      <c r="JAE11" s="18"/>
      <c r="JAF11" s="18"/>
      <c r="JAG11" s="18"/>
      <c r="JAH11" s="18"/>
      <c r="JAI11" s="18"/>
      <c r="JAJ11" s="18"/>
      <c r="JAK11" s="18"/>
      <c r="JAL11" s="18"/>
      <c r="JAM11" s="18"/>
      <c r="JAN11" s="18"/>
      <c r="JAO11" s="18"/>
      <c r="JAP11" s="18"/>
      <c r="JAQ11" s="18"/>
      <c r="JAR11" s="18"/>
      <c r="JAS11" s="18"/>
      <c r="JAT11" s="18"/>
      <c r="JAU11" s="18"/>
      <c r="JAV11" s="18"/>
      <c r="JAW11" s="18"/>
      <c r="JAX11" s="18"/>
      <c r="JAY11" s="18"/>
      <c r="JAZ11" s="18"/>
      <c r="JBA11" s="18"/>
      <c r="JBB11" s="18"/>
      <c r="JBC11" s="18"/>
      <c r="JBD11" s="18"/>
      <c r="JBE11" s="18"/>
      <c r="JBF11" s="18"/>
      <c r="JBG11" s="18"/>
      <c r="JBH11" s="18"/>
      <c r="JBI11" s="18"/>
      <c r="JBJ11" s="18"/>
      <c r="JBK11" s="18"/>
      <c r="JBL11" s="18"/>
      <c r="JBM11" s="18"/>
      <c r="JBN11" s="18"/>
      <c r="JBO11" s="18"/>
      <c r="JBP11" s="18"/>
      <c r="JBQ11" s="18"/>
      <c r="JBR11" s="18"/>
      <c r="JBS11" s="18"/>
      <c r="JBT11" s="18"/>
      <c r="JBU11" s="18"/>
      <c r="JBV11" s="18"/>
      <c r="JBW11" s="18"/>
      <c r="JBX11" s="18"/>
      <c r="JBY11" s="18"/>
      <c r="JBZ11" s="18"/>
      <c r="JCA11" s="18"/>
      <c r="JCB11" s="18"/>
      <c r="JCC11" s="18"/>
      <c r="JCD11" s="18"/>
      <c r="JCE11" s="18"/>
      <c r="JCF11" s="18"/>
      <c r="JCG11" s="18"/>
      <c r="JCH11" s="18"/>
      <c r="JCI11" s="18"/>
      <c r="JCJ11" s="18"/>
      <c r="JCK11" s="18"/>
      <c r="JCL11" s="18"/>
      <c r="JCM11" s="18"/>
      <c r="JCN11" s="18"/>
      <c r="JCO11" s="18"/>
      <c r="JCP11" s="18"/>
      <c r="JCQ11" s="18"/>
      <c r="JCR11" s="18"/>
      <c r="JCS11" s="18"/>
      <c r="JCT11" s="18"/>
      <c r="JCU11" s="18"/>
      <c r="JCV11" s="18"/>
      <c r="JCW11" s="18"/>
      <c r="JCX11" s="18"/>
      <c r="JCY11" s="18"/>
      <c r="JCZ11" s="18"/>
      <c r="JDA11" s="18"/>
      <c r="JDB11" s="18"/>
      <c r="JDC11" s="18"/>
      <c r="JDD11" s="18"/>
      <c r="JDE11" s="18"/>
      <c r="JDF11" s="18"/>
      <c r="JDG11" s="18"/>
      <c r="JDH11" s="18"/>
      <c r="JDI11" s="18"/>
      <c r="JDJ11" s="18"/>
      <c r="JDK11" s="18"/>
      <c r="JDL11" s="18"/>
      <c r="JDM11" s="18"/>
      <c r="JDN11" s="18"/>
      <c r="JDO11" s="18"/>
      <c r="JDP11" s="18"/>
      <c r="JDQ11" s="18"/>
      <c r="JDR11" s="18"/>
      <c r="JDS11" s="18"/>
      <c r="JDT11" s="18"/>
      <c r="JDU11" s="18"/>
      <c r="JDV11" s="18"/>
      <c r="JDW11" s="18"/>
      <c r="JDX11" s="18"/>
      <c r="JDY11" s="18"/>
      <c r="JDZ11" s="18"/>
      <c r="JEA11" s="18"/>
      <c r="JEB11" s="18"/>
      <c r="JEC11" s="18"/>
      <c r="JED11" s="18"/>
      <c r="JEE11" s="18"/>
      <c r="JEF11" s="18"/>
      <c r="JEG11" s="18"/>
      <c r="JEH11" s="18"/>
      <c r="JEI11" s="18"/>
      <c r="JEJ11" s="18"/>
      <c r="JEK11" s="18"/>
      <c r="JEL11" s="18"/>
      <c r="JEM11" s="18"/>
      <c r="JEN11" s="18"/>
      <c r="JEO11" s="18"/>
      <c r="JEP11" s="18"/>
      <c r="JEQ11" s="18"/>
      <c r="JER11" s="18"/>
      <c r="JES11" s="18"/>
      <c r="JET11" s="18"/>
      <c r="JEU11" s="18"/>
      <c r="JEV11" s="18"/>
      <c r="JEW11" s="18"/>
      <c r="JEX11" s="18"/>
      <c r="JEY11" s="18"/>
      <c r="JEZ11" s="18"/>
      <c r="JFA11" s="18"/>
      <c r="JFB11" s="18"/>
      <c r="JFC11" s="18"/>
      <c r="JFD11" s="18"/>
      <c r="JFE11" s="18"/>
      <c r="JFF11" s="18"/>
      <c r="JFG11" s="18"/>
      <c r="JFH11" s="18"/>
      <c r="JFI11" s="18"/>
      <c r="JFJ11" s="18"/>
      <c r="JFK11" s="18"/>
      <c r="JFL11" s="18"/>
      <c r="JFM11" s="18"/>
      <c r="JFN11" s="18"/>
      <c r="JFO11" s="18"/>
      <c r="JFP11" s="18"/>
      <c r="JFQ11" s="18"/>
      <c r="JFR11" s="18"/>
      <c r="JFS11" s="18"/>
      <c r="JFT11" s="18"/>
      <c r="JFU11" s="18"/>
      <c r="JFV11" s="18"/>
      <c r="JFW11" s="18"/>
      <c r="JFX11" s="18"/>
      <c r="JFY11" s="18"/>
      <c r="JFZ11" s="18"/>
      <c r="JGA11" s="18"/>
      <c r="JGB11" s="18"/>
      <c r="JGC11" s="18"/>
      <c r="JGD11" s="18"/>
      <c r="JGE11" s="18"/>
      <c r="JGF11" s="18"/>
      <c r="JGG11" s="18"/>
      <c r="JGH11" s="18"/>
      <c r="JGI11" s="18"/>
      <c r="JGJ11" s="18"/>
      <c r="JGK11" s="18"/>
      <c r="JGL11" s="18"/>
      <c r="JGM11" s="18"/>
      <c r="JGN11" s="18"/>
      <c r="JGO11" s="18"/>
      <c r="JGP11" s="18"/>
      <c r="JGQ11" s="18"/>
      <c r="JGR11" s="18"/>
      <c r="JGS11" s="18"/>
      <c r="JGT11" s="18"/>
      <c r="JGU11" s="18"/>
      <c r="JGV11" s="18"/>
      <c r="JGW11" s="18"/>
      <c r="JGX11" s="18"/>
      <c r="JGY11" s="18"/>
      <c r="JGZ11" s="18"/>
      <c r="JHA11" s="18"/>
      <c r="JHB11" s="18"/>
      <c r="JHC11" s="18"/>
      <c r="JHD11" s="18"/>
      <c r="JHE11" s="18"/>
      <c r="JHF11" s="18"/>
      <c r="JHG11" s="18"/>
      <c r="JHH11" s="18"/>
      <c r="JHI11" s="18"/>
      <c r="JHJ11" s="18"/>
      <c r="JHK11" s="18"/>
      <c r="JHL11" s="18"/>
      <c r="JHM11" s="18"/>
      <c r="JHN11" s="18"/>
      <c r="JHO11" s="18"/>
      <c r="JHP11" s="18"/>
      <c r="JHQ11" s="18"/>
      <c r="JHR11" s="18"/>
      <c r="JHS11" s="18"/>
      <c r="JHT11" s="18"/>
      <c r="JHU11" s="18"/>
      <c r="JHV11" s="18"/>
      <c r="JHW11" s="18"/>
      <c r="JHX11" s="18"/>
      <c r="JHY11" s="18"/>
      <c r="JHZ11" s="18"/>
      <c r="JIA11" s="18"/>
      <c r="JIB11" s="18"/>
      <c r="JIC11" s="18"/>
      <c r="JID11" s="18"/>
      <c r="JIE11" s="18"/>
      <c r="JIF11" s="18"/>
      <c r="JIG11" s="18"/>
      <c r="JIH11" s="18"/>
      <c r="JII11" s="18"/>
      <c r="JIJ11" s="18"/>
      <c r="JIK11" s="18"/>
      <c r="JIL11" s="18"/>
      <c r="JIM11" s="18"/>
      <c r="JIN11" s="18"/>
      <c r="JIO11" s="18"/>
      <c r="JIP11" s="18"/>
      <c r="JIQ11" s="18"/>
      <c r="JIR11" s="18"/>
      <c r="JIS11" s="18"/>
      <c r="JIT11" s="18"/>
      <c r="JIU11" s="18"/>
      <c r="JIV11" s="18"/>
      <c r="JIW11" s="18"/>
      <c r="JIX11" s="18"/>
      <c r="JIY11" s="18"/>
      <c r="JIZ11" s="18"/>
      <c r="JJA11" s="18"/>
      <c r="JJB11" s="18"/>
      <c r="JJC11" s="18"/>
      <c r="JJD11" s="18"/>
      <c r="JJE11" s="18"/>
      <c r="JJF11" s="18"/>
      <c r="JJG11" s="18"/>
      <c r="JJH11" s="18"/>
      <c r="JJI11" s="18"/>
      <c r="JJJ11" s="18"/>
      <c r="JJK11" s="18"/>
      <c r="JJL11" s="18"/>
      <c r="JJM11" s="18"/>
      <c r="JJN11" s="18"/>
      <c r="JJO11" s="18"/>
      <c r="JJP11" s="18"/>
      <c r="JJQ11" s="18"/>
      <c r="JJR11" s="18"/>
      <c r="JJS11" s="18"/>
      <c r="JJT11" s="18"/>
      <c r="JJU11" s="18"/>
      <c r="JJV11" s="18"/>
      <c r="JJW11" s="18"/>
      <c r="JJX11" s="18"/>
      <c r="JJY11" s="18"/>
      <c r="JJZ11" s="18"/>
      <c r="JKA11" s="18"/>
      <c r="JKB11" s="18"/>
      <c r="JKC11" s="18"/>
      <c r="JKD11" s="18"/>
      <c r="JKE11" s="18"/>
      <c r="JKF11" s="18"/>
      <c r="JKG11" s="18"/>
      <c r="JKH11" s="18"/>
      <c r="JKI11" s="18"/>
      <c r="JKJ11" s="18"/>
      <c r="JKK11" s="18"/>
      <c r="JKL11" s="18"/>
      <c r="JKM11" s="18"/>
      <c r="JKN11" s="18"/>
      <c r="JKO11" s="18"/>
      <c r="JKP11" s="18"/>
      <c r="JKQ11" s="18"/>
      <c r="JKR11" s="18"/>
      <c r="JKS11" s="18"/>
      <c r="JKT11" s="18"/>
      <c r="JKU11" s="18"/>
      <c r="JKV11" s="18"/>
      <c r="JKW11" s="18"/>
      <c r="JKX11" s="18"/>
      <c r="JKY11" s="18"/>
      <c r="JKZ11" s="18"/>
      <c r="JLA11" s="18"/>
      <c r="JLB11" s="18"/>
      <c r="JLC11" s="18"/>
      <c r="JLD11" s="18"/>
      <c r="JLE11" s="18"/>
      <c r="JLF11" s="18"/>
      <c r="JLG11" s="18"/>
      <c r="JLH11" s="18"/>
      <c r="JLI11" s="18"/>
      <c r="JLJ11" s="18"/>
      <c r="JLK11" s="18"/>
      <c r="JLL11" s="18"/>
      <c r="JLM11" s="18"/>
      <c r="JLN11" s="18"/>
      <c r="JLO11" s="18"/>
      <c r="JLP11" s="18"/>
      <c r="JLQ11" s="18"/>
      <c r="JLR11" s="18"/>
      <c r="JLS11" s="18"/>
      <c r="JLT11" s="18"/>
      <c r="JLU11" s="18"/>
      <c r="JLV11" s="18"/>
      <c r="JLW11" s="18"/>
      <c r="JLX11" s="18"/>
      <c r="JLY11" s="18"/>
      <c r="JLZ11" s="18"/>
      <c r="JMA11" s="18"/>
      <c r="JMB11" s="18"/>
      <c r="JMC11" s="18"/>
      <c r="JMD11" s="18"/>
      <c r="JME11" s="18"/>
      <c r="JMF11" s="18"/>
      <c r="JMG11" s="18"/>
      <c r="JMH11" s="18"/>
      <c r="JMI11" s="18"/>
      <c r="JMJ11" s="18"/>
      <c r="JMK11" s="18"/>
      <c r="JML11" s="18"/>
      <c r="JMM11" s="18"/>
      <c r="JMN11" s="18"/>
      <c r="JMO11" s="18"/>
      <c r="JMP11" s="18"/>
      <c r="JMQ11" s="18"/>
      <c r="JMR11" s="18"/>
      <c r="JMS11" s="18"/>
      <c r="JMT11" s="18"/>
      <c r="JMU11" s="18"/>
      <c r="JMV11" s="18"/>
      <c r="JMW11" s="18"/>
      <c r="JMX11" s="18"/>
      <c r="JMY11" s="18"/>
      <c r="JMZ11" s="18"/>
      <c r="JNA11" s="18"/>
      <c r="JNB11" s="18"/>
      <c r="JNC11" s="18"/>
      <c r="JND11" s="18"/>
      <c r="JNE11" s="18"/>
      <c r="JNF11" s="18"/>
      <c r="JNG11" s="18"/>
      <c r="JNH11" s="18"/>
      <c r="JNI11" s="18"/>
      <c r="JNJ11" s="18"/>
      <c r="JNK11" s="18"/>
      <c r="JNL11" s="18"/>
      <c r="JNM11" s="18"/>
      <c r="JNN11" s="18"/>
      <c r="JNO11" s="18"/>
      <c r="JNP11" s="18"/>
      <c r="JNQ11" s="18"/>
      <c r="JNR11" s="18"/>
      <c r="JNS11" s="18"/>
      <c r="JNT11" s="18"/>
      <c r="JNU11" s="18"/>
      <c r="JNV11" s="18"/>
      <c r="JNW11" s="18"/>
      <c r="JNX11" s="18"/>
      <c r="JNY11" s="18"/>
      <c r="JNZ11" s="18"/>
      <c r="JOA11" s="18"/>
      <c r="JOB11" s="18"/>
      <c r="JOC11" s="18"/>
      <c r="JOD11" s="18"/>
      <c r="JOE11" s="18"/>
      <c r="JOF11" s="18"/>
      <c r="JOG11" s="18"/>
      <c r="JOH11" s="18"/>
      <c r="JOI11" s="18"/>
      <c r="JOJ11" s="18"/>
      <c r="JOK11" s="18"/>
      <c r="JOL11" s="18"/>
      <c r="JOM11" s="18"/>
      <c r="JON11" s="18"/>
      <c r="JOO11" s="18"/>
      <c r="JOP11" s="18"/>
      <c r="JOQ11" s="18"/>
      <c r="JOR11" s="18"/>
      <c r="JOS11" s="18"/>
      <c r="JOT11" s="18"/>
      <c r="JOU11" s="18"/>
      <c r="JOV11" s="18"/>
      <c r="JOW11" s="18"/>
      <c r="JOX11" s="18"/>
      <c r="JOY11" s="18"/>
      <c r="JOZ11" s="18"/>
      <c r="JPA11" s="18"/>
      <c r="JPB11" s="18"/>
      <c r="JPC11" s="18"/>
      <c r="JPD11" s="18"/>
      <c r="JPE11" s="18"/>
      <c r="JPF11" s="18"/>
      <c r="JPG11" s="18"/>
      <c r="JPH11" s="18"/>
      <c r="JPI11" s="18"/>
      <c r="JPJ11" s="18"/>
      <c r="JPK11" s="18"/>
      <c r="JPL11" s="18"/>
      <c r="JPM11" s="18"/>
      <c r="JPN11" s="18"/>
      <c r="JPO11" s="18"/>
      <c r="JPP11" s="18"/>
      <c r="JPQ11" s="18"/>
      <c r="JPR11" s="18"/>
      <c r="JPS11" s="18"/>
      <c r="JPT11" s="18"/>
      <c r="JPU11" s="18"/>
      <c r="JPV11" s="18"/>
      <c r="JPW11" s="18"/>
      <c r="JPX11" s="18"/>
      <c r="JPY11" s="18"/>
      <c r="JPZ11" s="18"/>
      <c r="JQA11" s="18"/>
      <c r="JQB11" s="18"/>
      <c r="JQC11" s="18"/>
      <c r="JQD11" s="18"/>
      <c r="JQE11" s="18"/>
      <c r="JQF11" s="18"/>
      <c r="JQG11" s="18"/>
      <c r="JQH11" s="18"/>
      <c r="JQI11" s="18"/>
      <c r="JQJ11" s="18"/>
      <c r="JQK11" s="18"/>
      <c r="JQL11" s="18"/>
      <c r="JQM11" s="18"/>
      <c r="JQN11" s="18"/>
      <c r="JQO11" s="18"/>
      <c r="JQP11" s="18"/>
      <c r="JQQ11" s="18"/>
      <c r="JQR11" s="18"/>
      <c r="JQS11" s="18"/>
      <c r="JQT11" s="18"/>
      <c r="JQU11" s="18"/>
      <c r="JQV11" s="18"/>
      <c r="JQW11" s="18"/>
      <c r="JQX11" s="18"/>
      <c r="JQY11" s="18"/>
      <c r="JQZ11" s="18"/>
      <c r="JRA11" s="18"/>
      <c r="JRB11" s="18"/>
      <c r="JRC11" s="18"/>
      <c r="JRD11" s="18"/>
      <c r="JRE11" s="18"/>
      <c r="JRF11" s="18"/>
      <c r="JRG11" s="18"/>
      <c r="JRH11" s="18"/>
      <c r="JRI11" s="18"/>
      <c r="JRJ11" s="18"/>
      <c r="JRK11" s="18"/>
      <c r="JRL11" s="18"/>
      <c r="JRM11" s="18"/>
      <c r="JRN11" s="18"/>
      <c r="JRO11" s="18"/>
      <c r="JRP11" s="18"/>
      <c r="JRQ11" s="18"/>
      <c r="JRR11" s="18"/>
      <c r="JRS11" s="18"/>
      <c r="JRT11" s="18"/>
      <c r="JRU11" s="18"/>
      <c r="JRV11" s="18"/>
      <c r="JRW11" s="18"/>
      <c r="JRX11" s="18"/>
      <c r="JRY11" s="18"/>
      <c r="JRZ11" s="18"/>
      <c r="JSA11" s="18"/>
      <c r="JSB11" s="18"/>
      <c r="JSC11" s="18"/>
      <c r="JSD11" s="18"/>
      <c r="JSE11" s="18"/>
      <c r="JSF11" s="18"/>
      <c r="JSG11" s="18"/>
      <c r="JSH11" s="18"/>
      <c r="JSI11" s="18"/>
      <c r="JSJ11" s="18"/>
      <c r="JSK11" s="18"/>
      <c r="JSL11" s="18"/>
      <c r="JSM11" s="18"/>
      <c r="JSN11" s="18"/>
      <c r="JSO11" s="18"/>
      <c r="JSP11" s="18"/>
      <c r="JSQ11" s="18"/>
      <c r="JSR11" s="18"/>
      <c r="JSS11" s="18"/>
      <c r="JST11" s="18"/>
      <c r="JSU11" s="18"/>
      <c r="JSV11" s="18"/>
      <c r="JSW11" s="18"/>
      <c r="JSX11" s="18"/>
      <c r="JSY11" s="18"/>
      <c r="JSZ11" s="18"/>
      <c r="JTA11" s="18"/>
      <c r="JTB11" s="18"/>
      <c r="JTC11" s="18"/>
      <c r="JTD11" s="18"/>
      <c r="JTE11" s="18"/>
      <c r="JTF11" s="18"/>
      <c r="JTG11" s="18"/>
      <c r="JTH11" s="18"/>
      <c r="JTI11" s="18"/>
      <c r="JTJ11" s="18"/>
      <c r="JTK11" s="18"/>
      <c r="JTL11" s="18"/>
      <c r="JTM11" s="18"/>
      <c r="JTN11" s="18"/>
      <c r="JTO11" s="18"/>
      <c r="JTP11" s="18"/>
      <c r="JTQ11" s="18"/>
      <c r="JTR11" s="18"/>
      <c r="JTS11" s="18"/>
      <c r="JTT11" s="18"/>
      <c r="JTU11" s="18"/>
      <c r="JTV11" s="18"/>
      <c r="JTW11" s="18"/>
      <c r="JTX11" s="18"/>
      <c r="JTY11" s="18"/>
      <c r="JTZ11" s="18"/>
      <c r="JUA11" s="18"/>
      <c r="JUB11" s="18"/>
      <c r="JUC11" s="18"/>
      <c r="JUD11" s="18"/>
      <c r="JUE11" s="18"/>
      <c r="JUF11" s="18"/>
      <c r="JUG11" s="18"/>
      <c r="JUH11" s="18"/>
      <c r="JUI11" s="18"/>
      <c r="JUJ11" s="18"/>
      <c r="JUK11" s="18"/>
      <c r="JUL11" s="18"/>
      <c r="JUM11" s="18"/>
      <c r="JUN11" s="18"/>
      <c r="JUO11" s="18"/>
      <c r="JUP11" s="18"/>
      <c r="JUQ11" s="18"/>
      <c r="JUR11" s="18"/>
      <c r="JUS11" s="18"/>
      <c r="JUT11" s="18"/>
      <c r="JUU11" s="18"/>
      <c r="JUV11" s="18"/>
      <c r="JUW11" s="18"/>
      <c r="JUX11" s="18"/>
      <c r="JUY11" s="18"/>
      <c r="JUZ11" s="18"/>
      <c r="JVA11" s="18"/>
      <c r="JVB11" s="18"/>
      <c r="JVC11" s="18"/>
      <c r="JVD11" s="18"/>
      <c r="JVE11" s="18"/>
      <c r="JVF11" s="18"/>
      <c r="JVG11" s="18"/>
      <c r="JVH11" s="18"/>
      <c r="JVI11" s="18"/>
      <c r="JVJ11" s="18"/>
      <c r="JVK11" s="18"/>
      <c r="JVL11" s="18"/>
      <c r="JVM11" s="18"/>
      <c r="JVN11" s="18"/>
      <c r="JVO11" s="18"/>
      <c r="JVP11" s="18"/>
      <c r="JVQ11" s="18"/>
      <c r="JVR11" s="18"/>
      <c r="JVS11" s="18"/>
      <c r="JVT11" s="18"/>
      <c r="JVU11" s="18"/>
      <c r="JVV11" s="18"/>
      <c r="JVW11" s="18"/>
      <c r="JVX11" s="18"/>
      <c r="JVY11" s="18"/>
      <c r="JVZ11" s="18"/>
      <c r="JWA11" s="18"/>
      <c r="JWB11" s="18"/>
      <c r="JWC11" s="18"/>
      <c r="JWD11" s="18"/>
      <c r="JWE11" s="18"/>
      <c r="JWF11" s="18"/>
      <c r="JWG11" s="18"/>
      <c r="JWH11" s="18"/>
      <c r="JWI11" s="18"/>
      <c r="JWJ11" s="18"/>
      <c r="JWK11" s="18"/>
      <c r="JWL11" s="18"/>
      <c r="JWM11" s="18"/>
      <c r="JWN11" s="18"/>
      <c r="JWO11" s="18"/>
      <c r="JWP11" s="18"/>
      <c r="JWQ11" s="18"/>
      <c r="JWR11" s="18"/>
      <c r="JWS11" s="18"/>
      <c r="JWT11" s="18"/>
      <c r="JWU11" s="18"/>
      <c r="JWV11" s="18"/>
      <c r="JWW11" s="18"/>
      <c r="JWX11" s="18"/>
      <c r="JWY11" s="18"/>
      <c r="JWZ11" s="18"/>
      <c r="JXA11" s="18"/>
      <c r="JXB11" s="18"/>
      <c r="JXC11" s="18"/>
      <c r="JXD11" s="18"/>
      <c r="JXE11" s="18"/>
      <c r="JXF11" s="18"/>
      <c r="JXG11" s="18"/>
      <c r="JXH11" s="18"/>
      <c r="JXI11" s="18"/>
      <c r="JXJ11" s="18"/>
      <c r="JXK11" s="18"/>
      <c r="JXL11" s="18"/>
      <c r="JXM11" s="18"/>
      <c r="JXN11" s="18"/>
      <c r="JXO11" s="18"/>
      <c r="JXP11" s="18"/>
      <c r="JXQ11" s="18"/>
      <c r="JXR11" s="18"/>
      <c r="JXS11" s="18"/>
      <c r="JXT11" s="18"/>
      <c r="JXU11" s="18"/>
      <c r="JXV11" s="18"/>
      <c r="JXW11" s="18"/>
      <c r="JXX11" s="18"/>
      <c r="JXY11" s="18"/>
      <c r="JXZ11" s="18"/>
      <c r="JYA11" s="18"/>
      <c r="JYB11" s="18"/>
      <c r="JYC11" s="18"/>
      <c r="JYD11" s="18"/>
      <c r="JYE11" s="18"/>
      <c r="JYF11" s="18"/>
      <c r="JYG11" s="18"/>
      <c r="JYH11" s="18"/>
      <c r="JYI11" s="18"/>
      <c r="JYJ11" s="18"/>
      <c r="JYK11" s="18"/>
      <c r="JYL11" s="18"/>
      <c r="JYM11" s="18"/>
      <c r="JYN11" s="18"/>
      <c r="JYO11" s="18"/>
      <c r="JYP11" s="18"/>
      <c r="JYQ11" s="18"/>
      <c r="JYR11" s="18"/>
      <c r="JYS11" s="18"/>
      <c r="JYT11" s="18"/>
      <c r="JYU11" s="18"/>
      <c r="JYV11" s="18"/>
      <c r="JYW11" s="18"/>
      <c r="JYX11" s="18"/>
      <c r="JYY11" s="18"/>
      <c r="JYZ11" s="18"/>
      <c r="JZA11" s="18"/>
      <c r="JZB11" s="18"/>
      <c r="JZC11" s="18"/>
      <c r="JZD11" s="18"/>
      <c r="JZE11" s="18"/>
      <c r="JZF11" s="18"/>
      <c r="JZG11" s="18"/>
      <c r="JZH11" s="18"/>
      <c r="JZI11" s="18"/>
      <c r="JZJ11" s="18"/>
      <c r="JZK11" s="18"/>
      <c r="JZL11" s="18"/>
      <c r="JZM11" s="18"/>
      <c r="JZN11" s="18"/>
      <c r="JZO11" s="18"/>
      <c r="JZP11" s="18"/>
      <c r="JZQ11" s="18"/>
      <c r="JZR11" s="18"/>
      <c r="JZS11" s="18"/>
      <c r="JZT11" s="18"/>
      <c r="JZU11" s="18"/>
      <c r="JZV11" s="18"/>
      <c r="JZW11" s="18"/>
      <c r="JZX11" s="18"/>
      <c r="JZY11" s="18"/>
      <c r="JZZ11" s="18"/>
      <c r="KAA11" s="18"/>
      <c r="KAB11" s="18"/>
      <c r="KAC11" s="18"/>
      <c r="KAD11" s="18"/>
      <c r="KAE11" s="18"/>
      <c r="KAF11" s="18"/>
      <c r="KAG11" s="18"/>
      <c r="KAH11" s="18"/>
      <c r="KAI11" s="18"/>
      <c r="KAJ11" s="18"/>
      <c r="KAK11" s="18"/>
      <c r="KAL11" s="18"/>
      <c r="KAM11" s="18"/>
      <c r="KAN11" s="18"/>
      <c r="KAO11" s="18"/>
      <c r="KAP11" s="18"/>
      <c r="KAQ11" s="18"/>
      <c r="KAR11" s="18"/>
      <c r="KAS11" s="18"/>
      <c r="KAT11" s="18"/>
      <c r="KAU11" s="18"/>
      <c r="KAV11" s="18"/>
      <c r="KAW11" s="18"/>
      <c r="KAX11" s="18"/>
      <c r="KAY11" s="18"/>
      <c r="KAZ11" s="18"/>
      <c r="KBA11" s="18"/>
      <c r="KBB11" s="18"/>
      <c r="KBC11" s="18"/>
      <c r="KBD11" s="18"/>
      <c r="KBE11" s="18"/>
      <c r="KBF11" s="18"/>
      <c r="KBG11" s="18"/>
      <c r="KBH11" s="18"/>
      <c r="KBI11" s="18"/>
      <c r="KBJ11" s="18"/>
      <c r="KBK11" s="18"/>
      <c r="KBL11" s="18"/>
      <c r="KBM11" s="18"/>
      <c r="KBN11" s="18"/>
      <c r="KBO11" s="18"/>
      <c r="KBP11" s="18"/>
      <c r="KBQ11" s="18"/>
      <c r="KBR11" s="18"/>
      <c r="KBS11" s="18"/>
      <c r="KBT11" s="18"/>
      <c r="KBU11" s="18"/>
      <c r="KBV11" s="18"/>
      <c r="KBW11" s="18"/>
      <c r="KBX11" s="18"/>
      <c r="KBY11" s="18"/>
      <c r="KBZ11" s="18"/>
      <c r="KCA11" s="18"/>
      <c r="KCB11" s="18"/>
      <c r="KCC11" s="18"/>
      <c r="KCD11" s="18"/>
      <c r="KCE11" s="18"/>
      <c r="KCF11" s="18"/>
      <c r="KCG11" s="18"/>
      <c r="KCH11" s="18"/>
      <c r="KCI11" s="18"/>
      <c r="KCJ11" s="18"/>
      <c r="KCK11" s="18"/>
      <c r="KCL11" s="18"/>
      <c r="KCM11" s="18"/>
      <c r="KCN11" s="18"/>
      <c r="KCO11" s="18"/>
      <c r="KCP11" s="18"/>
      <c r="KCQ11" s="18"/>
      <c r="KCR11" s="18"/>
      <c r="KCS11" s="18"/>
      <c r="KCT11" s="18"/>
      <c r="KCU11" s="18"/>
      <c r="KCV11" s="18"/>
      <c r="KCW11" s="18"/>
      <c r="KCX11" s="18"/>
      <c r="KCY11" s="18"/>
      <c r="KCZ11" s="18"/>
      <c r="KDA11" s="18"/>
      <c r="KDB11" s="18"/>
      <c r="KDC11" s="18"/>
      <c r="KDD11" s="18"/>
      <c r="KDE11" s="18"/>
      <c r="KDF11" s="18"/>
      <c r="KDG11" s="18"/>
      <c r="KDH11" s="18"/>
      <c r="KDI11" s="18"/>
      <c r="KDJ11" s="18"/>
      <c r="KDK11" s="18"/>
      <c r="KDL11" s="18"/>
      <c r="KDM11" s="18"/>
      <c r="KDN11" s="18"/>
      <c r="KDO11" s="18"/>
      <c r="KDP11" s="18"/>
      <c r="KDQ11" s="18"/>
      <c r="KDR11" s="18"/>
      <c r="KDS11" s="18"/>
      <c r="KDT11" s="18"/>
      <c r="KDU11" s="18"/>
      <c r="KDV11" s="18"/>
      <c r="KDW11" s="18"/>
      <c r="KDX11" s="18"/>
      <c r="KDY11" s="18"/>
      <c r="KDZ11" s="18"/>
      <c r="KEA11" s="18"/>
      <c r="KEB11" s="18"/>
      <c r="KEC11" s="18"/>
      <c r="KED11" s="18"/>
      <c r="KEE11" s="18"/>
      <c r="KEF11" s="18"/>
      <c r="KEG11" s="18"/>
      <c r="KEH11" s="18"/>
      <c r="KEI11" s="18"/>
      <c r="KEJ11" s="18"/>
      <c r="KEK11" s="18"/>
      <c r="KEL11" s="18"/>
      <c r="KEM11" s="18"/>
      <c r="KEN11" s="18"/>
      <c r="KEO11" s="18"/>
      <c r="KEP11" s="18"/>
      <c r="KEQ11" s="18"/>
      <c r="KER11" s="18"/>
      <c r="KES11" s="18"/>
      <c r="KET11" s="18"/>
      <c r="KEU11" s="18"/>
      <c r="KEV11" s="18"/>
      <c r="KEW11" s="18"/>
      <c r="KEX11" s="18"/>
      <c r="KEY11" s="18"/>
      <c r="KEZ11" s="18"/>
      <c r="KFA11" s="18"/>
      <c r="KFB11" s="18"/>
      <c r="KFC11" s="18"/>
      <c r="KFD11" s="18"/>
      <c r="KFE11" s="18"/>
      <c r="KFF11" s="18"/>
      <c r="KFG11" s="18"/>
      <c r="KFH11" s="18"/>
      <c r="KFI11" s="18"/>
      <c r="KFJ11" s="18"/>
      <c r="KFK11" s="18"/>
      <c r="KFL11" s="18"/>
      <c r="KFM11" s="18"/>
      <c r="KFN11" s="18"/>
      <c r="KFO11" s="18"/>
      <c r="KFP11" s="18"/>
      <c r="KFQ11" s="18"/>
      <c r="KFR11" s="18"/>
      <c r="KFS11" s="18"/>
      <c r="KFT11" s="18"/>
      <c r="KFU11" s="18"/>
      <c r="KFV11" s="18"/>
      <c r="KFW11" s="18"/>
      <c r="KFX11" s="18"/>
      <c r="KFY11" s="18"/>
      <c r="KFZ11" s="18"/>
      <c r="KGA11" s="18"/>
      <c r="KGB11" s="18"/>
      <c r="KGC11" s="18"/>
      <c r="KGD11" s="18"/>
      <c r="KGE11" s="18"/>
      <c r="KGF11" s="18"/>
      <c r="KGG11" s="18"/>
      <c r="KGH11" s="18"/>
      <c r="KGI11" s="18"/>
      <c r="KGJ11" s="18"/>
      <c r="KGK11" s="18"/>
      <c r="KGL11" s="18"/>
      <c r="KGM11" s="18"/>
      <c r="KGN11" s="18"/>
      <c r="KGO11" s="18"/>
      <c r="KGP11" s="18"/>
      <c r="KGQ11" s="18"/>
      <c r="KGR11" s="18"/>
      <c r="KGS11" s="18"/>
      <c r="KGT11" s="18"/>
      <c r="KGU11" s="18"/>
      <c r="KGV11" s="18"/>
      <c r="KGW11" s="18"/>
      <c r="KGX11" s="18"/>
      <c r="KGY11" s="18"/>
      <c r="KGZ11" s="18"/>
      <c r="KHA11" s="18"/>
      <c r="KHB11" s="18"/>
      <c r="KHC11" s="18"/>
      <c r="KHD11" s="18"/>
      <c r="KHE11" s="18"/>
      <c r="KHF11" s="18"/>
      <c r="KHG11" s="18"/>
      <c r="KHH11" s="18"/>
      <c r="KHI11" s="18"/>
      <c r="KHJ11" s="18"/>
      <c r="KHK11" s="18"/>
      <c r="KHL11" s="18"/>
      <c r="KHM11" s="18"/>
      <c r="KHN11" s="18"/>
      <c r="KHO11" s="18"/>
      <c r="KHP11" s="18"/>
      <c r="KHQ11" s="18"/>
      <c r="KHR11" s="18"/>
      <c r="KHS11" s="18"/>
      <c r="KHT11" s="18"/>
      <c r="KHU11" s="18"/>
      <c r="KHV11" s="18"/>
      <c r="KHW11" s="18"/>
      <c r="KHX11" s="18"/>
      <c r="KHY11" s="18"/>
      <c r="KHZ11" s="18"/>
      <c r="KIA11" s="18"/>
      <c r="KIB11" s="18"/>
      <c r="KIC11" s="18"/>
      <c r="KID11" s="18"/>
      <c r="KIE11" s="18"/>
      <c r="KIF11" s="18"/>
      <c r="KIG11" s="18"/>
      <c r="KIH11" s="18"/>
      <c r="KII11" s="18"/>
      <c r="KIJ11" s="18"/>
      <c r="KIK11" s="18"/>
      <c r="KIL11" s="18"/>
      <c r="KIM11" s="18"/>
      <c r="KIN11" s="18"/>
      <c r="KIO11" s="18"/>
      <c r="KIP11" s="18"/>
      <c r="KIQ11" s="18"/>
      <c r="KIR11" s="18"/>
      <c r="KIS11" s="18"/>
      <c r="KIT11" s="18"/>
      <c r="KIU11" s="18"/>
      <c r="KIV11" s="18"/>
      <c r="KIW11" s="18"/>
      <c r="KIX11" s="18"/>
      <c r="KIY11" s="18"/>
      <c r="KIZ11" s="18"/>
      <c r="KJA11" s="18"/>
      <c r="KJB11" s="18"/>
      <c r="KJC11" s="18"/>
      <c r="KJD11" s="18"/>
      <c r="KJE11" s="18"/>
      <c r="KJF11" s="18"/>
      <c r="KJG11" s="18"/>
      <c r="KJH11" s="18"/>
      <c r="KJI11" s="18"/>
      <c r="KJJ11" s="18"/>
      <c r="KJK11" s="18"/>
      <c r="KJL11" s="18"/>
      <c r="KJM11" s="18"/>
      <c r="KJN11" s="18"/>
      <c r="KJO11" s="18"/>
      <c r="KJP11" s="18"/>
      <c r="KJQ11" s="18"/>
      <c r="KJR11" s="18"/>
      <c r="KJS11" s="18"/>
      <c r="KJT11" s="18"/>
      <c r="KJU11" s="18"/>
      <c r="KJV11" s="18"/>
      <c r="KJW11" s="18"/>
      <c r="KJX11" s="18"/>
      <c r="KJY11" s="18"/>
      <c r="KJZ11" s="18"/>
      <c r="KKA11" s="18"/>
      <c r="KKB11" s="18"/>
      <c r="KKC11" s="18"/>
      <c r="KKD11" s="18"/>
      <c r="KKE11" s="18"/>
      <c r="KKF11" s="18"/>
      <c r="KKG11" s="18"/>
      <c r="KKH11" s="18"/>
      <c r="KKI11" s="18"/>
      <c r="KKJ11" s="18"/>
      <c r="KKK11" s="18"/>
      <c r="KKL11" s="18"/>
      <c r="KKM11" s="18"/>
      <c r="KKN11" s="18"/>
      <c r="KKO11" s="18"/>
      <c r="KKP11" s="18"/>
      <c r="KKQ11" s="18"/>
      <c r="KKR11" s="18"/>
      <c r="KKS11" s="18"/>
      <c r="KKT11" s="18"/>
      <c r="KKU11" s="18"/>
      <c r="KKV11" s="18"/>
      <c r="KKW11" s="18"/>
      <c r="KKX11" s="18"/>
      <c r="KKY11" s="18"/>
      <c r="KKZ11" s="18"/>
      <c r="KLA11" s="18"/>
      <c r="KLB11" s="18"/>
      <c r="KLC11" s="18"/>
      <c r="KLD11" s="18"/>
      <c r="KLE11" s="18"/>
      <c r="KLF11" s="18"/>
      <c r="KLG11" s="18"/>
      <c r="KLH11" s="18"/>
      <c r="KLI11" s="18"/>
      <c r="KLJ11" s="18"/>
      <c r="KLK11" s="18"/>
      <c r="KLL11" s="18"/>
      <c r="KLM11" s="18"/>
      <c r="KLN11" s="18"/>
      <c r="KLO11" s="18"/>
      <c r="KLP11" s="18"/>
      <c r="KLQ11" s="18"/>
      <c r="KLR11" s="18"/>
      <c r="KLS11" s="18"/>
      <c r="KLT11" s="18"/>
      <c r="KLU11" s="18"/>
      <c r="KLV11" s="18"/>
      <c r="KLW11" s="18"/>
      <c r="KLX11" s="18"/>
      <c r="KLY11" s="18"/>
      <c r="KLZ11" s="18"/>
      <c r="KMA11" s="18"/>
      <c r="KMB11" s="18"/>
      <c r="KMC11" s="18"/>
      <c r="KMD11" s="18"/>
      <c r="KME11" s="18"/>
      <c r="KMF11" s="18"/>
      <c r="KMG11" s="18"/>
      <c r="KMH11" s="18"/>
      <c r="KMI11" s="18"/>
      <c r="KMJ11" s="18"/>
      <c r="KMK11" s="18"/>
      <c r="KML11" s="18"/>
      <c r="KMM11" s="18"/>
      <c r="KMN11" s="18"/>
      <c r="KMO11" s="18"/>
      <c r="KMP11" s="18"/>
      <c r="KMQ11" s="18"/>
      <c r="KMR11" s="18"/>
      <c r="KMS11" s="18"/>
      <c r="KMT11" s="18"/>
      <c r="KMU11" s="18"/>
      <c r="KMV11" s="18"/>
      <c r="KMW11" s="18"/>
      <c r="KMX11" s="18"/>
      <c r="KMY11" s="18"/>
      <c r="KMZ11" s="18"/>
      <c r="KNA11" s="18"/>
      <c r="KNB11" s="18"/>
      <c r="KNC11" s="18"/>
      <c r="KND11" s="18"/>
      <c r="KNE11" s="18"/>
      <c r="KNF11" s="18"/>
      <c r="KNG11" s="18"/>
      <c r="KNH11" s="18"/>
      <c r="KNI11" s="18"/>
      <c r="KNJ11" s="18"/>
      <c r="KNK11" s="18"/>
      <c r="KNL11" s="18"/>
      <c r="KNM11" s="18"/>
      <c r="KNN11" s="18"/>
      <c r="KNO11" s="18"/>
      <c r="KNP11" s="18"/>
      <c r="KNQ11" s="18"/>
      <c r="KNR11" s="18"/>
      <c r="KNS11" s="18"/>
      <c r="KNT11" s="18"/>
      <c r="KNU11" s="18"/>
      <c r="KNV11" s="18"/>
      <c r="KNW11" s="18"/>
      <c r="KNX11" s="18"/>
      <c r="KNY11" s="18"/>
      <c r="KNZ11" s="18"/>
      <c r="KOA11" s="18"/>
      <c r="KOB11" s="18"/>
      <c r="KOC11" s="18"/>
      <c r="KOD11" s="18"/>
      <c r="KOE11" s="18"/>
      <c r="KOF11" s="18"/>
      <c r="KOG11" s="18"/>
      <c r="KOH11" s="18"/>
      <c r="KOI11" s="18"/>
      <c r="KOJ11" s="18"/>
      <c r="KOK11" s="18"/>
      <c r="KOL11" s="18"/>
      <c r="KOM11" s="18"/>
      <c r="KON11" s="18"/>
      <c r="KOO11" s="18"/>
      <c r="KOP11" s="18"/>
      <c r="KOQ11" s="18"/>
      <c r="KOR11" s="18"/>
      <c r="KOS11" s="18"/>
      <c r="KOT11" s="18"/>
      <c r="KOU11" s="18"/>
      <c r="KOV11" s="18"/>
      <c r="KOW11" s="18"/>
      <c r="KOX11" s="18"/>
      <c r="KOY11" s="18"/>
      <c r="KOZ11" s="18"/>
      <c r="KPA11" s="18"/>
      <c r="KPB11" s="18"/>
      <c r="KPC11" s="18"/>
      <c r="KPD11" s="18"/>
      <c r="KPE11" s="18"/>
      <c r="KPF11" s="18"/>
      <c r="KPG11" s="18"/>
      <c r="KPH11" s="18"/>
      <c r="KPI11" s="18"/>
      <c r="KPJ11" s="18"/>
      <c r="KPK11" s="18"/>
      <c r="KPL11" s="18"/>
      <c r="KPM11" s="18"/>
      <c r="KPN11" s="18"/>
      <c r="KPO11" s="18"/>
      <c r="KPP11" s="18"/>
      <c r="KPQ11" s="18"/>
      <c r="KPR11" s="18"/>
      <c r="KPS11" s="18"/>
      <c r="KPT11" s="18"/>
      <c r="KPU11" s="18"/>
      <c r="KPV11" s="18"/>
      <c r="KPW11" s="18"/>
      <c r="KPX11" s="18"/>
      <c r="KPY11" s="18"/>
      <c r="KPZ11" s="18"/>
      <c r="KQA11" s="18"/>
      <c r="KQB11" s="18"/>
      <c r="KQC11" s="18"/>
      <c r="KQD11" s="18"/>
      <c r="KQE11" s="18"/>
      <c r="KQF11" s="18"/>
      <c r="KQG11" s="18"/>
      <c r="KQH11" s="18"/>
      <c r="KQI11" s="18"/>
      <c r="KQJ11" s="18"/>
      <c r="KQK11" s="18"/>
      <c r="KQL11" s="18"/>
      <c r="KQM11" s="18"/>
      <c r="KQN11" s="18"/>
      <c r="KQO11" s="18"/>
      <c r="KQP11" s="18"/>
      <c r="KQQ11" s="18"/>
      <c r="KQR11" s="18"/>
      <c r="KQS11" s="18"/>
      <c r="KQT11" s="18"/>
      <c r="KQU11" s="18"/>
      <c r="KQV11" s="18"/>
      <c r="KQW11" s="18"/>
      <c r="KQX11" s="18"/>
      <c r="KQY11" s="18"/>
      <c r="KQZ11" s="18"/>
      <c r="KRA11" s="18"/>
      <c r="KRB11" s="18"/>
      <c r="KRC11" s="18"/>
      <c r="KRD11" s="18"/>
      <c r="KRE11" s="18"/>
      <c r="KRF11" s="18"/>
      <c r="KRG11" s="18"/>
      <c r="KRH11" s="18"/>
      <c r="KRI11" s="18"/>
      <c r="KRJ11" s="18"/>
      <c r="KRK11" s="18"/>
      <c r="KRL11" s="18"/>
      <c r="KRM11" s="18"/>
      <c r="KRN11" s="18"/>
      <c r="KRO11" s="18"/>
      <c r="KRP11" s="18"/>
      <c r="KRQ11" s="18"/>
      <c r="KRR11" s="18"/>
      <c r="KRS11" s="18"/>
      <c r="KRT11" s="18"/>
      <c r="KRU11" s="18"/>
      <c r="KRV11" s="18"/>
      <c r="KRW11" s="18"/>
      <c r="KRX11" s="18"/>
      <c r="KRY11" s="18"/>
      <c r="KRZ11" s="18"/>
      <c r="KSA11" s="18"/>
      <c r="KSB11" s="18"/>
      <c r="KSC11" s="18"/>
      <c r="KSD11" s="18"/>
      <c r="KSE11" s="18"/>
      <c r="KSF11" s="18"/>
      <c r="KSG11" s="18"/>
      <c r="KSH11" s="18"/>
      <c r="KSI11" s="18"/>
      <c r="KSJ11" s="18"/>
      <c r="KSK11" s="18"/>
      <c r="KSL11" s="18"/>
      <c r="KSM11" s="18"/>
      <c r="KSN11" s="18"/>
      <c r="KSO11" s="18"/>
      <c r="KSP11" s="18"/>
      <c r="KSQ11" s="18"/>
      <c r="KSR11" s="18"/>
      <c r="KSS11" s="18"/>
      <c r="KST11" s="18"/>
      <c r="KSU11" s="18"/>
      <c r="KSV11" s="18"/>
      <c r="KSW11" s="18"/>
      <c r="KSX11" s="18"/>
      <c r="KSY11" s="18"/>
      <c r="KSZ11" s="18"/>
      <c r="KTA11" s="18"/>
      <c r="KTB11" s="18"/>
      <c r="KTC11" s="18"/>
      <c r="KTD11" s="18"/>
      <c r="KTE11" s="18"/>
      <c r="KTF11" s="18"/>
      <c r="KTG11" s="18"/>
      <c r="KTH11" s="18"/>
      <c r="KTI11" s="18"/>
      <c r="KTJ11" s="18"/>
      <c r="KTK11" s="18"/>
      <c r="KTL11" s="18"/>
      <c r="KTM11" s="18"/>
      <c r="KTN11" s="18"/>
      <c r="KTO11" s="18"/>
      <c r="KTP11" s="18"/>
      <c r="KTQ11" s="18"/>
      <c r="KTR11" s="18"/>
      <c r="KTS11" s="18"/>
      <c r="KTT11" s="18"/>
      <c r="KTU11" s="18"/>
      <c r="KTV11" s="18"/>
      <c r="KTW11" s="18"/>
      <c r="KTX11" s="18"/>
      <c r="KTY11" s="18"/>
      <c r="KTZ11" s="18"/>
      <c r="KUA11" s="18"/>
      <c r="KUB11" s="18"/>
      <c r="KUC11" s="18"/>
      <c r="KUD11" s="18"/>
      <c r="KUE11" s="18"/>
      <c r="KUF11" s="18"/>
      <c r="KUG11" s="18"/>
      <c r="KUH11" s="18"/>
      <c r="KUI11" s="18"/>
      <c r="KUJ11" s="18"/>
      <c r="KUK11" s="18"/>
      <c r="KUL11" s="18"/>
      <c r="KUM11" s="18"/>
      <c r="KUN11" s="18"/>
      <c r="KUO11" s="18"/>
      <c r="KUP11" s="18"/>
      <c r="KUQ11" s="18"/>
      <c r="KUR11" s="18"/>
      <c r="KUS11" s="18"/>
      <c r="KUT11" s="18"/>
      <c r="KUU11" s="18"/>
      <c r="KUV11" s="18"/>
      <c r="KUW11" s="18"/>
      <c r="KUX11" s="18"/>
      <c r="KUY11" s="18"/>
      <c r="KUZ11" s="18"/>
      <c r="KVA11" s="18"/>
      <c r="KVB11" s="18"/>
      <c r="KVC11" s="18"/>
      <c r="KVD11" s="18"/>
      <c r="KVE11" s="18"/>
      <c r="KVF11" s="18"/>
      <c r="KVG11" s="18"/>
      <c r="KVH11" s="18"/>
      <c r="KVI11" s="18"/>
      <c r="KVJ11" s="18"/>
      <c r="KVK11" s="18"/>
      <c r="KVL11" s="18"/>
      <c r="KVM11" s="18"/>
      <c r="KVN11" s="18"/>
      <c r="KVO11" s="18"/>
      <c r="KVP11" s="18"/>
      <c r="KVQ11" s="18"/>
      <c r="KVR11" s="18"/>
      <c r="KVS11" s="18"/>
      <c r="KVT11" s="18"/>
      <c r="KVU11" s="18"/>
      <c r="KVV11" s="18"/>
      <c r="KVW11" s="18"/>
      <c r="KVX11" s="18"/>
      <c r="KVY11" s="18"/>
      <c r="KVZ11" s="18"/>
      <c r="KWA11" s="18"/>
      <c r="KWB11" s="18"/>
      <c r="KWC11" s="18"/>
      <c r="KWD11" s="18"/>
      <c r="KWE11" s="18"/>
      <c r="KWF11" s="18"/>
      <c r="KWG11" s="18"/>
      <c r="KWH11" s="18"/>
      <c r="KWI11" s="18"/>
      <c r="KWJ11" s="18"/>
      <c r="KWK11" s="18"/>
      <c r="KWL11" s="18"/>
      <c r="KWM11" s="18"/>
      <c r="KWN11" s="18"/>
      <c r="KWO11" s="18"/>
      <c r="KWP11" s="18"/>
      <c r="KWQ11" s="18"/>
      <c r="KWR11" s="18"/>
      <c r="KWS11" s="18"/>
      <c r="KWT11" s="18"/>
      <c r="KWU11" s="18"/>
      <c r="KWV11" s="18"/>
      <c r="KWW11" s="18"/>
      <c r="KWX11" s="18"/>
      <c r="KWY11" s="18"/>
      <c r="KWZ11" s="18"/>
      <c r="KXA11" s="18"/>
      <c r="KXB11" s="18"/>
      <c r="KXC11" s="18"/>
      <c r="KXD11" s="18"/>
      <c r="KXE11" s="18"/>
      <c r="KXF11" s="18"/>
      <c r="KXG11" s="18"/>
      <c r="KXH11" s="18"/>
      <c r="KXI11" s="18"/>
      <c r="KXJ11" s="18"/>
      <c r="KXK11" s="18"/>
      <c r="KXL11" s="18"/>
      <c r="KXM11" s="18"/>
      <c r="KXN11" s="18"/>
      <c r="KXO11" s="18"/>
      <c r="KXP11" s="18"/>
      <c r="KXQ11" s="18"/>
      <c r="KXR11" s="18"/>
      <c r="KXS11" s="18"/>
      <c r="KXT11" s="18"/>
      <c r="KXU11" s="18"/>
      <c r="KXV11" s="18"/>
      <c r="KXW11" s="18"/>
      <c r="KXX11" s="18"/>
      <c r="KXY11" s="18"/>
      <c r="KXZ11" s="18"/>
      <c r="KYA11" s="18"/>
      <c r="KYB11" s="18"/>
      <c r="KYC11" s="18"/>
      <c r="KYD11" s="18"/>
      <c r="KYE11" s="18"/>
      <c r="KYF11" s="18"/>
      <c r="KYG11" s="18"/>
      <c r="KYH11" s="18"/>
      <c r="KYI11" s="18"/>
      <c r="KYJ11" s="18"/>
      <c r="KYK11" s="18"/>
      <c r="KYL11" s="18"/>
      <c r="KYM11" s="18"/>
      <c r="KYN11" s="18"/>
      <c r="KYO11" s="18"/>
      <c r="KYP11" s="18"/>
      <c r="KYQ11" s="18"/>
      <c r="KYR11" s="18"/>
      <c r="KYS11" s="18"/>
      <c r="KYT11" s="18"/>
      <c r="KYU11" s="18"/>
      <c r="KYV11" s="18"/>
      <c r="KYW11" s="18"/>
      <c r="KYX11" s="18"/>
      <c r="KYY11" s="18"/>
      <c r="KYZ11" s="18"/>
      <c r="KZA11" s="18"/>
      <c r="KZB11" s="18"/>
      <c r="KZC11" s="18"/>
      <c r="KZD11" s="18"/>
      <c r="KZE11" s="18"/>
      <c r="KZF11" s="18"/>
      <c r="KZG11" s="18"/>
      <c r="KZH11" s="18"/>
      <c r="KZI11" s="18"/>
      <c r="KZJ11" s="18"/>
      <c r="KZK11" s="18"/>
      <c r="KZL11" s="18"/>
      <c r="KZM11" s="18"/>
      <c r="KZN11" s="18"/>
      <c r="KZO11" s="18"/>
      <c r="KZP11" s="18"/>
      <c r="KZQ11" s="18"/>
      <c r="KZR11" s="18"/>
      <c r="KZS11" s="18"/>
      <c r="KZT11" s="18"/>
      <c r="KZU11" s="18"/>
      <c r="KZV11" s="18"/>
      <c r="KZW11" s="18"/>
      <c r="KZX11" s="18"/>
      <c r="KZY11" s="18"/>
      <c r="KZZ11" s="18"/>
      <c r="LAA11" s="18"/>
      <c r="LAB11" s="18"/>
      <c r="LAC11" s="18"/>
      <c r="LAD11" s="18"/>
      <c r="LAE11" s="18"/>
      <c r="LAF11" s="18"/>
      <c r="LAG11" s="18"/>
      <c r="LAH11" s="18"/>
      <c r="LAI11" s="18"/>
      <c r="LAJ11" s="18"/>
      <c r="LAK11" s="18"/>
      <c r="LAL11" s="18"/>
      <c r="LAM11" s="18"/>
      <c r="LAN11" s="18"/>
      <c r="LAO11" s="18"/>
      <c r="LAP11" s="18"/>
      <c r="LAQ11" s="18"/>
      <c r="LAR11" s="18"/>
      <c r="LAS11" s="18"/>
      <c r="LAT11" s="18"/>
      <c r="LAU11" s="18"/>
      <c r="LAV11" s="18"/>
      <c r="LAW11" s="18"/>
      <c r="LAX11" s="18"/>
      <c r="LAY11" s="18"/>
      <c r="LAZ11" s="18"/>
      <c r="LBA11" s="18"/>
      <c r="LBB11" s="18"/>
      <c r="LBC11" s="18"/>
      <c r="LBD11" s="18"/>
      <c r="LBE11" s="18"/>
      <c r="LBF11" s="18"/>
      <c r="LBG11" s="18"/>
      <c r="LBH11" s="18"/>
      <c r="LBI11" s="18"/>
      <c r="LBJ11" s="18"/>
      <c r="LBK11" s="18"/>
      <c r="LBL11" s="18"/>
      <c r="LBM11" s="18"/>
      <c r="LBN11" s="18"/>
      <c r="LBO11" s="18"/>
      <c r="LBP11" s="18"/>
      <c r="LBQ11" s="18"/>
      <c r="LBR11" s="18"/>
      <c r="LBS11" s="18"/>
      <c r="LBT11" s="18"/>
      <c r="LBU11" s="18"/>
      <c r="LBV11" s="18"/>
      <c r="LBW11" s="18"/>
      <c r="LBX11" s="18"/>
      <c r="LBY11" s="18"/>
      <c r="LBZ11" s="18"/>
      <c r="LCA11" s="18"/>
      <c r="LCB11" s="18"/>
      <c r="LCC11" s="18"/>
      <c r="LCD11" s="18"/>
      <c r="LCE11" s="18"/>
      <c r="LCF11" s="18"/>
      <c r="LCG11" s="18"/>
      <c r="LCH11" s="18"/>
      <c r="LCI11" s="18"/>
      <c r="LCJ11" s="18"/>
      <c r="LCK11" s="18"/>
      <c r="LCL11" s="18"/>
      <c r="LCM11" s="18"/>
      <c r="LCN11" s="18"/>
      <c r="LCO11" s="18"/>
      <c r="LCP11" s="18"/>
      <c r="LCQ11" s="18"/>
      <c r="LCR11" s="18"/>
      <c r="LCS11" s="18"/>
      <c r="LCT11" s="18"/>
      <c r="LCU11" s="18"/>
      <c r="LCV11" s="18"/>
      <c r="LCW11" s="18"/>
      <c r="LCX11" s="18"/>
      <c r="LCY11" s="18"/>
      <c r="LCZ11" s="18"/>
      <c r="LDA11" s="18"/>
      <c r="LDB11" s="18"/>
      <c r="LDC11" s="18"/>
      <c r="LDD11" s="18"/>
      <c r="LDE11" s="18"/>
      <c r="LDF11" s="18"/>
      <c r="LDG11" s="18"/>
      <c r="LDH11" s="18"/>
      <c r="LDI11" s="18"/>
      <c r="LDJ11" s="18"/>
      <c r="LDK11" s="18"/>
      <c r="LDL11" s="18"/>
      <c r="LDM11" s="18"/>
      <c r="LDN11" s="18"/>
      <c r="LDO11" s="18"/>
      <c r="LDP11" s="18"/>
      <c r="LDQ11" s="18"/>
      <c r="LDR11" s="18"/>
      <c r="LDS11" s="18"/>
      <c r="LDT11" s="18"/>
      <c r="LDU11" s="18"/>
      <c r="LDV11" s="18"/>
      <c r="LDW11" s="18"/>
      <c r="LDX11" s="18"/>
      <c r="LDY11" s="18"/>
      <c r="LDZ11" s="18"/>
      <c r="LEA11" s="18"/>
      <c r="LEB11" s="18"/>
      <c r="LEC11" s="18"/>
      <c r="LED11" s="18"/>
      <c r="LEE11" s="18"/>
      <c r="LEF11" s="18"/>
      <c r="LEG11" s="18"/>
      <c r="LEH11" s="18"/>
      <c r="LEI11" s="18"/>
      <c r="LEJ11" s="18"/>
      <c r="LEK11" s="18"/>
      <c r="LEL11" s="18"/>
      <c r="LEM11" s="18"/>
      <c r="LEN11" s="18"/>
      <c r="LEO11" s="18"/>
      <c r="LEP11" s="18"/>
      <c r="LEQ11" s="18"/>
      <c r="LER11" s="18"/>
      <c r="LES11" s="18"/>
      <c r="LET11" s="18"/>
      <c r="LEU11" s="18"/>
      <c r="LEV11" s="18"/>
      <c r="LEW11" s="18"/>
      <c r="LEX11" s="18"/>
      <c r="LEY11" s="18"/>
      <c r="LEZ11" s="18"/>
      <c r="LFA11" s="18"/>
      <c r="LFB11" s="18"/>
      <c r="LFC11" s="18"/>
      <c r="LFD11" s="18"/>
      <c r="LFE11" s="18"/>
      <c r="LFF11" s="18"/>
      <c r="LFG11" s="18"/>
      <c r="LFH11" s="18"/>
      <c r="LFI11" s="18"/>
      <c r="LFJ11" s="18"/>
      <c r="LFK11" s="18"/>
      <c r="LFL11" s="18"/>
      <c r="LFM11" s="18"/>
      <c r="LFN11" s="18"/>
      <c r="LFO11" s="18"/>
      <c r="LFP11" s="18"/>
      <c r="LFQ11" s="18"/>
      <c r="LFR11" s="18"/>
      <c r="LFS11" s="18"/>
      <c r="LFT11" s="18"/>
      <c r="LFU11" s="18"/>
      <c r="LFV11" s="18"/>
      <c r="LFW11" s="18"/>
      <c r="LFX11" s="18"/>
      <c r="LFY11" s="18"/>
      <c r="LFZ11" s="18"/>
      <c r="LGA11" s="18"/>
      <c r="LGB11" s="18"/>
      <c r="LGC11" s="18"/>
      <c r="LGD11" s="18"/>
      <c r="LGE11" s="18"/>
      <c r="LGF11" s="18"/>
      <c r="LGG11" s="18"/>
      <c r="LGH11" s="18"/>
      <c r="LGI11" s="18"/>
      <c r="LGJ11" s="18"/>
      <c r="LGK11" s="18"/>
      <c r="LGL11" s="18"/>
      <c r="LGM11" s="18"/>
      <c r="LGN11" s="18"/>
      <c r="LGO11" s="18"/>
      <c r="LGP11" s="18"/>
      <c r="LGQ11" s="18"/>
      <c r="LGR11" s="18"/>
      <c r="LGS11" s="18"/>
      <c r="LGT11" s="18"/>
      <c r="LGU11" s="18"/>
      <c r="LGV11" s="18"/>
      <c r="LGW11" s="18"/>
      <c r="LGX11" s="18"/>
      <c r="LGY11" s="18"/>
      <c r="LGZ11" s="18"/>
      <c r="LHA11" s="18"/>
      <c r="LHB11" s="18"/>
      <c r="LHC11" s="18"/>
      <c r="LHD11" s="18"/>
      <c r="LHE11" s="18"/>
      <c r="LHF11" s="18"/>
      <c r="LHG11" s="18"/>
      <c r="LHH11" s="18"/>
      <c r="LHI11" s="18"/>
      <c r="LHJ11" s="18"/>
      <c r="LHK11" s="18"/>
      <c r="LHL11" s="18"/>
      <c r="LHM11" s="18"/>
      <c r="LHN11" s="18"/>
      <c r="LHO11" s="18"/>
      <c r="LHP11" s="18"/>
      <c r="LHQ11" s="18"/>
      <c r="LHR11" s="18"/>
      <c r="LHS11" s="18"/>
      <c r="LHT11" s="18"/>
      <c r="LHU11" s="18"/>
      <c r="LHV11" s="18"/>
      <c r="LHW11" s="18"/>
      <c r="LHX11" s="18"/>
      <c r="LHY11" s="18"/>
      <c r="LHZ11" s="18"/>
      <c r="LIA11" s="18"/>
      <c r="LIB11" s="18"/>
      <c r="LIC11" s="18"/>
      <c r="LID11" s="18"/>
      <c r="LIE11" s="18"/>
      <c r="LIF11" s="18"/>
      <c r="LIG11" s="18"/>
      <c r="LIH11" s="18"/>
      <c r="LII11" s="18"/>
      <c r="LIJ11" s="18"/>
      <c r="LIK11" s="18"/>
      <c r="LIL11" s="18"/>
      <c r="LIM11" s="18"/>
      <c r="LIN11" s="18"/>
      <c r="LIO11" s="18"/>
      <c r="LIP11" s="18"/>
      <c r="LIQ11" s="18"/>
      <c r="LIR11" s="18"/>
      <c r="LIS11" s="18"/>
      <c r="LIT11" s="18"/>
      <c r="LIU11" s="18"/>
      <c r="LIV11" s="18"/>
      <c r="LIW11" s="18"/>
      <c r="LIX11" s="18"/>
      <c r="LIY11" s="18"/>
      <c r="LIZ11" s="18"/>
      <c r="LJA11" s="18"/>
      <c r="LJB11" s="18"/>
      <c r="LJC11" s="18"/>
      <c r="LJD11" s="18"/>
      <c r="LJE11" s="18"/>
      <c r="LJF11" s="18"/>
      <c r="LJG11" s="18"/>
      <c r="LJH11" s="18"/>
      <c r="LJI11" s="18"/>
      <c r="LJJ11" s="18"/>
      <c r="LJK11" s="18"/>
      <c r="LJL11" s="18"/>
      <c r="LJM11" s="18"/>
      <c r="LJN11" s="18"/>
      <c r="LJO11" s="18"/>
      <c r="LJP11" s="18"/>
      <c r="LJQ11" s="18"/>
      <c r="LJR11" s="18"/>
      <c r="LJS11" s="18"/>
      <c r="LJT11" s="18"/>
      <c r="LJU11" s="18"/>
      <c r="LJV11" s="18"/>
      <c r="LJW11" s="18"/>
      <c r="LJX11" s="18"/>
      <c r="LJY11" s="18"/>
      <c r="LJZ11" s="18"/>
      <c r="LKA11" s="18"/>
      <c r="LKB11" s="18"/>
      <c r="LKC11" s="18"/>
      <c r="LKD11" s="18"/>
      <c r="LKE11" s="18"/>
      <c r="LKF11" s="18"/>
      <c r="LKG11" s="18"/>
      <c r="LKH11" s="18"/>
      <c r="LKI11" s="18"/>
      <c r="LKJ11" s="18"/>
      <c r="LKK11" s="18"/>
      <c r="LKL11" s="18"/>
      <c r="LKM11" s="18"/>
      <c r="LKN11" s="18"/>
      <c r="LKO11" s="18"/>
      <c r="LKP11" s="18"/>
      <c r="LKQ11" s="18"/>
      <c r="LKR11" s="18"/>
      <c r="LKS11" s="18"/>
      <c r="LKT11" s="18"/>
      <c r="LKU11" s="18"/>
      <c r="LKV11" s="18"/>
      <c r="LKW11" s="18"/>
      <c r="LKX11" s="18"/>
      <c r="LKY11" s="18"/>
      <c r="LKZ11" s="18"/>
      <c r="LLA11" s="18"/>
      <c r="LLB11" s="18"/>
      <c r="LLC11" s="18"/>
      <c r="LLD11" s="18"/>
      <c r="LLE11" s="18"/>
      <c r="LLF11" s="18"/>
      <c r="LLG11" s="18"/>
      <c r="LLH11" s="18"/>
      <c r="LLI11" s="18"/>
      <c r="LLJ11" s="18"/>
      <c r="LLK11" s="18"/>
      <c r="LLL11" s="18"/>
      <c r="LLM11" s="18"/>
      <c r="LLN11" s="18"/>
      <c r="LLO11" s="18"/>
      <c r="LLP11" s="18"/>
      <c r="LLQ11" s="18"/>
      <c r="LLR11" s="18"/>
      <c r="LLS11" s="18"/>
      <c r="LLT11" s="18"/>
      <c r="LLU11" s="18"/>
      <c r="LLV11" s="18"/>
      <c r="LLW11" s="18"/>
      <c r="LLX11" s="18"/>
      <c r="LLY11" s="18"/>
      <c r="LLZ11" s="18"/>
      <c r="LMA11" s="18"/>
      <c r="LMB11" s="18"/>
      <c r="LMC11" s="18"/>
      <c r="LMD11" s="18"/>
      <c r="LME11" s="18"/>
      <c r="LMF11" s="18"/>
      <c r="LMG11" s="18"/>
      <c r="LMH11" s="18"/>
      <c r="LMI11" s="18"/>
      <c r="LMJ11" s="18"/>
      <c r="LMK11" s="18"/>
      <c r="LML11" s="18"/>
      <c r="LMM11" s="18"/>
      <c r="LMN11" s="18"/>
      <c r="LMO11" s="18"/>
      <c r="LMP11" s="18"/>
      <c r="LMQ11" s="18"/>
      <c r="LMR11" s="18"/>
      <c r="LMS11" s="18"/>
      <c r="LMT11" s="18"/>
      <c r="LMU11" s="18"/>
      <c r="LMV11" s="18"/>
      <c r="LMW11" s="18"/>
      <c r="LMX11" s="18"/>
      <c r="LMY11" s="18"/>
      <c r="LMZ11" s="18"/>
      <c r="LNA11" s="18"/>
      <c r="LNB11" s="18"/>
      <c r="LNC11" s="18"/>
      <c r="LND11" s="18"/>
      <c r="LNE11" s="18"/>
      <c r="LNF11" s="18"/>
      <c r="LNG11" s="18"/>
      <c r="LNH11" s="18"/>
      <c r="LNI11" s="18"/>
      <c r="LNJ11" s="18"/>
      <c r="LNK11" s="18"/>
      <c r="LNL11" s="18"/>
      <c r="LNM11" s="18"/>
      <c r="LNN11" s="18"/>
      <c r="LNO11" s="18"/>
      <c r="LNP11" s="18"/>
      <c r="LNQ11" s="18"/>
      <c r="LNR11" s="18"/>
      <c r="LNS11" s="18"/>
      <c r="LNT11" s="18"/>
      <c r="LNU11" s="18"/>
      <c r="LNV11" s="18"/>
      <c r="LNW11" s="18"/>
      <c r="LNX11" s="18"/>
      <c r="LNY11" s="18"/>
      <c r="LNZ11" s="18"/>
      <c r="LOA11" s="18"/>
      <c r="LOB11" s="18"/>
      <c r="LOC11" s="18"/>
      <c r="LOD11" s="18"/>
      <c r="LOE11" s="18"/>
      <c r="LOF11" s="18"/>
      <c r="LOG11" s="18"/>
      <c r="LOH11" s="18"/>
      <c r="LOI11" s="18"/>
      <c r="LOJ11" s="18"/>
      <c r="LOK11" s="18"/>
      <c r="LOL11" s="18"/>
      <c r="LOM11" s="18"/>
      <c r="LON11" s="18"/>
      <c r="LOO11" s="18"/>
      <c r="LOP11" s="18"/>
      <c r="LOQ11" s="18"/>
      <c r="LOR11" s="18"/>
      <c r="LOS11" s="18"/>
      <c r="LOT11" s="18"/>
      <c r="LOU11" s="18"/>
      <c r="LOV11" s="18"/>
      <c r="LOW11" s="18"/>
      <c r="LOX11" s="18"/>
      <c r="LOY11" s="18"/>
      <c r="LOZ11" s="18"/>
      <c r="LPA11" s="18"/>
      <c r="LPB11" s="18"/>
      <c r="LPC11" s="18"/>
      <c r="LPD11" s="18"/>
      <c r="LPE11" s="18"/>
      <c r="LPF11" s="18"/>
      <c r="LPG11" s="18"/>
      <c r="LPH11" s="18"/>
      <c r="LPI11" s="18"/>
      <c r="LPJ11" s="18"/>
      <c r="LPK11" s="18"/>
      <c r="LPL11" s="18"/>
      <c r="LPM11" s="18"/>
      <c r="LPN11" s="18"/>
      <c r="LPO11" s="18"/>
      <c r="LPP11" s="18"/>
      <c r="LPQ11" s="18"/>
      <c r="LPR11" s="18"/>
      <c r="LPS11" s="18"/>
      <c r="LPT11" s="18"/>
      <c r="LPU11" s="18"/>
      <c r="LPV11" s="18"/>
      <c r="LPW11" s="18"/>
      <c r="LPX11" s="18"/>
      <c r="LPY11" s="18"/>
      <c r="LPZ11" s="18"/>
      <c r="LQA11" s="18"/>
      <c r="LQB11" s="18"/>
      <c r="LQC11" s="18"/>
      <c r="LQD11" s="18"/>
      <c r="LQE11" s="18"/>
      <c r="LQF11" s="18"/>
      <c r="LQG11" s="18"/>
      <c r="LQH11" s="18"/>
      <c r="LQI11" s="18"/>
      <c r="LQJ11" s="18"/>
      <c r="LQK11" s="18"/>
      <c r="LQL11" s="18"/>
      <c r="LQM11" s="18"/>
      <c r="LQN11" s="18"/>
      <c r="LQO11" s="18"/>
      <c r="LQP11" s="18"/>
      <c r="LQQ11" s="18"/>
      <c r="LQR11" s="18"/>
      <c r="LQS11" s="18"/>
      <c r="LQT11" s="18"/>
      <c r="LQU11" s="18"/>
      <c r="LQV11" s="18"/>
      <c r="LQW11" s="18"/>
      <c r="LQX11" s="18"/>
      <c r="LQY11" s="18"/>
      <c r="LQZ11" s="18"/>
      <c r="LRA11" s="18"/>
      <c r="LRB11" s="18"/>
      <c r="LRC11" s="18"/>
      <c r="LRD11" s="18"/>
      <c r="LRE11" s="18"/>
      <c r="LRF11" s="18"/>
      <c r="LRG11" s="18"/>
      <c r="LRH11" s="18"/>
      <c r="LRI11" s="18"/>
      <c r="LRJ11" s="18"/>
      <c r="LRK11" s="18"/>
      <c r="LRL11" s="18"/>
      <c r="LRM11" s="18"/>
      <c r="LRN11" s="18"/>
      <c r="LRO11" s="18"/>
      <c r="LRP11" s="18"/>
      <c r="LRQ11" s="18"/>
      <c r="LRR11" s="18"/>
      <c r="LRS11" s="18"/>
      <c r="LRT11" s="18"/>
      <c r="LRU11" s="18"/>
      <c r="LRV11" s="18"/>
      <c r="LRW11" s="18"/>
      <c r="LRX11" s="18"/>
      <c r="LRY11" s="18"/>
      <c r="LRZ11" s="18"/>
      <c r="LSA11" s="18"/>
      <c r="LSB11" s="18"/>
      <c r="LSC11" s="18"/>
      <c r="LSD11" s="18"/>
      <c r="LSE11" s="18"/>
      <c r="LSF11" s="18"/>
      <c r="LSG11" s="18"/>
      <c r="LSH11" s="18"/>
      <c r="LSI11" s="18"/>
      <c r="LSJ11" s="18"/>
      <c r="LSK11" s="18"/>
      <c r="LSL11" s="18"/>
      <c r="LSM11" s="18"/>
      <c r="LSN11" s="18"/>
      <c r="LSO11" s="18"/>
      <c r="LSP11" s="18"/>
      <c r="LSQ11" s="18"/>
      <c r="LSR11" s="18"/>
      <c r="LSS11" s="18"/>
      <c r="LST11" s="18"/>
      <c r="LSU11" s="18"/>
      <c r="LSV11" s="18"/>
      <c r="LSW11" s="18"/>
      <c r="LSX11" s="18"/>
      <c r="LSY11" s="18"/>
      <c r="LSZ11" s="18"/>
      <c r="LTA11" s="18"/>
      <c r="LTB11" s="18"/>
      <c r="LTC11" s="18"/>
      <c r="LTD11" s="18"/>
      <c r="LTE11" s="18"/>
      <c r="LTF11" s="18"/>
      <c r="LTG11" s="18"/>
      <c r="LTH11" s="18"/>
      <c r="LTI11" s="18"/>
      <c r="LTJ11" s="18"/>
      <c r="LTK11" s="18"/>
      <c r="LTL11" s="18"/>
      <c r="LTM11" s="18"/>
      <c r="LTN11" s="18"/>
      <c r="LTO11" s="18"/>
      <c r="LTP11" s="18"/>
      <c r="LTQ11" s="18"/>
      <c r="LTR11" s="18"/>
      <c r="LTS11" s="18"/>
      <c r="LTT11" s="18"/>
      <c r="LTU11" s="18"/>
      <c r="LTV11" s="18"/>
      <c r="LTW11" s="18"/>
      <c r="LTX11" s="18"/>
      <c r="LTY11" s="18"/>
      <c r="LTZ11" s="18"/>
      <c r="LUA11" s="18"/>
      <c r="LUB11" s="18"/>
      <c r="LUC11" s="18"/>
      <c r="LUD11" s="18"/>
      <c r="LUE11" s="18"/>
      <c r="LUF11" s="18"/>
      <c r="LUG11" s="18"/>
      <c r="LUH11" s="18"/>
      <c r="LUI11" s="18"/>
      <c r="LUJ11" s="18"/>
      <c r="LUK11" s="18"/>
      <c r="LUL11" s="18"/>
      <c r="LUM11" s="18"/>
      <c r="LUN11" s="18"/>
      <c r="LUO11" s="18"/>
      <c r="LUP11" s="18"/>
      <c r="LUQ11" s="18"/>
      <c r="LUR11" s="18"/>
      <c r="LUS11" s="18"/>
      <c r="LUT11" s="18"/>
      <c r="LUU11" s="18"/>
      <c r="LUV11" s="18"/>
      <c r="LUW11" s="18"/>
      <c r="LUX11" s="18"/>
      <c r="LUY11" s="18"/>
      <c r="LUZ11" s="18"/>
      <c r="LVA11" s="18"/>
      <c r="LVB11" s="18"/>
      <c r="LVC11" s="18"/>
      <c r="LVD11" s="18"/>
      <c r="LVE11" s="18"/>
      <c r="LVF11" s="18"/>
      <c r="LVG11" s="18"/>
      <c r="LVH11" s="18"/>
      <c r="LVI11" s="18"/>
      <c r="LVJ11" s="18"/>
      <c r="LVK11" s="18"/>
      <c r="LVL11" s="18"/>
      <c r="LVM11" s="18"/>
      <c r="LVN11" s="18"/>
      <c r="LVO11" s="18"/>
      <c r="LVP11" s="18"/>
      <c r="LVQ11" s="18"/>
      <c r="LVR11" s="18"/>
      <c r="LVS11" s="18"/>
      <c r="LVT11" s="18"/>
      <c r="LVU11" s="18"/>
      <c r="LVV11" s="18"/>
      <c r="LVW11" s="18"/>
      <c r="LVX11" s="18"/>
      <c r="LVY11" s="18"/>
      <c r="LVZ11" s="18"/>
      <c r="LWA11" s="18"/>
      <c r="LWB11" s="18"/>
      <c r="LWC11" s="18"/>
      <c r="LWD11" s="18"/>
      <c r="LWE11" s="18"/>
      <c r="LWF11" s="18"/>
      <c r="LWG11" s="18"/>
      <c r="LWH11" s="18"/>
      <c r="LWI11" s="18"/>
      <c r="LWJ11" s="18"/>
      <c r="LWK11" s="18"/>
      <c r="LWL11" s="18"/>
      <c r="LWM11" s="18"/>
      <c r="LWN11" s="18"/>
      <c r="LWO11" s="18"/>
      <c r="LWP11" s="18"/>
      <c r="LWQ11" s="18"/>
      <c r="LWR11" s="18"/>
      <c r="LWS11" s="18"/>
      <c r="LWT11" s="18"/>
      <c r="LWU11" s="18"/>
      <c r="LWV11" s="18"/>
      <c r="LWW11" s="18"/>
      <c r="LWX11" s="18"/>
      <c r="LWY11" s="18"/>
      <c r="LWZ11" s="18"/>
      <c r="LXA11" s="18"/>
      <c r="LXB11" s="18"/>
      <c r="LXC11" s="18"/>
      <c r="LXD11" s="18"/>
      <c r="LXE11" s="18"/>
      <c r="LXF11" s="18"/>
      <c r="LXG11" s="18"/>
      <c r="LXH11" s="18"/>
      <c r="LXI11" s="18"/>
      <c r="LXJ11" s="18"/>
      <c r="LXK11" s="18"/>
      <c r="LXL11" s="18"/>
      <c r="LXM11" s="18"/>
      <c r="LXN11" s="18"/>
      <c r="LXO11" s="18"/>
      <c r="LXP11" s="18"/>
      <c r="LXQ11" s="18"/>
      <c r="LXR11" s="18"/>
      <c r="LXS11" s="18"/>
      <c r="LXT11" s="18"/>
      <c r="LXU11" s="18"/>
      <c r="LXV11" s="18"/>
      <c r="LXW11" s="18"/>
      <c r="LXX11" s="18"/>
      <c r="LXY11" s="18"/>
      <c r="LXZ11" s="18"/>
      <c r="LYA11" s="18"/>
      <c r="LYB11" s="18"/>
      <c r="LYC11" s="18"/>
      <c r="LYD11" s="18"/>
      <c r="LYE11" s="18"/>
      <c r="LYF11" s="18"/>
      <c r="LYG11" s="18"/>
      <c r="LYH11" s="18"/>
      <c r="LYI11" s="18"/>
      <c r="LYJ11" s="18"/>
      <c r="LYK11" s="18"/>
      <c r="LYL11" s="18"/>
      <c r="LYM11" s="18"/>
      <c r="LYN11" s="18"/>
      <c r="LYO11" s="18"/>
      <c r="LYP11" s="18"/>
      <c r="LYQ11" s="18"/>
      <c r="LYR11" s="18"/>
      <c r="LYS11" s="18"/>
      <c r="LYT11" s="18"/>
      <c r="LYU11" s="18"/>
      <c r="LYV11" s="18"/>
      <c r="LYW11" s="18"/>
      <c r="LYX11" s="18"/>
      <c r="LYY11" s="18"/>
      <c r="LYZ11" s="18"/>
      <c r="LZA11" s="18"/>
      <c r="LZB11" s="18"/>
      <c r="LZC11" s="18"/>
      <c r="LZD11" s="18"/>
      <c r="LZE11" s="18"/>
      <c r="LZF11" s="18"/>
      <c r="LZG11" s="18"/>
      <c r="LZH11" s="18"/>
      <c r="LZI11" s="18"/>
      <c r="LZJ11" s="18"/>
      <c r="LZK11" s="18"/>
      <c r="LZL11" s="18"/>
      <c r="LZM11" s="18"/>
      <c r="LZN11" s="18"/>
      <c r="LZO11" s="18"/>
      <c r="LZP11" s="18"/>
      <c r="LZQ11" s="18"/>
      <c r="LZR11" s="18"/>
      <c r="LZS11" s="18"/>
      <c r="LZT11" s="18"/>
      <c r="LZU11" s="18"/>
      <c r="LZV11" s="18"/>
      <c r="LZW11" s="18"/>
      <c r="LZX11" s="18"/>
      <c r="LZY11" s="18"/>
      <c r="LZZ11" s="18"/>
      <c r="MAA11" s="18"/>
      <c r="MAB11" s="18"/>
      <c r="MAC11" s="18"/>
      <c r="MAD11" s="18"/>
      <c r="MAE11" s="18"/>
      <c r="MAF11" s="18"/>
      <c r="MAG11" s="18"/>
      <c r="MAH11" s="18"/>
      <c r="MAI11" s="18"/>
      <c r="MAJ11" s="18"/>
      <c r="MAK11" s="18"/>
      <c r="MAL11" s="18"/>
      <c r="MAM11" s="18"/>
      <c r="MAN11" s="18"/>
      <c r="MAO11" s="18"/>
      <c r="MAP11" s="18"/>
      <c r="MAQ11" s="18"/>
      <c r="MAR11" s="18"/>
      <c r="MAS11" s="18"/>
      <c r="MAT11" s="18"/>
      <c r="MAU11" s="18"/>
      <c r="MAV11" s="18"/>
      <c r="MAW11" s="18"/>
      <c r="MAX11" s="18"/>
      <c r="MAY11" s="18"/>
      <c r="MAZ11" s="18"/>
      <c r="MBA11" s="18"/>
      <c r="MBB11" s="18"/>
      <c r="MBC11" s="18"/>
      <c r="MBD11" s="18"/>
      <c r="MBE11" s="18"/>
      <c r="MBF11" s="18"/>
      <c r="MBG11" s="18"/>
      <c r="MBH11" s="18"/>
      <c r="MBI11" s="18"/>
      <c r="MBJ11" s="18"/>
      <c r="MBK11" s="18"/>
      <c r="MBL11" s="18"/>
      <c r="MBM11" s="18"/>
      <c r="MBN11" s="18"/>
      <c r="MBO11" s="18"/>
      <c r="MBP11" s="18"/>
      <c r="MBQ11" s="18"/>
      <c r="MBR11" s="18"/>
      <c r="MBS11" s="18"/>
      <c r="MBT11" s="18"/>
      <c r="MBU11" s="18"/>
      <c r="MBV11" s="18"/>
      <c r="MBW11" s="18"/>
      <c r="MBX11" s="18"/>
      <c r="MBY11" s="18"/>
      <c r="MBZ11" s="18"/>
      <c r="MCA11" s="18"/>
      <c r="MCB11" s="18"/>
      <c r="MCC11" s="18"/>
      <c r="MCD11" s="18"/>
      <c r="MCE11" s="18"/>
      <c r="MCF11" s="18"/>
      <c r="MCG11" s="18"/>
      <c r="MCH11" s="18"/>
      <c r="MCI11" s="18"/>
      <c r="MCJ11" s="18"/>
      <c r="MCK11" s="18"/>
      <c r="MCL11" s="18"/>
      <c r="MCM11" s="18"/>
      <c r="MCN11" s="18"/>
      <c r="MCO11" s="18"/>
      <c r="MCP11" s="18"/>
      <c r="MCQ11" s="18"/>
      <c r="MCR11" s="18"/>
      <c r="MCS11" s="18"/>
      <c r="MCT11" s="18"/>
      <c r="MCU11" s="18"/>
      <c r="MCV11" s="18"/>
      <c r="MCW11" s="18"/>
      <c r="MCX11" s="18"/>
      <c r="MCY11" s="18"/>
      <c r="MCZ11" s="18"/>
      <c r="MDA11" s="18"/>
      <c r="MDB11" s="18"/>
      <c r="MDC11" s="18"/>
      <c r="MDD11" s="18"/>
      <c r="MDE11" s="18"/>
      <c r="MDF11" s="18"/>
      <c r="MDG11" s="18"/>
      <c r="MDH11" s="18"/>
      <c r="MDI11" s="18"/>
      <c r="MDJ11" s="18"/>
      <c r="MDK11" s="18"/>
      <c r="MDL11" s="18"/>
      <c r="MDM11" s="18"/>
      <c r="MDN11" s="18"/>
      <c r="MDO11" s="18"/>
      <c r="MDP11" s="18"/>
      <c r="MDQ11" s="18"/>
      <c r="MDR11" s="18"/>
      <c r="MDS11" s="18"/>
      <c r="MDT11" s="18"/>
      <c r="MDU11" s="18"/>
      <c r="MDV11" s="18"/>
      <c r="MDW11" s="18"/>
      <c r="MDX11" s="18"/>
      <c r="MDY11" s="18"/>
      <c r="MDZ11" s="18"/>
      <c r="MEA11" s="18"/>
      <c r="MEB11" s="18"/>
      <c r="MEC11" s="18"/>
      <c r="MED11" s="18"/>
      <c r="MEE11" s="18"/>
      <c r="MEF11" s="18"/>
      <c r="MEG11" s="18"/>
      <c r="MEH11" s="18"/>
      <c r="MEI11" s="18"/>
      <c r="MEJ11" s="18"/>
      <c r="MEK11" s="18"/>
      <c r="MEL11" s="18"/>
      <c r="MEM11" s="18"/>
      <c r="MEN11" s="18"/>
      <c r="MEO11" s="18"/>
      <c r="MEP11" s="18"/>
      <c r="MEQ11" s="18"/>
      <c r="MER11" s="18"/>
      <c r="MES11" s="18"/>
      <c r="MET11" s="18"/>
      <c r="MEU11" s="18"/>
      <c r="MEV11" s="18"/>
      <c r="MEW11" s="18"/>
      <c r="MEX11" s="18"/>
      <c r="MEY11" s="18"/>
      <c r="MEZ11" s="18"/>
      <c r="MFA11" s="18"/>
      <c r="MFB11" s="18"/>
      <c r="MFC11" s="18"/>
      <c r="MFD11" s="18"/>
      <c r="MFE11" s="18"/>
      <c r="MFF11" s="18"/>
      <c r="MFG11" s="18"/>
      <c r="MFH11" s="18"/>
      <c r="MFI11" s="18"/>
      <c r="MFJ11" s="18"/>
      <c r="MFK11" s="18"/>
      <c r="MFL11" s="18"/>
      <c r="MFM11" s="18"/>
      <c r="MFN11" s="18"/>
      <c r="MFO11" s="18"/>
      <c r="MFP11" s="18"/>
      <c r="MFQ11" s="18"/>
      <c r="MFR11" s="18"/>
      <c r="MFS11" s="18"/>
      <c r="MFT11" s="18"/>
      <c r="MFU11" s="18"/>
      <c r="MFV11" s="18"/>
      <c r="MFW11" s="18"/>
      <c r="MFX11" s="18"/>
      <c r="MFY11" s="18"/>
      <c r="MFZ11" s="18"/>
      <c r="MGA11" s="18"/>
      <c r="MGB11" s="18"/>
      <c r="MGC11" s="18"/>
      <c r="MGD11" s="18"/>
      <c r="MGE11" s="18"/>
      <c r="MGF11" s="18"/>
      <c r="MGG11" s="18"/>
      <c r="MGH11" s="18"/>
      <c r="MGI11" s="18"/>
      <c r="MGJ11" s="18"/>
      <c r="MGK11" s="18"/>
      <c r="MGL11" s="18"/>
      <c r="MGM11" s="18"/>
      <c r="MGN11" s="18"/>
      <c r="MGO11" s="18"/>
      <c r="MGP11" s="18"/>
      <c r="MGQ11" s="18"/>
      <c r="MGR11" s="18"/>
      <c r="MGS11" s="18"/>
      <c r="MGT11" s="18"/>
      <c r="MGU11" s="18"/>
      <c r="MGV11" s="18"/>
      <c r="MGW11" s="18"/>
      <c r="MGX11" s="18"/>
      <c r="MGY11" s="18"/>
      <c r="MGZ11" s="18"/>
      <c r="MHA11" s="18"/>
      <c r="MHB11" s="18"/>
      <c r="MHC11" s="18"/>
      <c r="MHD11" s="18"/>
      <c r="MHE11" s="18"/>
      <c r="MHF11" s="18"/>
      <c r="MHG11" s="18"/>
      <c r="MHH11" s="18"/>
      <c r="MHI11" s="18"/>
      <c r="MHJ11" s="18"/>
      <c r="MHK11" s="18"/>
      <c r="MHL11" s="18"/>
      <c r="MHM11" s="18"/>
      <c r="MHN11" s="18"/>
      <c r="MHO11" s="18"/>
      <c r="MHP11" s="18"/>
      <c r="MHQ11" s="18"/>
      <c r="MHR11" s="18"/>
      <c r="MHS11" s="18"/>
      <c r="MHT11" s="18"/>
      <c r="MHU11" s="18"/>
      <c r="MHV11" s="18"/>
      <c r="MHW11" s="18"/>
      <c r="MHX11" s="18"/>
      <c r="MHY11" s="18"/>
      <c r="MHZ11" s="18"/>
      <c r="MIA11" s="18"/>
      <c r="MIB11" s="18"/>
      <c r="MIC11" s="18"/>
      <c r="MID11" s="18"/>
      <c r="MIE11" s="18"/>
      <c r="MIF11" s="18"/>
      <c r="MIG11" s="18"/>
      <c r="MIH11" s="18"/>
      <c r="MII11" s="18"/>
      <c r="MIJ11" s="18"/>
      <c r="MIK11" s="18"/>
      <c r="MIL11" s="18"/>
      <c r="MIM11" s="18"/>
      <c r="MIN11" s="18"/>
      <c r="MIO11" s="18"/>
      <c r="MIP11" s="18"/>
      <c r="MIQ11" s="18"/>
      <c r="MIR11" s="18"/>
      <c r="MIS11" s="18"/>
      <c r="MIT11" s="18"/>
      <c r="MIU11" s="18"/>
      <c r="MIV11" s="18"/>
      <c r="MIW11" s="18"/>
      <c r="MIX11" s="18"/>
      <c r="MIY11" s="18"/>
      <c r="MIZ11" s="18"/>
      <c r="MJA11" s="18"/>
      <c r="MJB11" s="18"/>
      <c r="MJC11" s="18"/>
      <c r="MJD11" s="18"/>
      <c r="MJE11" s="18"/>
      <c r="MJF11" s="18"/>
      <c r="MJG11" s="18"/>
      <c r="MJH11" s="18"/>
      <c r="MJI11" s="18"/>
      <c r="MJJ11" s="18"/>
      <c r="MJK11" s="18"/>
      <c r="MJL11" s="18"/>
      <c r="MJM11" s="18"/>
      <c r="MJN11" s="18"/>
      <c r="MJO11" s="18"/>
      <c r="MJP11" s="18"/>
      <c r="MJQ11" s="18"/>
      <c r="MJR11" s="18"/>
      <c r="MJS11" s="18"/>
      <c r="MJT11" s="18"/>
      <c r="MJU11" s="18"/>
      <c r="MJV11" s="18"/>
      <c r="MJW11" s="18"/>
      <c r="MJX11" s="18"/>
      <c r="MJY11" s="18"/>
      <c r="MJZ11" s="18"/>
      <c r="MKA11" s="18"/>
      <c r="MKB11" s="18"/>
      <c r="MKC11" s="18"/>
      <c r="MKD11" s="18"/>
      <c r="MKE11" s="18"/>
      <c r="MKF11" s="18"/>
      <c r="MKG11" s="18"/>
      <c r="MKH11" s="18"/>
      <c r="MKI11" s="18"/>
      <c r="MKJ11" s="18"/>
      <c r="MKK11" s="18"/>
      <c r="MKL11" s="18"/>
      <c r="MKM11" s="18"/>
      <c r="MKN11" s="18"/>
      <c r="MKO11" s="18"/>
      <c r="MKP11" s="18"/>
      <c r="MKQ11" s="18"/>
      <c r="MKR11" s="18"/>
      <c r="MKS11" s="18"/>
      <c r="MKT11" s="18"/>
      <c r="MKU11" s="18"/>
      <c r="MKV11" s="18"/>
      <c r="MKW11" s="18"/>
      <c r="MKX11" s="18"/>
      <c r="MKY11" s="18"/>
      <c r="MKZ11" s="18"/>
      <c r="MLA11" s="18"/>
      <c r="MLB11" s="18"/>
      <c r="MLC11" s="18"/>
      <c r="MLD11" s="18"/>
      <c r="MLE11" s="18"/>
      <c r="MLF11" s="18"/>
      <c r="MLG11" s="18"/>
      <c r="MLH11" s="18"/>
      <c r="MLI11" s="18"/>
      <c r="MLJ11" s="18"/>
      <c r="MLK11" s="18"/>
      <c r="MLL11" s="18"/>
      <c r="MLM11" s="18"/>
      <c r="MLN11" s="18"/>
      <c r="MLO11" s="18"/>
      <c r="MLP11" s="18"/>
      <c r="MLQ11" s="18"/>
      <c r="MLR11" s="18"/>
      <c r="MLS11" s="18"/>
      <c r="MLT11" s="18"/>
      <c r="MLU11" s="18"/>
      <c r="MLV11" s="18"/>
      <c r="MLW11" s="18"/>
      <c r="MLX11" s="18"/>
      <c r="MLY11" s="18"/>
      <c r="MLZ11" s="18"/>
      <c r="MMA11" s="18"/>
      <c r="MMB11" s="18"/>
      <c r="MMC11" s="18"/>
      <c r="MMD11" s="18"/>
      <c r="MME11" s="18"/>
      <c r="MMF11" s="18"/>
      <c r="MMG11" s="18"/>
      <c r="MMH11" s="18"/>
      <c r="MMI11" s="18"/>
      <c r="MMJ11" s="18"/>
      <c r="MMK11" s="18"/>
      <c r="MML11" s="18"/>
      <c r="MMM11" s="18"/>
      <c r="MMN11" s="18"/>
      <c r="MMO11" s="18"/>
      <c r="MMP11" s="18"/>
      <c r="MMQ11" s="18"/>
      <c r="MMR11" s="18"/>
      <c r="MMS11" s="18"/>
      <c r="MMT11" s="18"/>
      <c r="MMU11" s="18"/>
      <c r="MMV11" s="18"/>
      <c r="MMW11" s="18"/>
      <c r="MMX11" s="18"/>
      <c r="MMY11" s="18"/>
      <c r="MMZ11" s="18"/>
      <c r="MNA11" s="18"/>
      <c r="MNB11" s="18"/>
      <c r="MNC11" s="18"/>
      <c r="MND11" s="18"/>
      <c r="MNE11" s="18"/>
      <c r="MNF11" s="18"/>
      <c r="MNG11" s="18"/>
      <c r="MNH11" s="18"/>
      <c r="MNI11" s="18"/>
      <c r="MNJ11" s="18"/>
      <c r="MNK11" s="18"/>
      <c r="MNL11" s="18"/>
      <c r="MNM11" s="18"/>
      <c r="MNN11" s="18"/>
      <c r="MNO11" s="18"/>
      <c r="MNP11" s="18"/>
      <c r="MNQ11" s="18"/>
      <c r="MNR11" s="18"/>
      <c r="MNS11" s="18"/>
      <c r="MNT11" s="18"/>
      <c r="MNU11" s="18"/>
      <c r="MNV11" s="18"/>
      <c r="MNW11" s="18"/>
      <c r="MNX11" s="18"/>
      <c r="MNY11" s="18"/>
      <c r="MNZ11" s="18"/>
      <c r="MOA11" s="18"/>
      <c r="MOB11" s="18"/>
      <c r="MOC11" s="18"/>
      <c r="MOD11" s="18"/>
      <c r="MOE11" s="18"/>
      <c r="MOF11" s="18"/>
      <c r="MOG11" s="18"/>
      <c r="MOH11" s="18"/>
      <c r="MOI11" s="18"/>
      <c r="MOJ11" s="18"/>
      <c r="MOK11" s="18"/>
      <c r="MOL11" s="18"/>
      <c r="MOM11" s="18"/>
      <c r="MON11" s="18"/>
      <c r="MOO11" s="18"/>
      <c r="MOP11" s="18"/>
      <c r="MOQ11" s="18"/>
      <c r="MOR11" s="18"/>
      <c r="MOS11" s="18"/>
      <c r="MOT11" s="18"/>
      <c r="MOU11" s="18"/>
      <c r="MOV11" s="18"/>
      <c r="MOW11" s="18"/>
      <c r="MOX11" s="18"/>
      <c r="MOY11" s="18"/>
      <c r="MOZ11" s="18"/>
      <c r="MPA11" s="18"/>
      <c r="MPB11" s="18"/>
      <c r="MPC11" s="18"/>
      <c r="MPD11" s="18"/>
      <c r="MPE11" s="18"/>
      <c r="MPF11" s="18"/>
      <c r="MPG11" s="18"/>
      <c r="MPH11" s="18"/>
      <c r="MPI11" s="18"/>
      <c r="MPJ11" s="18"/>
      <c r="MPK11" s="18"/>
      <c r="MPL11" s="18"/>
      <c r="MPM11" s="18"/>
      <c r="MPN11" s="18"/>
      <c r="MPO11" s="18"/>
      <c r="MPP11" s="18"/>
      <c r="MPQ11" s="18"/>
      <c r="MPR11" s="18"/>
      <c r="MPS11" s="18"/>
      <c r="MPT11" s="18"/>
      <c r="MPU11" s="18"/>
      <c r="MPV11" s="18"/>
      <c r="MPW11" s="18"/>
      <c r="MPX11" s="18"/>
      <c r="MPY11" s="18"/>
      <c r="MPZ11" s="18"/>
      <c r="MQA11" s="18"/>
      <c r="MQB11" s="18"/>
      <c r="MQC11" s="18"/>
      <c r="MQD11" s="18"/>
      <c r="MQE11" s="18"/>
      <c r="MQF11" s="18"/>
      <c r="MQG11" s="18"/>
      <c r="MQH11" s="18"/>
      <c r="MQI11" s="18"/>
      <c r="MQJ11" s="18"/>
      <c r="MQK11" s="18"/>
      <c r="MQL11" s="18"/>
      <c r="MQM11" s="18"/>
      <c r="MQN11" s="18"/>
      <c r="MQO11" s="18"/>
      <c r="MQP11" s="18"/>
      <c r="MQQ11" s="18"/>
      <c r="MQR11" s="18"/>
      <c r="MQS11" s="18"/>
      <c r="MQT11" s="18"/>
      <c r="MQU11" s="18"/>
      <c r="MQV11" s="18"/>
      <c r="MQW11" s="18"/>
      <c r="MQX11" s="18"/>
      <c r="MQY11" s="18"/>
      <c r="MQZ11" s="18"/>
      <c r="MRA11" s="18"/>
      <c r="MRB11" s="18"/>
      <c r="MRC11" s="18"/>
      <c r="MRD11" s="18"/>
      <c r="MRE11" s="18"/>
      <c r="MRF11" s="18"/>
      <c r="MRG11" s="18"/>
      <c r="MRH11" s="18"/>
      <c r="MRI11" s="18"/>
      <c r="MRJ11" s="18"/>
      <c r="MRK11" s="18"/>
      <c r="MRL11" s="18"/>
      <c r="MRM11" s="18"/>
      <c r="MRN11" s="18"/>
      <c r="MRO11" s="18"/>
      <c r="MRP11" s="18"/>
      <c r="MRQ11" s="18"/>
      <c r="MRR11" s="18"/>
      <c r="MRS11" s="18"/>
      <c r="MRT11" s="18"/>
      <c r="MRU11" s="18"/>
      <c r="MRV11" s="18"/>
      <c r="MRW11" s="18"/>
      <c r="MRX11" s="18"/>
      <c r="MRY11" s="18"/>
      <c r="MRZ11" s="18"/>
      <c r="MSA11" s="18"/>
      <c r="MSB11" s="18"/>
      <c r="MSC11" s="18"/>
      <c r="MSD11" s="18"/>
      <c r="MSE11" s="18"/>
      <c r="MSF11" s="18"/>
      <c r="MSG11" s="18"/>
      <c r="MSH11" s="18"/>
      <c r="MSI11" s="18"/>
      <c r="MSJ11" s="18"/>
      <c r="MSK11" s="18"/>
      <c r="MSL11" s="18"/>
      <c r="MSM11" s="18"/>
      <c r="MSN11" s="18"/>
      <c r="MSO11" s="18"/>
      <c r="MSP11" s="18"/>
      <c r="MSQ11" s="18"/>
      <c r="MSR11" s="18"/>
      <c r="MSS11" s="18"/>
      <c r="MST11" s="18"/>
      <c r="MSU11" s="18"/>
      <c r="MSV11" s="18"/>
      <c r="MSW11" s="18"/>
      <c r="MSX11" s="18"/>
      <c r="MSY11" s="18"/>
      <c r="MSZ11" s="18"/>
      <c r="MTA11" s="18"/>
      <c r="MTB11" s="18"/>
      <c r="MTC11" s="18"/>
      <c r="MTD11" s="18"/>
      <c r="MTE11" s="18"/>
      <c r="MTF11" s="18"/>
      <c r="MTG11" s="18"/>
      <c r="MTH11" s="18"/>
      <c r="MTI11" s="18"/>
      <c r="MTJ11" s="18"/>
      <c r="MTK11" s="18"/>
      <c r="MTL11" s="18"/>
      <c r="MTM11" s="18"/>
      <c r="MTN11" s="18"/>
      <c r="MTO11" s="18"/>
      <c r="MTP11" s="18"/>
      <c r="MTQ11" s="18"/>
      <c r="MTR11" s="18"/>
      <c r="MTS11" s="18"/>
      <c r="MTT11" s="18"/>
      <c r="MTU11" s="18"/>
      <c r="MTV11" s="18"/>
      <c r="MTW11" s="18"/>
      <c r="MTX11" s="18"/>
      <c r="MTY11" s="18"/>
      <c r="MTZ11" s="18"/>
      <c r="MUA11" s="18"/>
      <c r="MUB11" s="18"/>
      <c r="MUC11" s="18"/>
      <c r="MUD11" s="18"/>
      <c r="MUE11" s="18"/>
      <c r="MUF11" s="18"/>
      <c r="MUG11" s="18"/>
      <c r="MUH11" s="18"/>
      <c r="MUI11" s="18"/>
      <c r="MUJ11" s="18"/>
      <c r="MUK11" s="18"/>
      <c r="MUL11" s="18"/>
      <c r="MUM11" s="18"/>
      <c r="MUN11" s="18"/>
      <c r="MUO11" s="18"/>
      <c r="MUP11" s="18"/>
      <c r="MUQ11" s="18"/>
      <c r="MUR11" s="18"/>
      <c r="MUS11" s="18"/>
      <c r="MUT11" s="18"/>
      <c r="MUU11" s="18"/>
      <c r="MUV11" s="18"/>
      <c r="MUW11" s="18"/>
      <c r="MUX11" s="18"/>
      <c r="MUY11" s="18"/>
      <c r="MUZ11" s="18"/>
      <c r="MVA11" s="18"/>
      <c r="MVB11" s="18"/>
      <c r="MVC11" s="18"/>
      <c r="MVD11" s="18"/>
      <c r="MVE11" s="18"/>
      <c r="MVF11" s="18"/>
      <c r="MVG11" s="18"/>
      <c r="MVH11" s="18"/>
      <c r="MVI11" s="18"/>
      <c r="MVJ11" s="18"/>
      <c r="MVK11" s="18"/>
      <c r="MVL11" s="18"/>
      <c r="MVM11" s="18"/>
      <c r="MVN11" s="18"/>
      <c r="MVO11" s="18"/>
      <c r="MVP11" s="18"/>
      <c r="MVQ11" s="18"/>
      <c r="MVR11" s="18"/>
      <c r="MVS11" s="18"/>
      <c r="MVT11" s="18"/>
      <c r="MVU11" s="18"/>
      <c r="MVV11" s="18"/>
      <c r="MVW11" s="18"/>
      <c r="MVX11" s="18"/>
      <c r="MVY11" s="18"/>
      <c r="MVZ11" s="18"/>
      <c r="MWA11" s="18"/>
      <c r="MWB11" s="18"/>
      <c r="MWC11" s="18"/>
      <c r="MWD11" s="18"/>
      <c r="MWE11" s="18"/>
      <c r="MWF11" s="18"/>
      <c r="MWG11" s="18"/>
      <c r="MWH11" s="18"/>
      <c r="MWI11" s="18"/>
      <c r="MWJ11" s="18"/>
      <c r="MWK11" s="18"/>
      <c r="MWL11" s="18"/>
      <c r="MWM11" s="18"/>
      <c r="MWN11" s="18"/>
      <c r="MWO11" s="18"/>
      <c r="MWP11" s="18"/>
      <c r="MWQ11" s="18"/>
      <c r="MWR11" s="18"/>
      <c r="MWS11" s="18"/>
      <c r="MWT11" s="18"/>
      <c r="MWU11" s="18"/>
      <c r="MWV11" s="18"/>
      <c r="MWW11" s="18"/>
      <c r="MWX11" s="18"/>
      <c r="MWY11" s="18"/>
      <c r="MWZ11" s="18"/>
      <c r="MXA11" s="18"/>
      <c r="MXB11" s="18"/>
      <c r="MXC11" s="18"/>
      <c r="MXD11" s="18"/>
      <c r="MXE11" s="18"/>
      <c r="MXF11" s="18"/>
      <c r="MXG11" s="18"/>
      <c r="MXH11" s="18"/>
      <c r="MXI11" s="18"/>
      <c r="MXJ11" s="18"/>
      <c r="MXK11" s="18"/>
      <c r="MXL11" s="18"/>
      <c r="MXM11" s="18"/>
      <c r="MXN11" s="18"/>
      <c r="MXO11" s="18"/>
      <c r="MXP11" s="18"/>
      <c r="MXQ11" s="18"/>
      <c r="MXR11" s="18"/>
      <c r="MXS11" s="18"/>
      <c r="MXT11" s="18"/>
      <c r="MXU11" s="18"/>
      <c r="MXV11" s="18"/>
      <c r="MXW11" s="18"/>
      <c r="MXX11" s="18"/>
      <c r="MXY11" s="18"/>
      <c r="MXZ11" s="18"/>
      <c r="MYA11" s="18"/>
      <c r="MYB11" s="18"/>
      <c r="MYC11" s="18"/>
      <c r="MYD11" s="18"/>
      <c r="MYE11" s="18"/>
      <c r="MYF11" s="18"/>
      <c r="MYG11" s="18"/>
      <c r="MYH11" s="18"/>
      <c r="MYI11" s="18"/>
      <c r="MYJ11" s="18"/>
      <c r="MYK11" s="18"/>
      <c r="MYL11" s="18"/>
      <c r="MYM11" s="18"/>
      <c r="MYN11" s="18"/>
      <c r="MYO11" s="18"/>
      <c r="MYP11" s="18"/>
      <c r="MYQ11" s="18"/>
      <c r="MYR11" s="18"/>
      <c r="MYS11" s="18"/>
      <c r="MYT11" s="18"/>
      <c r="MYU11" s="18"/>
      <c r="MYV11" s="18"/>
      <c r="MYW11" s="18"/>
      <c r="MYX11" s="18"/>
      <c r="MYY11" s="18"/>
      <c r="MYZ11" s="18"/>
      <c r="MZA11" s="18"/>
      <c r="MZB11" s="18"/>
      <c r="MZC11" s="18"/>
      <c r="MZD11" s="18"/>
      <c r="MZE11" s="18"/>
      <c r="MZF11" s="18"/>
      <c r="MZG11" s="18"/>
      <c r="MZH11" s="18"/>
      <c r="MZI11" s="18"/>
      <c r="MZJ11" s="18"/>
      <c r="MZK11" s="18"/>
      <c r="MZL11" s="18"/>
      <c r="MZM11" s="18"/>
      <c r="MZN11" s="18"/>
      <c r="MZO11" s="18"/>
      <c r="MZP11" s="18"/>
      <c r="MZQ11" s="18"/>
      <c r="MZR11" s="18"/>
      <c r="MZS11" s="18"/>
      <c r="MZT11" s="18"/>
      <c r="MZU11" s="18"/>
      <c r="MZV11" s="18"/>
      <c r="MZW11" s="18"/>
      <c r="MZX11" s="18"/>
      <c r="MZY11" s="18"/>
      <c r="MZZ11" s="18"/>
      <c r="NAA11" s="18"/>
      <c r="NAB11" s="18"/>
      <c r="NAC11" s="18"/>
      <c r="NAD11" s="18"/>
      <c r="NAE11" s="18"/>
      <c r="NAF11" s="18"/>
      <c r="NAG11" s="18"/>
      <c r="NAH11" s="18"/>
      <c r="NAI11" s="18"/>
      <c r="NAJ11" s="18"/>
      <c r="NAK11" s="18"/>
      <c r="NAL11" s="18"/>
      <c r="NAM11" s="18"/>
      <c r="NAN11" s="18"/>
      <c r="NAO11" s="18"/>
      <c r="NAP11" s="18"/>
      <c r="NAQ11" s="18"/>
      <c r="NAR11" s="18"/>
      <c r="NAS11" s="18"/>
      <c r="NAT11" s="18"/>
      <c r="NAU11" s="18"/>
      <c r="NAV11" s="18"/>
      <c r="NAW11" s="18"/>
      <c r="NAX11" s="18"/>
      <c r="NAY11" s="18"/>
      <c r="NAZ11" s="18"/>
      <c r="NBA11" s="18"/>
      <c r="NBB11" s="18"/>
      <c r="NBC11" s="18"/>
      <c r="NBD11" s="18"/>
      <c r="NBE11" s="18"/>
      <c r="NBF11" s="18"/>
      <c r="NBG11" s="18"/>
      <c r="NBH11" s="18"/>
      <c r="NBI11" s="18"/>
      <c r="NBJ11" s="18"/>
      <c r="NBK11" s="18"/>
      <c r="NBL11" s="18"/>
      <c r="NBM11" s="18"/>
      <c r="NBN11" s="18"/>
      <c r="NBO11" s="18"/>
      <c r="NBP11" s="18"/>
      <c r="NBQ11" s="18"/>
      <c r="NBR11" s="18"/>
      <c r="NBS11" s="18"/>
      <c r="NBT11" s="18"/>
      <c r="NBU11" s="18"/>
      <c r="NBV11" s="18"/>
      <c r="NBW11" s="18"/>
      <c r="NBX11" s="18"/>
      <c r="NBY11" s="18"/>
      <c r="NBZ11" s="18"/>
      <c r="NCA11" s="18"/>
      <c r="NCB11" s="18"/>
      <c r="NCC11" s="18"/>
      <c r="NCD11" s="18"/>
      <c r="NCE11" s="18"/>
      <c r="NCF11" s="18"/>
      <c r="NCG11" s="18"/>
      <c r="NCH11" s="18"/>
      <c r="NCI11" s="18"/>
      <c r="NCJ11" s="18"/>
      <c r="NCK11" s="18"/>
      <c r="NCL11" s="18"/>
      <c r="NCM11" s="18"/>
      <c r="NCN11" s="18"/>
      <c r="NCO11" s="18"/>
      <c r="NCP11" s="18"/>
      <c r="NCQ11" s="18"/>
      <c r="NCR11" s="18"/>
      <c r="NCS11" s="18"/>
      <c r="NCT11" s="18"/>
      <c r="NCU11" s="18"/>
      <c r="NCV11" s="18"/>
      <c r="NCW11" s="18"/>
      <c r="NCX11" s="18"/>
      <c r="NCY11" s="18"/>
      <c r="NCZ11" s="18"/>
      <c r="NDA11" s="18"/>
      <c r="NDB11" s="18"/>
      <c r="NDC11" s="18"/>
      <c r="NDD11" s="18"/>
      <c r="NDE11" s="18"/>
      <c r="NDF11" s="18"/>
      <c r="NDG11" s="18"/>
      <c r="NDH11" s="18"/>
      <c r="NDI11" s="18"/>
      <c r="NDJ11" s="18"/>
      <c r="NDK11" s="18"/>
      <c r="NDL11" s="18"/>
      <c r="NDM11" s="18"/>
      <c r="NDN11" s="18"/>
      <c r="NDO11" s="18"/>
      <c r="NDP11" s="18"/>
      <c r="NDQ11" s="18"/>
      <c r="NDR11" s="18"/>
      <c r="NDS11" s="18"/>
      <c r="NDT11" s="18"/>
      <c r="NDU11" s="18"/>
      <c r="NDV11" s="18"/>
      <c r="NDW11" s="18"/>
      <c r="NDX11" s="18"/>
      <c r="NDY11" s="18"/>
      <c r="NDZ11" s="18"/>
      <c r="NEA11" s="18"/>
      <c r="NEB11" s="18"/>
      <c r="NEC11" s="18"/>
      <c r="NED11" s="18"/>
      <c r="NEE11" s="18"/>
      <c r="NEF11" s="18"/>
      <c r="NEG11" s="18"/>
      <c r="NEH11" s="18"/>
      <c r="NEI11" s="18"/>
      <c r="NEJ11" s="18"/>
      <c r="NEK11" s="18"/>
      <c r="NEL11" s="18"/>
      <c r="NEM11" s="18"/>
      <c r="NEN11" s="18"/>
      <c r="NEO11" s="18"/>
      <c r="NEP11" s="18"/>
      <c r="NEQ11" s="18"/>
      <c r="NER11" s="18"/>
      <c r="NES11" s="18"/>
      <c r="NET11" s="18"/>
      <c r="NEU11" s="18"/>
      <c r="NEV11" s="18"/>
      <c r="NEW11" s="18"/>
      <c r="NEX11" s="18"/>
      <c r="NEY11" s="18"/>
      <c r="NEZ11" s="18"/>
      <c r="NFA11" s="18"/>
      <c r="NFB11" s="18"/>
      <c r="NFC11" s="18"/>
      <c r="NFD11" s="18"/>
      <c r="NFE11" s="18"/>
      <c r="NFF11" s="18"/>
      <c r="NFG11" s="18"/>
      <c r="NFH11" s="18"/>
      <c r="NFI11" s="18"/>
      <c r="NFJ11" s="18"/>
      <c r="NFK11" s="18"/>
      <c r="NFL11" s="18"/>
      <c r="NFM11" s="18"/>
      <c r="NFN11" s="18"/>
      <c r="NFO11" s="18"/>
      <c r="NFP11" s="18"/>
      <c r="NFQ11" s="18"/>
      <c r="NFR11" s="18"/>
      <c r="NFS11" s="18"/>
      <c r="NFT11" s="18"/>
      <c r="NFU11" s="18"/>
      <c r="NFV11" s="18"/>
      <c r="NFW11" s="18"/>
      <c r="NFX11" s="18"/>
      <c r="NFY11" s="18"/>
      <c r="NFZ11" s="18"/>
      <c r="NGA11" s="18"/>
      <c r="NGB11" s="18"/>
      <c r="NGC11" s="18"/>
      <c r="NGD11" s="18"/>
      <c r="NGE11" s="18"/>
      <c r="NGF11" s="18"/>
      <c r="NGG11" s="18"/>
      <c r="NGH11" s="18"/>
      <c r="NGI11" s="18"/>
      <c r="NGJ11" s="18"/>
      <c r="NGK11" s="18"/>
      <c r="NGL11" s="18"/>
      <c r="NGM11" s="18"/>
      <c r="NGN11" s="18"/>
      <c r="NGO11" s="18"/>
      <c r="NGP11" s="18"/>
      <c r="NGQ11" s="18"/>
      <c r="NGR11" s="18"/>
      <c r="NGS11" s="18"/>
      <c r="NGT11" s="18"/>
      <c r="NGU11" s="18"/>
      <c r="NGV11" s="18"/>
      <c r="NGW11" s="18"/>
      <c r="NGX11" s="18"/>
      <c r="NGY11" s="18"/>
      <c r="NGZ11" s="18"/>
      <c r="NHA11" s="18"/>
      <c r="NHB11" s="18"/>
      <c r="NHC11" s="18"/>
      <c r="NHD11" s="18"/>
      <c r="NHE11" s="18"/>
      <c r="NHF11" s="18"/>
      <c r="NHG11" s="18"/>
      <c r="NHH11" s="18"/>
      <c r="NHI11" s="18"/>
      <c r="NHJ11" s="18"/>
      <c r="NHK11" s="18"/>
      <c r="NHL11" s="18"/>
      <c r="NHM11" s="18"/>
      <c r="NHN11" s="18"/>
      <c r="NHO11" s="18"/>
      <c r="NHP11" s="18"/>
      <c r="NHQ11" s="18"/>
      <c r="NHR11" s="18"/>
      <c r="NHS11" s="18"/>
      <c r="NHT11" s="18"/>
      <c r="NHU11" s="18"/>
      <c r="NHV11" s="18"/>
      <c r="NHW11" s="18"/>
      <c r="NHX11" s="18"/>
      <c r="NHY11" s="18"/>
      <c r="NHZ11" s="18"/>
      <c r="NIA11" s="18"/>
      <c r="NIB11" s="18"/>
      <c r="NIC11" s="18"/>
      <c r="NID11" s="18"/>
      <c r="NIE11" s="18"/>
      <c r="NIF11" s="18"/>
      <c r="NIG11" s="18"/>
      <c r="NIH11" s="18"/>
      <c r="NII11" s="18"/>
      <c r="NIJ11" s="18"/>
      <c r="NIK11" s="18"/>
      <c r="NIL11" s="18"/>
      <c r="NIM11" s="18"/>
      <c r="NIN11" s="18"/>
      <c r="NIO11" s="18"/>
      <c r="NIP11" s="18"/>
      <c r="NIQ11" s="18"/>
      <c r="NIR11" s="18"/>
      <c r="NIS11" s="18"/>
      <c r="NIT11" s="18"/>
      <c r="NIU11" s="18"/>
      <c r="NIV11" s="18"/>
      <c r="NIW11" s="18"/>
      <c r="NIX11" s="18"/>
      <c r="NIY11" s="18"/>
      <c r="NIZ11" s="18"/>
      <c r="NJA11" s="18"/>
      <c r="NJB11" s="18"/>
      <c r="NJC11" s="18"/>
      <c r="NJD11" s="18"/>
      <c r="NJE11" s="18"/>
      <c r="NJF11" s="18"/>
      <c r="NJG11" s="18"/>
      <c r="NJH11" s="18"/>
      <c r="NJI11" s="18"/>
      <c r="NJJ11" s="18"/>
      <c r="NJK11" s="18"/>
      <c r="NJL11" s="18"/>
      <c r="NJM11" s="18"/>
      <c r="NJN11" s="18"/>
      <c r="NJO11" s="18"/>
      <c r="NJP11" s="18"/>
      <c r="NJQ11" s="18"/>
      <c r="NJR11" s="18"/>
      <c r="NJS11" s="18"/>
      <c r="NJT11" s="18"/>
      <c r="NJU11" s="18"/>
      <c r="NJV11" s="18"/>
      <c r="NJW11" s="18"/>
      <c r="NJX11" s="18"/>
      <c r="NJY11" s="18"/>
      <c r="NJZ11" s="18"/>
      <c r="NKA11" s="18"/>
      <c r="NKB11" s="18"/>
      <c r="NKC11" s="18"/>
      <c r="NKD11" s="18"/>
      <c r="NKE11" s="18"/>
      <c r="NKF11" s="18"/>
      <c r="NKG11" s="18"/>
      <c r="NKH11" s="18"/>
      <c r="NKI11" s="18"/>
      <c r="NKJ11" s="18"/>
      <c r="NKK11" s="18"/>
      <c r="NKL11" s="18"/>
      <c r="NKM11" s="18"/>
      <c r="NKN11" s="18"/>
      <c r="NKO11" s="18"/>
      <c r="NKP11" s="18"/>
      <c r="NKQ11" s="18"/>
      <c r="NKR11" s="18"/>
      <c r="NKS11" s="18"/>
      <c r="NKT11" s="18"/>
      <c r="NKU11" s="18"/>
      <c r="NKV11" s="18"/>
      <c r="NKW11" s="18"/>
      <c r="NKX11" s="18"/>
      <c r="NKY11" s="18"/>
      <c r="NKZ11" s="18"/>
      <c r="NLA11" s="18"/>
      <c r="NLB11" s="18"/>
      <c r="NLC11" s="18"/>
      <c r="NLD11" s="18"/>
      <c r="NLE11" s="18"/>
      <c r="NLF11" s="18"/>
      <c r="NLG11" s="18"/>
      <c r="NLH11" s="18"/>
      <c r="NLI11" s="18"/>
      <c r="NLJ11" s="18"/>
      <c r="NLK11" s="18"/>
      <c r="NLL11" s="18"/>
      <c r="NLM11" s="18"/>
      <c r="NLN11" s="18"/>
      <c r="NLO11" s="18"/>
      <c r="NLP11" s="18"/>
      <c r="NLQ11" s="18"/>
      <c r="NLR11" s="18"/>
      <c r="NLS11" s="18"/>
      <c r="NLT11" s="18"/>
      <c r="NLU11" s="18"/>
      <c r="NLV11" s="18"/>
      <c r="NLW11" s="18"/>
      <c r="NLX11" s="18"/>
      <c r="NLY11" s="18"/>
      <c r="NLZ11" s="18"/>
      <c r="NMA11" s="18"/>
      <c r="NMB11" s="18"/>
      <c r="NMC11" s="18"/>
      <c r="NMD11" s="18"/>
      <c r="NME11" s="18"/>
      <c r="NMF11" s="18"/>
      <c r="NMG11" s="18"/>
      <c r="NMH11" s="18"/>
      <c r="NMI11" s="18"/>
      <c r="NMJ11" s="18"/>
      <c r="NMK11" s="18"/>
      <c r="NML11" s="18"/>
      <c r="NMM11" s="18"/>
      <c r="NMN11" s="18"/>
      <c r="NMO11" s="18"/>
      <c r="NMP11" s="18"/>
      <c r="NMQ11" s="18"/>
      <c r="NMR11" s="18"/>
      <c r="NMS11" s="18"/>
      <c r="NMT11" s="18"/>
      <c r="NMU11" s="18"/>
      <c r="NMV11" s="18"/>
      <c r="NMW11" s="18"/>
      <c r="NMX11" s="18"/>
      <c r="NMY11" s="18"/>
      <c r="NMZ11" s="18"/>
      <c r="NNA11" s="18"/>
      <c r="NNB11" s="18"/>
      <c r="NNC11" s="18"/>
      <c r="NND11" s="18"/>
      <c r="NNE11" s="18"/>
      <c r="NNF11" s="18"/>
      <c r="NNG11" s="18"/>
      <c r="NNH11" s="18"/>
      <c r="NNI11" s="18"/>
      <c r="NNJ11" s="18"/>
      <c r="NNK11" s="18"/>
      <c r="NNL11" s="18"/>
      <c r="NNM11" s="18"/>
      <c r="NNN11" s="18"/>
      <c r="NNO11" s="18"/>
      <c r="NNP11" s="18"/>
      <c r="NNQ11" s="18"/>
      <c r="NNR11" s="18"/>
      <c r="NNS11" s="18"/>
      <c r="NNT11" s="18"/>
      <c r="NNU11" s="18"/>
      <c r="NNV11" s="18"/>
      <c r="NNW11" s="18"/>
      <c r="NNX11" s="18"/>
      <c r="NNY11" s="18"/>
      <c r="NNZ11" s="18"/>
      <c r="NOA11" s="18"/>
      <c r="NOB11" s="18"/>
      <c r="NOC11" s="18"/>
      <c r="NOD11" s="18"/>
      <c r="NOE11" s="18"/>
      <c r="NOF11" s="18"/>
      <c r="NOG11" s="18"/>
      <c r="NOH11" s="18"/>
      <c r="NOI11" s="18"/>
      <c r="NOJ11" s="18"/>
      <c r="NOK11" s="18"/>
      <c r="NOL11" s="18"/>
      <c r="NOM11" s="18"/>
      <c r="NON11" s="18"/>
      <c r="NOO11" s="18"/>
      <c r="NOP11" s="18"/>
      <c r="NOQ11" s="18"/>
      <c r="NOR11" s="18"/>
      <c r="NOS11" s="18"/>
      <c r="NOT11" s="18"/>
      <c r="NOU11" s="18"/>
      <c r="NOV11" s="18"/>
      <c r="NOW11" s="18"/>
      <c r="NOX11" s="18"/>
      <c r="NOY11" s="18"/>
      <c r="NOZ11" s="18"/>
      <c r="NPA11" s="18"/>
      <c r="NPB11" s="18"/>
      <c r="NPC11" s="18"/>
      <c r="NPD11" s="18"/>
      <c r="NPE11" s="18"/>
      <c r="NPF11" s="18"/>
      <c r="NPG11" s="18"/>
      <c r="NPH11" s="18"/>
      <c r="NPI11" s="18"/>
      <c r="NPJ11" s="18"/>
      <c r="NPK11" s="18"/>
      <c r="NPL11" s="18"/>
      <c r="NPM11" s="18"/>
      <c r="NPN11" s="18"/>
      <c r="NPO11" s="18"/>
      <c r="NPP11" s="18"/>
      <c r="NPQ11" s="18"/>
      <c r="NPR11" s="18"/>
      <c r="NPS11" s="18"/>
      <c r="NPT11" s="18"/>
      <c r="NPU11" s="18"/>
      <c r="NPV11" s="18"/>
      <c r="NPW11" s="18"/>
      <c r="NPX11" s="18"/>
      <c r="NPY11" s="18"/>
      <c r="NPZ11" s="18"/>
      <c r="NQA11" s="18"/>
      <c r="NQB11" s="18"/>
      <c r="NQC11" s="18"/>
      <c r="NQD11" s="18"/>
      <c r="NQE11" s="18"/>
      <c r="NQF11" s="18"/>
      <c r="NQG11" s="18"/>
      <c r="NQH11" s="18"/>
      <c r="NQI11" s="18"/>
      <c r="NQJ11" s="18"/>
      <c r="NQK11" s="18"/>
      <c r="NQL11" s="18"/>
      <c r="NQM11" s="18"/>
      <c r="NQN11" s="18"/>
      <c r="NQO11" s="18"/>
      <c r="NQP11" s="18"/>
      <c r="NQQ11" s="18"/>
      <c r="NQR11" s="18"/>
      <c r="NQS11" s="18"/>
      <c r="NQT11" s="18"/>
      <c r="NQU11" s="18"/>
      <c r="NQV11" s="18"/>
      <c r="NQW11" s="18"/>
      <c r="NQX11" s="18"/>
      <c r="NQY11" s="18"/>
      <c r="NQZ11" s="18"/>
      <c r="NRA11" s="18"/>
      <c r="NRB11" s="18"/>
      <c r="NRC11" s="18"/>
      <c r="NRD11" s="18"/>
      <c r="NRE11" s="18"/>
      <c r="NRF11" s="18"/>
      <c r="NRG11" s="18"/>
      <c r="NRH11" s="18"/>
      <c r="NRI11" s="18"/>
      <c r="NRJ11" s="18"/>
      <c r="NRK11" s="18"/>
      <c r="NRL11" s="18"/>
      <c r="NRM11" s="18"/>
      <c r="NRN11" s="18"/>
      <c r="NRO11" s="18"/>
      <c r="NRP11" s="18"/>
      <c r="NRQ11" s="18"/>
      <c r="NRR11" s="18"/>
      <c r="NRS11" s="18"/>
      <c r="NRT11" s="18"/>
      <c r="NRU11" s="18"/>
      <c r="NRV11" s="18"/>
      <c r="NRW11" s="18"/>
      <c r="NRX11" s="18"/>
      <c r="NRY11" s="18"/>
      <c r="NRZ11" s="18"/>
      <c r="NSA11" s="18"/>
      <c r="NSB11" s="18"/>
      <c r="NSC11" s="18"/>
      <c r="NSD11" s="18"/>
      <c r="NSE11" s="18"/>
      <c r="NSF11" s="18"/>
      <c r="NSG11" s="18"/>
      <c r="NSH11" s="18"/>
      <c r="NSI11" s="18"/>
      <c r="NSJ11" s="18"/>
      <c r="NSK11" s="18"/>
      <c r="NSL11" s="18"/>
      <c r="NSM11" s="18"/>
      <c r="NSN11" s="18"/>
      <c r="NSO11" s="18"/>
      <c r="NSP11" s="18"/>
      <c r="NSQ11" s="18"/>
      <c r="NSR11" s="18"/>
      <c r="NSS11" s="18"/>
      <c r="NST11" s="18"/>
      <c r="NSU11" s="18"/>
      <c r="NSV11" s="18"/>
      <c r="NSW11" s="18"/>
      <c r="NSX11" s="18"/>
      <c r="NSY11" s="18"/>
      <c r="NSZ11" s="18"/>
      <c r="NTA11" s="18"/>
      <c r="NTB11" s="18"/>
      <c r="NTC11" s="18"/>
      <c r="NTD11" s="18"/>
      <c r="NTE11" s="18"/>
      <c r="NTF11" s="18"/>
      <c r="NTG11" s="18"/>
      <c r="NTH11" s="18"/>
      <c r="NTI11" s="18"/>
      <c r="NTJ11" s="18"/>
      <c r="NTK11" s="18"/>
      <c r="NTL11" s="18"/>
      <c r="NTM11" s="18"/>
      <c r="NTN11" s="18"/>
      <c r="NTO11" s="18"/>
      <c r="NTP11" s="18"/>
      <c r="NTQ11" s="18"/>
      <c r="NTR11" s="18"/>
      <c r="NTS11" s="18"/>
      <c r="NTT11" s="18"/>
      <c r="NTU11" s="18"/>
      <c r="NTV11" s="18"/>
      <c r="NTW11" s="18"/>
      <c r="NTX11" s="18"/>
      <c r="NTY11" s="18"/>
      <c r="NTZ11" s="18"/>
      <c r="NUA11" s="18"/>
      <c r="NUB11" s="18"/>
      <c r="NUC11" s="18"/>
      <c r="NUD11" s="18"/>
      <c r="NUE11" s="18"/>
      <c r="NUF11" s="18"/>
      <c r="NUG11" s="18"/>
      <c r="NUH11" s="18"/>
      <c r="NUI11" s="18"/>
      <c r="NUJ11" s="18"/>
      <c r="NUK11" s="18"/>
      <c r="NUL11" s="18"/>
      <c r="NUM11" s="18"/>
      <c r="NUN11" s="18"/>
      <c r="NUO11" s="18"/>
      <c r="NUP11" s="18"/>
      <c r="NUQ11" s="18"/>
      <c r="NUR11" s="18"/>
      <c r="NUS11" s="18"/>
      <c r="NUT11" s="18"/>
      <c r="NUU11" s="18"/>
      <c r="NUV11" s="18"/>
      <c r="NUW11" s="18"/>
      <c r="NUX11" s="18"/>
      <c r="NUY11" s="18"/>
      <c r="NUZ11" s="18"/>
      <c r="NVA11" s="18"/>
      <c r="NVB11" s="18"/>
      <c r="NVC11" s="18"/>
      <c r="NVD11" s="18"/>
      <c r="NVE11" s="18"/>
      <c r="NVF11" s="18"/>
      <c r="NVG11" s="18"/>
      <c r="NVH11" s="18"/>
      <c r="NVI11" s="18"/>
      <c r="NVJ11" s="18"/>
      <c r="NVK11" s="18"/>
      <c r="NVL11" s="18"/>
      <c r="NVM11" s="18"/>
      <c r="NVN11" s="18"/>
      <c r="NVO11" s="18"/>
      <c r="NVP11" s="18"/>
      <c r="NVQ11" s="18"/>
      <c r="NVR11" s="18"/>
      <c r="NVS11" s="18"/>
      <c r="NVT11" s="18"/>
      <c r="NVU11" s="18"/>
      <c r="NVV11" s="18"/>
      <c r="NVW11" s="18"/>
      <c r="NVX11" s="18"/>
      <c r="NVY11" s="18"/>
      <c r="NVZ11" s="18"/>
      <c r="NWA11" s="18"/>
      <c r="NWB11" s="18"/>
      <c r="NWC11" s="18"/>
      <c r="NWD11" s="18"/>
      <c r="NWE11" s="18"/>
      <c r="NWF11" s="18"/>
      <c r="NWG11" s="18"/>
      <c r="NWH11" s="18"/>
      <c r="NWI11" s="18"/>
      <c r="NWJ11" s="18"/>
      <c r="NWK11" s="18"/>
      <c r="NWL11" s="18"/>
      <c r="NWM11" s="18"/>
      <c r="NWN11" s="18"/>
      <c r="NWO11" s="18"/>
      <c r="NWP11" s="18"/>
      <c r="NWQ11" s="18"/>
      <c r="NWR11" s="18"/>
      <c r="NWS11" s="18"/>
      <c r="NWT11" s="18"/>
      <c r="NWU11" s="18"/>
      <c r="NWV11" s="18"/>
      <c r="NWW11" s="18"/>
      <c r="NWX11" s="18"/>
      <c r="NWY11" s="18"/>
      <c r="NWZ11" s="18"/>
      <c r="NXA11" s="18"/>
      <c r="NXB11" s="18"/>
      <c r="NXC11" s="18"/>
      <c r="NXD11" s="18"/>
      <c r="NXE11" s="18"/>
      <c r="NXF11" s="18"/>
      <c r="NXG11" s="18"/>
      <c r="NXH11" s="18"/>
      <c r="NXI11" s="18"/>
      <c r="NXJ11" s="18"/>
      <c r="NXK11" s="18"/>
      <c r="NXL11" s="18"/>
      <c r="NXM11" s="18"/>
      <c r="NXN11" s="18"/>
      <c r="NXO11" s="18"/>
      <c r="NXP11" s="18"/>
      <c r="NXQ11" s="18"/>
      <c r="NXR11" s="18"/>
      <c r="NXS11" s="18"/>
      <c r="NXT11" s="18"/>
      <c r="NXU11" s="18"/>
      <c r="NXV11" s="18"/>
      <c r="NXW11" s="18"/>
      <c r="NXX11" s="18"/>
      <c r="NXY11" s="18"/>
      <c r="NXZ11" s="18"/>
      <c r="NYA11" s="18"/>
      <c r="NYB11" s="18"/>
      <c r="NYC11" s="18"/>
      <c r="NYD11" s="18"/>
      <c r="NYE11" s="18"/>
      <c r="NYF11" s="18"/>
      <c r="NYG11" s="18"/>
      <c r="NYH11" s="18"/>
      <c r="NYI11" s="18"/>
      <c r="NYJ11" s="18"/>
      <c r="NYK11" s="18"/>
      <c r="NYL11" s="18"/>
      <c r="NYM11" s="18"/>
      <c r="NYN11" s="18"/>
      <c r="NYO11" s="18"/>
      <c r="NYP11" s="18"/>
      <c r="NYQ11" s="18"/>
      <c r="NYR11" s="18"/>
      <c r="NYS11" s="18"/>
      <c r="NYT11" s="18"/>
      <c r="NYU11" s="18"/>
      <c r="NYV11" s="18"/>
      <c r="NYW11" s="18"/>
      <c r="NYX11" s="18"/>
      <c r="NYY11" s="18"/>
      <c r="NYZ11" s="18"/>
      <c r="NZA11" s="18"/>
      <c r="NZB11" s="18"/>
      <c r="NZC11" s="18"/>
      <c r="NZD11" s="18"/>
      <c r="NZE11" s="18"/>
      <c r="NZF11" s="18"/>
      <c r="NZG11" s="18"/>
      <c r="NZH11" s="18"/>
      <c r="NZI11" s="18"/>
      <c r="NZJ11" s="18"/>
      <c r="NZK11" s="18"/>
      <c r="NZL11" s="18"/>
      <c r="NZM11" s="18"/>
      <c r="NZN11" s="18"/>
      <c r="NZO11" s="18"/>
      <c r="NZP11" s="18"/>
      <c r="NZQ11" s="18"/>
      <c r="NZR11" s="18"/>
      <c r="NZS11" s="18"/>
      <c r="NZT11" s="18"/>
      <c r="NZU11" s="18"/>
      <c r="NZV11" s="18"/>
      <c r="NZW11" s="18"/>
      <c r="NZX11" s="18"/>
      <c r="NZY11" s="18"/>
      <c r="NZZ11" s="18"/>
      <c r="OAA11" s="18"/>
      <c r="OAB11" s="18"/>
      <c r="OAC11" s="18"/>
      <c r="OAD11" s="18"/>
      <c r="OAE11" s="18"/>
      <c r="OAF11" s="18"/>
      <c r="OAG11" s="18"/>
      <c r="OAH11" s="18"/>
      <c r="OAI11" s="18"/>
      <c r="OAJ11" s="18"/>
      <c r="OAK11" s="18"/>
      <c r="OAL11" s="18"/>
      <c r="OAM11" s="18"/>
      <c r="OAN11" s="18"/>
      <c r="OAO11" s="18"/>
      <c r="OAP11" s="18"/>
      <c r="OAQ11" s="18"/>
      <c r="OAR11" s="18"/>
      <c r="OAS11" s="18"/>
      <c r="OAT11" s="18"/>
      <c r="OAU11" s="18"/>
      <c r="OAV11" s="18"/>
      <c r="OAW11" s="18"/>
      <c r="OAX11" s="18"/>
      <c r="OAY11" s="18"/>
      <c r="OAZ11" s="18"/>
      <c r="OBA11" s="18"/>
      <c r="OBB11" s="18"/>
      <c r="OBC11" s="18"/>
      <c r="OBD11" s="18"/>
      <c r="OBE11" s="18"/>
      <c r="OBF11" s="18"/>
      <c r="OBG11" s="18"/>
      <c r="OBH11" s="18"/>
      <c r="OBI11" s="18"/>
      <c r="OBJ11" s="18"/>
      <c r="OBK11" s="18"/>
      <c r="OBL11" s="18"/>
      <c r="OBM11" s="18"/>
      <c r="OBN11" s="18"/>
      <c r="OBO11" s="18"/>
      <c r="OBP11" s="18"/>
      <c r="OBQ11" s="18"/>
      <c r="OBR11" s="18"/>
      <c r="OBS11" s="18"/>
      <c r="OBT11" s="18"/>
      <c r="OBU11" s="18"/>
      <c r="OBV11" s="18"/>
      <c r="OBW11" s="18"/>
      <c r="OBX11" s="18"/>
      <c r="OBY11" s="18"/>
      <c r="OBZ11" s="18"/>
      <c r="OCA11" s="18"/>
      <c r="OCB11" s="18"/>
      <c r="OCC11" s="18"/>
      <c r="OCD11" s="18"/>
      <c r="OCE11" s="18"/>
      <c r="OCF11" s="18"/>
      <c r="OCG11" s="18"/>
      <c r="OCH11" s="18"/>
      <c r="OCI11" s="18"/>
      <c r="OCJ11" s="18"/>
      <c r="OCK11" s="18"/>
      <c r="OCL11" s="18"/>
      <c r="OCM11" s="18"/>
      <c r="OCN11" s="18"/>
      <c r="OCO11" s="18"/>
      <c r="OCP11" s="18"/>
      <c r="OCQ11" s="18"/>
      <c r="OCR11" s="18"/>
      <c r="OCS11" s="18"/>
      <c r="OCT11" s="18"/>
      <c r="OCU11" s="18"/>
      <c r="OCV11" s="18"/>
      <c r="OCW11" s="18"/>
      <c r="OCX11" s="18"/>
      <c r="OCY11" s="18"/>
      <c r="OCZ11" s="18"/>
      <c r="ODA11" s="18"/>
      <c r="ODB11" s="18"/>
      <c r="ODC11" s="18"/>
      <c r="ODD11" s="18"/>
      <c r="ODE11" s="18"/>
      <c r="ODF11" s="18"/>
      <c r="ODG11" s="18"/>
      <c r="ODH11" s="18"/>
      <c r="ODI11" s="18"/>
      <c r="ODJ11" s="18"/>
      <c r="ODK11" s="18"/>
      <c r="ODL11" s="18"/>
      <c r="ODM11" s="18"/>
      <c r="ODN11" s="18"/>
      <c r="ODO11" s="18"/>
      <c r="ODP11" s="18"/>
      <c r="ODQ11" s="18"/>
      <c r="ODR11" s="18"/>
      <c r="ODS11" s="18"/>
      <c r="ODT11" s="18"/>
      <c r="ODU11" s="18"/>
      <c r="ODV11" s="18"/>
      <c r="ODW11" s="18"/>
      <c r="ODX11" s="18"/>
      <c r="ODY11" s="18"/>
      <c r="ODZ11" s="18"/>
      <c r="OEA11" s="18"/>
      <c r="OEB11" s="18"/>
      <c r="OEC11" s="18"/>
      <c r="OED11" s="18"/>
      <c r="OEE11" s="18"/>
      <c r="OEF11" s="18"/>
      <c r="OEG11" s="18"/>
      <c r="OEH11" s="18"/>
      <c r="OEI11" s="18"/>
      <c r="OEJ11" s="18"/>
      <c r="OEK11" s="18"/>
      <c r="OEL11" s="18"/>
      <c r="OEM11" s="18"/>
      <c r="OEN11" s="18"/>
      <c r="OEO11" s="18"/>
      <c r="OEP11" s="18"/>
      <c r="OEQ11" s="18"/>
      <c r="OER11" s="18"/>
      <c r="OES11" s="18"/>
      <c r="OET11" s="18"/>
      <c r="OEU11" s="18"/>
      <c r="OEV11" s="18"/>
      <c r="OEW11" s="18"/>
      <c r="OEX11" s="18"/>
      <c r="OEY11" s="18"/>
      <c r="OEZ11" s="18"/>
      <c r="OFA11" s="18"/>
      <c r="OFB11" s="18"/>
      <c r="OFC11" s="18"/>
      <c r="OFD11" s="18"/>
      <c r="OFE11" s="18"/>
      <c r="OFF11" s="18"/>
      <c r="OFG11" s="18"/>
      <c r="OFH11" s="18"/>
      <c r="OFI11" s="18"/>
      <c r="OFJ11" s="18"/>
      <c r="OFK11" s="18"/>
      <c r="OFL11" s="18"/>
      <c r="OFM11" s="18"/>
      <c r="OFN11" s="18"/>
      <c r="OFO11" s="18"/>
      <c r="OFP11" s="18"/>
      <c r="OFQ11" s="18"/>
      <c r="OFR11" s="18"/>
      <c r="OFS11" s="18"/>
      <c r="OFT11" s="18"/>
      <c r="OFU11" s="18"/>
      <c r="OFV11" s="18"/>
      <c r="OFW11" s="18"/>
      <c r="OFX11" s="18"/>
      <c r="OFY11" s="18"/>
      <c r="OFZ11" s="18"/>
      <c r="OGA11" s="18"/>
      <c r="OGB11" s="18"/>
      <c r="OGC11" s="18"/>
      <c r="OGD11" s="18"/>
      <c r="OGE11" s="18"/>
      <c r="OGF11" s="18"/>
      <c r="OGG11" s="18"/>
      <c r="OGH11" s="18"/>
      <c r="OGI11" s="18"/>
      <c r="OGJ11" s="18"/>
      <c r="OGK11" s="18"/>
      <c r="OGL11" s="18"/>
      <c r="OGM11" s="18"/>
      <c r="OGN11" s="18"/>
      <c r="OGO11" s="18"/>
      <c r="OGP11" s="18"/>
      <c r="OGQ11" s="18"/>
      <c r="OGR11" s="18"/>
      <c r="OGS11" s="18"/>
      <c r="OGT11" s="18"/>
      <c r="OGU11" s="18"/>
      <c r="OGV11" s="18"/>
      <c r="OGW11" s="18"/>
      <c r="OGX11" s="18"/>
      <c r="OGY11" s="18"/>
      <c r="OGZ11" s="18"/>
      <c r="OHA11" s="18"/>
      <c r="OHB11" s="18"/>
      <c r="OHC11" s="18"/>
      <c r="OHD11" s="18"/>
      <c r="OHE11" s="18"/>
      <c r="OHF11" s="18"/>
      <c r="OHG11" s="18"/>
      <c r="OHH11" s="18"/>
      <c r="OHI11" s="18"/>
      <c r="OHJ11" s="18"/>
      <c r="OHK11" s="18"/>
      <c r="OHL11" s="18"/>
      <c r="OHM11" s="18"/>
      <c r="OHN11" s="18"/>
      <c r="OHO11" s="18"/>
      <c r="OHP11" s="18"/>
      <c r="OHQ11" s="18"/>
      <c r="OHR11" s="18"/>
      <c r="OHS11" s="18"/>
      <c r="OHT11" s="18"/>
      <c r="OHU11" s="18"/>
      <c r="OHV11" s="18"/>
      <c r="OHW11" s="18"/>
      <c r="OHX11" s="18"/>
      <c r="OHY11" s="18"/>
      <c r="OHZ11" s="18"/>
      <c r="OIA11" s="18"/>
      <c r="OIB11" s="18"/>
      <c r="OIC11" s="18"/>
      <c r="OID11" s="18"/>
      <c r="OIE11" s="18"/>
      <c r="OIF11" s="18"/>
      <c r="OIG11" s="18"/>
      <c r="OIH11" s="18"/>
      <c r="OII11" s="18"/>
      <c r="OIJ11" s="18"/>
      <c r="OIK11" s="18"/>
      <c r="OIL11" s="18"/>
      <c r="OIM11" s="18"/>
      <c r="OIN11" s="18"/>
      <c r="OIO11" s="18"/>
      <c r="OIP11" s="18"/>
      <c r="OIQ11" s="18"/>
      <c r="OIR11" s="18"/>
      <c r="OIS11" s="18"/>
      <c r="OIT11" s="18"/>
      <c r="OIU11" s="18"/>
      <c r="OIV11" s="18"/>
      <c r="OIW11" s="18"/>
      <c r="OIX11" s="18"/>
      <c r="OIY11" s="18"/>
      <c r="OIZ11" s="18"/>
      <c r="OJA11" s="18"/>
      <c r="OJB11" s="18"/>
      <c r="OJC11" s="18"/>
      <c r="OJD11" s="18"/>
      <c r="OJE11" s="18"/>
      <c r="OJF11" s="18"/>
      <c r="OJG11" s="18"/>
      <c r="OJH11" s="18"/>
      <c r="OJI11" s="18"/>
      <c r="OJJ11" s="18"/>
      <c r="OJK11" s="18"/>
      <c r="OJL11" s="18"/>
      <c r="OJM11" s="18"/>
      <c r="OJN11" s="18"/>
      <c r="OJO11" s="18"/>
      <c r="OJP11" s="18"/>
      <c r="OJQ11" s="18"/>
      <c r="OJR11" s="18"/>
      <c r="OJS11" s="18"/>
      <c r="OJT11" s="18"/>
      <c r="OJU11" s="18"/>
      <c r="OJV11" s="18"/>
      <c r="OJW11" s="18"/>
      <c r="OJX11" s="18"/>
      <c r="OJY11" s="18"/>
      <c r="OJZ11" s="18"/>
      <c r="OKA11" s="18"/>
      <c r="OKB11" s="18"/>
      <c r="OKC11" s="18"/>
      <c r="OKD11" s="18"/>
      <c r="OKE11" s="18"/>
      <c r="OKF11" s="18"/>
      <c r="OKG11" s="18"/>
      <c r="OKH11" s="18"/>
      <c r="OKI11" s="18"/>
      <c r="OKJ11" s="18"/>
      <c r="OKK11" s="18"/>
      <c r="OKL11" s="18"/>
      <c r="OKM11" s="18"/>
      <c r="OKN11" s="18"/>
      <c r="OKO11" s="18"/>
      <c r="OKP11" s="18"/>
      <c r="OKQ11" s="18"/>
      <c r="OKR11" s="18"/>
      <c r="OKS11" s="18"/>
      <c r="OKT11" s="18"/>
      <c r="OKU11" s="18"/>
      <c r="OKV11" s="18"/>
      <c r="OKW11" s="18"/>
      <c r="OKX11" s="18"/>
      <c r="OKY11" s="18"/>
      <c r="OKZ11" s="18"/>
      <c r="OLA11" s="18"/>
      <c r="OLB11" s="18"/>
      <c r="OLC11" s="18"/>
      <c r="OLD11" s="18"/>
      <c r="OLE11" s="18"/>
      <c r="OLF11" s="18"/>
      <c r="OLG11" s="18"/>
      <c r="OLH11" s="18"/>
      <c r="OLI11" s="18"/>
      <c r="OLJ11" s="18"/>
      <c r="OLK11" s="18"/>
      <c r="OLL11" s="18"/>
      <c r="OLM11" s="18"/>
      <c r="OLN11" s="18"/>
      <c r="OLO11" s="18"/>
      <c r="OLP11" s="18"/>
      <c r="OLQ11" s="18"/>
      <c r="OLR11" s="18"/>
      <c r="OLS11" s="18"/>
      <c r="OLT11" s="18"/>
      <c r="OLU11" s="18"/>
      <c r="OLV11" s="18"/>
      <c r="OLW11" s="18"/>
      <c r="OLX11" s="18"/>
      <c r="OLY11" s="18"/>
      <c r="OLZ11" s="18"/>
      <c r="OMA11" s="18"/>
      <c r="OMB11" s="18"/>
      <c r="OMC11" s="18"/>
      <c r="OMD11" s="18"/>
      <c r="OME11" s="18"/>
      <c r="OMF11" s="18"/>
      <c r="OMG11" s="18"/>
      <c r="OMH11" s="18"/>
      <c r="OMI11" s="18"/>
      <c r="OMJ11" s="18"/>
      <c r="OMK11" s="18"/>
      <c r="OML11" s="18"/>
      <c r="OMM11" s="18"/>
      <c r="OMN11" s="18"/>
      <c r="OMO11" s="18"/>
      <c r="OMP11" s="18"/>
      <c r="OMQ11" s="18"/>
      <c r="OMR11" s="18"/>
      <c r="OMS11" s="18"/>
      <c r="OMT11" s="18"/>
      <c r="OMU11" s="18"/>
      <c r="OMV11" s="18"/>
      <c r="OMW11" s="18"/>
      <c r="OMX11" s="18"/>
      <c r="OMY11" s="18"/>
      <c r="OMZ11" s="18"/>
      <c r="ONA11" s="18"/>
      <c r="ONB11" s="18"/>
      <c r="ONC11" s="18"/>
      <c r="OND11" s="18"/>
      <c r="ONE11" s="18"/>
      <c r="ONF11" s="18"/>
      <c r="ONG11" s="18"/>
      <c r="ONH11" s="18"/>
      <c r="ONI11" s="18"/>
      <c r="ONJ11" s="18"/>
      <c r="ONK11" s="18"/>
      <c r="ONL11" s="18"/>
      <c r="ONM11" s="18"/>
      <c r="ONN11" s="18"/>
      <c r="ONO11" s="18"/>
      <c r="ONP11" s="18"/>
      <c r="ONQ11" s="18"/>
      <c r="ONR11" s="18"/>
      <c r="ONS11" s="18"/>
      <c r="ONT11" s="18"/>
      <c r="ONU11" s="18"/>
      <c r="ONV11" s="18"/>
      <c r="ONW11" s="18"/>
      <c r="ONX11" s="18"/>
      <c r="ONY11" s="18"/>
      <c r="ONZ11" s="18"/>
      <c r="OOA11" s="18"/>
      <c r="OOB11" s="18"/>
      <c r="OOC11" s="18"/>
      <c r="OOD11" s="18"/>
      <c r="OOE11" s="18"/>
      <c r="OOF11" s="18"/>
      <c r="OOG11" s="18"/>
      <c r="OOH11" s="18"/>
      <c r="OOI11" s="18"/>
      <c r="OOJ11" s="18"/>
      <c r="OOK11" s="18"/>
      <c r="OOL11" s="18"/>
      <c r="OOM11" s="18"/>
      <c r="OON11" s="18"/>
      <c r="OOO11" s="18"/>
      <c r="OOP11" s="18"/>
      <c r="OOQ11" s="18"/>
      <c r="OOR11" s="18"/>
      <c r="OOS11" s="18"/>
      <c r="OOT11" s="18"/>
      <c r="OOU11" s="18"/>
      <c r="OOV11" s="18"/>
      <c r="OOW11" s="18"/>
      <c r="OOX11" s="18"/>
      <c r="OOY11" s="18"/>
      <c r="OOZ11" s="18"/>
      <c r="OPA11" s="18"/>
      <c r="OPB11" s="18"/>
      <c r="OPC11" s="18"/>
      <c r="OPD11" s="18"/>
      <c r="OPE11" s="18"/>
      <c r="OPF11" s="18"/>
      <c r="OPG11" s="18"/>
      <c r="OPH11" s="18"/>
      <c r="OPI11" s="18"/>
      <c r="OPJ11" s="18"/>
      <c r="OPK11" s="18"/>
      <c r="OPL11" s="18"/>
      <c r="OPM11" s="18"/>
      <c r="OPN11" s="18"/>
      <c r="OPO11" s="18"/>
      <c r="OPP11" s="18"/>
      <c r="OPQ11" s="18"/>
      <c r="OPR11" s="18"/>
      <c r="OPS11" s="18"/>
      <c r="OPT11" s="18"/>
      <c r="OPU11" s="18"/>
      <c r="OPV11" s="18"/>
      <c r="OPW11" s="18"/>
      <c r="OPX11" s="18"/>
      <c r="OPY11" s="18"/>
      <c r="OPZ11" s="18"/>
      <c r="OQA11" s="18"/>
      <c r="OQB11" s="18"/>
      <c r="OQC11" s="18"/>
      <c r="OQD11" s="18"/>
      <c r="OQE11" s="18"/>
      <c r="OQF11" s="18"/>
      <c r="OQG11" s="18"/>
      <c r="OQH11" s="18"/>
      <c r="OQI11" s="18"/>
      <c r="OQJ11" s="18"/>
      <c r="OQK11" s="18"/>
      <c r="OQL11" s="18"/>
      <c r="OQM11" s="18"/>
      <c r="OQN11" s="18"/>
      <c r="OQO11" s="18"/>
      <c r="OQP11" s="18"/>
      <c r="OQQ11" s="18"/>
      <c r="OQR11" s="18"/>
      <c r="OQS11" s="18"/>
      <c r="OQT11" s="18"/>
      <c r="OQU11" s="18"/>
      <c r="OQV11" s="18"/>
      <c r="OQW11" s="18"/>
      <c r="OQX11" s="18"/>
      <c r="OQY11" s="18"/>
      <c r="OQZ11" s="18"/>
      <c r="ORA11" s="18"/>
      <c r="ORB11" s="18"/>
      <c r="ORC11" s="18"/>
      <c r="ORD11" s="18"/>
      <c r="ORE11" s="18"/>
      <c r="ORF11" s="18"/>
      <c r="ORG11" s="18"/>
      <c r="ORH11" s="18"/>
      <c r="ORI11" s="18"/>
      <c r="ORJ11" s="18"/>
      <c r="ORK11" s="18"/>
      <c r="ORL11" s="18"/>
      <c r="ORM11" s="18"/>
      <c r="ORN11" s="18"/>
      <c r="ORO11" s="18"/>
      <c r="ORP11" s="18"/>
      <c r="ORQ11" s="18"/>
      <c r="ORR11" s="18"/>
      <c r="ORS11" s="18"/>
      <c r="ORT11" s="18"/>
      <c r="ORU11" s="18"/>
      <c r="ORV11" s="18"/>
      <c r="ORW11" s="18"/>
      <c r="ORX11" s="18"/>
      <c r="ORY11" s="18"/>
      <c r="ORZ11" s="18"/>
      <c r="OSA11" s="18"/>
      <c r="OSB11" s="18"/>
      <c r="OSC11" s="18"/>
      <c r="OSD11" s="18"/>
      <c r="OSE11" s="18"/>
      <c r="OSF11" s="18"/>
      <c r="OSG11" s="18"/>
      <c r="OSH11" s="18"/>
      <c r="OSI11" s="18"/>
      <c r="OSJ11" s="18"/>
      <c r="OSK11" s="18"/>
      <c r="OSL11" s="18"/>
      <c r="OSM11" s="18"/>
      <c r="OSN11" s="18"/>
      <c r="OSO11" s="18"/>
      <c r="OSP11" s="18"/>
      <c r="OSQ11" s="18"/>
      <c r="OSR11" s="18"/>
      <c r="OSS11" s="18"/>
      <c r="OST11" s="18"/>
      <c r="OSU11" s="18"/>
      <c r="OSV11" s="18"/>
      <c r="OSW11" s="18"/>
      <c r="OSX11" s="18"/>
      <c r="OSY11" s="18"/>
      <c r="OSZ11" s="18"/>
      <c r="OTA11" s="18"/>
      <c r="OTB11" s="18"/>
      <c r="OTC11" s="18"/>
      <c r="OTD11" s="18"/>
      <c r="OTE11" s="18"/>
      <c r="OTF11" s="18"/>
      <c r="OTG11" s="18"/>
      <c r="OTH11" s="18"/>
      <c r="OTI11" s="18"/>
      <c r="OTJ11" s="18"/>
      <c r="OTK11" s="18"/>
      <c r="OTL11" s="18"/>
      <c r="OTM11" s="18"/>
      <c r="OTN11" s="18"/>
      <c r="OTO11" s="18"/>
      <c r="OTP11" s="18"/>
      <c r="OTQ11" s="18"/>
      <c r="OTR11" s="18"/>
      <c r="OTS11" s="18"/>
      <c r="OTT11" s="18"/>
      <c r="OTU11" s="18"/>
      <c r="OTV11" s="18"/>
      <c r="OTW11" s="18"/>
      <c r="OTX11" s="18"/>
      <c r="OTY11" s="18"/>
      <c r="OTZ11" s="18"/>
      <c r="OUA11" s="18"/>
      <c r="OUB11" s="18"/>
      <c r="OUC11" s="18"/>
      <c r="OUD11" s="18"/>
      <c r="OUE11" s="18"/>
      <c r="OUF11" s="18"/>
      <c r="OUG11" s="18"/>
      <c r="OUH11" s="18"/>
      <c r="OUI11" s="18"/>
      <c r="OUJ11" s="18"/>
      <c r="OUK11" s="18"/>
      <c r="OUL11" s="18"/>
      <c r="OUM11" s="18"/>
      <c r="OUN11" s="18"/>
      <c r="OUO11" s="18"/>
      <c r="OUP11" s="18"/>
      <c r="OUQ11" s="18"/>
      <c r="OUR11" s="18"/>
      <c r="OUS11" s="18"/>
      <c r="OUT11" s="18"/>
      <c r="OUU11" s="18"/>
      <c r="OUV11" s="18"/>
      <c r="OUW11" s="18"/>
      <c r="OUX11" s="18"/>
      <c r="OUY11" s="18"/>
      <c r="OUZ11" s="18"/>
      <c r="OVA11" s="18"/>
      <c r="OVB11" s="18"/>
      <c r="OVC11" s="18"/>
      <c r="OVD11" s="18"/>
      <c r="OVE11" s="18"/>
      <c r="OVF11" s="18"/>
      <c r="OVG11" s="18"/>
      <c r="OVH11" s="18"/>
      <c r="OVI11" s="18"/>
      <c r="OVJ11" s="18"/>
      <c r="OVK11" s="18"/>
      <c r="OVL11" s="18"/>
      <c r="OVM11" s="18"/>
      <c r="OVN11" s="18"/>
      <c r="OVO11" s="18"/>
      <c r="OVP11" s="18"/>
      <c r="OVQ11" s="18"/>
      <c r="OVR11" s="18"/>
      <c r="OVS11" s="18"/>
      <c r="OVT11" s="18"/>
      <c r="OVU11" s="18"/>
      <c r="OVV11" s="18"/>
      <c r="OVW11" s="18"/>
      <c r="OVX11" s="18"/>
      <c r="OVY11" s="18"/>
      <c r="OVZ11" s="18"/>
      <c r="OWA11" s="18"/>
      <c r="OWB11" s="18"/>
      <c r="OWC11" s="18"/>
      <c r="OWD11" s="18"/>
      <c r="OWE11" s="18"/>
      <c r="OWF11" s="18"/>
      <c r="OWG11" s="18"/>
      <c r="OWH11" s="18"/>
      <c r="OWI11" s="18"/>
      <c r="OWJ11" s="18"/>
      <c r="OWK11" s="18"/>
      <c r="OWL11" s="18"/>
      <c r="OWM11" s="18"/>
      <c r="OWN11" s="18"/>
      <c r="OWO11" s="18"/>
      <c r="OWP11" s="18"/>
      <c r="OWQ11" s="18"/>
      <c r="OWR11" s="18"/>
      <c r="OWS11" s="18"/>
      <c r="OWT11" s="18"/>
      <c r="OWU11" s="18"/>
      <c r="OWV11" s="18"/>
      <c r="OWW11" s="18"/>
      <c r="OWX11" s="18"/>
      <c r="OWY11" s="18"/>
      <c r="OWZ11" s="18"/>
      <c r="OXA11" s="18"/>
      <c r="OXB11" s="18"/>
      <c r="OXC11" s="18"/>
      <c r="OXD11" s="18"/>
      <c r="OXE11" s="18"/>
      <c r="OXF11" s="18"/>
      <c r="OXG11" s="18"/>
      <c r="OXH11" s="18"/>
      <c r="OXI11" s="18"/>
      <c r="OXJ11" s="18"/>
      <c r="OXK11" s="18"/>
      <c r="OXL11" s="18"/>
      <c r="OXM11" s="18"/>
      <c r="OXN11" s="18"/>
      <c r="OXO11" s="18"/>
      <c r="OXP11" s="18"/>
      <c r="OXQ11" s="18"/>
      <c r="OXR11" s="18"/>
      <c r="OXS11" s="18"/>
      <c r="OXT11" s="18"/>
      <c r="OXU11" s="18"/>
      <c r="OXV11" s="18"/>
      <c r="OXW11" s="18"/>
      <c r="OXX11" s="18"/>
      <c r="OXY11" s="18"/>
      <c r="OXZ11" s="18"/>
      <c r="OYA11" s="18"/>
      <c r="OYB11" s="18"/>
      <c r="OYC11" s="18"/>
      <c r="OYD11" s="18"/>
      <c r="OYE11" s="18"/>
      <c r="OYF11" s="18"/>
      <c r="OYG11" s="18"/>
      <c r="OYH11" s="18"/>
      <c r="OYI11" s="18"/>
      <c r="OYJ11" s="18"/>
      <c r="OYK11" s="18"/>
      <c r="OYL11" s="18"/>
      <c r="OYM11" s="18"/>
      <c r="OYN11" s="18"/>
      <c r="OYO11" s="18"/>
      <c r="OYP11" s="18"/>
      <c r="OYQ11" s="18"/>
      <c r="OYR11" s="18"/>
      <c r="OYS11" s="18"/>
      <c r="OYT11" s="18"/>
      <c r="OYU11" s="18"/>
      <c r="OYV11" s="18"/>
      <c r="OYW11" s="18"/>
      <c r="OYX11" s="18"/>
      <c r="OYY11" s="18"/>
      <c r="OYZ11" s="18"/>
      <c r="OZA11" s="18"/>
      <c r="OZB11" s="18"/>
      <c r="OZC11" s="18"/>
      <c r="OZD11" s="18"/>
      <c r="OZE11" s="18"/>
      <c r="OZF11" s="18"/>
      <c r="OZG11" s="18"/>
      <c r="OZH11" s="18"/>
      <c r="OZI11" s="18"/>
      <c r="OZJ11" s="18"/>
      <c r="OZK11" s="18"/>
      <c r="OZL11" s="18"/>
      <c r="OZM11" s="18"/>
      <c r="OZN11" s="18"/>
      <c r="OZO11" s="18"/>
      <c r="OZP11" s="18"/>
      <c r="OZQ11" s="18"/>
      <c r="OZR11" s="18"/>
      <c r="OZS11" s="18"/>
      <c r="OZT11" s="18"/>
      <c r="OZU11" s="18"/>
      <c r="OZV11" s="18"/>
      <c r="OZW11" s="18"/>
      <c r="OZX11" s="18"/>
      <c r="OZY11" s="18"/>
      <c r="OZZ11" s="18"/>
      <c r="PAA11" s="18"/>
      <c r="PAB11" s="18"/>
      <c r="PAC11" s="18"/>
      <c r="PAD11" s="18"/>
      <c r="PAE11" s="18"/>
      <c r="PAF11" s="18"/>
      <c r="PAG11" s="18"/>
      <c r="PAH11" s="18"/>
      <c r="PAI11" s="18"/>
      <c r="PAJ11" s="18"/>
      <c r="PAK11" s="18"/>
      <c r="PAL11" s="18"/>
      <c r="PAM11" s="18"/>
      <c r="PAN11" s="18"/>
      <c r="PAO11" s="18"/>
      <c r="PAP11" s="18"/>
      <c r="PAQ11" s="18"/>
      <c r="PAR11" s="18"/>
      <c r="PAS11" s="18"/>
      <c r="PAT11" s="18"/>
      <c r="PAU11" s="18"/>
      <c r="PAV11" s="18"/>
      <c r="PAW11" s="18"/>
      <c r="PAX11" s="18"/>
      <c r="PAY11" s="18"/>
      <c r="PAZ11" s="18"/>
      <c r="PBA11" s="18"/>
      <c r="PBB11" s="18"/>
      <c r="PBC11" s="18"/>
      <c r="PBD11" s="18"/>
      <c r="PBE11" s="18"/>
      <c r="PBF11" s="18"/>
      <c r="PBG11" s="18"/>
      <c r="PBH11" s="18"/>
      <c r="PBI11" s="18"/>
      <c r="PBJ11" s="18"/>
      <c r="PBK11" s="18"/>
      <c r="PBL11" s="18"/>
      <c r="PBM11" s="18"/>
      <c r="PBN11" s="18"/>
      <c r="PBO11" s="18"/>
      <c r="PBP11" s="18"/>
      <c r="PBQ11" s="18"/>
      <c r="PBR11" s="18"/>
      <c r="PBS11" s="18"/>
      <c r="PBT11" s="18"/>
      <c r="PBU11" s="18"/>
      <c r="PBV11" s="18"/>
      <c r="PBW11" s="18"/>
      <c r="PBX11" s="18"/>
      <c r="PBY11" s="18"/>
      <c r="PBZ11" s="18"/>
      <c r="PCA11" s="18"/>
      <c r="PCB11" s="18"/>
      <c r="PCC11" s="18"/>
      <c r="PCD11" s="18"/>
      <c r="PCE11" s="18"/>
      <c r="PCF11" s="18"/>
      <c r="PCG11" s="18"/>
      <c r="PCH11" s="18"/>
      <c r="PCI11" s="18"/>
      <c r="PCJ11" s="18"/>
      <c r="PCK11" s="18"/>
      <c r="PCL11" s="18"/>
      <c r="PCM11" s="18"/>
      <c r="PCN11" s="18"/>
      <c r="PCO11" s="18"/>
      <c r="PCP11" s="18"/>
      <c r="PCQ11" s="18"/>
      <c r="PCR11" s="18"/>
      <c r="PCS11" s="18"/>
      <c r="PCT11" s="18"/>
      <c r="PCU11" s="18"/>
      <c r="PCV11" s="18"/>
      <c r="PCW11" s="18"/>
      <c r="PCX11" s="18"/>
      <c r="PCY11" s="18"/>
      <c r="PCZ11" s="18"/>
      <c r="PDA11" s="18"/>
      <c r="PDB11" s="18"/>
      <c r="PDC11" s="18"/>
      <c r="PDD11" s="18"/>
      <c r="PDE11" s="18"/>
      <c r="PDF11" s="18"/>
      <c r="PDG11" s="18"/>
      <c r="PDH11" s="18"/>
      <c r="PDI11" s="18"/>
      <c r="PDJ11" s="18"/>
      <c r="PDK11" s="18"/>
      <c r="PDL11" s="18"/>
      <c r="PDM11" s="18"/>
      <c r="PDN11" s="18"/>
      <c r="PDO11" s="18"/>
      <c r="PDP11" s="18"/>
      <c r="PDQ11" s="18"/>
      <c r="PDR11" s="18"/>
      <c r="PDS11" s="18"/>
      <c r="PDT11" s="18"/>
      <c r="PDU11" s="18"/>
      <c r="PDV11" s="18"/>
      <c r="PDW11" s="18"/>
      <c r="PDX11" s="18"/>
      <c r="PDY11" s="18"/>
      <c r="PDZ11" s="18"/>
      <c r="PEA11" s="18"/>
      <c r="PEB11" s="18"/>
      <c r="PEC11" s="18"/>
      <c r="PED11" s="18"/>
      <c r="PEE11" s="18"/>
      <c r="PEF11" s="18"/>
      <c r="PEG11" s="18"/>
      <c r="PEH11" s="18"/>
      <c r="PEI11" s="18"/>
      <c r="PEJ11" s="18"/>
      <c r="PEK11" s="18"/>
      <c r="PEL11" s="18"/>
      <c r="PEM11" s="18"/>
      <c r="PEN11" s="18"/>
      <c r="PEO11" s="18"/>
      <c r="PEP11" s="18"/>
      <c r="PEQ11" s="18"/>
      <c r="PER11" s="18"/>
      <c r="PES11" s="18"/>
      <c r="PET11" s="18"/>
      <c r="PEU11" s="18"/>
      <c r="PEV11" s="18"/>
      <c r="PEW11" s="18"/>
      <c r="PEX11" s="18"/>
      <c r="PEY11" s="18"/>
      <c r="PEZ11" s="18"/>
      <c r="PFA11" s="18"/>
      <c r="PFB11" s="18"/>
      <c r="PFC11" s="18"/>
      <c r="PFD11" s="18"/>
      <c r="PFE11" s="18"/>
      <c r="PFF11" s="18"/>
      <c r="PFG11" s="18"/>
      <c r="PFH11" s="18"/>
      <c r="PFI11" s="18"/>
      <c r="PFJ11" s="18"/>
      <c r="PFK11" s="18"/>
      <c r="PFL11" s="18"/>
      <c r="PFM11" s="18"/>
      <c r="PFN11" s="18"/>
      <c r="PFO11" s="18"/>
      <c r="PFP11" s="18"/>
      <c r="PFQ11" s="18"/>
      <c r="PFR11" s="18"/>
      <c r="PFS11" s="18"/>
      <c r="PFT11" s="18"/>
      <c r="PFU11" s="18"/>
      <c r="PFV11" s="18"/>
      <c r="PFW11" s="18"/>
      <c r="PFX11" s="18"/>
      <c r="PFY11" s="18"/>
      <c r="PFZ11" s="18"/>
      <c r="PGA11" s="18"/>
      <c r="PGB11" s="18"/>
      <c r="PGC11" s="18"/>
      <c r="PGD11" s="18"/>
      <c r="PGE11" s="18"/>
      <c r="PGF11" s="18"/>
      <c r="PGG11" s="18"/>
      <c r="PGH11" s="18"/>
      <c r="PGI11" s="18"/>
      <c r="PGJ11" s="18"/>
      <c r="PGK11" s="18"/>
      <c r="PGL11" s="18"/>
      <c r="PGM11" s="18"/>
      <c r="PGN11" s="18"/>
      <c r="PGO11" s="18"/>
      <c r="PGP11" s="18"/>
      <c r="PGQ11" s="18"/>
      <c r="PGR11" s="18"/>
      <c r="PGS11" s="18"/>
      <c r="PGT11" s="18"/>
      <c r="PGU11" s="18"/>
      <c r="PGV11" s="18"/>
      <c r="PGW11" s="18"/>
      <c r="PGX11" s="18"/>
      <c r="PGY11" s="18"/>
      <c r="PGZ11" s="18"/>
      <c r="PHA11" s="18"/>
      <c r="PHB11" s="18"/>
      <c r="PHC11" s="18"/>
      <c r="PHD11" s="18"/>
      <c r="PHE11" s="18"/>
      <c r="PHF11" s="18"/>
      <c r="PHG11" s="18"/>
      <c r="PHH11" s="18"/>
      <c r="PHI11" s="18"/>
      <c r="PHJ11" s="18"/>
      <c r="PHK11" s="18"/>
      <c r="PHL11" s="18"/>
      <c r="PHM11" s="18"/>
      <c r="PHN11" s="18"/>
      <c r="PHO11" s="18"/>
      <c r="PHP11" s="18"/>
      <c r="PHQ11" s="18"/>
      <c r="PHR11" s="18"/>
      <c r="PHS11" s="18"/>
      <c r="PHT11" s="18"/>
      <c r="PHU11" s="18"/>
      <c r="PHV11" s="18"/>
      <c r="PHW11" s="18"/>
      <c r="PHX11" s="18"/>
      <c r="PHY11" s="18"/>
      <c r="PHZ11" s="18"/>
      <c r="PIA11" s="18"/>
      <c r="PIB11" s="18"/>
      <c r="PIC11" s="18"/>
      <c r="PID11" s="18"/>
      <c r="PIE11" s="18"/>
      <c r="PIF11" s="18"/>
      <c r="PIG11" s="18"/>
      <c r="PIH11" s="18"/>
      <c r="PII11" s="18"/>
      <c r="PIJ11" s="18"/>
      <c r="PIK11" s="18"/>
      <c r="PIL11" s="18"/>
      <c r="PIM11" s="18"/>
      <c r="PIN11" s="18"/>
      <c r="PIO11" s="18"/>
      <c r="PIP11" s="18"/>
      <c r="PIQ11" s="18"/>
      <c r="PIR11" s="18"/>
      <c r="PIS11" s="18"/>
      <c r="PIT11" s="18"/>
      <c r="PIU11" s="18"/>
      <c r="PIV11" s="18"/>
      <c r="PIW11" s="18"/>
      <c r="PIX11" s="18"/>
      <c r="PIY11" s="18"/>
      <c r="PIZ11" s="18"/>
      <c r="PJA11" s="18"/>
      <c r="PJB11" s="18"/>
      <c r="PJC11" s="18"/>
      <c r="PJD11" s="18"/>
      <c r="PJE11" s="18"/>
      <c r="PJF11" s="18"/>
      <c r="PJG11" s="18"/>
      <c r="PJH11" s="18"/>
      <c r="PJI11" s="18"/>
      <c r="PJJ11" s="18"/>
      <c r="PJK11" s="18"/>
      <c r="PJL11" s="18"/>
      <c r="PJM11" s="18"/>
      <c r="PJN11" s="18"/>
      <c r="PJO11" s="18"/>
      <c r="PJP11" s="18"/>
      <c r="PJQ11" s="18"/>
      <c r="PJR11" s="18"/>
      <c r="PJS11" s="18"/>
      <c r="PJT11" s="18"/>
      <c r="PJU11" s="18"/>
      <c r="PJV11" s="18"/>
      <c r="PJW11" s="18"/>
      <c r="PJX11" s="18"/>
      <c r="PJY11" s="18"/>
      <c r="PJZ11" s="18"/>
      <c r="PKA11" s="18"/>
      <c r="PKB11" s="18"/>
      <c r="PKC11" s="18"/>
      <c r="PKD11" s="18"/>
      <c r="PKE11" s="18"/>
      <c r="PKF11" s="18"/>
      <c r="PKG11" s="18"/>
      <c r="PKH11" s="18"/>
      <c r="PKI11" s="18"/>
      <c r="PKJ11" s="18"/>
      <c r="PKK11" s="18"/>
      <c r="PKL11" s="18"/>
      <c r="PKM11" s="18"/>
      <c r="PKN11" s="18"/>
      <c r="PKO11" s="18"/>
      <c r="PKP11" s="18"/>
      <c r="PKQ11" s="18"/>
      <c r="PKR11" s="18"/>
      <c r="PKS11" s="18"/>
      <c r="PKT11" s="18"/>
      <c r="PKU11" s="18"/>
      <c r="PKV11" s="18"/>
      <c r="PKW11" s="18"/>
      <c r="PKX11" s="18"/>
      <c r="PKY11" s="18"/>
      <c r="PKZ11" s="18"/>
      <c r="PLA11" s="18"/>
      <c r="PLB11" s="18"/>
      <c r="PLC11" s="18"/>
      <c r="PLD11" s="18"/>
      <c r="PLE11" s="18"/>
      <c r="PLF11" s="18"/>
      <c r="PLG11" s="18"/>
      <c r="PLH11" s="18"/>
      <c r="PLI11" s="18"/>
      <c r="PLJ11" s="18"/>
      <c r="PLK11" s="18"/>
      <c r="PLL11" s="18"/>
      <c r="PLM11" s="18"/>
      <c r="PLN11" s="18"/>
      <c r="PLO11" s="18"/>
      <c r="PLP11" s="18"/>
      <c r="PLQ11" s="18"/>
      <c r="PLR11" s="18"/>
      <c r="PLS11" s="18"/>
      <c r="PLT11" s="18"/>
      <c r="PLU11" s="18"/>
      <c r="PLV11" s="18"/>
      <c r="PLW11" s="18"/>
      <c r="PLX11" s="18"/>
      <c r="PLY11" s="18"/>
      <c r="PLZ11" s="18"/>
      <c r="PMA11" s="18"/>
      <c r="PMB11" s="18"/>
      <c r="PMC11" s="18"/>
      <c r="PMD11" s="18"/>
      <c r="PME11" s="18"/>
      <c r="PMF11" s="18"/>
      <c r="PMG11" s="18"/>
      <c r="PMH11" s="18"/>
      <c r="PMI11" s="18"/>
      <c r="PMJ11" s="18"/>
      <c r="PMK11" s="18"/>
      <c r="PML11" s="18"/>
      <c r="PMM11" s="18"/>
      <c r="PMN11" s="18"/>
      <c r="PMO11" s="18"/>
      <c r="PMP11" s="18"/>
      <c r="PMQ11" s="18"/>
      <c r="PMR11" s="18"/>
      <c r="PMS11" s="18"/>
      <c r="PMT11" s="18"/>
      <c r="PMU11" s="18"/>
      <c r="PMV11" s="18"/>
      <c r="PMW11" s="18"/>
      <c r="PMX11" s="18"/>
      <c r="PMY11" s="18"/>
      <c r="PMZ11" s="18"/>
      <c r="PNA11" s="18"/>
      <c r="PNB11" s="18"/>
      <c r="PNC11" s="18"/>
      <c r="PND11" s="18"/>
      <c r="PNE11" s="18"/>
      <c r="PNF11" s="18"/>
      <c r="PNG11" s="18"/>
      <c r="PNH11" s="18"/>
      <c r="PNI11" s="18"/>
      <c r="PNJ11" s="18"/>
      <c r="PNK11" s="18"/>
      <c r="PNL11" s="18"/>
      <c r="PNM11" s="18"/>
      <c r="PNN11" s="18"/>
      <c r="PNO11" s="18"/>
      <c r="PNP11" s="18"/>
      <c r="PNQ11" s="18"/>
      <c r="PNR11" s="18"/>
      <c r="PNS11" s="18"/>
      <c r="PNT11" s="18"/>
      <c r="PNU11" s="18"/>
      <c r="PNV11" s="18"/>
      <c r="PNW11" s="18"/>
      <c r="PNX11" s="18"/>
      <c r="PNY11" s="18"/>
      <c r="PNZ11" s="18"/>
      <c r="POA11" s="18"/>
      <c r="POB11" s="18"/>
      <c r="POC11" s="18"/>
      <c r="POD11" s="18"/>
      <c r="POE11" s="18"/>
      <c r="POF11" s="18"/>
      <c r="POG11" s="18"/>
      <c r="POH11" s="18"/>
      <c r="POI11" s="18"/>
      <c r="POJ11" s="18"/>
      <c r="POK11" s="18"/>
      <c r="POL11" s="18"/>
      <c r="POM11" s="18"/>
      <c r="PON11" s="18"/>
      <c r="POO11" s="18"/>
      <c r="POP11" s="18"/>
      <c r="POQ11" s="18"/>
      <c r="POR11" s="18"/>
      <c r="POS11" s="18"/>
      <c r="POT11" s="18"/>
      <c r="POU11" s="18"/>
      <c r="POV11" s="18"/>
      <c r="POW11" s="18"/>
      <c r="POX11" s="18"/>
      <c r="POY11" s="18"/>
      <c r="POZ11" s="18"/>
      <c r="PPA11" s="18"/>
      <c r="PPB11" s="18"/>
      <c r="PPC11" s="18"/>
      <c r="PPD11" s="18"/>
      <c r="PPE11" s="18"/>
      <c r="PPF11" s="18"/>
      <c r="PPG11" s="18"/>
      <c r="PPH11" s="18"/>
      <c r="PPI11" s="18"/>
      <c r="PPJ11" s="18"/>
      <c r="PPK11" s="18"/>
      <c r="PPL11" s="18"/>
      <c r="PPM11" s="18"/>
      <c r="PPN11" s="18"/>
      <c r="PPO11" s="18"/>
      <c r="PPP11" s="18"/>
      <c r="PPQ11" s="18"/>
      <c r="PPR11" s="18"/>
      <c r="PPS11" s="18"/>
      <c r="PPT11" s="18"/>
      <c r="PPU11" s="18"/>
      <c r="PPV11" s="18"/>
      <c r="PPW11" s="18"/>
      <c r="PPX11" s="18"/>
      <c r="PPY11" s="18"/>
      <c r="PPZ11" s="18"/>
      <c r="PQA11" s="18"/>
      <c r="PQB11" s="18"/>
      <c r="PQC11" s="18"/>
      <c r="PQD11" s="18"/>
      <c r="PQE11" s="18"/>
      <c r="PQF11" s="18"/>
      <c r="PQG11" s="18"/>
      <c r="PQH11" s="18"/>
      <c r="PQI11" s="18"/>
      <c r="PQJ11" s="18"/>
      <c r="PQK11" s="18"/>
      <c r="PQL11" s="18"/>
      <c r="PQM11" s="18"/>
      <c r="PQN11" s="18"/>
      <c r="PQO11" s="18"/>
      <c r="PQP11" s="18"/>
      <c r="PQQ11" s="18"/>
      <c r="PQR11" s="18"/>
      <c r="PQS11" s="18"/>
      <c r="PQT11" s="18"/>
      <c r="PQU11" s="18"/>
      <c r="PQV11" s="18"/>
      <c r="PQW11" s="18"/>
      <c r="PQX11" s="18"/>
      <c r="PQY11" s="18"/>
      <c r="PQZ11" s="18"/>
      <c r="PRA11" s="18"/>
      <c r="PRB11" s="18"/>
      <c r="PRC11" s="18"/>
      <c r="PRD11" s="18"/>
      <c r="PRE11" s="18"/>
      <c r="PRF11" s="18"/>
      <c r="PRG11" s="18"/>
      <c r="PRH11" s="18"/>
      <c r="PRI11" s="18"/>
      <c r="PRJ11" s="18"/>
      <c r="PRK11" s="18"/>
      <c r="PRL11" s="18"/>
      <c r="PRM11" s="18"/>
      <c r="PRN11" s="18"/>
      <c r="PRO11" s="18"/>
      <c r="PRP11" s="18"/>
      <c r="PRQ11" s="18"/>
      <c r="PRR11" s="18"/>
      <c r="PRS11" s="18"/>
      <c r="PRT11" s="18"/>
      <c r="PRU11" s="18"/>
      <c r="PRV11" s="18"/>
      <c r="PRW11" s="18"/>
      <c r="PRX11" s="18"/>
      <c r="PRY11" s="18"/>
      <c r="PRZ11" s="18"/>
      <c r="PSA11" s="18"/>
      <c r="PSB11" s="18"/>
      <c r="PSC11" s="18"/>
      <c r="PSD11" s="18"/>
      <c r="PSE11" s="18"/>
      <c r="PSF11" s="18"/>
      <c r="PSG11" s="18"/>
      <c r="PSH11" s="18"/>
      <c r="PSI11" s="18"/>
      <c r="PSJ11" s="18"/>
      <c r="PSK11" s="18"/>
      <c r="PSL11" s="18"/>
      <c r="PSM11" s="18"/>
      <c r="PSN11" s="18"/>
      <c r="PSO11" s="18"/>
      <c r="PSP11" s="18"/>
      <c r="PSQ11" s="18"/>
      <c r="PSR11" s="18"/>
      <c r="PSS11" s="18"/>
      <c r="PST11" s="18"/>
      <c r="PSU11" s="18"/>
      <c r="PSV11" s="18"/>
      <c r="PSW11" s="18"/>
      <c r="PSX11" s="18"/>
      <c r="PSY11" s="18"/>
      <c r="PSZ11" s="18"/>
      <c r="PTA11" s="18"/>
      <c r="PTB11" s="18"/>
      <c r="PTC11" s="18"/>
      <c r="PTD11" s="18"/>
      <c r="PTE11" s="18"/>
      <c r="PTF11" s="18"/>
      <c r="PTG11" s="18"/>
      <c r="PTH11" s="18"/>
      <c r="PTI11" s="18"/>
      <c r="PTJ11" s="18"/>
      <c r="PTK11" s="18"/>
      <c r="PTL11" s="18"/>
      <c r="PTM11" s="18"/>
      <c r="PTN11" s="18"/>
      <c r="PTO11" s="18"/>
      <c r="PTP11" s="18"/>
      <c r="PTQ11" s="18"/>
      <c r="PTR11" s="18"/>
      <c r="PTS11" s="18"/>
      <c r="PTT11" s="18"/>
      <c r="PTU11" s="18"/>
      <c r="PTV11" s="18"/>
      <c r="PTW11" s="18"/>
      <c r="PTX11" s="18"/>
      <c r="PTY11" s="18"/>
      <c r="PTZ11" s="18"/>
      <c r="PUA11" s="18"/>
      <c r="PUB11" s="18"/>
      <c r="PUC11" s="18"/>
      <c r="PUD11" s="18"/>
      <c r="PUE11" s="18"/>
      <c r="PUF11" s="18"/>
      <c r="PUG11" s="18"/>
      <c r="PUH11" s="18"/>
      <c r="PUI11" s="18"/>
      <c r="PUJ11" s="18"/>
      <c r="PUK11" s="18"/>
      <c r="PUL11" s="18"/>
      <c r="PUM11" s="18"/>
      <c r="PUN11" s="18"/>
      <c r="PUO11" s="18"/>
      <c r="PUP11" s="18"/>
      <c r="PUQ11" s="18"/>
      <c r="PUR11" s="18"/>
      <c r="PUS11" s="18"/>
      <c r="PUT11" s="18"/>
      <c r="PUU11" s="18"/>
      <c r="PUV11" s="18"/>
      <c r="PUW11" s="18"/>
      <c r="PUX11" s="18"/>
      <c r="PUY11" s="18"/>
      <c r="PUZ11" s="18"/>
      <c r="PVA11" s="18"/>
      <c r="PVB11" s="18"/>
      <c r="PVC11" s="18"/>
      <c r="PVD11" s="18"/>
      <c r="PVE11" s="18"/>
      <c r="PVF11" s="18"/>
      <c r="PVG11" s="18"/>
      <c r="PVH11" s="18"/>
      <c r="PVI11" s="18"/>
      <c r="PVJ11" s="18"/>
      <c r="PVK11" s="18"/>
      <c r="PVL11" s="18"/>
      <c r="PVM11" s="18"/>
      <c r="PVN11" s="18"/>
      <c r="PVO11" s="18"/>
      <c r="PVP11" s="18"/>
      <c r="PVQ11" s="18"/>
      <c r="PVR11" s="18"/>
      <c r="PVS11" s="18"/>
      <c r="PVT11" s="18"/>
      <c r="PVU11" s="18"/>
      <c r="PVV11" s="18"/>
      <c r="PVW11" s="18"/>
      <c r="PVX11" s="18"/>
      <c r="PVY11" s="18"/>
      <c r="PVZ11" s="18"/>
      <c r="PWA11" s="18"/>
      <c r="PWB11" s="18"/>
      <c r="PWC11" s="18"/>
      <c r="PWD11" s="18"/>
      <c r="PWE11" s="18"/>
      <c r="PWF11" s="18"/>
      <c r="PWG11" s="18"/>
      <c r="PWH11" s="18"/>
      <c r="PWI11" s="18"/>
      <c r="PWJ11" s="18"/>
      <c r="PWK11" s="18"/>
      <c r="PWL11" s="18"/>
      <c r="PWM11" s="18"/>
      <c r="PWN11" s="18"/>
      <c r="PWO11" s="18"/>
      <c r="PWP11" s="18"/>
      <c r="PWQ11" s="18"/>
      <c r="PWR11" s="18"/>
      <c r="PWS11" s="18"/>
      <c r="PWT11" s="18"/>
      <c r="PWU11" s="18"/>
      <c r="PWV11" s="18"/>
      <c r="PWW11" s="18"/>
      <c r="PWX11" s="18"/>
      <c r="PWY11" s="18"/>
      <c r="PWZ11" s="18"/>
      <c r="PXA11" s="18"/>
      <c r="PXB11" s="18"/>
      <c r="PXC11" s="18"/>
      <c r="PXD11" s="18"/>
      <c r="PXE11" s="18"/>
      <c r="PXF11" s="18"/>
      <c r="PXG11" s="18"/>
      <c r="PXH11" s="18"/>
      <c r="PXI11" s="18"/>
      <c r="PXJ11" s="18"/>
      <c r="PXK11" s="18"/>
      <c r="PXL11" s="18"/>
      <c r="PXM11" s="18"/>
      <c r="PXN11" s="18"/>
      <c r="PXO11" s="18"/>
      <c r="PXP11" s="18"/>
      <c r="PXQ11" s="18"/>
      <c r="PXR11" s="18"/>
      <c r="PXS11" s="18"/>
      <c r="PXT11" s="18"/>
      <c r="PXU11" s="18"/>
      <c r="PXV11" s="18"/>
      <c r="PXW11" s="18"/>
      <c r="PXX11" s="18"/>
      <c r="PXY11" s="18"/>
      <c r="PXZ11" s="18"/>
      <c r="PYA11" s="18"/>
      <c r="PYB11" s="18"/>
      <c r="PYC11" s="18"/>
      <c r="PYD11" s="18"/>
      <c r="PYE11" s="18"/>
      <c r="PYF11" s="18"/>
      <c r="PYG11" s="18"/>
      <c r="PYH11" s="18"/>
      <c r="PYI11" s="18"/>
      <c r="PYJ11" s="18"/>
      <c r="PYK11" s="18"/>
      <c r="PYL11" s="18"/>
      <c r="PYM11" s="18"/>
      <c r="PYN11" s="18"/>
      <c r="PYO11" s="18"/>
      <c r="PYP11" s="18"/>
      <c r="PYQ11" s="18"/>
      <c r="PYR11" s="18"/>
      <c r="PYS11" s="18"/>
      <c r="PYT11" s="18"/>
      <c r="PYU11" s="18"/>
      <c r="PYV11" s="18"/>
      <c r="PYW11" s="18"/>
      <c r="PYX11" s="18"/>
      <c r="PYY11" s="18"/>
      <c r="PYZ11" s="18"/>
      <c r="PZA11" s="18"/>
      <c r="PZB11" s="18"/>
      <c r="PZC11" s="18"/>
      <c r="PZD11" s="18"/>
      <c r="PZE11" s="18"/>
      <c r="PZF11" s="18"/>
      <c r="PZG11" s="18"/>
      <c r="PZH11" s="18"/>
      <c r="PZI11" s="18"/>
      <c r="PZJ11" s="18"/>
      <c r="PZK11" s="18"/>
      <c r="PZL11" s="18"/>
      <c r="PZM11" s="18"/>
      <c r="PZN11" s="18"/>
      <c r="PZO11" s="18"/>
      <c r="PZP11" s="18"/>
      <c r="PZQ11" s="18"/>
      <c r="PZR11" s="18"/>
      <c r="PZS11" s="18"/>
      <c r="PZT11" s="18"/>
      <c r="PZU11" s="18"/>
      <c r="PZV11" s="18"/>
      <c r="PZW11" s="18"/>
      <c r="PZX11" s="18"/>
      <c r="PZY11" s="18"/>
      <c r="PZZ11" s="18"/>
      <c r="QAA11" s="18"/>
      <c r="QAB11" s="18"/>
      <c r="QAC11" s="18"/>
      <c r="QAD11" s="18"/>
      <c r="QAE11" s="18"/>
      <c r="QAF11" s="18"/>
      <c r="QAG11" s="18"/>
      <c r="QAH11" s="18"/>
      <c r="QAI11" s="18"/>
      <c r="QAJ11" s="18"/>
      <c r="QAK11" s="18"/>
      <c r="QAL11" s="18"/>
      <c r="QAM11" s="18"/>
      <c r="QAN11" s="18"/>
      <c r="QAO11" s="18"/>
      <c r="QAP11" s="18"/>
      <c r="QAQ11" s="18"/>
      <c r="QAR11" s="18"/>
      <c r="QAS11" s="18"/>
      <c r="QAT11" s="18"/>
      <c r="QAU11" s="18"/>
      <c r="QAV11" s="18"/>
      <c r="QAW11" s="18"/>
      <c r="QAX11" s="18"/>
      <c r="QAY11" s="18"/>
      <c r="QAZ11" s="18"/>
      <c r="QBA11" s="18"/>
      <c r="QBB11" s="18"/>
      <c r="QBC11" s="18"/>
      <c r="QBD11" s="18"/>
      <c r="QBE11" s="18"/>
      <c r="QBF11" s="18"/>
      <c r="QBG11" s="18"/>
      <c r="QBH11" s="18"/>
      <c r="QBI11" s="18"/>
      <c r="QBJ11" s="18"/>
      <c r="QBK11" s="18"/>
      <c r="QBL11" s="18"/>
      <c r="QBM11" s="18"/>
      <c r="QBN11" s="18"/>
      <c r="QBO11" s="18"/>
      <c r="QBP11" s="18"/>
      <c r="QBQ11" s="18"/>
      <c r="QBR11" s="18"/>
      <c r="QBS11" s="18"/>
      <c r="QBT11" s="18"/>
      <c r="QBU11" s="18"/>
      <c r="QBV11" s="18"/>
      <c r="QBW11" s="18"/>
      <c r="QBX11" s="18"/>
      <c r="QBY11" s="18"/>
      <c r="QBZ11" s="18"/>
      <c r="QCA11" s="18"/>
      <c r="QCB11" s="18"/>
      <c r="QCC11" s="18"/>
      <c r="QCD11" s="18"/>
      <c r="QCE11" s="18"/>
      <c r="QCF11" s="18"/>
      <c r="QCG11" s="18"/>
      <c r="QCH11" s="18"/>
      <c r="QCI11" s="18"/>
      <c r="QCJ11" s="18"/>
      <c r="QCK11" s="18"/>
      <c r="QCL11" s="18"/>
      <c r="QCM11" s="18"/>
      <c r="QCN11" s="18"/>
      <c r="QCO11" s="18"/>
      <c r="QCP11" s="18"/>
      <c r="QCQ11" s="18"/>
      <c r="QCR11" s="18"/>
      <c r="QCS11" s="18"/>
      <c r="QCT11" s="18"/>
      <c r="QCU11" s="18"/>
      <c r="QCV11" s="18"/>
      <c r="QCW11" s="18"/>
      <c r="QCX11" s="18"/>
      <c r="QCY11" s="18"/>
      <c r="QCZ11" s="18"/>
      <c r="QDA11" s="18"/>
      <c r="QDB11" s="18"/>
      <c r="QDC11" s="18"/>
      <c r="QDD11" s="18"/>
      <c r="QDE11" s="18"/>
      <c r="QDF11" s="18"/>
      <c r="QDG11" s="18"/>
      <c r="QDH11" s="18"/>
      <c r="QDI11" s="18"/>
      <c r="QDJ11" s="18"/>
      <c r="QDK11" s="18"/>
      <c r="QDL11" s="18"/>
      <c r="QDM11" s="18"/>
      <c r="QDN11" s="18"/>
      <c r="QDO11" s="18"/>
      <c r="QDP11" s="18"/>
      <c r="QDQ11" s="18"/>
      <c r="QDR11" s="18"/>
      <c r="QDS11" s="18"/>
      <c r="QDT11" s="18"/>
      <c r="QDU11" s="18"/>
      <c r="QDV11" s="18"/>
      <c r="QDW11" s="18"/>
      <c r="QDX11" s="18"/>
      <c r="QDY11" s="18"/>
      <c r="QDZ11" s="18"/>
      <c r="QEA11" s="18"/>
      <c r="QEB11" s="18"/>
      <c r="QEC11" s="18"/>
      <c r="QED11" s="18"/>
      <c r="QEE11" s="18"/>
      <c r="QEF11" s="18"/>
      <c r="QEG11" s="18"/>
      <c r="QEH11" s="18"/>
      <c r="QEI11" s="18"/>
      <c r="QEJ11" s="18"/>
      <c r="QEK11" s="18"/>
      <c r="QEL11" s="18"/>
      <c r="QEM11" s="18"/>
      <c r="QEN11" s="18"/>
      <c r="QEO11" s="18"/>
      <c r="QEP11" s="18"/>
      <c r="QEQ11" s="18"/>
      <c r="QER11" s="18"/>
      <c r="QES11" s="18"/>
      <c r="QET11" s="18"/>
      <c r="QEU11" s="18"/>
      <c r="QEV11" s="18"/>
      <c r="QEW11" s="18"/>
      <c r="QEX11" s="18"/>
      <c r="QEY11" s="18"/>
      <c r="QEZ11" s="18"/>
      <c r="QFA11" s="18"/>
      <c r="QFB11" s="18"/>
      <c r="QFC11" s="18"/>
      <c r="QFD11" s="18"/>
      <c r="QFE11" s="18"/>
      <c r="QFF11" s="18"/>
      <c r="QFG11" s="18"/>
      <c r="QFH11" s="18"/>
      <c r="QFI11" s="18"/>
      <c r="QFJ11" s="18"/>
      <c r="QFK11" s="18"/>
      <c r="QFL11" s="18"/>
      <c r="QFM11" s="18"/>
      <c r="QFN11" s="18"/>
      <c r="QFO11" s="18"/>
      <c r="QFP11" s="18"/>
      <c r="QFQ11" s="18"/>
      <c r="QFR11" s="18"/>
      <c r="QFS11" s="18"/>
      <c r="QFT11" s="18"/>
      <c r="QFU11" s="18"/>
      <c r="QFV11" s="18"/>
      <c r="QFW11" s="18"/>
      <c r="QFX11" s="18"/>
      <c r="QFY11" s="18"/>
      <c r="QFZ11" s="18"/>
      <c r="QGA11" s="18"/>
      <c r="QGB11" s="18"/>
      <c r="QGC11" s="18"/>
      <c r="QGD11" s="18"/>
      <c r="QGE11" s="18"/>
      <c r="QGF11" s="18"/>
      <c r="QGG11" s="18"/>
      <c r="QGH11" s="18"/>
      <c r="QGI11" s="18"/>
      <c r="QGJ11" s="18"/>
      <c r="QGK11" s="18"/>
      <c r="QGL11" s="18"/>
      <c r="QGM11" s="18"/>
      <c r="QGN11" s="18"/>
      <c r="QGO11" s="18"/>
      <c r="QGP11" s="18"/>
      <c r="QGQ11" s="18"/>
      <c r="QGR11" s="18"/>
      <c r="QGS11" s="18"/>
      <c r="QGT11" s="18"/>
      <c r="QGU11" s="18"/>
      <c r="QGV11" s="18"/>
      <c r="QGW11" s="18"/>
      <c r="QGX11" s="18"/>
      <c r="QGY11" s="18"/>
      <c r="QGZ11" s="18"/>
      <c r="QHA11" s="18"/>
      <c r="QHB11" s="18"/>
      <c r="QHC11" s="18"/>
      <c r="QHD11" s="18"/>
      <c r="QHE11" s="18"/>
      <c r="QHF11" s="18"/>
      <c r="QHG11" s="18"/>
      <c r="QHH11" s="18"/>
      <c r="QHI11" s="18"/>
      <c r="QHJ11" s="18"/>
      <c r="QHK11" s="18"/>
      <c r="QHL11" s="18"/>
      <c r="QHM11" s="18"/>
      <c r="QHN11" s="18"/>
      <c r="QHO11" s="18"/>
      <c r="QHP11" s="18"/>
      <c r="QHQ11" s="18"/>
      <c r="QHR11" s="18"/>
      <c r="QHS11" s="18"/>
      <c r="QHT11" s="18"/>
      <c r="QHU11" s="18"/>
      <c r="QHV11" s="18"/>
      <c r="QHW11" s="18"/>
      <c r="QHX11" s="18"/>
      <c r="QHY11" s="18"/>
      <c r="QHZ11" s="18"/>
      <c r="QIA11" s="18"/>
      <c r="QIB11" s="18"/>
      <c r="QIC11" s="18"/>
      <c r="QID11" s="18"/>
      <c r="QIE11" s="18"/>
      <c r="QIF11" s="18"/>
      <c r="QIG11" s="18"/>
      <c r="QIH11" s="18"/>
      <c r="QII11" s="18"/>
      <c r="QIJ11" s="18"/>
      <c r="QIK11" s="18"/>
      <c r="QIL11" s="18"/>
      <c r="QIM11" s="18"/>
      <c r="QIN11" s="18"/>
      <c r="QIO11" s="18"/>
      <c r="QIP11" s="18"/>
      <c r="QIQ11" s="18"/>
      <c r="QIR11" s="18"/>
      <c r="QIS11" s="18"/>
      <c r="QIT11" s="18"/>
      <c r="QIU11" s="18"/>
      <c r="QIV11" s="18"/>
      <c r="QIW11" s="18"/>
      <c r="QIX11" s="18"/>
      <c r="QIY11" s="18"/>
      <c r="QIZ11" s="18"/>
      <c r="QJA11" s="18"/>
      <c r="QJB11" s="18"/>
      <c r="QJC11" s="18"/>
      <c r="QJD11" s="18"/>
      <c r="QJE11" s="18"/>
      <c r="QJF11" s="18"/>
      <c r="QJG11" s="18"/>
      <c r="QJH11" s="18"/>
      <c r="QJI11" s="18"/>
      <c r="QJJ11" s="18"/>
      <c r="QJK11" s="18"/>
      <c r="QJL11" s="18"/>
      <c r="QJM11" s="18"/>
      <c r="QJN11" s="18"/>
      <c r="QJO11" s="18"/>
      <c r="QJP11" s="18"/>
      <c r="QJQ11" s="18"/>
      <c r="QJR11" s="18"/>
      <c r="QJS11" s="18"/>
      <c r="QJT11" s="18"/>
      <c r="QJU11" s="18"/>
      <c r="QJV11" s="18"/>
      <c r="QJW11" s="18"/>
      <c r="QJX11" s="18"/>
      <c r="QJY11" s="18"/>
      <c r="QJZ11" s="18"/>
      <c r="QKA11" s="18"/>
      <c r="QKB11" s="18"/>
      <c r="QKC11" s="18"/>
      <c r="QKD11" s="18"/>
      <c r="QKE11" s="18"/>
      <c r="QKF11" s="18"/>
      <c r="QKG11" s="18"/>
      <c r="QKH11" s="18"/>
      <c r="QKI11" s="18"/>
      <c r="QKJ11" s="18"/>
      <c r="QKK11" s="18"/>
      <c r="QKL11" s="18"/>
      <c r="QKM11" s="18"/>
      <c r="QKN11" s="18"/>
      <c r="QKO11" s="18"/>
      <c r="QKP11" s="18"/>
      <c r="QKQ11" s="18"/>
      <c r="QKR11" s="18"/>
      <c r="QKS11" s="18"/>
      <c r="QKT11" s="18"/>
      <c r="QKU11" s="18"/>
      <c r="QKV11" s="18"/>
      <c r="QKW11" s="18"/>
      <c r="QKX11" s="18"/>
      <c r="QKY11" s="18"/>
      <c r="QKZ11" s="18"/>
      <c r="QLA11" s="18"/>
      <c r="QLB11" s="18"/>
      <c r="QLC11" s="18"/>
      <c r="QLD11" s="18"/>
      <c r="QLE11" s="18"/>
      <c r="QLF11" s="18"/>
      <c r="QLG11" s="18"/>
      <c r="QLH11" s="18"/>
      <c r="QLI11" s="18"/>
      <c r="QLJ11" s="18"/>
      <c r="QLK11" s="18"/>
      <c r="QLL11" s="18"/>
      <c r="QLM11" s="18"/>
      <c r="QLN11" s="18"/>
      <c r="QLO11" s="18"/>
      <c r="QLP11" s="18"/>
      <c r="QLQ11" s="18"/>
      <c r="QLR11" s="18"/>
      <c r="QLS11" s="18"/>
      <c r="QLT11" s="18"/>
      <c r="QLU11" s="18"/>
      <c r="QLV11" s="18"/>
      <c r="QLW11" s="18"/>
      <c r="QLX11" s="18"/>
      <c r="QLY11" s="18"/>
      <c r="QLZ11" s="18"/>
      <c r="QMA11" s="18"/>
      <c r="QMB11" s="18"/>
      <c r="QMC11" s="18"/>
      <c r="QMD11" s="18"/>
      <c r="QME11" s="18"/>
      <c r="QMF11" s="18"/>
      <c r="QMG11" s="18"/>
      <c r="QMH11" s="18"/>
      <c r="QMI11" s="18"/>
      <c r="QMJ11" s="18"/>
      <c r="QMK11" s="18"/>
      <c r="QML11" s="18"/>
      <c r="QMM11" s="18"/>
      <c r="QMN11" s="18"/>
      <c r="QMO11" s="18"/>
      <c r="QMP11" s="18"/>
      <c r="QMQ11" s="18"/>
      <c r="QMR11" s="18"/>
      <c r="QMS11" s="18"/>
      <c r="QMT11" s="18"/>
      <c r="QMU11" s="18"/>
      <c r="QMV11" s="18"/>
      <c r="QMW11" s="18"/>
      <c r="QMX11" s="18"/>
      <c r="QMY11" s="18"/>
      <c r="QMZ11" s="18"/>
      <c r="QNA11" s="18"/>
      <c r="QNB11" s="18"/>
      <c r="QNC11" s="18"/>
      <c r="QND11" s="18"/>
      <c r="QNE11" s="18"/>
      <c r="QNF11" s="18"/>
      <c r="QNG11" s="18"/>
      <c r="QNH11" s="18"/>
      <c r="QNI11" s="18"/>
      <c r="QNJ11" s="18"/>
      <c r="QNK11" s="18"/>
      <c r="QNL11" s="18"/>
      <c r="QNM11" s="18"/>
      <c r="QNN11" s="18"/>
      <c r="QNO11" s="18"/>
      <c r="QNP11" s="18"/>
      <c r="QNQ11" s="18"/>
      <c r="QNR11" s="18"/>
      <c r="QNS11" s="18"/>
      <c r="QNT11" s="18"/>
      <c r="QNU11" s="18"/>
      <c r="QNV11" s="18"/>
      <c r="QNW11" s="18"/>
      <c r="QNX11" s="18"/>
      <c r="QNY11" s="18"/>
      <c r="QNZ11" s="18"/>
      <c r="QOA11" s="18"/>
      <c r="QOB11" s="18"/>
      <c r="QOC11" s="18"/>
      <c r="QOD11" s="18"/>
      <c r="QOE11" s="18"/>
      <c r="QOF11" s="18"/>
      <c r="QOG11" s="18"/>
      <c r="QOH11" s="18"/>
      <c r="QOI11" s="18"/>
      <c r="QOJ11" s="18"/>
      <c r="QOK11" s="18"/>
      <c r="QOL11" s="18"/>
      <c r="QOM11" s="18"/>
      <c r="QON11" s="18"/>
      <c r="QOO11" s="18"/>
      <c r="QOP11" s="18"/>
      <c r="QOQ11" s="18"/>
      <c r="QOR11" s="18"/>
      <c r="QOS11" s="18"/>
      <c r="QOT11" s="18"/>
      <c r="QOU11" s="18"/>
      <c r="QOV11" s="18"/>
      <c r="QOW11" s="18"/>
      <c r="QOX11" s="18"/>
      <c r="QOY11" s="18"/>
      <c r="QOZ11" s="18"/>
      <c r="QPA11" s="18"/>
      <c r="QPB11" s="18"/>
      <c r="QPC11" s="18"/>
      <c r="QPD11" s="18"/>
      <c r="QPE11" s="18"/>
      <c r="QPF11" s="18"/>
      <c r="QPG11" s="18"/>
      <c r="QPH11" s="18"/>
      <c r="QPI11" s="18"/>
      <c r="QPJ11" s="18"/>
      <c r="QPK11" s="18"/>
      <c r="QPL11" s="18"/>
      <c r="QPM11" s="18"/>
      <c r="QPN11" s="18"/>
      <c r="QPO11" s="18"/>
      <c r="QPP11" s="18"/>
      <c r="QPQ11" s="18"/>
      <c r="QPR11" s="18"/>
      <c r="QPS11" s="18"/>
      <c r="QPT11" s="18"/>
      <c r="QPU11" s="18"/>
      <c r="QPV11" s="18"/>
      <c r="QPW11" s="18"/>
      <c r="QPX11" s="18"/>
      <c r="QPY11" s="18"/>
      <c r="QPZ11" s="18"/>
      <c r="QQA11" s="18"/>
      <c r="QQB11" s="18"/>
      <c r="QQC11" s="18"/>
      <c r="QQD11" s="18"/>
      <c r="QQE11" s="18"/>
      <c r="QQF11" s="18"/>
      <c r="QQG11" s="18"/>
      <c r="QQH11" s="18"/>
      <c r="QQI11" s="18"/>
      <c r="QQJ11" s="18"/>
      <c r="QQK11" s="18"/>
      <c r="QQL11" s="18"/>
      <c r="QQM11" s="18"/>
      <c r="QQN11" s="18"/>
      <c r="QQO11" s="18"/>
      <c r="QQP11" s="18"/>
      <c r="QQQ11" s="18"/>
      <c r="QQR11" s="18"/>
      <c r="QQS11" s="18"/>
      <c r="QQT11" s="18"/>
      <c r="QQU11" s="18"/>
      <c r="QQV11" s="18"/>
      <c r="QQW11" s="18"/>
      <c r="QQX11" s="18"/>
      <c r="QQY11" s="18"/>
      <c r="QQZ11" s="18"/>
      <c r="QRA11" s="18"/>
      <c r="QRB11" s="18"/>
      <c r="QRC11" s="18"/>
      <c r="QRD11" s="18"/>
      <c r="QRE11" s="18"/>
      <c r="QRF11" s="18"/>
      <c r="QRG11" s="18"/>
      <c r="QRH11" s="18"/>
      <c r="QRI11" s="18"/>
      <c r="QRJ11" s="18"/>
      <c r="QRK11" s="18"/>
      <c r="QRL11" s="18"/>
      <c r="QRM11" s="18"/>
      <c r="QRN11" s="18"/>
      <c r="QRO11" s="18"/>
      <c r="QRP11" s="18"/>
      <c r="QRQ11" s="18"/>
      <c r="QRR11" s="18"/>
      <c r="QRS11" s="18"/>
      <c r="QRT11" s="18"/>
      <c r="QRU11" s="18"/>
      <c r="QRV11" s="18"/>
      <c r="QRW11" s="18"/>
      <c r="QRX11" s="18"/>
      <c r="QRY11" s="18"/>
      <c r="QRZ11" s="18"/>
      <c r="QSA11" s="18"/>
      <c r="QSB11" s="18"/>
      <c r="QSC11" s="18"/>
      <c r="QSD11" s="18"/>
      <c r="QSE11" s="18"/>
      <c r="QSF11" s="18"/>
      <c r="QSG11" s="18"/>
      <c r="QSH11" s="18"/>
      <c r="QSI11" s="18"/>
      <c r="QSJ11" s="18"/>
      <c r="QSK11" s="18"/>
      <c r="QSL11" s="18"/>
      <c r="QSM11" s="18"/>
      <c r="QSN11" s="18"/>
      <c r="QSO11" s="18"/>
      <c r="QSP11" s="18"/>
      <c r="QSQ11" s="18"/>
      <c r="QSR11" s="18"/>
      <c r="QSS11" s="18"/>
      <c r="QST11" s="18"/>
      <c r="QSU11" s="18"/>
      <c r="QSV11" s="18"/>
      <c r="QSW11" s="18"/>
      <c r="QSX11" s="18"/>
      <c r="QSY11" s="18"/>
      <c r="QSZ11" s="18"/>
      <c r="QTA11" s="18"/>
      <c r="QTB11" s="18"/>
      <c r="QTC11" s="18"/>
      <c r="QTD11" s="18"/>
      <c r="QTE11" s="18"/>
      <c r="QTF11" s="18"/>
      <c r="QTG11" s="18"/>
      <c r="QTH11" s="18"/>
      <c r="QTI11" s="18"/>
      <c r="QTJ11" s="18"/>
      <c r="QTK11" s="18"/>
      <c r="QTL11" s="18"/>
      <c r="QTM11" s="18"/>
      <c r="QTN11" s="18"/>
      <c r="QTO11" s="18"/>
      <c r="QTP11" s="18"/>
      <c r="QTQ11" s="18"/>
      <c r="QTR11" s="18"/>
      <c r="QTS11" s="18"/>
      <c r="QTT11" s="18"/>
      <c r="QTU11" s="18"/>
      <c r="QTV11" s="18"/>
      <c r="QTW11" s="18"/>
      <c r="QTX11" s="18"/>
      <c r="QTY11" s="18"/>
      <c r="QTZ11" s="18"/>
      <c r="QUA11" s="18"/>
      <c r="QUB11" s="18"/>
      <c r="QUC11" s="18"/>
      <c r="QUD11" s="18"/>
      <c r="QUE11" s="18"/>
      <c r="QUF11" s="18"/>
      <c r="QUG11" s="18"/>
      <c r="QUH11" s="18"/>
      <c r="QUI11" s="18"/>
      <c r="QUJ11" s="18"/>
      <c r="QUK11" s="18"/>
      <c r="QUL11" s="18"/>
      <c r="QUM11" s="18"/>
      <c r="QUN11" s="18"/>
      <c r="QUO11" s="18"/>
      <c r="QUP11" s="18"/>
      <c r="QUQ11" s="18"/>
      <c r="QUR11" s="18"/>
      <c r="QUS11" s="18"/>
      <c r="QUT11" s="18"/>
      <c r="QUU11" s="18"/>
      <c r="QUV11" s="18"/>
      <c r="QUW11" s="18"/>
      <c r="QUX11" s="18"/>
      <c r="QUY11" s="18"/>
      <c r="QUZ11" s="18"/>
      <c r="QVA11" s="18"/>
      <c r="QVB11" s="18"/>
      <c r="QVC11" s="18"/>
      <c r="QVD11" s="18"/>
      <c r="QVE11" s="18"/>
      <c r="QVF11" s="18"/>
      <c r="QVG11" s="18"/>
      <c r="QVH11" s="18"/>
      <c r="QVI11" s="18"/>
      <c r="QVJ11" s="18"/>
      <c r="QVK11" s="18"/>
      <c r="QVL11" s="18"/>
      <c r="QVM11" s="18"/>
      <c r="QVN11" s="18"/>
      <c r="QVO11" s="18"/>
      <c r="QVP11" s="18"/>
      <c r="QVQ11" s="18"/>
      <c r="QVR11" s="18"/>
      <c r="QVS11" s="18"/>
      <c r="QVT11" s="18"/>
      <c r="QVU11" s="18"/>
      <c r="QVV11" s="18"/>
      <c r="QVW11" s="18"/>
      <c r="QVX11" s="18"/>
      <c r="QVY11" s="18"/>
      <c r="QVZ11" s="18"/>
      <c r="QWA11" s="18"/>
      <c r="QWB11" s="18"/>
      <c r="QWC11" s="18"/>
      <c r="QWD11" s="18"/>
      <c r="QWE11" s="18"/>
      <c r="QWF11" s="18"/>
      <c r="QWG11" s="18"/>
      <c r="QWH11" s="18"/>
      <c r="QWI11" s="18"/>
      <c r="QWJ11" s="18"/>
      <c r="QWK11" s="18"/>
      <c r="QWL11" s="18"/>
      <c r="QWM11" s="18"/>
      <c r="QWN11" s="18"/>
      <c r="QWO11" s="18"/>
      <c r="QWP11" s="18"/>
      <c r="QWQ11" s="18"/>
      <c r="QWR11" s="18"/>
      <c r="QWS11" s="18"/>
      <c r="QWT11" s="18"/>
      <c r="QWU11" s="18"/>
      <c r="QWV11" s="18"/>
      <c r="QWW11" s="18"/>
      <c r="QWX11" s="18"/>
      <c r="QWY11" s="18"/>
      <c r="QWZ11" s="18"/>
      <c r="QXA11" s="18"/>
      <c r="QXB11" s="18"/>
      <c r="QXC11" s="18"/>
      <c r="QXD11" s="18"/>
      <c r="QXE11" s="18"/>
      <c r="QXF11" s="18"/>
      <c r="QXG11" s="18"/>
      <c r="QXH11" s="18"/>
      <c r="QXI11" s="18"/>
      <c r="QXJ11" s="18"/>
      <c r="QXK11" s="18"/>
      <c r="QXL11" s="18"/>
      <c r="QXM11" s="18"/>
      <c r="QXN11" s="18"/>
      <c r="QXO11" s="18"/>
      <c r="QXP11" s="18"/>
      <c r="QXQ11" s="18"/>
      <c r="QXR11" s="18"/>
      <c r="QXS11" s="18"/>
      <c r="QXT11" s="18"/>
      <c r="QXU11" s="18"/>
      <c r="QXV11" s="18"/>
      <c r="QXW11" s="18"/>
      <c r="QXX11" s="18"/>
      <c r="QXY11" s="18"/>
      <c r="QXZ11" s="18"/>
      <c r="QYA11" s="18"/>
      <c r="QYB11" s="18"/>
      <c r="QYC11" s="18"/>
      <c r="QYD11" s="18"/>
      <c r="QYE11" s="18"/>
      <c r="QYF11" s="18"/>
      <c r="QYG11" s="18"/>
      <c r="QYH11" s="18"/>
      <c r="QYI11" s="18"/>
      <c r="QYJ11" s="18"/>
      <c r="QYK11" s="18"/>
      <c r="QYL11" s="18"/>
      <c r="QYM11" s="18"/>
      <c r="QYN11" s="18"/>
      <c r="QYO11" s="18"/>
      <c r="QYP11" s="18"/>
      <c r="QYQ11" s="18"/>
      <c r="QYR11" s="18"/>
      <c r="QYS11" s="18"/>
      <c r="QYT11" s="18"/>
      <c r="QYU11" s="18"/>
      <c r="QYV11" s="18"/>
      <c r="QYW11" s="18"/>
      <c r="QYX11" s="18"/>
      <c r="QYY11" s="18"/>
      <c r="QYZ11" s="18"/>
      <c r="QZA11" s="18"/>
      <c r="QZB11" s="18"/>
      <c r="QZC11" s="18"/>
      <c r="QZD11" s="18"/>
      <c r="QZE11" s="18"/>
      <c r="QZF11" s="18"/>
      <c r="QZG11" s="18"/>
      <c r="QZH11" s="18"/>
      <c r="QZI11" s="18"/>
      <c r="QZJ11" s="18"/>
      <c r="QZK11" s="18"/>
      <c r="QZL11" s="18"/>
      <c r="QZM11" s="18"/>
      <c r="QZN11" s="18"/>
      <c r="QZO11" s="18"/>
      <c r="QZP11" s="18"/>
      <c r="QZQ11" s="18"/>
      <c r="QZR11" s="18"/>
      <c r="QZS11" s="18"/>
      <c r="QZT11" s="18"/>
      <c r="QZU11" s="18"/>
      <c r="QZV11" s="18"/>
      <c r="QZW11" s="18"/>
      <c r="QZX11" s="18"/>
      <c r="QZY11" s="18"/>
      <c r="QZZ11" s="18"/>
      <c r="RAA11" s="18"/>
      <c r="RAB11" s="18"/>
      <c r="RAC11" s="18"/>
      <c r="RAD11" s="18"/>
      <c r="RAE11" s="18"/>
      <c r="RAF11" s="18"/>
      <c r="RAG11" s="18"/>
      <c r="RAH11" s="18"/>
      <c r="RAI11" s="18"/>
      <c r="RAJ11" s="18"/>
      <c r="RAK11" s="18"/>
      <c r="RAL11" s="18"/>
      <c r="RAM11" s="18"/>
      <c r="RAN11" s="18"/>
      <c r="RAO11" s="18"/>
      <c r="RAP11" s="18"/>
      <c r="RAQ11" s="18"/>
      <c r="RAR11" s="18"/>
      <c r="RAS11" s="18"/>
      <c r="RAT11" s="18"/>
      <c r="RAU11" s="18"/>
      <c r="RAV11" s="18"/>
      <c r="RAW11" s="18"/>
      <c r="RAX11" s="18"/>
      <c r="RAY11" s="18"/>
      <c r="RAZ11" s="18"/>
      <c r="RBA11" s="18"/>
      <c r="RBB11" s="18"/>
      <c r="RBC11" s="18"/>
      <c r="RBD11" s="18"/>
      <c r="RBE11" s="18"/>
      <c r="RBF11" s="18"/>
      <c r="RBG11" s="18"/>
      <c r="RBH11" s="18"/>
      <c r="RBI11" s="18"/>
      <c r="RBJ11" s="18"/>
      <c r="RBK11" s="18"/>
      <c r="RBL11" s="18"/>
      <c r="RBM11" s="18"/>
      <c r="RBN11" s="18"/>
      <c r="RBO11" s="18"/>
      <c r="RBP11" s="18"/>
      <c r="RBQ11" s="18"/>
      <c r="RBR11" s="18"/>
      <c r="RBS11" s="18"/>
      <c r="RBT11" s="18"/>
      <c r="RBU11" s="18"/>
      <c r="RBV11" s="18"/>
      <c r="RBW11" s="18"/>
      <c r="RBX11" s="18"/>
      <c r="RBY11" s="18"/>
      <c r="RBZ11" s="18"/>
      <c r="RCA11" s="18"/>
      <c r="RCB11" s="18"/>
      <c r="RCC11" s="18"/>
      <c r="RCD11" s="18"/>
      <c r="RCE11" s="18"/>
      <c r="RCF11" s="18"/>
      <c r="RCG11" s="18"/>
      <c r="RCH11" s="18"/>
      <c r="RCI11" s="18"/>
      <c r="RCJ11" s="18"/>
      <c r="RCK11" s="18"/>
      <c r="RCL11" s="18"/>
      <c r="RCM11" s="18"/>
      <c r="RCN11" s="18"/>
      <c r="RCO11" s="18"/>
      <c r="RCP11" s="18"/>
      <c r="RCQ11" s="18"/>
      <c r="RCR11" s="18"/>
      <c r="RCS11" s="18"/>
      <c r="RCT11" s="18"/>
      <c r="RCU11" s="18"/>
      <c r="RCV11" s="18"/>
      <c r="RCW11" s="18"/>
      <c r="RCX11" s="18"/>
      <c r="RCY11" s="18"/>
      <c r="RCZ11" s="18"/>
      <c r="RDA11" s="18"/>
      <c r="RDB11" s="18"/>
      <c r="RDC11" s="18"/>
      <c r="RDD11" s="18"/>
      <c r="RDE11" s="18"/>
      <c r="RDF11" s="18"/>
      <c r="RDG11" s="18"/>
      <c r="RDH11" s="18"/>
      <c r="RDI11" s="18"/>
      <c r="RDJ11" s="18"/>
      <c r="RDK11" s="18"/>
      <c r="RDL11" s="18"/>
      <c r="RDM11" s="18"/>
      <c r="RDN11" s="18"/>
      <c r="RDO11" s="18"/>
      <c r="RDP11" s="18"/>
      <c r="RDQ11" s="18"/>
      <c r="RDR11" s="18"/>
      <c r="RDS11" s="18"/>
      <c r="RDT11" s="18"/>
      <c r="RDU11" s="18"/>
      <c r="RDV11" s="18"/>
      <c r="RDW11" s="18"/>
      <c r="RDX11" s="18"/>
      <c r="RDY11" s="18"/>
      <c r="RDZ11" s="18"/>
      <c r="REA11" s="18"/>
      <c r="REB11" s="18"/>
      <c r="REC11" s="18"/>
      <c r="RED11" s="18"/>
      <c r="REE11" s="18"/>
      <c r="REF11" s="18"/>
      <c r="REG11" s="18"/>
      <c r="REH11" s="18"/>
      <c r="REI11" s="18"/>
      <c r="REJ11" s="18"/>
      <c r="REK11" s="18"/>
      <c r="REL11" s="18"/>
      <c r="REM11" s="18"/>
      <c r="REN11" s="18"/>
      <c r="REO11" s="18"/>
      <c r="REP11" s="18"/>
      <c r="REQ11" s="18"/>
      <c r="RER11" s="18"/>
      <c r="RES11" s="18"/>
      <c r="RET11" s="18"/>
      <c r="REU11" s="18"/>
      <c r="REV11" s="18"/>
      <c r="REW11" s="18"/>
      <c r="REX11" s="18"/>
      <c r="REY11" s="18"/>
      <c r="REZ11" s="18"/>
      <c r="RFA11" s="18"/>
      <c r="RFB11" s="18"/>
      <c r="RFC11" s="18"/>
      <c r="RFD11" s="18"/>
      <c r="RFE11" s="18"/>
      <c r="RFF11" s="18"/>
      <c r="RFG11" s="18"/>
      <c r="RFH11" s="18"/>
      <c r="RFI11" s="18"/>
      <c r="RFJ11" s="18"/>
      <c r="RFK11" s="18"/>
      <c r="RFL11" s="18"/>
      <c r="RFM11" s="18"/>
      <c r="RFN11" s="18"/>
      <c r="RFO11" s="18"/>
      <c r="RFP11" s="18"/>
      <c r="RFQ11" s="18"/>
      <c r="RFR11" s="18"/>
      <c r="RFS11" s="18"/>
      <c r="RFT11" s="18"/>
      <c r="RFU11" s="18"/>
      <c r="RFV11" s="18"/>
      <c r="RFW11" s="18"/>
      <c r="RFX11" s="18"/>
      <c r="RFY11" s="18"/>
      <c r="RFZ11" s="18"/>
      <c r="RGA11" s="18"/>
      <c r="RGB11" s="18"/>
      <c r="RGC11" s="18"/>
      <c r="RGD11" s="18"/>
      <c r="RGE11" s="18"/>
      <c r="RGF11" s="18"/>
      <c r="RGG11" s="18"/>
      <c r="RGH11" s="18"/>
      <c r="RGI11" s="18"/>
      <c r="RGJ11" s="18"/>
      <c r="RGK11" s="18"/>
      <c r="RGL11" s="18"/>
      <c r="RGM11" s="18"/>
      <c r="RGN11" s="18"/>
      <c r="RGO11" s="18"/>
      <c r="RGP11" s="18"/>
      <c r="RGQ11" s="18"/>
      <c r="RGR11" s="18"/>
      <c r="RGS11" s="18"/>
      <c r="RGT11" s="18"/>
      <c r="RGU11" s="18"/>
      <c r="RGV11" s="18"/>
      <c r="RGW11" s="18"/>
      <c r="RGX11" s="18"/>
      <c r="RGY11" s="18"/>
      <c r="RGZ11" s="18"/>
      <c r="RHA11" s="18"/>
      <c r="RHB11" s="18"/>
      <c r="RHC11" s="18"/>
      <c r="RHD11" s="18"/>
      <c r="RHE11" s="18"/>
      <c r="RHF11" s="18"/>
      <c r="RHG11" s="18"/>
      <c r="RHH11" s="18"/>
      <c r="RHI11" s="18"/>
      <c r="RHJ11" s="18"/>
      <c r="RHK11" s="18"/>
      <c r="RHL11" s="18"/>
      <c r="RHM11" s="18"/>
      <c r="RHN11" s="18"/>
      <c r="RHO11" s="18"/>
      <c r="RHP11" s="18"/>
      <c r="RHQ11" s="18"/>
      <c r="RHR11" s="18"/>
      <c r="RHS11" s="18"/>
      <c r="RHT11" s="18"/>
      <c r="RHU11" s="18"/>
      <c r="RHV11" s="18"/>
      <c r="RHW11" s="18"/>
      <c r="RHX11" s="18"/>
      <c r="RHY11" s="18"/>
      <c r="RHZ11" s="18"/>
      <c r="RIA11" s="18"/>
      <c r="RIB11" s="18"/>
      <c r="RIC11" s="18"/>
      <c r="RID11" s="18"/>
      <c r="RIE11" s="18"/>
      <c r="RIF11" s="18"/>
      <c r="RIG11" s="18"/>
      <c r="RIH11" s="18"/>
      <c r="RII11" s="18"/>
      <c r="RIJ11" s="18"/>
      <c r="RIK11" s="18"/>
      <c r="RIL11" s="18"/>
      <c r="RIM11" s="18"/>
      <c r="RIN11" s="18"/>
      <c r="RIO11" s="18"/>
      <c r="RIP11" s="18"/>
      <c r="RIQ11" s="18"/>
      <c r="RIR11" s="18"/>
      <c r="RIS11" s="18"/>
      <c r="RIT11" s="18"/>
      <c r="RIU11" s="18"/>
      <c r="RIV11" s="18"/>
      <c r="RIW11" s="18"/>
      <c r="RIX11" s="18"/>
      <c r="RIY11" s="18"/>
      <c r="RIZ11" s="18"/>
      <c r="RJA11" s="18"/>
      <c r="RJB11" s="18"/>
      <c r="RJC11" s="18"/>
      <c r="RJD11" s="18"/>
      <c r="RJE11" s="18"/>
      <c r="RJF11" s="18"/>
      <c r="RJG11" s="18"/>
      <c r="RJH11" s="18"/>
      <c r="RJI11" s="18"/>
      <c r="RJJ11" s="18"/>
      <c r="RJK11" s="18"/>
      <c r="RJL11" s="18"/>
      <c r="RJM11" s="18"/>
      <c r="RJN11" s="18"/>
      <c r="RJO11" s="18"/>
      <c r="RJP11" s="18"/>
      <c r="RJQ11" s="18"/>
      <c r="RJR11" s="18"/>
      <c r="RJS11" s="18"/>
      <c r="RJT11" s="18"/>
      <c r="RJU11" s="18"/>
      <c r="RJV11" s="18"/>
      <c r="RJW11" s="18"/>
      <c r="RJX11" s="18"/>
      <c r="RJY11" s="18"/>
      <c r="RJZ11" s="18"/>
      <c r="RKA11" s="18"/>
      <c r="RKB11" s="18"/>
      <c r="RKC11" s="18"/>
      <c r="RKD11" s="18"/>
      <c r="RKE11" s="18"/>
      <c r="RKF11" s="18"/>
      <c r="RKG11" s="18"/>
      <c r="RKH11" s="18"/>
      <c r="RKI11" s="18"/>
      <c r="RKJ11" s="18"/>
      <c r="RKK11" s="18"/>
      <c r="RKL11" s="18"/>
      <c r="RKM11" s="18"/>
      <c r="RKN11" s="18"/>
      <c r="RKO11" s="18"/>
      <c r="RKP11" s="18"/>
      <c r="RKQ11" s="18"/>
      <c r="RKR11" s="18"/>
      <c r="RKS11" s="18"/>
      <c r="RKT11" s="18"/>
      <c r="RKU11" s="18"/>
      <c r="RKV11" s="18"/>
      <c r="RKW11" s="18"/>
      <c r="RKX11" s="18"/>
      <c r="RKY11" s="18"/>
      <c r="RKZ11" s="18"/>
      <c r="RLA11" s="18"/>
      <c r="RLB11" s="18"/>
      <c r="RLC11" s="18"/>
      <c r="RLD11" s="18"/>
      <c r="RLE11" s="18"/>
      <c r="RLF11" s="18"/>
      <c r="RLG11" s="18"/>
      <c r="RLH11" s="18"/>
      <c r="RLI11" s="18"/>
      <c r="RLJ11" s="18"/>
      <c r="RLK11" s="18"/>
      <c r="RLL11" s="18"/>
      <c r="RLM11" s="18"/>
      <c r="RLN11" s="18"/>
      <c r="RLO11" s="18"/>
      <c r="RLP11" s="18"/>
      <c r="RLQ11" s="18"/>
      <c r="RLR11" s="18"/>
      <c r="RLS11" s="18"/>
      <c r="RLT11" s="18"/>
      <c r="RLU11" s="18"/>
      <c r="RLV11" s="18"/>
      <c r="RLW11" s="18"/>
      <c r="RLX11" s="18"/>
      <c r="RLY11" s="18"/>
      <c r="RLZ11" s="18"/>
      <c r="RMA11" s="18"/>
      <c r="RMB11" s="18"/>
      <c r="RMC11" s="18"/>
      <c r="RMD11" s="18"/>
      <c r="RME11" s="18"/>
      <c r="RMF11" s="18"/>
      <c r="RMG11" s="18"/>
      <c r="RMH11" s="18"/>
      <c r="RMI11" s="18"/>
      <c r="RMJ11" s="18"/>
      <c r="RMK11" s="18"/>
      <c r="RML11" s="18"/>
      <c r="RMM11" s="18"/>
      <c r="RMN11" s="18"/>
      <c r="RMO11" s="18"/>
      <c r="RMP11" s="18"/>
      <c r="RMQ11" s="18"/>
      <c r="RMR11" s="18"/>
      <c r="RMS11" s="18"/>
      <c r="RMT11" s="18"/>
      <c r="RMU11" s="18"/>
      <c r="RMV11" s="18"/>
      <c r="RMW11" s="18"/>
      <c r="RMX11" s="18"/>
      <c r="RMY11" s="18"/>
      <c r="RMZ11" s="18"/>
      <c r="RNA11" s="18"/>
      <c r="RNB11" s="18"/>
      <c r="RNC11" s="18"/>
      <c r="RND11" s="18"/>
      <c r="RNE11" s="18"/>
      <c r="RNF11" s="18"/>
      <c r="RNG11" s="18"/>
      <c r="RNH11" s="18"/>
      <c r="RNI11" s="18"/>
      <c r="RNJ11" s="18"/>
      <c r="RNK11" s="18"/>
      <c r="RNL11" s="18"/>
      <c r="RNM11" s="18"/>
      <c r="RNN11" s="18"/>
      <c r="RNO11" s="18"/>
      <c r="RNP11" s="18"/>
      <c r="RNQ11" s="18"/>
      <c r="RNR11" s="18"/>
      <c r="RNS11" s="18"/>
      <c r="RNT11" s="18"/>
      <c r="RNU11" s="18"/>
      <c r="RNV11" s="18"/>
      <c r="RNW11" s="18"/>
      <c r="RNX11" s="18"/>
      <c r="RNY11" s="18"/>
      <c r="RNZ11" s="18"/>
      <c r="ROA11" s="18"/>
      <c r="ROB11" s="18"/>
      <c r="ROC11" s="18"/>
      <c r="ROD11" s="18"/>
      <c r="ROE11" s="18"/>
      <c r="ROF11" s="18"/>
      <c r="ROG11" s="18"/>
      <c r="ROH11" s="18"/>
      <c r="ROI11" s="18"/>
      <c r="ROJ11" s="18"/>
      <c r="ROK11" s="18"/>
      <c r="ROL11" s="18"/>
      <c r="ROM11" s="18"/>
      <c r="RON11" s="18"/>
      <c r="ROO11" s="18"/>
      <c r="ROP11" s="18"/>
      <c r="ROQ11" s="18"/>
      <c r="ROR11" s="18"/>
      <c r="ROS11" s="18"/>
      <c r="ROT11" s="18"/>
      <c r="ROU11" s="18"/>
      <c r="ROV11" s="18"/>
      <c r="ROW11" s="18"/>
      <c r="ROX11" s="18"/>
      <c r="ROY11" s="18"/>
      <c r="ROZ11" s="18"/>
      <c r="RPA11" s="18"/>
      <c r="RPB11" s="18"/>
      <c r="RPC11" s="18"/>
      <c r="RPD11" s="18"/>
      <c r="RPE11" s="18"/>
      <c r="RPF11" s="18"/>
      <c r="RPG11" s="18"/>
      <c r="RPH11" s="18"/>
      <c r="RPI11" s="18"/>
      <c r="RPJ11" s="18"/>
      <c r="RPK11" s="18"/>
      <c r="RPL11" s="18"/>
      <c r="RPM11" s="18"/>
      <c r="RPN11" s="18"/>
      <c r="RPO11" s="18"/>
      <c r="RPP11" s="18"/>
      <c r="RPQ11" s="18"/>
      <c r="RPR11" s="18"/>
      <c r="RPS11" s="18"/>
      <c r="RPT11" s="18"/>
      <c r="RPU11" s="18"/>
      <c r="RPV11" s="18"/>
      <c r="RPW11" s="18"/>
      <c r="RPX11" s="18"/>
      <c r="RPY11" s="18"/>
      <c r="RPZ11" s="18"/>
      <c r="RQA11" s="18"/>
      <c r="RQB11" s="18"/>
      <c r="RQC11" s="18"/>
      <c r="RQD11" s="18"/>
      <c r="RQE11" s="18"/>
      <c r="RQF11" s="18"/>
      <c r="RQG11" s="18"/>
      <c r="RQH11" s="18"/>
      <c r="RQI11" s="18"/>
      <c r="RQJ11" s="18"/>
      <c r="RQK11" s="18"/>
      <c r="RQL11" s="18"/>
      <c r="RQM11" s="18"/>
      <c r="RQN11" s="18"/>
      <c r="RQO11" s="18"/>
      <c r="RQP11" s="18"/>
      <c r="RQQ11" s="18"/>
      <c r="RQR11" s="18"/>
      <c r="RQS11" s="18"/>
      <c r="RQT11" s="18"/>
      <c r="RQU11" s="18"/>
      <c r="RQV11" s="18"/>
      <c r="RQW11" s="18"/>
      <c r="RQX11" s="18"/>
      <c r="RQY11" s="18"/>
      <c r="RQZ11" s="18"/>
      <c r="RRA11" s="18"/>
      <c r="RRB11" s="18"/>
      <c r="RRC11" s="18"/>
      <c r="RRD11" s="18"/>
      <c r="RRE11" s="18"/>
      <c r="RRF11" s="18"/>
      <c r="RRG11" s="18"/>
      <c r="RRH11" s="18"/>
      <c r="RRI11" s="18"/>
      <c r="RRJ11" s="18"/>
      <c r="RRK11" s="18"/>
      <c r="RRL11" s="18"/>
      <c r="RRM11" s="18"/>
      <c r="RRN11" s="18"/>
      <c r="RRO11" s="18"/>
      <c r="RRP11" s="18"/>
      <c r="RRQ11" s="18"/>
      <c r="RRR11" s="18"/>
      <c r="RRS11" s="18"/>
      <c r="RRT11" s="18"/>
      <c r="RRU11" s="18"/>
      <c r="RRV11" s="18"/>
      <c r="RRW11" s="18"/>
      <c r="RRX11" s="18"/>
      <c r="RRY11" s="18"/>
      <c r="RRZ11" s="18"/>
      <c r="RSA11" s="18"/>
      <c r="RSB11" s="18"/>
      <c r="RSC11" s="18"/>
      <c r="RSD11" s="18"/>
      <c r="RSE11" s="18"/>
      <c r="RSF11" s="18"/>
      <c r="RSG11" s="18"/>
      <c r="RSH11" s="18"/>
      <c r="RSI11" s="18"/>
      <c r="RSJ11" s="18"/>
      <c r="RSK11" s="18"/>
      <c r="RSL11" s="18"/>
      <c r="RSM11" s="18"/>
      <c r="RSN11" s="18"/>
      <c r="RSO11" s="18"/>
      <c r="RSP11" s="18"/>
      <c r="RSQ11" s="18"/>
      <c r="RSR11" s="18"/>
      <c r="RSS11" s="18"/>
      <c r="RST11" s="18"/>
      <c r="RSU11" s="18"/>
      <c r="RSV11" s="18"/>
      <c r="RSW11" s="18"/>
      <c r="RSX11" s="18"/>
      <c r="RSY11" s="18"/>
      <c r="RSZ11" s="18"/>
      <c r="RTA11" s="18"/>
      <c r="RTB11" s="18"/>
      <c r="RTC11" s="18"/>
      <c r="RTD11" s="18"/>
      <c r="RTE11" s="18"/>
      <c r="RTF11" s="18"/>
      <c r="RTG11" s="18"/>
      <c r="RTH11" s="18"/>
      <c r="RTI11" s="18"/>
      <c r="RTJ11" s="18"/>
      <c r="RTK11" s="18"/>
      <c r="RTL11" s="18"/>
      <c r="RTM11" s="18"/>
      <c r="RTN11" s="18"/>
      <c r="RTO11" s="18"/>
      <c r="RTP11" s="18"/>
      <c r="RTQ11" s="18"/>
      <c r="RTR11" s="18"/>
      <c r="RTS11" s="18"/>
      <c r="RTT11" s="18"/>
      <c r="RTU11" s="18"/>
      <c r="RTV11" s="18"/>
      <c r="RTW11" s="18"/>
      <c r="RTX11" s="18"/>
      <c r="RTY11" s="18"/>
      <c r="RTZ11" s="18"/>
      <c r="RUA11" s="18"/>
      <c r="RUB11" s="18"/>
      <c r="RUC11" s="18"/>
      <c r="RUD11" s="18"/>
      <c r="RUE11" s="18"/>
      <c r="RUF11" s="18"/>
      <c r="RUG11" s="18"/>
      <c r="RUH11" s="18"/>
      <c r="RUI11" s="18"/>
      <c r="RUJ11" s="18"/>
      <c r="RUK11" s="18"/>
      <c r="RUL11" s="18"/>
      <c r="RUM11" s="18"/>
      <c r="RUN11" s="18"/>
      <c r="RUO11" s="18"/>
      <c r="RUP11" s="18"/>
      <c r="RUQ11" s="18"/>
      <c r="RUR11" s="18"/>
      <c r="RUS11" s="18"/>
      <c r="RUT11" s="18"/>
      <c r="RUU11" s="18"/>
      <c r="RUV11" s="18"/>
      <c r="RUW11" s="18"/>
      <c r="RUX11" s="18"/>
      <c r="RUY11" s="18"/>
      <c r="RUZ11" s="18"/>
      <c r="RVA11" s="18"/>
      <c r="RVB11" s="18"/>
      <c r="RVC11" s="18"/>
      <c r="RVD11" s="18"/>
      <c r="RVE11" s="18"/>
      <c r="RVF11" s="18"/>
      <c r="RVG11" s="18"/>
      <c r="RVH11" s="18"/>
      <c r="RVI11" s="18"/>
      <c r="RVJ11" s="18"/>
      <c r="RVK11" s="18"/>
      <c r="RVL11" s="18"/>
      <c r="RVM11" s="18"/>
      <c r="RVN11" s="18"/>
      <c r="RVO11" s="18"/>
      <c r="RVP11" s="18"/>
      <c r="RVQ11" s="18"/>
      <c r="RVR11" s="18"/>
      <c r="RVS11" s="18"/>
      <c r="RVT11" s="18"/>
      <c r="RVU11" s="18"/>
      <c r="RVV11" s="18"/>
      <c r="RVW11" s="18"/>
      <c r="RVX11" s="18"/>
      <c r="RVY11" s="18"/>
      <c r="RVZ11" s="18"/>
      <c r="RWA11" s="18"/>
      <c r="RWB11" s="18"/>
      <c r="RWC11" s="18"/>
      <c r="RWD11" s="18"/>
      <c r="RWE11" s="18"/>
      <c r="RWF11" s="18"/>
      <c r="RWG11" s="18"/>
      <c r="RWH11" s="18"/>
      <c r="RWI11" s="18"/>
      <c r="RWJ11" s="18"/>
      <c r="RWK11" s="18"/>
      <c r="RWL11" s="18"/>
      <c r="RWM11" s="18"/>
      <c r="RWN11" s="18"/>
      <c r="RWO11" s="18"/>
      <c r="RWP11" s="18"/>
      <c r="RWQ11" s="18"/>
      <c r="RWR11" s="18"/>
      <c r="RWS11" s="18"/>
      <c r="RWT11" s="18"/>
      <c r="RWU11" s="18"/>
      <c r="RWV11" s="18"/>
      <c r="RWW11" s="18"/>
      <c r="RWX11" s="18"/>
      <c r="RWY11" s="18"/>
      <c r="RWZ11" s="18"/>
      <c r="RXA11" s="18"/>
      <c r="RXB11" s="18"/>
      <c r="RXC11" s="18"/>
      <c r="RXD11" s="18"/>
      <c r="RXE11" s="18"/>
      <c r="RXF11" s="18"/>
      <c r="RXG11" s="18"/>
      <c r="RXH11" s="18"/>
      <c r="RXI11" s="18"/>
      <c r="RXJ11" s="18"/>
      <c r="RXK11" s="18"/>
      <c r="RXL11" s="18"/>
      <c r="RXM11" s="18"/>
      <c r="RXN11" s="18"/>
      <c r="RXO11" s="18"/>
      <c r="RXP11" s="18"/>
      <c r="RXQ11" s="18"/>
      <c r="RXR11" s="18"/>
      <c r="RXS11" s="18"/>
      <c r="RXT11" s="18"/>
      <c r="RXU11" s="18"/>
      <c r="RXV11" s="18"/>
      <c r="RXW11" s="18"/>
      <c r="RXX11" s="18"/>
      <c r="RXY11" s="18"/>
      <c r="RXZ11" s="18"/>
      <c r="RYA11" s="18"/>
      <c r="RYB11" s="18"/>
      <c r="RYC11" s="18"/>
      <c r="RYD11" s="18"/>
      <c r="RYE11" s="18"/>
      <c r="RYF11" s="18"/>
      <c r="RYG11" s="18"/>
      <c r="RYH11" s="18"/>
      <c r="RYI11" s="18"/>
      <c r="RYJ11" s="18"/>
      <c r="RYK11" s="18"/>
      <c r="RYL11" s="18"/>
      <c r="RYM11" s="18"/>
      <c r="RYN11" s="18"/>
      <c r="RYO11" s="18"/>
      <c r="RYP11" s="18"/>
      <c r="RYQ11" s="18"/>
      <c r="RYR11" s="18"/>
      <c r="RYS11" s="18"/>
      <c r="RYT11" s="18"/>
      <c r="RYU11" s="18"/>
      <c r="RYV11" s="18"/>
      <c r="RYW11" s="18"/>
      <c r="RYX11" s="18"/>
      <c r="RYY11" s="18"/>
      <c r="RYZ11" s="18"/>
      <c r="RZA11" s="18"/>
      <c r="RZB11" s="18"/>
      <c r="RZC11" s="18"/>
      <c r="RZD11" s="18"/>
      <c r="RZE11" s="18"/>
      <c r="RZF11" s="18"/>
      <c r="RZG11" s="18"/>
      <c r="RZH11" s="18"/>
      <c r="RZI11" s="18"/>
      <c r="RZJ11" s="18"/>
      <c r="RZK11" s="18"/>
      <c r="RZL11" s="18"/>
      <c r="RZM11" s="18"/>
      <c r="RZN11" s="18"/>
      <c r="RZO11" s="18"/>
      <c r="RZP11" s="18"/>
      <c r="RZQ11" s="18"/>
      <c r="RZR11" s="18"/>
      <c r="RZS11" s="18"/>
      <c r="RZT11" s="18"/>
      <c r="RZU11" s="18"/>
      <c r="RZV11" s="18"/>
      <c r="RZW11" s="18"/>
      <c r="RZX11" s="18"/>
      <c r="RZY11" s="18"/>
      <c r="RZZ11" s="18"/>
      <c r="SAA11" s="18"/>
      <c r="SAB11" s="18"/>
      <c r="SAC11" s="18"/>
      <c r="SAD11" s="18"/>
      <c r="SAE11" s="18"/>
      <c r="SAF11" s="18"/>
      <c r="SAG11" s="18"/>
      <c r="SAH11" s="18"/>
      <c r="SAI11" s="18"/>
      <c r="SAJ11" s="18"/>
      <c r="SAK11" s="18"/>
      <c r="SAL11" s="18"/>
      <c r="SAM11" s="18"/>
      <c r="SAN11" s="18"/>
      <c r="SAO11" s="18"/>
      <c r="SAP11" s="18"/>
      <c r="SAQ11" s="18"/>
      <c r="SAR11" s="18"/>
      <c r="SAS11" s="18"/>
      <c r="SAT11" s="18"/>
      <c r="SAU11" s="18"/>
      <c r="SAV11" s="18"/>
      <c r="SAW11" s="18"/>
      <c r="SAX11" s="18"/>
      <c r="SAY11" s="18"/>
      <c r="SAZ11" s="18"/>
      <c r="SBA11" s="18"/>
      <c r="SBB11" s="18"/>
      <c r="SBC11" s="18"/>
      <c r="SBD11" s="18"/>
      <c r="SBE11" s="18"/>
      <c r="SBF11" s="18"/>
      <c r="SBG11" s="18"/>
      <c r="SBH11" s="18"/>
      <c r="SBI11" s="18"/>
      <c r="SBJ11" s="18"/>
      <c r="SBK11" s="18"/>
      <c r="SBL11" s="18"/>
      <c r="SBM11" s="18"/>
      <c r="SBN11" s="18"/>
      <c r="SBO11" s="18"/>
      <c r="SBP11" s="18"/>
      <c r="SBQ11" s="18"/>
      <c r="SBR11" s="18"/>
      <c r="SBS11" s="18"/>
      <c r="SBT11" s="18"/>
      <c r="SBU11" s="18"/>
      <c r="SBV11" s="18"/>
      <c r="SBW11" s="18"/>
      <c r="SBX11" s="18"/>
      <c r="SBY11" s="18"/>
      <c r="SBZ11" s="18"/>
      <c r="SCA11" s="18"/>
      <c r="SCB11" s="18"/>
      <c r="SCC11" s="18"/>
      <c r="SCD11" s="18"/>
      <c r="SCE11" s="18"/>
      <c r="SCF11" s="18"/>
      <c r="SCG11" s="18"/>
      <c r="SCH11" s="18"/>
      <c r="SCI11" s="18"/>
      <c r="SCJ11" s="18"/>
      <c r="SCK11" s="18"/>
      <c r="SCL11" s="18"/>
      <c r="SCM11" s="18"/>
      <c r="SCN11" s="18"/>
      <c r="SCO11" s="18"/>
      <c r="SCP11" s="18"/>
      <c r="SCQ11" s="18"/>
      <c r="SCR11" s="18"/>
      <c r="SCS11" s="18"/>
      <c r="SCT11" s="18"/>
      <c r="SCU11" s="18"/>
      <c r="SCV11" s="18"/>
      <c r="SCW11" s="18"/>
      <c r="SCX11" s="18"/>
      <c r="SCY11" s="18"/>
      <c r="SCZ11" s="18"/>
      <c r="SDA11" s="18"/>
      <c r="SDB11" s="18"/>
      <c r="SDC11" s="18"/>
      <c r="SDD11" s="18"/>
      <c r="SDE11" s="18"/>
      <c r="SDF11" s="18"/>
      <c r="SDG11" s="18"/>
      <c r="SDH11" s="18"/>
      <c r="SDI11" s="18"/>
      <c r="SDJ11" s="18"/>
      <c r="SDK11" s="18"/>
      <c r="SDL11" s="18"/>
      <c r="SDM11" s="18"/>
      <c r="SDN11" s="18"/>
      <c r="SDO11" s="18"/>
      <c r="SDP11" s="18"/>
      <c r="SDQ11" s="18"/>
      <c r="SDR11" s="18"/>
      <c r="SDS11" s="18"/>
      <c r="SDT11" s="18"/>
      <c r="SDU11" s="18"/>
      <c r="SDV11" s="18"/>
      <c r="SDW11" s="18"/>
      <c r="SDX11" s="18"/>
      <c r="SDY11" s="18"/>
      <c r="SDZ11" s="18"/>
      <c r="SEA11" s="18"/>
      <c r="SEB11" s="18"/>
      <c r="SEC11" s="18"/>
      <c r="SED11" s="18"/>
      <c r="SEE11" s="18"/>
      <c r="SEF11" s="18"/>
      <c r="SEG11" s="18"/>
      <c r="SEH11" s="18"/>
      <c r="SEI11" s="18"/>
      <c r="SEJ11" s="18"/>
      <c r="SEK11" s="18"/>
      <c r="SEL11" s="18"/>
      <c r="SEM11" s="18"/>
      <c r="SEN11" s="18"/>
      <c r="SEO11" s="18"/>
      <c r="SEP11" s="18"/>
      <c r="SEQ11" s="18"/>
      <c r="SER11" s="18"/>
      <c r="SES11" s="18"/>
      <c r="SET11" s="18"/>
      <c r="SEU11" s="18"/>
      <c r="SEV11" s="18"/>
      <c r="SEW11" s="18"/>
      <c r="SEX11" s="18"/>
      <c r="SEY11" s="18"/>
      <c r="SEZ11" s="18"/>
      <c r="SFA11" s="18"/>
      <c r="SFB11" s="18"/>
      <c r="SFC11" s="18"/>
      <c r="SFD11" s="18"/>
      <c r="SFE11" s="18"/>
      <c r="SFF11" s="18"/>
      <c r="SFG11" s="18"/>
      <c r="SFH11" s="18"/>
      <c r="SFI11" s="18"/>
      <c r="SFJ11" s="18"/>
      <c r="SFK11" s="18"/>
      <c r="SFL11" s="18"/>
      <c r="SFM11" s="18"/>
      <c r="SFN11" s="18"/>
      <c r="SFO11" s="18"/>
      <c r="SFP11" s="18"/>
      <c r="SFQ11" s="18"/>
      <c r="SFR11" s="18"/>
      <c r="SFS11" s="18"/>
      <c r="SFT11" s="18"/>
      <c r="SFU11" s="18"/>
      <c r="SFV11" s="18"/>
      <c r="SFW11" s="18"/>
      <c r="SFX11" s="18"/>
      <c r="SFY11" s="18"/>
      <c r="SFZ11" s="18"/>
      <c r="SGA11" s="18"/>
      <c r="SGB11" s="18"/>
      <c r="SGC11" s="18"/>
      <c r="SGD11" s="18"/>
      <c r="SGE11" s="18"/>
      <c r="SGF11" s="18"/>
      <c r="SGG11" s="18"/>
      <c r="SGH11" s="18"/>
      <c r="SGI11" s="18"/>
      <c r="SGJ11" s="18"/>
      <c r="SGK11" s="18"/>
      <c r="SGL11" s="18"/>
      <c r="SGM11" s="18"/>
      <c r="SGN11" s="18"/>
      <c r="SGO11" s="18"/>
      <c r="SGP11" s="18"/>
      <c r="SGQ11" s="18"/>
      <c r="SGR11" s="18"/>
      <c r="SGS11" s="18"/>
      <c r="SGT11" s="18"/>
      <c r="SGU11" s="18"/>
      <c r="SGV11" s="18"/>
      <c r="SGW11" s="18"/>
      <c r="SGX11" s="18"/>
      <c r="SGY11" s="18"/>
      <c r="SGZ11" s="18"/>
      <c r="SHA11" s="18"/>
      <c r="SHB11" s="18"/>
      <c r="SHC11" s="18"/>
      <c r="SHD11" s="18"/>
      <c r="SHE11" s="18"/>
      <c r="SHF11" s="18"/>
      <c r="SHG11" s="18"/>
      <c r="SHH11" s="18"/>
      <c r="SHI11" s="18"/>
      <c r="SHJ11" s="18"/>
      <c r="SHK11" s="18"/>
      <c r="SHL11" s="18"/>
      <c r="SHM11" s="18"/>
      <c r="SHN11" s="18"/>
      <c r="SHO11" s="18"/>
      <c r="SHP11" s="18"/>
      <c r="SHQ11" s="18"/>
      <c r="SHR11" s="18"/>
      <c r="SHS11" s="18"/>
      <c r="SHT11" s="18"/>
      <c r="SHU11" s="18"/>
      <c r="SHV11" s="18"/>
      <c r="SHW11" s="18"/>
      <c r="SHX11" s="18"/>
      <c r="SHY11" s="18"/>
      <c r="SHZ11" s="18"/>
      <c r="SIA11" s="18"/>
      <c r="SIB11" s="18"/>
      <c r="SIC11" s="18"/>
      <c r="SID11" s="18"/>
      <c r="SIE11" s="18"/>
      <c r="SIF11" s="18"/>
      <c r="SIG11" s="18"/>
      <c r="SIH11" s="18"/>
      <c r="SII11" s="18"/>
      <c r="SIJ11" s="18"/>
      <c r="SIK11" s="18"/>
      <c r="SIL11" s="18"/>
      <c r="SIM11" s="18"/>
      <c r="SIN11" s="18"/>
      <c r="SIO11" s="18"/>
      <c r="SIP11" s="18"/>
      <c r="SIQ11" s="18"/>
      <c r="SIR11" s="18"/>
      <c r="SIS11" s="18"/>
      <c r="SIT11" s="18"/>
      <c r="SIU11" s="18"/>
      <c r="SIV11" s="18"/>
      <c r="SIW11" s="18"/>
      <c r="SIX11" s="18"/>
      <c r="SIY11" s="18"/>
      <c r="SIZ11" s="18"/>
      <c r="SJA11" s="18"/>
      <c r="SJB11" s="18"/>
      <c r="SJC11" s="18"/>
      <c r="SJD11" s="18"/>
      <c r="SJE11" s="18"/>
      <c r="SJF11" s="18"/>
      <c r="SJG11" s="18"/>
      <c r="SJH11" s="18"/>
      <c r="SJI11" s="18"/>
      <c r="SJJ11" s="18"/>
      <c r="SJK11" s="18"/>
      <c r="SJL11" s="18"/>
      <c r="SJM11" s="18"/>
      <c r="SJN11" s="18"/>
      <c r="SJO11" s="18"/>
      <c r="SJP11" s="18"/>
      <c r="SJQ11" s="18"/>
      <c r="SJR11" s="18"/>
      <c r="SJS11" s="18"/>
      <c r="SJT11" s="18"/>
      <c r="SJU11" s="18"/>
      <c r="SJV11" s="18"/>
      <c r="SJW11" s="18"/>
      <c r="SJX11" s="18"/>
      <c r="SJY11" s="18"/>
      <c r="SJZ11" s="18"/>
      <c r="SKA11" s="18"/>
      <c r="SKB11" s="18"/>
      <c r="SKC11" s="18"/>
      <c r="SKD11" s="18"/>
      <c r="SKE11" s="18"/>
      <c r="SKF11" s="18"/>
      <c r="SKG11" s="18"/>
      <c r="SKH11" s="18"/>
      <c r="SKI11" s="18"/>
      <c r="SKJ11" s="18"/>
      <c r="SKK11" s="18"/>
      <c r="SKL11" s="18"/>
      <c r="SKM11" s="18"/>
      <c r="SKN11" s="18"/>
      <c r="SKO11" s="18"/>
      <c r="SKP11" s="18"/>
      <c r="SKQ11" s="18"/>
      <c r="SKR11" s="18"/>
      <c r="SKS11" s="18"/>
      <c r="SKT11" s="18"/>
      <c r="SKU11" s="18"/>
      <c r="SKV11" s="18"/>
      <c r="SKW11" s="18"/>
      <c r="SKX11" s="18"/>
      <c r="SKY11" s="18"/>
      <c r="SKZ11" s="18"/>
      <c r="SLA11" s="18"/>
      <c r="SLB11" s="18"/>
      <c r="SLC11" s="18"/>
      <c r="SLD11" s="18"/>
      <c r="SLE11" s="18"/>
      <c r="SLF11" s="18"/>
      <c r="SLG11" s="18"/>
      <c r="SLH11" s="18"/>
      <c r="SLI11" s="18"/>
      <c r="SLJ11" s="18"/>
      <c r="SLK11" s="18"/>
      <c r="SLL11" s="18"/>
      <c r="SLM11" s="18"/>
      <c r="SLN11" s="18"/>
      <c r="SLO11" s="18"/>
      <c r="SLP11" s="18"/>
      <c r="SLQ11" s="18"/>
      <c r="SLR11" s="18"/>
      <c r="SLS11" s="18"/>
      <c r="SLT11" s="18"/>
      <c r="SLU11" s="18"/>
      <c r="SLV11" s="18"/>
      <c r="SLW11" s="18"/>
      <c r="SLX11" s="18"/>
      <c r="SLY11" s="18"/>
      <c r="SLZ11" s="18"/>
      <c r="SMA11" s="18"/>
      <c r="SMB11" s="18"/>
      <c r="SMC11" s="18"/>
      <c r="SMD11" s="18"/>
      <c r="SME11" s="18"/>
      <c r="SMF11" s="18"/>
      <c r="SMG11" s="18"/>
      <c r="SMH11" s="18"/>
      <c r="SMI11" s="18"/>
      <c r="SMJ11" s="18"/>
      <c r="SMK11" s="18"/>
      <c r="SML11" s="18"/>
      <c r="SMM11" s="18"/>
      <c r="SMN11" s="18"/>
      <c r="SMO11" s="18"/>
      <c r="SMP11" s="18"/>
      <c r="SMQ11" s="18"/>
      <c r="SMR11" s="18"/>
      <c r="SMS11" s="18"/>
      <c r="SMT11" s="18"/>
      <c r="SMU11" s="18"/>
      <c r="SMV11" s="18"/>
      <c r="SMW11" s="18"/>
      <c r="SMX11" s="18"/>
      <c r="SMY11" s="18"/>
      <c r="SMZ11" s="18"/>
      <c r="SNA11" s="18"/>
      <c r="SNB11" s="18"/>
      <c r="SNC11" s="18"/>
      <c r="SND11" s="18"/>
      <c r="SNE11" s="18"/>
      <c r="SNF11" s="18"/>
      <c r="SNG11" s="18"/>
      <c r="SNH11" s="18"/>
      <c r="SNI11" s="18"/>
      <c r="SNJ11" s="18"/>
      <c r="SNK11" s="18"/>
      <c r="SNL11" s="18"/>
      <c r="SNM11" s="18"/>
      <c r="SNN11" s="18"/>
      <c r="SNO11" s="18"/>
      <c r="SNP11" s="18"/>
      <c r="SNQ11" s="18"/>
      <c r="SNR11" s="18"/>
      <c r="SNS11" s="18"/>
      <c r="SNT11" s="18"/>
      <c r="SNU11" s="18"/>
      <c r="SNV11" s="18"/>
      <c r="SNW11" s="18"/>
      <c r="SNX11" s="18"/>
      <c r="SNY11" s="18"/>
      <c r="SNZ11" s="18"/>
      <c r="SOA11" s="18"/>
      <c r="SOB11" s="18"/>
      <c r="SOC11" s="18"/>
      <c r="SOD11" s="18"/>
      <c r="SOE11" s="18"/>
      <c r="SOF11" s="18"/>
      <c r="SOG11" s="18"/>
      <c r="SOH11" s="18"/>
      <c r="SOI11" s="18"/>
      <c r="SOJ11" s="18"/>
      <c r="SOK11" s="18"/>
      <c r="SOL11" s="18"/>
      <c r="SOM11" s="18"/>
      <c r="SON11" s="18"/>
      <c r="SOO11" s="18"/>
      <c r="SOP11" s="18"/>
      <c r="SOQ11" s="18"/>
      <c r="SOR11" s="18"/>
      <c r="SOS11" s="18"/>
      <c r="SOT11" s="18"/>
      <c r="SOU11" s="18"/>
      <c r="SOV11" s="18"/>
      <c r="SOW11" s="18"/>
      <c r="SOX11" s="18"/>
      <c r="SOY11" s="18"/>
      <c r="SOZ11" s="18"/>
      <c r="SPA11" s="18"/>
      <c r="SPB11" s="18"/>
      <c r="SPC11" s="18"/>
      <c r="SPD11" s="18"/>
      <c r="SPE11" s="18"/>
      <c r="SPF11" s="18"/>
      <c r="SPG11" s="18"/>
      <c r="SPH11" s="18"/>
      <c r="SPI11" s="18"/>
      <c r="SPJ11" s="18"/>
      <c r="SPK11" s="18"/>
      <c r="SPL11" s="18"/>
      <c r="SPM11" s="18"/>
      <c r="SPN11" s="18"/>
      <c r="SPO11" s="18"/>
      <c r="SPP11" s="18"/>
      <c r="SPQ11" s="18"/>
      <c r="SPR11" s="18"/>
      <c r="SPS11" s="18"/>
      <c r="SPT11" s="18"/>
      <c r="SPU11" s="18"/>
      <c r="SPV11" s="18"/>
      <c r="SPW11" s="18"/>
      <c r="SPX11" s="18"/>
      <c r="SPY11" s="18"/>
      <c r="SPZ11" s="18"/>
      <c r="SQA11" s="18"/>
      <c r="SQB11" s="18"/>
      <c r="SQC11" s="18"/>
      <c r="SQD11" s="18"/>
      <c r="SQE11" s="18"/>
      <c r="SQF11" s="18"/>
      <c r="SQG11" s="18"/>
      <c r="SQH11" s="18"/>
      <c r="SQI11" s="18"/>
      <c r="SQJ11" s="18"/>
      <c r="SQK11" s="18"/>
      <c r="SQL11" s="18"/>
      <c r="SQM11" s="18"/>
      <c r="SQN11" s="18"/>
      <c r="SQO11" s="18"/>
      <c r="SQP11" s="18"/>
      <c r="SQQ11" s="18"/>
      <c r="SQR11" s="18"/>
      <c r="SQS11" s="18"/>
      <c r="SQT11" s="18"/>
      <c r="SQU11" s="18"/>
      <c r="SQV11" s="18"/>
      <c r="SQW11" s="18"/>
      <c r="SQX11" s="18"/>
      <c r="SQY11" s="18"/>
      <c r="SQZ11" s="18"/>
      <c r="SRA11" s="18"/>
      <c r="SRB11" s="18"/>
      <c r="SRC11" s="18"/>
      <c r="SRD11" s="18"/>
      <c r="SRE11" s="18"/>
      <c r="SRF11" s="18"/>
      <c r="SRG11" s="18"/>
      <c r="SRH11" s="18"/>
      <c r="SRI11" s="18"/>
      <c r="SRJ11" s="18"/>
      <c r="SRK11" s="18"/>
      <c r="SRL11" s="18"/>
      <c r="SRM11" s="18"/>
      <c r="SRN11" s="18"/>
      <c r="SRO11" s="18"/>
      <c r="SRP11" s="18"/>
      <c r="SRQ11" s="18"/>
      <c r="SRR11" s="18"/>
      <c r="SRS11" s="18"/>
      <c r="SRT11" s="18"/>
      <c r="SRU11" s="18"/>
      <c r="SRV11" s="18"/>
      <c r="SRW11" s="18"/>
      <c r="SRX11" s="18"/>
      <c r="SRY11" s="18"/>
      <c r="SRZ11" s="18"/>
      <c r="SSA11" s="18"/>
      <c r="SSB11" s="18"/>
      <c r="SSC11" s="18"/>
      <c r="SSD11" s="18"/>
      <c r="SSE11" s="18"/>
      <c r="SSF11" s="18"/>
      <c r="SSG11" s="18"/>
      <c r="SSH11" s="18"/>
      <c r="SSI11" s="18"/>
      <c r="SSJ11" s="18"/>
      <c r="SSK11" s="18"/>
      <c r="SSL11" s="18"/>
      <c r="SSM11" s="18"/>
      <c r="SSN11" s="18"/>
      <c r="SSO11" s="18"/>
      <c r="SSP11" s="18"/>
      <c r="SSQ11" s="18"/>
      <c r="SSR11" s="18"/>
      <c r="SSS11" s="18"/>
      <c r="SST11" s="18"/>
      <c r="SSU11" s="18"/>
      <c r="SSV11" s="18"/>
      <c r="SSW11" s="18"/>
      <c r="SSX11" s="18"/>
      <c r="SSY11" s="18"/>
      <c r="SSZ11" s="18"/>
      <c r="STA11" s="18"/>
      <c r="STB11" s="18"/>
      <c r="STC11" s="18"/>
      <c r="STD11" s="18"/>
      <c r="STE11" s="18"/>
      <c r="STF11" s="18"/>
      <c r="STG11" s="18"/>
      <c r="STH11" s="18"/>
      <c r="STI11" s="18"/>
      <c r="STJ11" s="18"/>
      <c r="STK11" s="18"/>
      <c r="STL11" s="18"/>
      <c r="STM11" s="18"/>
      <c r="STN11" s="18"/>
      <c r="STO11" s="18"/>
      <c r="STP11" s="18"/>
      <c r="STQ11" s="18"/>
      <c r="STR11" s="18"/>
      <c r="STS11" s="18"/>
      <c r="STT11" s="18"/>
      <c r="STU11" s="18"/>
      <c r="STV11" s="18"/>
      <c r="STW11" s="18"/>
      <c r="STX11" s="18"/>
      <c r="STY11" s="18"/>
      <c r="STZ11" s="18"/>
      <c r="SUA11" s="18"/>
      <c r="SUB11" s="18"/>
      <c r="SUC11" s="18"/>
      <c r="SUD11" s="18"/>
      <c r="SUE11" s="18"/>
      <c r="SUF11" s="18"/>
      <c r="SUG11" s="18"/>
      <c r="SUH11" s="18"/>
      <c r="SUI11" s="18"/>
      <c r="SUJ11" s="18"/>
      <c r="SUK11" s="18"/>
      <c r="SUL11" s="18"/>
      <c r="SUM11" s="18"/>
      <c r="SUN11" s="18"/>
      <c r="SUO11" s="18"/>
      <c r="SUP11" s="18"/>
      <c r="SUQ11" s="18"/>
      <c r="SUR11" s="18"/>
      <c r="SUS11" s="18"/>
      <c r="SUT11" s="18"/>
      <c r="SUU11" s="18"/>
      <c r="SUV11" s="18"/>
      <c r="SUW11" s="18"/>
      <c r="SUX11" s="18"/>
      <c r="SUY11" s="18"/>
      <c r="SUZ11" s="18"/>
      <c r="SVA11" s="18"/>
      <c r="SVB11" s="18"/>
      <c r="SVC11" s="18"/>
      <c r="SVD11" s="18"/>
      <c r="SVE11" s="18"/>
      <c r="SVF11" s="18"/>
      <c r="SVG11" s="18"/>
      <c r="SVH11" s="18"/>
      <c r="SVI11" s="18"/>
      <c r="SVJ11" s="18"/>
      <c r="SVK11" s="18"/>
      <c r="SVL11" s="18"/>
      <c r="SVM11" s="18"/>
      <c r="SVN11" s="18"/>
      <c r="SVO11" s="18"/>
      <c r="SVP11" s="18"/>
      <c r="SVQ11" s="18"/>
      <c r="SVR11" s="18"/>
      <c r="SVS11" s="18"/>
      <c r="SVT11" s="18"/>
      <c r="SVU11" s="18"/>
      <c r="SVV11" s="18"/>
      <c r="SVW11" s="18"/>
      <c r="SVX11" s="18"/>
      <c r="SVY11" s="18"/>
      <c r="SVZ11" s="18"/>
      <c r="SWA11" s="18"/>
      <c r="SWB11" s="18"/>
      <c r="SWC11" s="18"/>
      <c r="SWD11" s="18"/>
      <c r="SWE11" s="18"/>
      <c r="SWF11" s="18"/>
      <c r="SWG11" s="18"/>
      <c r="SWH11" s="18"/>
      <c r="SWI11" s="18"/>
      <c r="SWJ11" s="18"/>
      <c r="SWK11" s="18"/>
      <c r="SWL11" s="18"/>
      <c r="SWM11" s="18"/>
      <c r="SWN11" s="18"/>
      <c r="SWO11" s="18"/>
      <c r="SWP11" s="18"/>
      <c r="SWQ11" s="18"/>
      <c r="SWR11" s="18"/>
      <c r="SWS11" s="18"/>
      <c r="SWT11" s="18"/>
      <c r="SWU11" s="18"/>
      <c r="SWV11" s="18"/>
      <c r="SWW11" s="18"/>
      <c r="SWX11" s="18"/>
      <c r="SWY11" s="18"/>
      <c r="SWZ11" s="18"/>
      <c r="SXA11" s="18"/>
      <c r="SXB11" s="18"/>
      <c r="SXC11" s="18"/>
      <c r="SXD11" s="18"/>
      <c r="SXE11" s="18"/>
      <c r="SXF11" s="18"/>
      <c r="SXG11" s="18"/>
      <c r="SXH11" s="18"/>
      <c r="SXI11" s="18"/>
      <c r="SXJ11" s="18"/>
      <c r="SXK11" s="18"/>
      <c r="SXL11" s="18"/>
      <c r="SXM11" s="18"/>
      <c r="SXN11" s="18"/>
      <c r="SXO11" s="18"/>
      <c r="SXP11" s="18"/>
      <c r="SXQ11" s="18"/>
      <c r="SXR11" s="18"/>
      <c r="SXS11" s="18"/>
      <c r="SXT11" s="18"/>
      <c r="SXU11" s="18"/>
      <c r="SXV11" s="18"/>
      <c r="SXW11" s="18"/>
      <c r="SXX11" s="18"/>
      <c r="SXY11" s="18"/>
      <c r="SXZ11" s="18"/>
      <c r="SYA11" s="18"/>
      <c r="SYB11" s="18"/>
      <c r="SYC11" s="18"/>
      <c r="SYD11" s="18"/>
      <c r="SYE11" s="18"/>
      <c r="SYF11" s="18"/>
      <c r="SYG11" s="18"/>
      <c r="SYH11" s="18"/>
      <c r="SYI11" s="18"/>
      <c r="SYJ11" s="18"/>
      <c r="SYK11" s="18"/>
      <c r="SYL11" s="18"/>
      <c r="SYM11" s="18"/>
      <c r="SYN11" s="18"/>
      <c r="SYO11" s="18"/>
      <c r="SYP11" s="18"/>
      <c r="SYQ11" s="18"/>
      <c r="SYR11" s="18"/>
      <c r="SYS11" s="18"/>
      <c r="SYT11" s="18"/>
      <c r="SYU11" s="18"/>
      <c r="SYV11" s="18"/>
      <c r="SYW11" s="18"/>
      <c r="SYX11" s="18"/>
      <c r="SYY11" s="18"/>
      <c r="SYZ11" s="18"/>
      <c r="SZA11" s="18"/>
      <c r="SZB11" s="18"/>
      <c r="SZC11" s="18"/>
      <c r="SZD11" s="18"/>
      <c r="SZE11" s="18"/>
      <c r="SZF11" s="18"/>
      <c r="SZG11" s="18"/>
      <c r="SZH11" s="18"/>
      <c r="SZI11" s="18"/>
      <c r="SZJ11" s="18"/>
      <c r="SZK11" s="18"/>
      <c r="SZL11" s="18"/>
      <c r="SZM11" s="18"/>
      <c r="SZN11" s="18"/>
      <c r="SZO11" s="18"/>
      <c r="SZP11" s="18"/>
      <c r="SZQ11" s="18"/>
      <c r="SZR11" s="18"/>
      <c r="SZS11" s="18"/>
      <c r="SZT11" s="18"/>
      <c r="SZU11" s="18"/>
      <c r="SZV11" s="18"/>
      <c r="SZW11" s="18"/>
      <c r="SZX11" s="18"/>
      <c r="SZY11" s="18"/>
      <c r="SZZ11" s="18"/>
      <c r="TAA11" s="18"/>
      <c r="TAB11" s="18"/>
      <c r="TAC11" s="18"/>
      <c r="TAD11" s="18"/>
      <c r="TAE11" s="18"/>
      <c r="TAF11" s="18"/>
      <c r="TAG11" s="18"/>
      <c r="TAH11" s="18"/>
      <c r="TAI11" s="18"/>
      <c r="TAJ11" s="18"/>
      <c r="TAK11" s="18"/>
      <c r="TAL11" s="18"/>
      <c r="TAM11" s="18"/>
      <c r="TAN11" s="18"/>
      <c r="TAO11" s="18"/>
      <c r="TAP11" s="18"/>
      <c r="TAQ11" s="18"/>
      <c r="TAR11" s="18"/>
      <c r="TAS11" s="18"/>
      <c r="TAT11" s="18"/>
      <c r="TAU11" s="18"/>
      <c r="TAV11" s="18"/>
      <c r="TAW11" s="18"/>
      <c r="TAX11" s="18"/>
      <c r="TAY11" s="18"/>
      <c r="TAZ11" s="18"/>
      <c r="TBA11" s="18"/>
      <c r="TBB11" s="18"/>
      <c r="TBC11" s="18"/>
      <c r="TBD11" s="18"/>
      <c r="TBE11" s="18"/>
      <c r="TBF11" s="18"/>
      <c r="TBG11" s="18"/>
      <c r="TBH11" s="18"/>
      <c r="TBI11" s="18"/>
      <c r="TBJ11" s="18"/>
      <c r="TBK11" s="18"/>
      <c r="TBL11" s="18"/>
      <c r="TBM11" s="18"/>
      <c r="TBN11" s="18"/>
      <c r="TBO11" s="18"/>
      <c r="TBP11" s="18"/>
      <c r="TBQ11" s="18"/>
      <c r="TBR11" s="18"/>
      <c r="TBS11" s="18"/>
      <c r="TBT11" s="18"/>
      <c r="TBU11" s="18"/>
      <c r="TBV11" s="18"/>
      <c r="TBW11" s="18"/>
      <c r="TBX11" s="18"/>
      <c r="TBY11" s="18"/>
      <c r="TBZ11" s="18"/>
      <c r="TCA11" s="18"/>
      <c r="TCB11" s="18"/>
      <c r="TCC11" s="18"/>
      <c r="TCD11" s="18"/>
      <c r="TCE11" s="18"/>
      <c r="TCF11" s="18"/>
      <c r="TCG11" s="18"/>
      <c r="TCH11" s="18"/>
      <c r="TCI11" s="18"/>
      <c r="TCJ11" s="18"/>
      <c r="TCK11" s="18"/>
      <c r="TCL11" s="18"/>
      <c r="TCM11" s="18"/>
      <c r="TCN11" s="18"/>
      <c r="TCO11" s="18"/>
      <c r="TCP11" s="18"/>
      <c r="TCQ11" s="18"/>
      <c r="TCR11" s="18"/>
      <c r="TCS11" s="18"/>
      <c r="TCT11" s="18"/>
      <c r="TCU11" s="18"/>
      <c r="TCV11" s="18"/>
      <c r="TCW11" s="18"/>
      <c r="TCX11" s="18"/>
      <c r="TCY11" s="18"/>
      <c r="TCZ11" s="18"/>
      <c r="TDA11" s="18"/>
      <c r="TDB11" s="18"/>
      <c r="TDC11" s="18"/>
      <c r="TDD11" s="18"/>
      <c r="TDE11" s="18"/>
      <c r="TDF11" s="18"/>
      <c r="TDG11" s="18"/>
      <c r="TDH11" s="18"/>
      <c r="TDI11" s="18"/>
      <c r="TDJ11" s="18"/>
      <c r="TDK11" s="18"/>
      <c r="TDL11" s="18"/>
      <c r="TDM11" s="18"/>
      <c r="TDN11" s="18"/>
      <c r="TDO11" s="18"/>
      <c r="TDP11" s="18"/>
      <c r="TDQ11" s="18"/>
      <c r="TDR11" s="18"/>
      <c r="TDS11" s="18"/>
      <c r="TDT11" s="18"/>
      <c r="TDU11" s="18"/>
      <c r="TDV11" s="18"/>
      <c r="TDW11" s="18"/>
      <c r="TDX11" s="18"/>
      <c r="TDY11" s="18"/>
      <c r="TDZ11" s="18"/>
      <c r="TEA11" s="18"/>
      <c r="TEB11" s="18"/>
      <c r="TEC11" s="18"/>
      <c r="TED11" s="18"/>
      <c r="TEE11" s="18"/>
      <c r="TEF11" s="18"/>
      <c r="TEG11" s="18"/>
      <c r="TEH11" s="18"/>
      <c r="TEI11" s="18"/>
      <c r="TEJ11" s="18"/>
      <c r="TEK11" s="18"/>
      <c r="TEL11" s="18"/>
      <c r="TEM11" s="18"/>
      <c r="TEN11" s="18"/>
      <c r="TEO11" s="18"/>
      <c r="TEP11" s="18"/>
      <c r="TEQ11" s="18"/>
      <c r="TER11" s="18"/>
      <c r="TES11" s="18"/>
      <c r="TET11" s="18"/>
      <c r="TEU11" s="18"/>
      <c r="TEV11" s="18"/>
      <c r="TEW11" s="18"/>
      <c r="TEX11" s="18"/>
      <c r="TEY11" s="18"/>
      <c r="TEZ11" s="18"/>
      <c r="TFA11" s="18"/>
      <c r="TFB11" s="18"/>
      <c r="TFC11" s="18"/>
      <c r="TFD11" s="18"/>
      <c r="TFE11" s="18"/>
      <c r="TFF11" s="18"/>
      <c r="TFG11" s="18"/>
      <c r="TFH11" s="18"/>
      <c r="TFI11" s="18"/>
      <c r="TFJ11" s="18"/>
      <c r="TFK11" s="18"/>
      <c r="TFL11" s="18"/>
      <c r="TFM11" s="18"/>
      <c r="TFN11" s="18"/>
      <c r="TFO11" s="18"/>
      <c r="TFP11" s="18"/>
      <c r="TFQ11" s="18"/>
      <c r="TFR11" s="18"/>
      <c r="TFS11" s="18"/>
      <c r="TFT11" s="18"/>
      <c r="TFU11" s="18"/>
      <c r="TFV11" s="18"/>
      <c r="TFW11" s="18"/>
      <c r="TFX11" s="18"/>
      <c r="TFY11" s="18"/>
      <c r="TFZ11" s="18"/>
      <c r="TGA11" s="18"/>
      <c r="TGB11" s="18"/>
      <c r="TGC11" s="18"/>
      <c r="TGD11" s="18"/>
      <c r="TGE11" s="18"/>
      <c r="TGF11" s="18"/>
      <c r="TGG11" s="18"/>
      <c r="TGH11" s="18"/>
      <c r="TGI11" s="18"/>
      <c r="TGJ11" s="18"/>
      <c r="TGK11" s="18"/>
      <c r="TGL11" s="18"/>
      <c r="TGM11" s="18"/>
      <c r="TGN11" s="18"/>
      <c r="TGO11" s="18"/>
      <c r="TGP11" s="18"/>
      <c r="TGQ11" s="18"/>
      <c r="TGR11" s="18"/>
      <c r="TGS11" s="18"/>
      <c r="TGT11" s="18"/>
      <c r="TGU11" s="18"/>
      <c r="TGV11" s="18"/>
      <c r="TGW11" s="18"/>
      <c r="TGX11" s="18"/>
      <c r="TGY11" s="18"/>
      <c r="TGZ11" s="18"/>
      <c r="THA11" s="18"/>
      <c r="THB11" s="18"/>
      <c r="THC11" s="18"/>
      <c r="THD11" s="18"/>
      <c r="THE11" s="18"/>
      <c r="THF11" s="18"/>
      <c r="THG11" s="18"/>
      <c r="THH11" s="18"/>
      <c r="THI11" s="18"/>
      <c r="THJ11" s="18"/>
      <c r="THK11" s="18"/>
      <c r="THL11" s="18"/>
      <c r="THM11" s="18"/>
      <c r="THN11" s="18"/>
      <c r="THO11" s="18"/>
      <c r="THP11" s="18"/>
      <c r="THQ11" s="18"/>
      <c r="THR11" s="18"/>
      <c r="THS11" s="18"/>
      <c r="THT11" s="18"/>
      <c r="THU11" s="18"/>
      <c r="THV11" s="18"/>
      <c r="THW11" s="18"/>
      <c r="THX11" s="18"/>
      <c r="THY11" s="18"/>
      <c r="THZ11" s="18"/>
      <c r="TIA11" s="18"/>
      <c r="TIB11" s="18"/>
      <c r="TIC11" s="18"/>
      <c r="TID11" s="18"/>
      <c r="TIE11" s="18"/>
      <c r="TIF11" s="18"/>
      <c r="TIG11" s="18"/>
      <c r="TIH11" s="18"/>
      <c r="TII11" s="18"/>
      <c r="TIJ11" s="18"/>
      <c r="TIK11" s="18"/>
      <c r="TIL11" s="18"/>
      <c r="TIM11" s="18"/>
      <c r="TIN11" s="18"/>
      <c r="TIO11" s="18"/>
      <c r="TIP11" s="18"/>
      <c r="TIQ11" s="18"/>
      <c r="TIR11" s="18"/>
      <c r="TIS11" s="18"/>
      <c r="TIT11" s="18"/>
      <c r="TIU11" s="18"/>
      <c r="TIV11" s="18"/>
      <c r="TIW11" s="18"/>
      <c r="TIX11" s="18"/>
      <c r="TIY11" s="18"/>
      <c r="TIZ11" s="18"/>
      <c r="TJA11" s="18"/>
      <c r="TJB11" s="18"/>
      <c r="TJC11" s="18"/>
      <c r="TJD11" s="18"/>
      <c r="TJE11" s="18"/>
      <c r="TJF11" s="18"/>
      <c r="TJG11" s="18"/>
      <c r="TJH11" s="18"/>
      <c r="TJI11" s="18"/>
      <c r="TJJ11" s="18"/>
      <c r="TJK11" s="18"/>
      <c r="TJL11" s="18"/>
      <c r="TJM11" s="18"/>
      <c r="TJN11" s="18"/>
      <c r="TJO11" s="18"/>
      <c r="TJP11" s="18"/>
      <c r="TJQ11" s="18"/>
      <c r="TJR11" s="18"/>
      <c r="TJS11" s="18"/>
      <c r="TJT11" s="18"/>
      <c r="TJU11" s="18"/>
      <c r="TJV11" s="18"/>
      <c r="TJW11" s="18"/>
      <c r="TJX11" s="18"/>
      <c r="TJY11" s="18"/>
      <c r="TJZ11" s="18"/>
      <c r="TKA11" s="18"/>
      <c r="TKB11" s="18"/>
      <c r="TKC11" s="18"/>
      <c r="TKD11" s="18"/>
      <c r="TKE11" s="18"/>
      <c r="TKF11" s="18"/>
      <c r="TKG11" s="18"/>
      <c r="TKH11" s="18"/>
      <c r="TKI11" s="18"/>
      <c r="TKJ11" s="18"/>
      <c r="TKK11" s="18"/>
      <c r="TKL11" s="18"/>
      <c r="TKM11" s="18"/>
      <c r="TKN11" s="18"/>
      <c r="TKO11" s="18"/>
      <c r="TKP11" s="18"/>
      <c r="TKQ11" s="18"/>
      <c r="TKR11" s="18"/>
      <c r="TKS11" s="18"/>
      <c r="TKT11" s="18"/>
      <c r="TKU11" s="18"/>
      <c r="TKV11" s="18"/>
      <c r="TKW11" s="18"/>
      <c r="TKX11" s="18"/>
      <c r="TKY11" s="18"/>
      <c r="TKZ11" s="18"/>
      <c r="TLA11" s="18"/>
      <c r="TLB11" s="18"/>
      <c r="TLC11" s="18"/>
      <c r="TLD11" s="18"/>
      <c r="TLE11" s="18"/>
      <c r="TLF11" s="18"/>
      <c r="TLG11" s="18"/>
      <c r="TLH11" s="18"/>
      <c r="TLI11" s="18"/>
      <c r="TLJ11" s="18"/>
      <c r="TLK11" s="18"/>
      <c r="TLL11" s="18"/>
      <c r="TLM11" s="18"/>
      <c r="TLN11" s="18"/>
      <c r="TLO11" s="18"/>
      <c r="TLP11" s="18"/>
      <c r="TLQ11" s="18"/>
      <c r="TLR11" s="18"/>
      <c r="TLS11" s="18"/>
      <c r="TLT11" s="18"/>
      <c r="TLU11" s="18"/>
      <c r="TLV11" s="18"/>
      <c r="TLW11" s="18"/>
      <c r="TLX11" s="18"/>
      <c r="TLY11" s="18"/>
      <c r="TLZ11" s="18"/>
      <c r="TMA11" s="18"/>
      <c r="TMB11" s="18"/>
      <c r="TMC11" s="18"/>
      <c r="TMD11" s="18"/>
      <c r="TME11" s="18"/>
      <c r="TMF11" s="18"/>
      <c r="TMG11" s="18"/>
      <c r="TMH11" s="18"/>
      <c r="TMI11" s="18"/>
      <c r="TMJ11" s="18"/>
      <c r="TMK11" s="18"/>
      <c r="TML11" s="18"/>
      <c r="TMM11" s="18"/>
      <c r="TMN11" s="18"/>
      <c r="TMO11" s="18"/>
      <c r="TMP11" s="18"/>
      <c r="TMQ11" s="18"/>
      <c r="TMR11" s="18"/>
      <c r="TMS11" s="18"/>
      <c r="TMT11" s="18"/>
      <c r="TMU11" s="18"/>
      <c r="TMV11" s="18"/>
      <c r="TMW11" s="18"/>
      <c r="TMX11" s="18"/>
      <c r="TMY11" s="18"/>
      <c r="TMZ11" s="18"/>
      <c r="TNA11" s="18"/>
      <c r="TNB11" s="18"/>
      <c r="TNC11" s="18"/>
      <c r="TND11" s="18"/>
      <c r="TNE11" s="18"/>
      <c r="TNF11" s="18"/>
      <c r="TNG11" s="18"/>
      <c r="TNH11" s="18"/>
      <c r="TNI11" s="18"/>
      <c r="TNJ11" s="18"/>
      <c r="TNK11" s="18"/>
      <c r="TNL11" s="18"/>
      <c r="TNM11" s="18"/>
      <c r="TNN11" s="18"/>
      <c r="TNO11" s="18"/>
      <c r="TNP11" s="18"/>
      <c r="TNQ11" s="18"/>
      <c r="TNR11" s="18"/>
      <c r="TNS11" s="18"/>
      <c r="TNT11" s="18"/>
      <c r="TNU11" s="18"/>
      <c r="TNV11" s="18"/>
      <c r="TNW11" s="18"/>
      <c r="TNX11" s="18"/>
      <c r="TNY11" s="18"/>
      <c r="TNZ11" s="18"/>
      <c r="TOA11" s="18"/>
      <c r="TOB11" s="18"/>
      <c r="TOC11" s="18"/>
      <c r="TOD11" s="18"/>
      <c r="TOE11" s="18"/>
      <c r="TOF11" s="18"/>
      <c r="TOG11" s="18"/>
      <c r="TOH11" s="18"/>
      <c r="TOI11" s="18"/>
      <c r="TOJ11" s="18"/>
      <c r="TOK11" s="18"/>
      <c r="TOL11" s="18"/>
      <c r="TOM11" s="18"/>
      <c r="TON11" s="18"/>
      <c r="TOO11" s="18"/>
      <c r="TOP11" s="18"/>
      <c r="TOQ11" s="18"/>
      <c r="TOR11" s="18"/>
      <c r="TOS11" s="18"/>
      <c r="TOT11" s="18"/>
      <c r="TOU11" s="18"/>
      <c r="TOV11" s="18"/>
      <c r="TOW11" s="18"/>
      <c r="TOX11" s="18"/>
      <c r="TOY11" s="18"/>
      <c r="TOZ11" s="18"/>
      <c r="TPA11" s="18"/>
      <c r="TPB11" s="18"/>
      <c r="TPC11" s="18"/>
      <c r="TPD11" s="18"/>
      <c r="TPE11" s="18"/>
      <c r="TPF11" s="18"/>
      <c r="TPG11" s="18"/>
      <c r="TPH11" s="18"/>
      <c r="TPI11" s="18"/>
      <c r="TPJ11" s="18"/>
      <c r="TPK11" s="18"/>
      <c r="TPL11" s="18"/>
      <c r="TPM11" s="18"/>
      <c r="TPN11" s="18"/>
      <c r="TPO11" s="18"/>
      <c r="TPP11" s="18"/>
      <c r="TPQ11" s="18"/>
      <c r="TPR11" s="18"/>
      <c r="TPS11" s="18"/>
      <c r="TPT11" s="18"/>
      <c r="TPU11" s="18"/>
      <c r="TPV11" s="18"/>
      <c r="TPW11" s="18"/>
      <c r="TPX11" s="18"/>
      <c r="TPY11" s="18"/>
      <c r="TPZ11" s="18"/>
      <c r="TQA11" s="18"/>
      <c r="TQB11" s="18"/>
      <c r="TQC11" s="18"/>
      <c r="TQD11" s="18"/>
      <c r="TQE11" s="18"/>
      <c r="TQF11" s="18"/>
      <c r="TQG11" s="18"/>
      <c r="TQH11" s="18"/>
      <c r="TQI11" s="18"/>
      <c r="TQJ11" s="18"/>
      <c r="TQK11" s="18"/>
      <c r="TQL11" s="18"/>
      <c r="TQM11" s="18"/>
      <c r="TQN11" s="18"/>
      <c r="TQO11" s="18"/>
      <c r="TQP11" s="18"/>
      <c r="TQQ11" s="18"/>
      <c r="TQR11" s="18"/>
      <c r="TQS11" s="18"/>
      <c r="TQT11" s="18"/>
      <c r="TQU11" s="18"/>
      <c r="TQV11" s="18"/>
      <c r="TQW11" s="18"/>
      <c r="TQX11" s="18"/>
      <c r="TQY11" s="18"/>
      <c r="TQZ11" s="18"/>
      <c r="TRA11" s="18"/>
      <c r="TRB11" s="18"/>
      <c r="TRC11" s="18"/>
      <c r="TRD11" s="18"/>
      <c r="TRE11" s="18"/>
      <c r="TRF11" s="18"/>
      <c r="TRG11" s="18"/>
      <c r="TRH11" s="18"/>
      <c r="TRI11" s="18"/>
      <c r="TRJ11" s="18"/>
      <c r="TRK11" s="18"/>
      <c r="TRL11" s="18"/>
      <c r="TRM11" s="18"/>
      <c r="TRN11" s="18"/>
      <c r="TRO11" s="18"/>
      <c r="TRP11" s="18"/>
      <c r="TRQ11" s="18"/>
      <c r="TRR11" s="18"/>
      <c r="TRS11" s="18"/>
      <c r="TRT11" s="18"/>
      <c r="TRU11" s="18"/>
      <c r="TRV11" s="18"/>
      <c r="TRW11" s="18"/>
      <c r="TRX11" s="18"/>
      <c r="TRY11" s="18"/>
      <c r="TRZ11" s="18"/>
      <c r="TSA11" s="18"/>
      <c r="TSB11" s="18"/>
      <c r="TSC11" s="18"/>
      <c r="TSD11" s="18"/>
      <c r="TSE11" s="18"/>
      <c r="TSF11" s="18"/>
      <c r="TSG11" s="18"/>
      <c r="TSH11" s="18"/>
      <c r="TSI11" s="18"/>
      <c r="TSJ11" s="18"/>
      <c r="TSK11" s="18"/>
      <c r="TSL11" s="18"/>
      <c r="TSM11" s="18"/>
      <c r="TSN11" s="18"/>
      <c r="TSO11" s="18"/>
      <c r="TSP11" s="18"/>
      <c r="TSQ11" s="18"/>
      <c r="TSR11" s="18"/>
      <c r="TSS11" s="18"/>
      <c r="TST11" s="18"/>
      <c r="TSU11" s="18"/>
      <c r="TSV11" s="18"/>
      <c r="TSW11" s="18"/>
      <c r="TSX11" s="18"/>
      <c r="TSY11" s="18"/>
      <c r="TSZ11" s="18"/>
      <c r="TTA11" s="18"/>
      <c r="TTB11" s="18"/>
      <c r="TTC11" s="18"/>
      <c r="TTD11" s="18"/>
      <c r="TTE11" s="18"/>
      <c r="TTF11" s="18"/>
      <c r="TTG11" s="18"/>
      <c r="TTH11" s="18"/>
      <c r="TTI11" s="18"/>
      <c r="TTJ11" s="18"/>
      <c r="TTK11" s="18"/>
      <c r="TTL11" s="18"/>
      <c r="TTM11" s="18"/>
      <c r="TTN11" s="18"/>
      <c r="TTO11" s="18"/>
      <c r="TTP11" s="18"/>
      <c r="TTQ11" s="18"/>
      <c r="TTR11" s="18"/>
      <c r="TTS11" s="18"/>
      <c r="TTT11" s="18"/>
      <c r="TTU11" s="18"/>
      <c r="TTV11" s="18"/>
      <c r="TTW11" s="18"/>
      <c r="TTX11" s="18"/>
      <c r="TTY11" s="18"/>
      <c r="TTZ11" s="18"/>
      <c r="TUA11" s="18"/>
      <c r="TUB11" s="18"/>
      <c r="TUC11" s="18"/>
      <c r="TUD11" s="18"/>
      <c r="TUE11" s="18"/>
      <c r="TUF11" s="18"/>
      <c r="TUG11" s="18"/>
      <c r="TUH11" s="18"/>
      <c r="TUI11" s="18"/>
      <c r="TUJ11" s="18"/>
      <c r="TUK11" s="18"/>
      <c r="TUL11" s="18"/>
      <c r="TUM11" s="18"/>
      <c r="TUN11" s="18"/>
      <c r="TUO11" s="18"/>
      <c r="TUP11" s="18"/>
      <c r="TUQ11" s="18"/>
      <c r="TUR11" s="18"/>
      <c r="TUS11" s="18"/>
      <c r="TUT11" s="18"/>
      <c r="TUU11" s="18"/>
      <c r="TUV11" s="18"/>
      <c r="TUW11" s="18"/>
      <c r="TUX11" s="18"/>
      <c r="TUY11" s="18"/>
      <c r="TUZ11" s="18"/>
      <c r="TVA11" s="18"/>
      <c r="TVB11" s="18"/>
      <c r="TVC11" s="18"/>
      <c r="TVD11" s="18"/>
      <c r="TVE11" s="18"/>
      <c r="TVF11" s="18"/>
      <c r="TVG11" s="18"/>
      <c r="TVH11" s="18"/>
      <c r="TVI11" s="18"/>
      <c r="TVJ11" s="18"/>
      <c r="TVK11" s="18"/>
      <c r="TVL11" s="18"/>
      <c r="TVM11" s="18"/>
      <c r="TVN11" s="18"/>
      <c r="TVO11" s="18"/>
      <c r="TVP11" s="18"/>
      <c r="TVQ11" s="18"/>
      <c r="TVR11" s="18"/>
      <c r="TVS11" s="18"/>
      <c r="TVT11" s="18"/>
      <c r="TVU11" s="18"/>
      <c r="TVV11" s="18"/>
      <c r="TVW11" s="18"/>
      <c r="TVX11" s="18"/>
      <c r="TVY11" s="18"/>
      <c r="TVZ11" s="18"/>
      <c r="TWA11" s="18"/>
      <c r="TWB11" s="18"/>
      <c r="TWC11" s="18"/>
      <c r="TWD11" s="18"/>
      <c r="TWE11" s="18"/>
      <c r="TWF11" s="18"/>
      <c r="TWG11" s="18"/>
      <c r="TWH11" s="18"/>
      <c r="TWI11" s="18"/>
      <c r="TWJ11" s="18"/>
      <c r="TWK11" s="18"/>
      <c r="TWL11" s="18"/>
      <c r="TWM11" s="18"/>
      <c r="TWN11" s="18"/>
      <c r="TWO11" s="18"/>
      <c r="TWP11" s="18"/>
      <c r="TWQ11" s="18"/>
      <c r="TWR11" s="18"/>
      <c r="TWS11" s="18"/>
      <c r="TWT11" s="18"/>
      <c r="TWU11" s="18"/>
      <c r="TWV11" s="18"/>
      <c r="TWW11" s="18"/>
      <c r="TWX11" s="18"/>
      <c r="TWY11" s="18"/>
      <c r="TWZ11" s="18"/>
      <c r="TXA11" s="18"/>
      <c r="TXB11" s="18"/>
      <c r="TXC11" s="18"/>
      <c r="TXD11" s="18"/>
      <c r="TXE11" s="18"/>
      <c r="TXF11" s="18"/>
      <c r="TXG11" s="18"/>
      <c r="TXH11" s="18"/>
      <c r="TXI11" s="18"/>
      <c r="TXJ11" s="18"/>
      <c r="TXK11" s="18"/>
      <c r="TXL11" s="18"/>
      <c r="TXM11" s="18"/>
      <c r="TXN11" s="18"/>
      <c r="TXO11" s="18"/>
      <c r="TXP11" s="18"/>
      <c r="TXQ11" s="18"/>
      <c r="TXR11" s="18"/>
      <c r="TXS11" s="18"/>
      <c r="TXT11" s="18"/>
      <c r="TXU11" s="18"/>
      <c r="TXV11" s="18"/>
      <c r="TXW11" s="18"/>
      <c r="TXX11" s="18"/>
      <c r="TXY11" s="18"/>
      <c r="TXZ11" s="18"/>
      <c r="TYA11" s="18"/>
      <c r="TYB11" s="18"/>
      <c r="TYC11" s="18"/>
      <c r="TYD11" s="18"/>
      <c r="TYE11" s="18"/>
      <c r="TYF11" s="18"/>
      <c r="TYG11" s="18"/>
      <c r="TYH11" s="18"/>
      <c r="TYI11" s="18"/>
      <c r="TYJ11" s="18"/>
      <c r="TYK11" s="18"/>
      <c r="TYL11" s="18"/>
      <c r="TYM11" s="18"/>
      <c r="TYN11" s="18"/>
      <c r="TYO11" s="18"/>
      <c r="TYP11" s="18"/>
      <c r="TYQ11" s="18"/>
      <c r="TYR11" s="18"/>
      <c r="TYS11" s="18"/>
      <c r="TYT11" s="18"/>
      <c r="TYU11" s="18"/>
      <c r="TYV11" s="18"/>
      <c r="TYW11" s="18"/>
      <c r="TYX11" s="18"/>
      <c r="TYY11" s="18"/>
      <c r="TYZ11" s="18"/>
      <c r="TZA11" s="18"/>
      <c r="TZB11" s="18"/>
      <c r="TZC11" s="18"/>
      <c r="TZD11" s="18"/>
      <c r="TZE11" s="18"/>
      <c r="TZF11" s="18"/>
      <c r="TZG11" s="18"/>
      <c r="TZH11" s="18"/>
      <c r="TZI11" s="18"/>
      <c r="TZJ11" s="18"/>
      <c r="TZK11" s="18"/>
      <c r="TZL11" s="18"/>
      <c r="TZM11" s="18"/>
      <c r="TZN11" s="18"/>
      <c r="TZO11" s="18"/>
      <c r="TZP11" s="18"/>
      <c r="TZQ11" s="18"/>
      <c r="TZR11" s="18"/>
      <c r="TZS11" s="18"/>
      <c r="TZT11" s="18"/>
      <c r="TZU11" s="18"/>
      <c r="TZV11" s="18"/>
      <c r="TZW11" s="18"/>
      <c r="TZX11" s="18"/>
      <c r="TZY11" s="18"/>
      <c r="TZZ11" s="18"/>
      <c r="UAA11" s="18"/>
      <c r="UAB11" s="18"/>
      <c r="UAC11" s="18"/>
      <c r="UAD11" s="18"/>
      <c r="UAE11" s="18"/>
      <c r="UAF11" s="18"/>
      <c r="UAG11" s="18"/>
      <c r="UAH11" s="18"/>
      <c r="UAI11" s="18"/>
      <c r="UAJ11" s="18"/>
      <c r="UAK11" s="18"/>
      <c r="UAL11" s="18"/>
      <c r="UAM11" s="18"/>
      <c r="UAN11" s="18"/>
      <c r="UAO11" s="18"/>
      <c r="UAP11" s="18"/>
      <c r="UAQ11" s="18"/>
      <c r="UAR11" s="18"/>
      <c r="UAS11" s="18"/>
      <c r="UAT11" s="18"/>
      <c r="UAU11" s="18"/>
      <c r="UAV11" s="18"/>
      <c r="UAW11" s="18"/>
      <c r="UAX11" s="18"/>
      <c r="UAY11" s="18"/>
      <c r="UAZ11" s="18"/>
      <c r="UBA11" s="18"/>
      <c r="UBB11" s="18"/>
      <c r="UBC11" s="18"/>
      <c r="UBD11" s="18"/>
      <c r="UBE11" s="18"/>
      <c r="UBF11" s="18"/>
      <c r="UBG11" s="18"/>
      <c r="UBH11" s="18"/>
      <c r="UBI11" s="18"/>
      <c r="UBJ11" s="18"/>
      <c r="UBK11" s="18"/>
      <c r="UBL11" s="18"/>
      <c r="UBM11" s="18"/>
      <c r="UBN11" s="18"/>
      <c r="UBO11" s="18"/>
      <c r="UBP11" s="18"/>
      <c r="UBQ11" s="18"/>
      <c r="UBR11" s="18"/>
      <c r="UBS11" s="18"/>
      <c r="UBT11" s="18"/>
      <c r="UBU11" s="18"/>
      <c r="UBV11" s="18"/>
      <c r="UBW11" s="18"/>
      <c r="UBX11" s="18"/>
      <c r="UBY11" s="18"/>
      <c r="UBZ11" s="18"/>
      <c r="UCA11" s="18"/>
      <c r="UCB11" s="18"/>
      <c r="UCC11" s="18"/>
      <c r="UCD11" s="18"/>
      <c r="UCE11" s="18"/>
      <c r="UCF11" s="18"/>
      <c r="UCG11" s="18"/>
      <c r="UCH11" s="18"/>
      <c r="UCI11" s="18"/>
      <c r="UCJ11" s="18"/>
      <c r="UCK11" s="18"/>
      <c r="UCL11" s="18"/>
      <c r="UCM11" s="18"/>
      <c r="UCN11" s="18"/>
      <c r="UCO11" s="18"/>
      <c r="UCP11" s="18"/>
      <c r="UCQ11" s="18"/>
      <c r="UCR11" s="18"/>
      <c r="UCS11" s="18"/>
      <c r="UCT11" s="18"/>
      <c r="UCU11" s="18"/>
      <c r="UCV11" s="18"/>
      <c r="UCW11" s="18"/>
      <c r="UCX11" s="18"/>
      <c r="UCY11" s="18"/>
      <c r="UCZ11" s="18"/>
      <c r="UDA11" s="18"/>
      <c r="UDB11" s="18"/>
      <c r="UDC11" s="18"/>
      <c r="UDD11" s="18"/>
      <c r="UDE11" s="18"/>
      <c r="UDF11" s="18"/>
      <c r="UDG11" s="18"/>
      <c r="UDH11" s="18"/>
      <c r="UDI11" s="18"/>
      <c r="UDJ11" s="18"/>
      <c r="UDK11" s="18"/>
      <c r="UDL11" s="18"/>
      <c r="UDM11" s="18"/>
      <c r="UDN11" s="18"/>
      <c r="UDO11" s="18"/>
      <c r="UDP11" s="18"/>
      <c r="UDQ11" s="18"/>
      <c r="UDR11" s="18"/>
      <c r="UDS11" s="18"/>
      <c r="UDT11" s="18"/>
      <c r="UDU11" s="18"/>
      <c r="UDV11" s="18"/>
      <c r="UDW11" s="18"/>
      <c r="UDX11" s="18"/>
      <c r="UDY11" s="18"/>
      <c r="UDZ11" s="18"/>
      <c r="UEA11" s="18"/>
      <c r="UEB11" s="18"/>
      <c r="UEC11" s="18"/>
      <c r="UED11" s="18"/>
      <c r="UEE11" s="18"/>
      <c r="UEF11" s="18"/>
      <c r="UEG11" s="18"/>
      <c r="UEH11" s="18"/>
      <c r="UEI11" s="18"/>
      <c r="UEJ11" s="18"/>
      <c r="UEK11" s="18"/>
      <c r="UEL11" s="18"/>
      <c r="UEM11" s="18"/>
      <c r="UEN11" s="18"/>
      <c r="UEO11" s="18"/>
      <c r="UEP11" s="18"/>
      <c r="UEQ11" s="18"/>
      <c r="UER11" s="18"/>
      <c r="UES11" s="18"/>
      <c r="UET11" s="18"/>
      <c r="UEU11" s="18"/>
      <c r="UEV11" s="18"/>
      <c r="UEW11" s="18"/>
      <c r="UEX11" s="18"/>
      <c r="UEY11" s="18"/>
      <c r="UEZ11" s="18"/>
      <c r="UFA11" s="18"/>
      <c r="UFB11" s="18"/>
      <c r="UFC11" s="18"/>
      <c r="UFD11" s="18"/>
      <c r="UFE11" s="18"/>
      <c r="UFF11" s="18"/>
      <c r="UFG11" s="18"/>
      <c r="UFH11" s="18"/>
      <c r="UFI11" s="18"/>
      <c r="UFJ11" s="18"/>
      <c r="UFK11" s="18"/>
      <c r="UFL11" s="18"/>
      <c r="UFM11" s="18"/>
      <c r="UFN11" s="18"/>
      <c r="UFO11" s="18"/>
      <c r="UFP11" s="18"/>
      <c r="UFQ11" s="18"/>
      <c r="UFR11" s="18"/>
      <c r="UFS11" s="18"/>
      <c r="UFT11" s="18"/>
      <c r="UFU11" s="18"/>
      <c r="UFV11" s="18"/>
      <c r="UFW11" s="18"/>
      <c r="UFX11" s="18"/>
      <c r="UFY11" s="18"/>
      <c r="UFZ11" s="18"/>
      <c r="UGA11" s="18"/>
      <c r="UGB11" s="18"/>
      <c r="UGC11" s="18"/>
      <c r="UGD11" s="18"/>
      <c r="UGE11" s="18"/>
      <c r="UGF11" s="18"/>
      <c r="UGG11" s="18"/>
      <c r="UGH11" s="18"/>
      <c r="UGI11" s="18"/>
      <c r="UGJ11" s="18"/>
      <c r="UGK11" s="18"/>
      <c r="UGL11" s="18"/>
      <c r="UGM11" s="18"/>
      <c r="UGN11" s="18"/>
      <c r="UGO11" s="18"/>
      <c r="UGP11" s="18"/>
      <c r="UGQ11" s="18"/>
      <c r="UGR11" s="18"/>
      <c r="UGS11" s="18"/>
      <c r="UGT11" s="18"/>
      <c r="UGU11" s="18"/>
      <c r="UGV11" s="18"/>
      <c r="UGW11" s="18"/>
      <c r="UGX11" s="18"/>
      <c r="UGY11" s="18"/>
      <c r="UGZ11" s="18"/>
      <c r="UHA11" s="18"/>
      <c r="UHB11" s="18"/>
      <c r="UHC11" s="18"/>
      <c r="UHD11" s="18"/>
      <c r="UHE11" s="18"/>
      <c r="UHF11" s="18"/>
      <c r="UHG11" s="18"/>
      <c r="UHH11" s="18"/>
      <c r="UHI11" s="18"/>
      <c r="UHJ11" s="18"/>
      <c r="UHK11" s="18"/>
      <c r="UHL11" s="18"/>
      <c r="UHM11" s="18"/>
      <c r="UHN11" s="18"/>
      <c r="UHO11" s="18"/>
      <c r="UHP11" s="18"/>
      <c r="UHQ11" s="18"/>
      <c r="UHR11" s="18"/>
      <c r="UHS11" s="18"/>
      <c r="UHT11" s="18"/>
      <c r="UHU11" s="18"/>
      <c r="UHV11" s="18"/>
      <c r="UHW11" s="18"/>
      <c r="UHX11" s="18"/>
      <c r="UHY11" s="18"/>
      <c r="UHZ11" s="18"/>
      <c r="UIA11" s="18"/>
      <c r="UIB11" s="18"/>
      <c r="UIC11" s="18"/>
      <c r="UID11" s="18"/>
      <c r="UIE11" s="18"/>
      <c r="UIF11" s="18"/>
      <c r="UIG11" s="18"/>
      <c r="UIH11" s="18"/>
      <c r="UII11" s="18"/>
      <c r="UIJ11" s="18"/>
      <c r="UIK11" s="18"/>
      <c r="UIL11" s="18"/>
      <c r="UIM11" s="18"/>
      <c r="UIN11" s="18"/>
      <c r="UIO11" s="18"/>
      <c r="UIP11" s="18"/>
      <c r="UIQ11" s="18"/>
      <c r="UIR11" s="18"/>
      <c r="UIS11" s="18"/>
      <c r="UIT11" s="18"/>
      <c r="UIU11" s="18"/>
      <c r="UIV11" s="18"/>
      <c r="UIW11" s="18"/>
      <c r="UIX11" s="18"/>
      <c r="UIY11" s="18"/>
      <c r="UIZ11" s="18"/>
      <c r="UJA11" s="18"/>
      <c r="UJB11" s="18"/>
      <c r="UJC11" s="18"/>
      <c r="UJD11" s="18"/>
      <c r="UJE11" s="18"/>
      <c r="UJF11" s="18"/>
      <c r="UJG11" s="18"/>
      <c r="UJH11" s="18"/>
      <c r="UJI11" s="18"/>
      <c r="UJJ11" s="18"/>
      <c r="UJK11" s="18"/>
      <c r="UJL11" s="18"/>
      <c r="UJM11" s="18"/>
      <c r="UJN11" s="18"/>
      <c r="UJO11" s="18"/>
      <c r="UJP11" s="18"/>
      <c r="UJQ11" s="18"/>
      <c r="UJR11" s="18"/>
      <c r="UJS11" s="18"/>
      <c r="UJT11" s="18"/>
      <c r="UJU11" s="18"/>
      <c r="UJV11" s="18"/>
      <c r="UJW11" s="18"/>
      <c r="UJX11" s="18"/>
      <c r="UJY11" s="18"/>
      <c r="UJZ11" s="18"/>
      <c r="UKA11" s="18"/>
      <c r="UKB11" s="18"/>
      <c r="UKC11" s="18"/>
      <c r="UKD11" s="18"/>
      <c r="UKE11" s="18"/>
      <c r="UKF11" s="18"/>
      <c r="UKG11" s="18"/>
      <c r="UKH11" s="18"/>
      <c r="UKI11" s="18"/>
      <c r="UKJ11" s="18"/>
      <c r="UKK11" s="18"/>
      <c r="UKL11" s="18"/>
      <c r="UKM11" s="18"/>
      <c r="UKN11" s="18"/>
      <c r="UKO11" s="18"/>
      <c r="UKP11" s="18"/>
      <c r="UKQ11" s="18"/>
      <c r="UKR11" s="18"/>
      <c r="UKS11" s="18"/>
      <c r="UKT11" s="18"/>
      <c r="UKU11" s="18"/>
      <c r="UKV11" s="18"/>
      <c r="UKW11" s="18"/>
      <c r="UKX11" s="18"/>
      <c r="UKY11" s="18"/>
      <c r="UKZ11" s="18"/>
      <c r="ULA11" s="18"/>
      <c r="ULB11" s="18"/>
      <c r="ULC11" s="18"/>
      <c r="ULD11" s="18"/>
      <c r="ULE11" s="18"/>
      <c r="ULF11" s="18"/>
      <c r="ULG11" s="18"/>
      <c r="ULH11" s="18"/>
      <c r="ULI11" s="18"/>
      <c r="ULJ11" s="18"/>
      <c r="ULK11" s="18"/>
      <c r="ULL11" s="18"/>
      <c r="ULM11" s="18"/>
      <c r="ULN11" s="18"/>
      <c r="ULO11" s="18"/>
      <c r="ULP11" s="18"/>
      <c r="ULQ11" s="18"/>
      <c r="ULR11" s="18"/>
      <c r="ULS11" s="18"/>
      <c r="ULT11" s="18"/>
      <c r="ULU11" s="18"/>
      <c r="ULV11" s="18"/>
      <c r="ULW11" s="18"/>
      <c r="ULX11" s="18"/>
      <c r="ULY11" s="18"/>
      <c r="ULZ11" s="18"/>
      <c r="UMA11" s="18"/>
      <c r="UMB11" s="18"/>
      <c r="UMC11" s="18"/>
      <c r="UMD11" s="18"/>
      <c r="UME11" s="18"/>
      <c r="UMF11" s="18"/>
      <c r="UMG11" s="18"/>
      <c r="UMH11" s="18"/>
      <c r="UMI11" s="18"/>
      <c r="UMJ11" s="18"/>
      <c r="UMK11" s="18"/>
      <c r="UML11" s="18"/>
      <c r="UMM11" s="18"/>
      <c r="UMN11" s="18"/>
      <c r="UMO11" s="18"/>
      <c r="UMP11" s="18"/>
      <c r="UMQ11" s="18"/>
      <c r="UMR11" s="18"/>
      <c r="UMS11" s="18"/>
      <c r="UMT11" s="18"/>
      <c r="UMU11" s="18"/>
      <c r="UMV11" s="18"/>
      <c r="UMW11" s="18"/>
      <c r="UMX11" s="18"/>
      <c r="UMY11" s="18"/>
      <c r="UMZ11" s="18"/>
      <c r="UNA11" s="18"/>
      <c r="UNB11" s="18"/>
      <c r="UNC11" s="18"/>
      <c r="UND11" s="18"/>
      <c r="UNE11" s="18"/>
      <c r="UNF11" s="18"/>
      <c r="UNG11" s="18"/>
      <c r="UNH11" s="18"/>
      <c r="UNI11" s="18"/>
      <c r="UNJ11" s="18"/>
      <c r="UNK11" s="18"/>
      <c r="UNL11" s="18"/>
      <c r="UNM11" s="18"/>
      <c r="UNN11" s="18"/>
      <c r="UNO11" s="18"/>
      <c r="UNP11" s="18"/>
      <c r="UNQ11" s="18"/>
      <c r="UNR11" s="18"/>
      <c r="UNS11" s="18"/>
      <c r="UNT11" s="18"/>
      <c r="UNU11" s="18"/>
      <c r="UNV11" s="18"/>
      <c r="UNW11" s="18"/>
      <c r="UNX11" s="18"/>
      <c r="UNY11" s="18"/>
      <c r="UNZ11" s="18"/>
      <c r="UOA11" s="18"/>
      <c r="UOB11" s="18"/>
      <c r="UOC11" s="18"/>
      <c r="UOD11" s="18"/>
      <c r="UOE11" s="18"/>
      <c r="UOF11" s="18"/>
      <c r="UOG11" s="18"/>
      <c r="UOH11" s="18"/>
      <c r="UOI11" s="18"/>
      <c r="UOJ11" s="18"/>
      <c r="UOK11" s="18"/>
      <c r="UOL11" s="18"/>
      <c r="UOM11" s="18"/>
      <c r="UON11" s="18"/>
      <c r="UOO11" s="18"/>
      <c r="UOP11" s="18"/>
      <c r="UOQ11" s="18"/>
      <c r="UOR11" s="18"/>
      <c r="UOS11" s="18"/>
      <c r="UOT11" s="18"/>
      <c r="UOU11" s="18"/>
      <c r="UOV11" s="18"/>
      <c r="UOW11" s="18"/>
      <c r="UOX11" s="18"/>
      <c r="UOY11" s="18"/>
      <c r="UOZ11" s="18"/>
      <c r="UPA11" s="18"/>
      <c r="UPB11" s="18"/>
      <c r="UPC11" s="18"/>
      <c r="UPD11" s="18"/>
      <c r="UPE11" s="18"/>
      <c r="UPF11" s="18"/>
      <c r="UPG11" s="18"/>
      <c r="UPH11" s="18"/>
      <c r="UPI11" s="18"/>
      <c r="UPJ11" s="18"/>
      <c r="UPK11" s="18"/>
      <c r="UPL11" s="18"/>
      <c r="UPM11" s="18"/>
      <c r="UPN11" s="18"/>
      <c r="UPO11" s="18"/>
      <c r="UPP11" s="18"/>
      <c r="UPQ11" s="18"/>
      <c r="UPR11" s="18"/>
      <c r="UPS11" s="18"/>
      <c r="UPT11" s="18"/>
      <c r="UPU11" s="18"/>
      <c r="UPV11" s="18"/>
      <c r="UPW11" s="18"/>
      <c r="UPX11" s="18"/>
      <c r="UPY11" s="18"/>
      <c r="UPZ11" s="18"/>
      <c r="UQA11" s="18"/>
      <c r="UQB11" s="18"/>
      <c r="UQC11" s="18"/>
      <c r="UQD11" s="18"/>
      <c r="UQE11" s="18"/>
      <c r="UQF11" s="18"/>
      <c r="UQG11" s="18"/>
      <c r="UQH11" s="18"/>
      <c r="UQI11" s="18"/>
      <c r="UQJ11" s="18"/>
      <c r="UQK11" s="18"/>
      <c r="UQL11" s="18"/>
      <c r="UQM11" s="18"/>
      <c r="UQN11" s="18"/>
      <c r="UQO11" s="18"/>
      <c r="UQP11" s="18"/>
      <c r="UQQ11" s="18"/>
      <c r="UQR11" s="18"/>
      <c r="UQS11" s="18"/>
      <c r="UQT11" s="18"/>
      <c r="UQU11" s="18"/>
      <c r="UQV11" s="18"/>
      <c r="UQW11" s="18"/>
      <c r="UQX11" s="18"/>
      <c r="UQY11" s="18"/>
      <c r="UQZ11" s="18"/>
      <c r="URA11" s="18"/>
      <c r="URB11" s="18"/>
      <c r="URC11" s="18"/>
      <c r="URD11" s="18"/>
      <c r="URE11" s="18"/>
      <c r="URF11" s="18"/>
      <c r="URG11" s="18"/>
      <c r="URH11" s="18"/>
      <c r="URI11" s="18"/>
      <c r="URJ11" s="18"/>
      <c r="URK11" s="18"/>
      <c r="URL11" s="18"/>
      <c r="URM11" s="18"/>
      <c r="URN11" s="18"/>
      <c r="URO11" s="18"/>
      <c r="URP11" s="18"/>
      <c r="URQ11" s="18"/>
      <c r="URR11" s="18"/>
      <c r="URS11" s="18"/>
      <c r="URT11" s="18"/>
      <c r="URU11" s="18"/>
      <c r="URV11" s="18"/>
      <c r="URW11" s="18"/>
      <c r="URX11" s="18"/>
      <c r="URY11" s="18"/>
      <c r="URZ11" s="18"/>
      <c r="USA11" s="18"/>
      <c r="USB11" s="18"/>
      <c r="USC11" s="18"/>
      <c r="USD11" s="18"/>
      <c r="USE11" s="18"/>
      <c r="USF11" s="18"/>
      <c r="USG11" s="18"/>
      <c r="USH11" s="18"/>
      <c r="USI11" s="18"/>
      <c r="USJ11" s="18"/>
      <c r="USK11" s="18"/>
      <c r="USL11" s="18"/>
      <c r="USM11" s="18"/>
      <c r="USN11" s="18"/>
      <c r="USO11" s="18"/>
      <c r="USP11" s="18"/>
      <c r="USQ11" s="18"/>
      <c r="USR11" s="18"/>
      <c r="USS11" s="18"/>
      <c r="UST11" s="18"/>
      <c r="USU11" s="18"/>
      <c r="USV11" s="18"/>
      <c r="USW11" s="18"/>
      <c r="USX11" s="18"/>
      <c r="USY11" s="18"/>
      <c r="USZ11" s="18"/>
      <c r="UTA11" s="18"/>
      <c r="UTB11" s="18"/>
      <c r="UTC11" s="18"/>
      <c r="UTD11" s="18"/>
      <c r="UTE11" s="18"/>
      <c r="UTF11" s="18"/>
      <c r="UTG11" s="18"/>
      <c r="UTH11" s="18"/>
      <c r="UTI11" s="18"/>
      <c r="UTJ11" s="18"/>
      <c r="UTK11" s="18"/>
      <c r="UTL11" s="18"/>
      <c r="UTM11" s="18"/>
      <c r="UTN11" s="18"/>
      <c r="UTO11" s="18"/>
      <c r="UTP11" s="18"/>
      <c r="UTQ11" s="18"/>
      <c r="UTR11" s="18"/>
      <c r="UTS11" s="18"/>
      <c r="UTT11" s="18"/>
      <c r="UTU11" s="18"/>
      <c r="UTV11" s="18"/>
      <c r="UTW11" s="18"/>
      <c r="UTX11" s="18"/>
      <c r="UTY11" s="18"/>
      <c r="UTZ11" s="18"/>
      <c r="UUA11" s="18"/>
      <c r="UUB11" s="18"/>
      <c r="UUC11" s="18"/>
      <c r="UUD11" s="18"/>
      <c r="UUE11" s="18"/>
      <c r="UUF11" s="18"/>
      <c r="UUG11" s="18"/>
      <c r="UUH11" s="18"/>
      <c r="UUI11" s="18"/>
      <c r="UUJ11" s="18"/>
      <c r="UUK11" s="18"/>
      <c r="UUL11" s="18"/>
      <c r="UUM11" s="18"/>
      <c r="UUN11" s="18"/>
      <c r="UUO11" s="18"/>
      <c r="UUP11" s="18"/>
      <c r="UUQ11" s="18"/>
      <c r="UUR11" s="18"/>
      <c r="UUS11" s="18"/>
      <c r="UUT11" s="18"/>
      <c r="UUU11" s="18"/>
      <c r="UUV11" s="18"/>
      <c r="UUW11" s="18"/>
      <c r="UUX11" s="18"/>
      <c r="UUY11" s="18"/>
      <c r="UUZ11" s="18"/>
      <c r="UVA11" s="18"/>
      <c r="UVB11" s="18"/>
      <c r="UVC11" s="18"/>
      <c r="UVD11" s="18"/>
      <c r="UVE11" s="18"/>
      <c r="UVF11" s="18"/>
      <c r="UVG11" s="18"/>
      <c r="UVH11" s="18"/>
      <c r="UVI11" s="18"/>
      <c r="UVJ11" s="18"/>
      <c r="UVK11" s="18"/>
      <c r="UVL11" s="18"/>
      <c r="UVM11" s="18"/>
      <c r="UVN11" s="18"/>
      <c r="UVO11" s="18"/>
      <c r="UVP11" s="18"/>
      <c r="UVQ11" s="18"/>
      <c r="UVR11" s="18"/>
      <c r="UVS11" s="18"/>
      <c r="UVT11" s="18"/>
      <c r="UVU11" s="18"/>
      <c r="UVV11" s="18"/>
      <c r="UVW11" s="18"/>
      <c r="UVX11" s="18"/>
      <c r="UVY11" s="18"/>
      <c r="UVZ11" s="18"/>
      <c r="UWA11" s="18"/>
      <c r="UWB11" s="18"/>
      <c r="UWC11" s="18"/>
      <c r="UWD11" s="18"/>
      <c r="UWE11" s="18"/>
      <c r="UWF11" s="18"/>
      <c r="UWG11" s="18"/>
      <c r="UWH11" s="18"/>
      <c r="UWI11" s="18"/>
      <c r="UWJ11" s="18"/>
      <c r="UWK11" s="18"/>
      <c r="UWL11" s="18"/>
      <c r="UWM11" s="18"/>
      <c r="UWN11" s="18"/>
      <c r="UWO11" s="18"/>
      <c r="UWP11" s="18"/>
      <c r="UWQ11" s="18"/>
      <c r="UWR11" s="18"/>
      <c r="UWS11" s="18"/>
      <c r="UWT11" s="18"/>
      <c r="UWU11" s="18"/>
      <c r="UWV11" s="18"/>
      <c r="UWW11" s="18"/>
      <c r="UWX11" s="18"/>
      <c r="UWY11" s="18"/>
      <c r="UWZ11" s="18"/>
      <c r="UXA11" s="18"/>
      <c r="UXB11" s="18"/>
      <c r="UXC11" s="18"/>
      <c r="UXD11" s="18"/>
      <c r="UXE11" s="18"/>
      <c r="UXF11" s="18"/>
      <c r="UXG11" s="18"/>
      <c r="UXH11" s="18"/>
      <c r="UXI11" s="18"/>
      <c r="UXJ11" s="18"/>
      <c r="UXK11" s="18"/>
      <c r="UXL11" s="18"/>
      <c r="UXM11" s="18"/>
      <c r="UXN11" s="18"/>
      <c r="UXO11" s="18"/>
      <c r="UXP11" s="18"/>
      <c r="UXQ11" s="18"/>
      <c r="UXR11" s="18"/>
      <c r="UXS11" s="18"/>
      <c r="UXT11" s="18"/>
      <c r="UXU11" s="18"/>
      <c r="UXV11" s="18"/>
      <c r="UXW11" s="18"/>
      <c r="UXX11" s="18"/>
      <c r="UXY11" s="18"/>
      <c r="UXZ11" s="18"/>
      <c r="UYA11" s="18"/>
      <c r="UYB11" s="18"/>
      <c r="UYC11" s="18"/>
      <c r="UYD11" s="18"/>
      <c r="UYE11" s="18"/>
      <c r="UYF11" s="18"/>
      <c r="UYG11" s="18"/>
      <c r="UYH11" s="18"/>
      <c r="UYI11" s="18"/>
      <c r="UYJ11" s="18"/>
      <c r="UYK11" s="18"/>
      <c r="UYL11" s="18"/>
      <c r="UYM11" s="18"/>
      <c r="UYN11" s="18"/>
      <c r="UYO11" s="18"/>
      <c r="UYP11" s="18"/>
      <c r="UYQ11" s="18"/>
      <c r="UYR11" s="18"/>
      <c r="UYS11" s="18"/>
      <c r="UYT11" s="18"/>
      <c r="UYU11" s="18"/>
      <c r="UYV11" s="18"/>
      <c r="UYW11" s="18"/>
      <c r="UYX11" s="18"/>
      <c r="UYY11" s="18"/>
      <c r="UYZ11" s="18"/>
      <c r="UZA11" s="18"/>
      <c r="UZB11" s="18"/>
      <c r="UZC11" s="18"/>
      <c r="UZD11" s="18"/>
      <c r="UZE11" s="18"/>
      <c r="UZF11" s="18"/>
      <c r="UZG11" s="18"/>
      <c r="UZH11" s="18"/>
      <c r="UZI11" s="18"/>
      <c r="UZJ11" s="18"/>
      <c r="UZK11" s="18"/>
      <c r="UZL11" s="18"/>
      <c r="UZM11" s="18"/>
      <c r="UZN11" s="18"/>
      <c r="UZO11" s="18"/>
      <c r="UZP11" s="18"/>
      <c r="UZQ11" s="18"/>
      <c r="UZR11" s="18"/>
      <c r="UZS11" s="18"/>
      <c r="UZT11" s="18"/>
      <c r="UZU11" s="18"/>
      <c r="UZV11" s="18"/>
      <c r="UZW11" s="18"/>
      <c r="UZX11" s="18"/>
      <c r="UZY11" s="18"/>
      <c r="UZZ11" s="18"/>
      <c r="VAA11" s="18"/>
      <c r="VAB11" s="18"/>
      <c r="VAC11" s="18"/>
      <c r="VAD11" s="18"/>
      <c r="VAE11" s="18"/>
      <c r="VAF11" s="18"/>
      <c r="VAG11" s="18"/>
      <c r="VAH11" s="18"/>
      <c r="VAI11" s="18"/>
      <c r="VAJ11" s="18"/>
      <c r="VAK11" s="18"/>
      <c r="VAL11" s="18"/>
      <c r="VAM11" s="18"/>
      <c r="VAN11" s="18"/>
      <c r="VAO11" s="18"/>
      <c r="VAP11" s="18"/>
      <c r="VAQ11" s="18"/>
      <c r="VAR11" s="18"/>
      <c r="VAS11" s="18"/>
      <c r="VAT11" s="18"/>
      <c r="VAU11" s="18"/>
      <c r="VAV11" s="18"/>
      <c r="VAW11" s="18"/>
      <c r="VAX11" s="18"/>
      <c r="VAY11" s="18"/>
      <c r="VAZ11" s="18"/>
      <c r="VBA11" s="18"/>
      <c r="VBB11" s="18"/>
      <c r="VBC11" s="18"/>
      <c r="VBD11" s="18"/>
      <c r="VBE11" s="18"/>
      <c r="VBF11" s="18"/>
      <c r="VBG11" s="18"/>
      <c r="VBH11" s="18"/>
      <c r="VBI11" s="18"/>
      <c r="VBJ11" s="18"/>
      <c r="VBK11" s="18"/>
      <c r="VBL11" s="18"/>
      <c r="VBM11" s="18"/>
      <c r="VBN11" s="18"/>
      <c r="VBO11" s="18"/>
      <c r="VBP11" s="18"/>
      <c r="VBQ11" s="18"/>
      <c r="VBR11" s="18"/>
      <c r="VBS11" s="18"/>
      <c r="VBT11" s="18"/>
      <c r="VBU11" s="18"/>
      <c r="VBV11" s="18"/>
      <c r="VBW11" s="18"/>
      <c r="VBX11" s="18"/>
      <c r="VBY11" s="18"/>
      <c r="VBZ11" s="18"/>
      <c r="VCA11" s="18"/>
      <c r="VCB11" s="18"/>
      <c r="VCC11" s="18"/>
      <c r="VCD11" s="18"/>
      <c r="VCE11" s="18"/>
      <c r="VCF11" s="18"/>
      <c r="VCG11" s="18"/>
      <c r="VCH11" s="18"/>
      <c r="VCI11" s="18"/>
      <c r="VCJ11" s="18"/>
      <c r="VCK11" s="18"/>
      <c r="VCL11" s="18"/>
      <c r="VCM11" s="18"/>
      <c r="VCN11" s="18"/>
      <c r="VCO11" s="18"/>
      <c r="VCP11" s="18"/>
      <c r="VCQ11" s="18"/>
      <c r="VCR11" s="18"/>
      <c r="VCS11" s="18"/>
      <c r="VCT11" s="18"/>
      <c r="VCU11" s="18"/>
      <c r="VCV11" s="18"/>
      <c r="VCW11" s="18"/>
      <c r="VCX11" s="18"/>
      <c r="VCY11" s="18"/>
      <c r="VCZ11" s="18"/>
      <c r="VDA11" s="18"/>
      <c r="VDB11" s="18"/>
      <c r="VDC11" s="18"/>
      <c r="VDD11" s="18"/>
      <c r="VDE11" s="18"/>
      <c r="VDF11" s="18"/>
      <c r="VDG11" s="18"/>
      <c r="VDH11" s="18"/>
      <c r="VDI11" s="18"/>
      <c r="VDJ11" s="18"/>
      <c r="VDK11" s="18"/>
      <c r="VDL11" s="18"/>
      <c r="VDM11" s="18"/>
      <c r="VDN11" s="18"/>
      <c r="VDO11" s="18"/>
      <c r="VDP11" s="18"/>
      <c r="VDQ11" s="18"/>
      <c r="VDR11" s="18"/>
      <c r="VDS11" s="18"/>
      <c r="VDT11" s="18"/>
      <c r="VDU11" s="18"/>
      <c r="VDV11" s="18"/>
      <c r="VDW11" s="18"/>
      <c r="VDX11" s="18"/>
      <c r="VDY11" s="18"/>
      <c r="VDZ11" s="18"/>
      <c r="VEA11" s="18"/>
      <c r="VEB11" s="18"/>
      <c r="VEC11" s="18"/>
      <c r="VED11" s="18"/>
      <c r="VEE11" s="18"/>
      <c r="VEF11" s="18"/>
      <c r="VEG11" s="18"/>
      <c r="VEH11" s="18"/>
      <c r="VEI11" s="18"/>
      <c r="VEJ11" s="18"/>
      <c r="VEK11" s="18"/>
      <c r="VEL11" s="18"/>
      <c r="VEM11" s="18"/>
      <c r="VEN11" s="18"/>
      <c r="VEO11" s="18"/>
      <c r="VEP11" s="18"/>
      <c r="VEQ11" s="18"/>
      <c r="VER11" s="18"/>
      <c r="VES11" s="18"/>
      <c r="VET11" s="18"/>
      <c r="VEU11" s="18"/>
      <c r="VEV11" s="18"/>
      <c r="VEW11" s="18"/>
      <c r="VEX11" s="18"/>
      <c r="VEY11" s="18"/>
      <c r="VEZ11" s="18"/>
      <c r="VFA11" s="18"/>
      <c r="VFB11" s="18"/>
      <c r="VFC11" s="18"/>
      <c r="VFD11" s="18"/>
      <c r="VFE11" s="18"/>
      <c r="VFF11" s="18"/>
      <c r="VFG11" s="18"/>
      <c r="VFH11" s="18"/>
      <c r="VFI11" s="18"/>
      <c r="VFJ11" s="18"/>
      <c r="VFK11" s="18"/>
      <c r="VFL11" s="18"/>
      <c r="VFM11" s="18"/>
      <c r="VFN11" s="18"/>
      <c r="VFO11" s="18"/>
      <c r="VFP11" s="18"/>
      <c r="VFQ11" s="18"/>
      <c r="VFR11" s="18"/>
      <c r="VFS11" s="18"/>
      <c r="VFT11" s="18"/>
      <c r="VFU11" s="18"/>
      <c r="VFV11" s="18"/>
      <c r="VFW11" s="18"/>
      <c r="VFX11" s="18"/>
      <c r="VFY11" s="18"/>
      <c r="VFZ11" s="18"/>
      <c r="VGA11" s="18"/>
      <c r="VGB11" s="18"/>
      <c r="VGC11" s="18"/>
      <c r="VGD11" s="18"/>
      <c r="VGE11" s="18"/>
      <c r="VGF11" s="18"/>
      <c r="VGG11" s="18"/>
      <c r="VGH11" s="18"/>
      <c r="VGI11" s="18"/>
      <c r="VGJ11" s="18"/>
      <c r="VGK11" s="18"/>
      <c r="VGL11" s="18"/>
      <c r="VGM11" s="18"/>
      <c r="VGN11" s="18"/>
      <c r="VGO11" s="18"/>
      <c r="VGP11" s="18"/>
      <c r="VGQ11" s="18"/>
      <c r="VGR11" s="18"/>
      <c r="VGS11" s="18"/>
      <c r="VGT11" s="18"/>
      <c r="VGU11" s="18"/>
      <c r="VGV11" s="18"/>
      <c r="VGW11" s="18"/>
      <c r="VGX11" s="18"/>
      <c r="VGY11" s="18"/>
      <c r="VGZ11" s="18"/>
      <c r="VHA11" s="18"/>
      <c r="VHB11" s="18"/>
      <c r="VHC11" s="18"/>
      <c r="VHD11" s="18"/>
      <c r="VHE11" s="18"/>
      <c r="VHF11" s="18"/>
      <c r="VHG11" s="18"/>
      <c r="VHH11" s="18"/>
      <c r="VHI11" s="18"/>
      <c r="VHJ11" s="18"/>
      <c r="VHK11" s="18"/>
      <c r="VHL11" s="18"/>
      <c r="VHM11" s="18"/>
      <c r="VHN11" s="18"/>
      <c r="VHO11" s="18"/>
      <c r="VHP11" s="18"/>
      <c r="VHQ11" s="18"/>
      <c r="VHR11" s="18"/>
      <c r="VHS11" s="18"/>
      <c r="VHT11" s="18"/>
      <c r="VHU11" s="18"/>
      <c r="VHV11" s="18"/>
      <c r="VHW11" s="18"/>
      <c r="VHX11" s="18"/>
      <c r="VHY11" s="18"/>
      <c r="VHZ11" s="18"/>
      <c r="VIA11" s="18"/>
      <c r="VIB11" s="18"/>
      <c r="VIC11" s="18"/>
      <c r="VID11" s="18"/>
      <c r="VIE11" s="18"/>
      <c r="VIF11" s="18"/>
      <c r="VIG11" s="18"/>
      <c r="VIH11" s="18"/>
      <c r="VII11" s="18"/>
      <c r="VIJ11" s="18"/>
      <c r="VIK11" s="18"/>
      <c r="VIL11" s="18"/>
      <c r="VIM11" s="18"/>
      <c r="VIN11" s="18"/>
      <c r="VIO11" s="18"/>
      <c r="VIP11" s="18"/>
      <c r="VIQ11" s="18"/>
      <c r="VIR11" s="18"/>
      <c r="VIS11" s="18"/>
      <c r="VIT11" s="18"/>
      <c r="VIU11" s="18"/>
      <c r="VIV11" s="18"/>
      <c r="VIW11" s="18"/>
      <c r="VIX11" s="18"/>
      <c r="VIY11" s="18"/>
      <c r="VIZ11" s="18"/>
      <c r="VJA11" s="18"/>
      <c r="VJB11" s="18"/>
      <c r="VJC11" s="18"/>
      <c r="VJD11" s="18"/>
      <c r="VJE11" s="18"/>
      <c r="VJF11" s="18"/>
      <c r="VJG11" s="18"/>
      <c r="VJH11" s="18"/>
      <c r="VJI11" s="18"/>
      <c r="VJJ11" s="18"/>
      <c r="VJK11" s="18"/>
      <c r="VJL11" s="18"/>
      <c r="VJM11" s="18"/>
      <c r="VJN11" s="18"/>
      <c r="VJO11" s="18"/>
      <c r="VJP11" s="18"/>
      <c r="VJQ11" s="18"/>
      <c r="VJR11" s="18"/>
      <c r="VJS11" s="18"/>
      <c r="VJT11" s="18"/>
      <c r="VJU11" s="18"/>
      <c r="VJV11" s="18"/>
      <c r="VJW11" s="18"/>
      <c r="VJX11" s="18"/>
      <c r="VJY11" s="18"/>
      <c r="VJZ11" s="18"/>
      <c r="VKA11" s="18"/>
      <c r="VKB11" s="18"/>
      <c r="VKC11" s="18"/>
      <c r="VKD11" s="18"/>
      <c r="VKE11" s="18"/>
      <c r="VKF11" s="18"/>
      <c r="VKG11" s="18"/>
      <c r="VKH11" s="18"/>
      <c r="VKI11" s="18"/>
      <c r="VKJ11" s="18"/>
      <c r="VKK11" s="18"/>
      <c r="VKL11" s="18"/>
      <c r="VKM11" s="18"/>
      <c r="VKN11" s="18"/>
      <c r="VKO11" s="18"/>
      <c r="VKP11" s="18"/>
      <c r="VKQ11" s="18"/>
      <c r="VKR11" s="18"/>
      <c r="VKS11" s="18"/>
      <c r="VKT11" s="18"/>
      <c r="VKU11" s="18"/>
      <c r="VKV11" s="18"/>
      <c r="VKW11" s="18"/>
      <c r="VKX11" s="18"/>
      <c r="VKY11" s="18"/>
      <c r="VKZ11" s="18"/>
      <c r="VLA11" s="18"/>
      <c r="VLB11" s="18"/>
      <c r="VLC11" s="18"/>
      <c r="VLD11" s="18"/>
      <c r="VLE11" s="18"/>
      <c r="VLF11" s="18"/>
      <c r="VLG11" s="18"/>
      <c r="VLH11" s="18"/>
      <c r="VLI11" s="18"/>
      <c r="VLJ11" s="18"/>
      <c r="VLK11" s="18"/>
      <c r="VLL11" s="18"/>
      <c r="VLM11" s="18"/>
      <c r="VLN11" s="18"/>
      <c r="VLO11" s="18"/>
      <c r="VLP11" s="18"/>
      <c r="VLQ11" s="18"/>
      <c r="VLR11" s="18"/>
      <c r="VLS11" s="18"/>
      <c r="VLT11" s="18"/>
      <c r="VLU11" s="18"/>
      <c r="VLV11" s="18"/>
      <c r="VLW11" s="18"/>
      <c r="VLX11" s="18"/>
      <c r="VLY11" s="18"/>
      <c r="VLZ11" s="18"/>
      <c r="VMA11" s="18"/>
      <c r="VMB11" s="18"/>
      <c r="VMC11" s="18"/>
      <c r="VMD11" s="18"/>
      <c r="VME11" s="18"/>
      <c r="VMF11" s="18"/>
      <c r="VMG11" s="18"/>
      <c r="VMH11" s="18"/>
      <c r="VMI11" s="18"/>
      <c r="VMJ11" s="18"/>
      <c r="VMK11" s="18"/>
      <c r="VML11" s="18"/>
      <c r="VMM11" s="18"/>
      <c r="VMN11" s="18"/>
      <c r="VMO11" s="18"/>
      <c r="VMP11" s="18"/>
      <c r="VMQ11" s="18"/>
      <c r="VMR11" s="18"/>
      <c r="VMS11" s="18"/>
      <c r="VMT11" s="18"/>
      <c r="VMU11" s="18"/>
      <c r="VMV11" s="18"/>
      <c r="VMW11" s="18"/>
      <c r="VMX11" s="18"/>
      <c r="VMY11" s="18"/>
      <c r="VMZ11" s="18"/>
      <c r="VNA11" s="18"/>
      <c r="VNB11" s="18"/>
      <c r="VNC11" s="18"/>
      <c r="VND11" s="18"/>
      <c r="VNE11" s="18"/>
      <c r="VNF11" s="18"/>
      <c r="VNG11" s="18"/>
      <c r="VNH11" s="18"/>
      <c r="VNI11" s="18"/>
      <c r="VNJ11" s="18"/>
      <c r="VNK11" s="18"/>
      <c r="VNL11" s="18"/>
      <c r="VNM11" s="18"/>
      <c r="VNN11" s="18"/>
      <c r="VNO11" s="18"/>
      <c r="VNP11" s="18"/>
      <c r="VNQ11" s="18"/>
      <c r="VNR11" s="18"/>
      <c r="VNS11" s="18"/>
      <c r="VNT11" s="18"/>
      <c r="VNU11" s="18"/>
      <c r="VNV11" s="18"/>
      <c r="VNW11" s="18"/>
      <c r="VNX11" s="18"/>
      <c r="VNY11" s="18"/>
      <c r="VNZ11" s="18"/>
      <c r="VOA11" s="18"/>
      <c r="VOB11" s="18"/>
      <c r="VOC11" s="18"/>
      <c r="VOD11" s="18"/>
      <c r="VOE11" s="18"/>
      <c r="VOF11" s="18"/>
      <c r="VOG11" s="18"/>
      <c r="VOH11" s="18"/>
      <c r="VOI11" s="18"/>
      <c r="VOJ11" s="18"/>
      <c r="VOK11" s="18"/>
      <c r="VOL11" s="18"/>
      <c r="VOM11" s="18"/>
      <c r="VON11" s="18"/>
      <c r="VOO11" s="18"/>
      <c r="VOP11" s="18"/>
      <c r="VOQ11" s="18"/>
      <c r="VOR11" s="18"/>
      <c r="VOS11" s="18"/>
      <c r="VOT11" s="18"/>
      <c r="VOU11" s="18"/>
      <c r="VOV11" s="18"/>
      <c r="VOW11" s="18"/>
      <c r="VOX11" s="18"/>
      <c r="VOY11" s="18"/>
      <c r="VOZ11" s="18"/>
      <c r="VPA11" s="18"/>
      <c r="VPB11" s="18"/>
      <c r="VPC11" s="18"/>
      <c r="VPD11" s="18"/>
      <c r="VPE11" s="18"/>
      <c r="VPF11" s="18"/>
      <c r="VPG11" s="18"/>
      <c r="VPH11" s="18"/>
      <c r="VPI11" s="18"/>
      <c r="VPJ11" s="18"/>
      <c r="VPK11" s="18"/>
      <c r="VPL11" s="18"/>
      <c r="VPM11" s="18"/>
      <c r="VPN11" s="18"/>
      <c r="VPO11" s="18"/>
      <c r="VPP11" s="18"/>
      <c r="VPQ11" s="18"/>
      <c r="VPR11" s="18"/>
      <c r="VPS11" s="18"/>
      <c r="VPT11" s="18"/>
      <c r="VPU11" s="18"/>
      <c r="VPV11" s="18"/>
      <c r="VPW11" s="18"/>
      <c r="VPX11" s="18"/>
      <c r="VPY11" s="18"/>
      <c r="VPZ11" s="18"/>
      <c r="VQA11" s="18"/>
      <c r="VQB11" s="18"/>
      <c r="VQC11" s="18"/>
      <c r="VQD11" s="18"/>
      <c r="VQE11" s="18"/>
      <c r="VQF11" s="18"/>
      <c r="VQG11" s="18"/>
      <c r="VQH11" s="18"/>
      <c r="VQI11" s="18"/>
      <c r="VQJ11" s="18"/>
      <c r="VQK11" s="18"/>
      <c r="VQL11" s="18"/>
      <c r="VQM11" s="18"/>
      <c r="VQN11" s="18"/>
      <c r="VQO11" s="18"/>
      <c r="VQP11" s="18"/>
      <c r="VQQ11" s="18"/>
      <c r="VQR11" s="18"/>
      <c r="VQS11" s="18"/>
      <c r="VQT11" s="18"/>
      <c r="VQU11" s="18"/>
      <c r="VQV11" s="18"/>
      <c r="VQW11" s="18"/>
      <c r="VQX11" s="18"/>
      <c r="VQY11" s="18"/>
      <c r="VQZ11" s="18"/>
      <c r="VRA11" s="18"/>
      <c r="VRB11" s="18"/>
      <c r="VRC11" s="18"/>
      <c r="VRD11" s="18"/>
      <c r="VRE11" s="18"/>
      <c r="VRF11" s="18"/>
      <c r="VRG11" s="18"/>
      <c r="VRH11" s="18"/>
      <c r="VRI11" s="18"/>
      <c r="VRJ11" s="18"/>
      <c r="VRK11" s="18"/>
      <c r="VRL11" s="18"/>
      <c r="VRM11" s="18"/>
      <c r="VRN11" s="18"/>
      <c r="VRO11" s="18"/>
      <c r="VRP11" s="18"/>
      <c r="VRQ11" s="18"/>
      <c r="VRR11" s="18"/>
      <c r="VRS11" s="18"/>
      <c r="VRT11" s="18"/>
      <c r="VRU11" s="18"/>
      <c r="VRV11" s="18"/>
      <c r="VRW11" s="18"/>
      <c r="VRX11" s="18"/>
      <c r="VRY11" s="18"/>
      <c r="VRZ11" s="18"/>
      <c r="VSA11" s="18"/>
      <c r="VSB11" s="18"/>
      <c r="VSC11" s="18"/>
      <c r="VSD11" s="18"/>
      <c r="VSE11" s="18"/>
      <c r="VSF11" s="18"/>
      <c r="VSG11" s="18"/>
      <c r="VSH11" s="18"/>
      <c r="VSI11" s="18"/>
      <c r="VSJ11" s="18"/>
      <c r="VSK11" s="18"/>
      <c r="VSL11" s="18"/>
      <c r="VSM11" s="18"/>
      <c r="VSN11" s="18"/>
      <c r="VSO11" s="18"/>
      <c r="VSP11" s="18"/>
      <c r="VSQ11" s="18"/>
      <c r="VSR11" s="18"/>
      <c r="VSS11" s="18"/>
      <c r="VST11" s="18"/>
      <c r="VSU11" s="18"/>
      <c r="VSV11" s="18"/>
      <c r="VSW11" s="18"/>
      <c r="VSX11" s="18"/>
      <c r="VSY11" s="18"/>
      <c r="VSZ11" s="18"/>
      <c r="VTA11" s="18"/>
      <c r="VTB11" s="18"/>
      <c r="VTC11" s="18"/>
      <c r="VTD11" s="18"/>
      <c r="VTE11" s="18"/>
      <c r="VTF11" s="18"/>
      <c r="VTG11" s="18"/>
      <c r="VTH11" s="18"/>
      <c r="VTI11" s="18"/>
      <c r="VTJ11" s="18"/>
      <c r="VTK11" s="18"/>
      <c r="VTL11" s="18"/>
      <c r="VTM11" s="18"/>
      <c r="VTN11" s="18"/>
      <c r="VTO11" s="18"/>
      <c r="VTP11" s="18"/>
      <c r="VTQ11" s="18"/>
      <c r="VTR11" s="18"/>
      <c r="VTS11" s="18"/>
      <c r="VTT11" s="18"/>
      <c r="VTU11" s="18"/>
      <c r="VTV11" s="18"/>
      <c r="VTW11" s="18"/>
      <c r="VTX11" s="18"/>
      <c r="VTY11" s="18"/>
      <c r="VTZ11" s="18"/>
      <c r="VUA11" s="18"/>
      <c r="VUB11" s="18"/>
      <c r="VUC11" s="18"/>
      <c r="VUD11" s="18"/>
      <c r="VUE11" s="18"/>
      <c r="VUF11" s="18"/>
      <c r="VUG11" s="18"/>
      <c r="VUH11" s="18"/>
      <c r="VUI11" s="18"/>
      <c r="VUJ11" s="18"/>
      <c r="VUK11" s="18"/>
      <c r="VUL11" s="18"/>
      <c r="VUM11" s="18"/>
      <c r="VUN11" s="18"/>
      <c r="VUO11" s="18"/>
      <c r="VUP11" s="18"/>
      <c r="VUQ11" s="18"/>
      <c r="VUR11" s="18"/>
      <c r="VUS11" s="18"/>
      <c r="VUT11" s="18"/>
      <c r="VUU11" s="18"/>
      <c r="VUV11" s="18"/>
      <c r="VUW11" s="18"/>
      <c r="VUX11" s="18"/>
      <c r="VUY11" s="18"/>
      <c r="VUZ11" s="18"/>
      <c r="VVA11" s="18"/>
      <c r="VVB11" s="18"/>
      <c r="VVC11" s="18"/>
      <c r="VVD11" s="18"/>
      <c r="VVE11" s="18"/>
      <c r="VVF11" s="18"/>
      <c r="VVG11" s="18"/>
      <c r="VVH11" s="18"/>
      <c r="VVI11" s="18"/>
      <c r="VVJ11" s="18"/>
      <c r="VVK11" s="18"/>
      <c r="VVL11" s="18"/>
      <c r="VVM11" s="18"/>
      <c r="VVN11" s="18"/>
      <c r="VVO11" s="18"/>
      <c r="VVP11" s="18"/>
      <c r="VVQ11" s="18"/>
      <c r="VVR11" s="18"/>
      <c r="VVS11" s="18"/>
      <c r="VVT11" s="18"/>
      <c r="VVU11" s="18"/>
      <c r="VVV11" s="18"/>
      <c r="VVW11" s="18"/>
      <c r="VVX11" s="18"/>
      <c r="VVY11" s="18"/>
      <c r="VVZ11" s="18"/>
      <c r="VWA11" s="18"/>
      <c r="VWB11" s="18"/>
      <c r="VWC11" s="18"/>
      <c r="VWD11" s="18"/>
      <c r="VWE11" s="18"/>
      <c r="VWF11" s="18"/>
      <c r="VWG11" s="18"/>
      <c r="VWH11" s="18"/>
      <c r="VWI11" s="18"/>
      <c r="VWJ11" s="18"/>
      <c r="VWK11" s="18"/>
      <c r="VWL11" s="18"/>
      <c r="VWM11" s="18"/>
      <c r="VWN11" s="18"/>
      <c r="VWO11" s="18"/>
      <c r="VWP11" s="18"/>
      <c r="VWQ11" s="18"/>
      <c r="VWR11" s="18"/>
      <c r="VWS11" s="18"/>
      <c r="VWT11" s="18"/>
      <c r="VWU11" s="18"/>
      <c r="VWV11" s="18"/>
      <c r="VWW11" s="18"/>
      <c r="VWX11" s="18"/>
      <c r="VWY11" s="18"/>
      <c r="VWZ11" s="18"/>
      <c r="VXA11" s="18"/>
      <c r="VXB11" s="18"/>
      <c r="VXC11" s="18"/>
      <c r="VXD11" s="18"/>
      <c r="VXE11" s="18"/>
      <c r="VXF11" s="18"/>
      <c r="VXG11" s="18"/>
      <c r="VXH11" s="18"/>
      <c r="VXI11" s="18"/>
      <c r="VXJ11" s="18"/>
      <c r="VXK11" s="18"/>
      <c r="VXL11" s="18"/>
      <c r="VXM11" s="18"/>
      <c r="VXN11" s="18"/>
      <c r="VXO11" s="18"/>
      <c r="VXP11" s="18"/>
      <c r="VXQ11" s="18"/>
      <c r="VXR11" s="18"/>
      <c r="VXS11" s="18"/>
      <c r="VXT11" s="18"/>
      <c r="VXU11" s="18"/>
      <c r="VXV11" s="18"/>
      <c r="VXW11" s="18"/>
      <c r="VXX11" s="18"/>
      <c r="VXY11" s="18"/>
      <c r="VXZ11" s="18"/>
      <c r="VYA11" s="18"/>
      <c r="VYB11" s="18"/>
      <c r="VYC11" s="18"/>
      <c r="VYD11" s="18"/>
      <c r="VYE11" s="18"/>
      <c r="VYF11" s="18"/>
      <c r="VYG11" s="18"/>
      <c r="VYH11" s="18"/>
      <c r="VYI11" s="18"/>
      <c r="VYJ11" s="18"/>
      <c r="VYK11" s="18"/>
      <c r="VYL11" s="18"/>
      <c r="VYM11" s="18"/>
      <c r="VYN11" s="18"/>
      <c r="VYO11" s="18"/>
      <c r="VYP11" s="18"/>
      <c r="VYQ11" s="18"/>
      <c r="VYR11" s="18"/>
      <c r="VYS11" s="18"/>
      <c r="VYT11" s="18"/>
      <c r="VYU11" s="18"/>
      <c r="VYV11" s="18"/>
      <c r="VYW11" s="18"/>
      <c r="VYX11" s="18"/>
      <c r="VYY11" s="18"/>
      <c r="VYZ11" s="18"/>
      <c r="VZA11" s="18"/>
      <c r="VZB11" s="18"/>
      <c r="VZC11" s="18"/>
      <c r="VZD11" s="18"/>
      <c r="VZE11" s="18"/>
      <c r="VZF11" s="18"/>
      <c r="VZG11" s="18"/>
      <c r="VZH11" s="18"/>
      <c r="VZI11" s="18"/>
      <c r="VZJ11" s="18"/>
      <c r="VZK11" s="18"/>
      <c r="VZL11" s="18"/>
      <c r="VZM11" s="18"/>
      <c r="VZN11" s="18"/>
      <c r="VZO11" s="18"/>
      <c r="VZP11" s="18"/>
      <c r="VZQ11" s="18"/>
      <c r="VZR11" s="18"/>
      <c r="VZS11" s="18"/>
      <c r="VZT11" s="18"/>
      <c r="VZU11" s="18"/>
      <c r="VZV11" s="18"/>
      <c r="VZW11" s="18"/>
      <c r="VZX11" s="18"/>
      <c r="VZY11" s="18"/>
      <c r="VZZ11" s="18"/>
      <c r="WAA11" s="18"/>
      <c r="WAB11" s="18"/>
      <c r="WAC11" s="18"/>
      <c r="WAD11" s="18"/>
      <c r="WAE11" s="18"/>
      <c r="WAF11" s="18"/>
      <c r="WAG11" s="18"/>
      <c r="WAH11" s="18"/>
      <c r="WAI11" s="18"/>
      <c r="WAJ11" s="18"/>
      <c r="WAK11" s="18"/>
      <c r="WAL11" s="18"/>
      <c r="WAM11" s="18"/>
      <c r="WAN11" s="18"/>
      <c r="WAO11" s="18"/>
      <c r="WAP11" s="18"/>
      <c r="WAQ11" s="18"/>
      <c r="WAR11" s="18"/>
      <c r="WAS11" s="18"/>
      <c r="WAT11" s="18"/>
      <c r="WAU11" s="18"/>
      <c r="WAV11" s="18"/>
      <c r="WAW11" s="18"/>
      <c r="WAX11" s="18"/>
      <c r="WAY11" s="18"/>
      <c r="WAZ11" s="18"/>
      <c r="WBA11" s="18"/>
      <c r="WBB11" s="18"/>
      <c r="WBC11" s="18"/>
      <c r="WBD11" s="18"/>
      <c r="WBE11" s="18"/>
      <c r="WBF11" s="18"/>
      <c r="WBG11" s="18"/>
      <c r="WBH11" s="18"/>
      <c r="WBI11" s="18"/>
      <c r="WBJ11" s="18"/>
      <c r="WBK11" s="18"/>
      <c r="WBL11" s="18"/>
      <c r="WBM11" s="18"/>
      <c r="WBN11" s="18"/>
      <c r="WBO11" s="18"/>
      <c r="WBP11" s="18"/>
      <c r="WBQ11" s="18"/>
      <c r="WBR11" s="18"/>
      <c r="WBS11" s="18"/>
      <c r="WBT11" s="18"/>
      <c r="WBU11" s="18"/>
      <c r="WBV11" s="18"/>
      <c r="WBW11" s="18"/>
      <c r="WBX11" s="18"/>
      <c r="WBY11" s="18"/>
      <c r="WBZ11" s="18"/>
      <c r="WCA11" s="18"/>
      <c r="WCB11" s="18"/>
      <c r="WCC11" s="18"/>
      <c r="WCD11" s="18"/>
      <c r="WCE11" s="18"/>
      <c r="WCF11" s="18"/>
      <c r="WCG11" s="18"/>
      <c r="WCH11" s="18"/>
      <c r="WCI11" s="18"/>
      <c r="WCJ11" s="18"/>
      <c r="WCK11" s="18"/>
      <c r="WCL11" s="18"/>
      <c r="WCM11" s="18"/>
      <c r="WCN11" s="18"/>
      <c r="WCO11" s="18"/>
      <c r="WCP11" s="18"/>
      <c r="WCQ11" s="18"/>
      <c r="WCR11" s="18"/>
      <c r="WCS11" s="18"/>
      <c r="WCT11" s="18"/>
      <c r="WCU11" s="18"/>
      <c r="WCV11" s="18"/>
      <c r="WCW11" s="18"/>
      <c r="WCX11" s="18"/>
      <c r="WCY11" s="18"/>
      <c r="WCZ11" s="18"/>
      <c r="WDA11" s="18"/>
      <c r="WDB11" s="18"/>
      <c r="WDC11" s="18"/>
      <c r="WDD11" s="18"/>
      <c r="WDE11" s="18"/>
      <c r="WDF11" s="18"/>
      <c r="WDG11" s="18"/>
      <c r="WDH11" s="18"/>
      <c r="WDI11" s="18"/>
      <c r="WDJ11" s="18"/>
      <c r="WDK11" s="18"/>
      <c r="WDL11" s="18"/>
      <c r="WDM11" s="18"/>
      <c r="WDN11" s="18"/>
      <c r="WDO11" s="18"/>
      <c r="WDP11" s="18"/>
      <c r="WDQ11" s="18"/>
      <c r="WDR11" s="18"/>
      <c r="WDS11" s="18"/>
      <c r="WDT11" s="18"/>
      <c r="WDU11" s="18"/>
      <c r="WDV11" s="18"/>
      <c r="WDW11" s="18"/>
      <c r="WDX11" s="18"/>
      <c r="WDY11" s="18"/>
      <c r="WDZ11" s="18"/>
      <c r="WEA11" s="18"/>
      <c r="WEB11" s="18"/>
      <c r="WEC11" s="18"/>
      <c r="WED11" s="18"/>
      <c r="WEE11" s="18"/>
      <c r="WEF11" s="18"/>
      <c r="WEG11" s="18"/>
      <c r="WEH11" s="18"/>
      <c r="WEI11" s="18"/>
      <c r="WEJ11" s="18"/>
      <c r="WEK11" s="18"/>
      <c r="WEL11" s="18"/>
      <c r="WEM11" s="18"/>
      <c r="WEN11" s="18"/>
      <c r="WEO11" s="18"/>
      <c r="WEP11" s="18"/>
      <c r="WEQ11" s="18"/>
      <c r="WER11" s="18"/>
      <c r="WES11" s="18"/>
      <c r="WET11" s="18"/>
      <c r="WEU11" s="18"/>
      <c r="WEV11" s="18"/>
      <c r="WEW11" s="18"/>
      <c r="WEX11" s="18"/>
      <c r="WEY11" s="18"/>
      <c r="WEZ11" s="18"/>
      <c r="WFA11" s="18"/>
      <c r="WFB11" s="18"/>
      <c r="WFC11" s="18"/>
      <c r="WFD11" s="18"/>
      <c r="WFE11" s="18"/>
      <c r="WFF11" s="18"/>
      <c r="WFG11" s="18"/>
      <c r="WFH11" s="18"/>
      <c r="WFI11" s="18"/>
      <c r="WFJ11" s="18"/>
      <c r="WFK11" s="18"/>
      <c r="WFL11" s="18"/>
      <c r="WFM11" s="18"/>
      <c r="WFN11" s="18"/>
      <c r="WFO11" s="18"/>
      <c r="WFP11" s="18"/>
      <c r="WFQ11" s="18"/>
      <c r="WFR11" s="18"/>
      <c r="WFS11" s="18"/>
      <c r="WFT11" s="18"/>
      <c r="WFU11" s="18"/>
      <c r="WFV11" s="18"/>
      <c r="WFW11" s="18"/>
      <c r="WFX11" s="18"/>
      <c r="WFY11" s="18"/>
      <c r="WFZ11" s="18"/>
      <c r="WGA11" s="18"/>
      <c r="WGB11" s="18"/>
      <c r="WGC11" s="18"/>
      <c r="WGD11" s="18"/>
      <c r="WGE11" s="18"/>
      <c r="WGF11" s="18"/>
      <c r="WGG11" s="18"/>
      <c r="WGH11" s="18"/>
      <c r="WGI11" s="18"/>
      <c r="WGJ11" s="18"/>
      <c r="WGK11" s="18"/>
      <c r="WGL11" s="18"/>
      <c r="WGM11" s="18"/>
      <c r="WGN11" s="18"/>
      <c r="WGO11" s="18"/>
      <c r="WGP11" s="18"/>
      <c r="WGQ11" s="18"/>
      <c r="WGR11" s="18"/>
      <c r="WGS11" s="18"/>
      <c r="WGT11" s="18"/>
      <c r="WGU11" s="18"/>
      <c r="WGV11" s="18"/>
      <c r="WGW11" s="18"/>
      <c r="WGX11" s="18"/>
      <c r="WGY11" s="18"/>
      <c r="WGZ11" s="18"/>
      <c r="WHA11" s="18"/>
      <c r="WHB11" s="18"/>
      <c r="WHC11" s="18"/>
      <c r="WHD11" s="18"/>
      <c r="WHE11" s="18"/>
      <c r="WHF11" s="18"/>
      <c r="WHG11" s="18"/>
      <c r="WHH11" s="18"/>
      <c r="WHI11" s="18"/>
      <c r="WHJ11" s="18"/>
      <c r="WHK11" s="18"/>
      <c r="WHL11" s="18"/>
      <c r="WHM11" s="18"/>
      <c r="WHN11" s="18"/>
      <c r="WHO11" s="18"/>
      <c r="WHP11" s="18"/>
      <c r="WHQ11" s="18"/>
      <c r="WHR11" s="18"/>
      <c r="WHS11" s="18"/>
      <c r="WHT11" s="18"/>
      <c r="WHU11" s="18"/>
      <c r="WHV11" s="18"/>
      <c r="WHW11" s="18"/>
      <c r="WHX11" s="18"/>
      <c r="WHY11" s="18"/>
      <c r="WHZ11" s="18"/>
      <c r="WIA11" s="18"/>
      <c r="WIB11" s="18"/>
      <c r="WIC11" s="18"/>
      <c r="WID11" s="18"/>
      <c r="WIE11" s="18"/>
      <c r="WIF11" s="18"/>
      <c r="WIG11" s="18"/>
      <c r="WIH11" s="18"/>
      <c r="WII11" s="18"/>
      <c r="WIJ11" s="18"/>
      <c r="WIK11" s="18"/>
      <c r="WIL11" s="18"/>
      <c r="WIM11" s="18"/>
      <c r="WIN11" s="18"/>
      <c r="WIO11" s="18"/>
      <c r="WIP11" s="18"/>
      <c r="WIQ11" s="18"/>
      <c r="WIR11" s="18"/>
      <c r="WIS11" s="18"/>
      <c r="WIT11" s="18"/>
      <c r="WIU11" s="18"/>
      <c r="WIV11" s="18"/>
      <c r="WIW11" s="18"/>
      <c r="WIX11" s="18"/>
      <c r="WIY11" s="18"/>
      <c r="WIZ11" s="18"/>
      <c r="WJA11" s="18"/>
      <c r="WJB11" s="18"/>
      <c r="WJC11" s="18"/>
      <c r="WJD11" s="18"/>
      <c r="WJE11" s="18"/>
      <c r="WJF11" s="18"/>
      <c r="WJG11" s="18"/>
      <c r="WJH11" s="18"/>
      <c r="WJI11" s="18"/>
      <c r="WJJ11" s="18"/>
      <c r="WJK11" s="18"/>
      <c r="WJL11" s="18"/>
      <c r="WJM11" s="18"/>
      <c r="WJN11" s="18"/>
      <c r="WJO11" s="18"/>
      <c r="WJP11" s="18"/>
      <c r="WJQ11" s="18"/>
      <c r="WJR11" s="18"/>
      <c r="WJS11" s="18"/>
      <c r="WJT11" s="18"/>
      <c r="WJU11" s="18"/>
      <c r="WJV11" s="18"/>
      <c r="WJW11" s="18"/>
      <c r="WJX11" s="18"/>
      <c r="WJY11" s="18"/>
      <c r="WJZ11" s="18"/>
      <c r="WKA11" s="18"/>
      <c r="WKB11" s="18"/>
      <c r="WKC11" s="18"/>
      <c r="WKD11" s="18"/>
      <c r="WKE11" s="18"/>
      <c r="WKF11" s="18"/>
      <c r="WKG11" s="18"/>
      <c r="WKH11" s="18"/>
      <c r="WKI11" s="18"/>
      <c r="WKJ11" s="18"/>
      <c r="WKK11" s="18"/>
      <c r="WKL11" s="18"/>
      <c r="WKM11" s="18"/>
      <c r="WKN11" s="18"/>
      <c r="WKO11" s="18"/>
      <c r="WKP11" s="18"/>
      <c r="WKQ11" s="18"/>
      <c r="WKR11" s="18"/>
      <c r="WKS11" s="18"/>
      <c r="WKT11" s="18"/>
      <c r="WKU11" s="18"/>
      <c r="WKV11" s="18"/>
      <c r="WKW11" s="18"/>
      <c r="WKX11" s="18"/>
      <c r="WKY11" s="18"/>
      <c r="WKZ11" s="18"/>
      <c r="WLA11" s="18"/>
      <c r="WLB11" s="18"/>
      <c r="WLC11" s="18"/>
      <c r="WLD11" s="18"/>
      <c r="WLE11" s="18"/>
      <c r="WLF11" s="18"/>
      <c r="WLG11" s="18"/>
      <c r="WLH11" s="18"/>
      <c r="WLI11" s="18"/>
      <c r="WLJ11" s="18"/>
      <c r="WLK11" s="18"/>
      <c r="WLL11" s="18"/>
      <c r="WLM11" s="18"/>
      <c r="WLN11" s="18"/>
      <c r="WLO11" s="18"/>
      <c r="WLP11" s="18"/>
      <c r="WLQ11" s="18"/>
      <c r="WLR11" s="18"/>
      <c r="WLS11" s="18"/>
      <c r="WLT11" s="18"/>
      <c r="WLU11" s="18"/>
      <c r="WLV11" s="18"/>
      <c r="WLW11" s="18"/>
      <c r="WLX11" s="18"/>
      <c r="WLY11" s="18"/>
      <c r="WLZ11" s="18"/>
      <c r="WMA11" s="18"/>
      <c r="WMB11" s="18"/>
      <c r="WMC11" s="18"/>
      <c r="WMD11" s="18"/>
      <c r="WME11" s="18"/>
      <c r="WMF11" s="18"/>
      <c r="WMG11" s="18"/>
      <c r="WMH11" s="18"/>
      <c r="WMI11" s="18"/>
      <c r="WMJ11" s="18"/>
      <c r="WMK11" s="18"/>
      <c r="WML11" s="18"/>
      <c r="WMM11" s="18"/>
      <c r="WMN11" s="18"/>
      <c r="WMO11" s="18"/>
      <c r="WMP11" s="18"/>
      <c r="WMQ11" s="18"/>
      <c r="WMR11" s="18"/>
      <c r="WMS11" s="18"/>
      <c r="WMT11" s="18"/>
      <c r="WMU11" s="18"/>
      <c r="WMV11" s="18"/>
      <c r="WMW11" s="18"/>
      <c r="WMX11" s="18"/>
      <c r="WMY11" s="18"/>
      <c r="WMZ11" s="18"/>
      <c r="WNA11" s="18"/>
      <c r="WNB11" s="18"/>
      <c r="WNC11" s="18"/>
      <c r="WND11" s="18"/>
      <c r="WNE11" s="18"/>
      <c r="WNF11" s="18"/>
      <c r="WNG11" s="18"/>
      <c r="WNH11" s="18"/>
      <c r="WNI11" s="18"/>
      <c r="WNJ11" s="18"/>
      <c r="WNK11" s="18"/>
      <c r="WNL11" s="18"/>
      <c r="WNM11" s="18"/>
      <c r="WNN11" s="18"/>
      <c r="WNO11" s="18"/>
      <c r="WNP11" s="18"/>
      <c r="WNQ11" s="18"/>
      <c r="WNR11" s="18"/>
      <c r="WNS11" s="18"/>
      <c r="WNT11" s="18"/>
      <c r="WNU11" s="18"/>
      <c r="WNV11" s="18"/>
      <c r="WNW11" s="18"/>
      <c r="WNX11" s="18"/>
      <c r="WNY11" s="18"/>
      <c r="WNZ11" s="18"/>
      <c r="WOA11" s="18"/>
      <c r="WOB11" s="18"/>
      <c r="WOC11" s="18"/>
      <c r="WOD11" s="18"/>
      <c r="WOE11" s="18"/>
      <c r="WOF11" s="18"/>
      <c r="WOG11" s="18"/>
      <c r="WOH11" s="18"/>
      <c r="WOI11" s="18"/>
      <c r="WOJ11" s="18"/>
      <c r="WOK11" s="18"/>
      <c r="WOL11" s="18"/>
      <c r="WOM11" s="18"/>
      <c r="WON11" s="18"/>
      <c r="WOO11" s="18"/>
      <c r="WOP11" s="18"/>
      <c r="WOQ11" s="18"/>
      <c r="WOR11" s="18"/>
      <c r="WOS11" s="18"/>
      <c r="WOT11" s="18"/>
      <c r="WOU11" s="18"/>
      <c r="WOV11" s="18"/>
      <c r="WOW11" s="18"/>
      <c r="WOX11" s="18"/>
      <c r="WOY11" s="18"/>
      <c r="WOZ11" s="18"/>
      <c r="WPA11" s="18"/>
      <c r="WPB11" s="18"/>
      <c r="WPC11" s="18"/>
      <c r="WPD11" s="18"/>
      <c r="WPE11" s="18"/>
      <c r="WPF11" s="18"/>
      <c r="WPG11" s="18"/>
      <c r="WPH11" s="18"/>
      <c r="WPI11" s="18"/>
      <c r="WPJ11" s="18"/>
      <c r="WPK11" s="18"/>
      <c r="WPL11" s="18"/>
      <c r="WPM11" s="18"/>
      <c r="WPN11" s="18"/>
      <c r="WPO11" s="18"/>
      <c r="WPP11" s="18"/>
      <c r="WPQ11" s="18"/>
      <c r="WPR11" s="18"/>
      <c r="WPS11" s="18"/>
      <c r="WPT11" s="18"/>
      <c r="WPU11" s="18"/>
      <c r="WPV11" s="18"/>
      <c r="WPW11" s="18"/>
      <c r="WPX11" s="18"/>
      <c r="WPY11" s="18"/>
      <c r="WPZ11" s="18"/>
      <c r="WQA11" s="18"/>
      <c r="WQB11" s="18"/>
      <c r="WQC11" s="18"/>
      <c r="WQD11" s="18"/>
      <c r="WQE11" s="18"/>
      <c r="WQF11" s="18"/>
      <c r="WQG11" s="18"/>
      <c r="WQH11" s="18"/>
      <c r="WQI11" s="18"/>
      <c r="WQJ11" s="18"/>
      <c r="WQK11" s="18"/>
      <c r="WQL11" s="18"/>
      <c r="WQM11" s="18"/>
      <c r="WQN11" s="18"/>
      <c r="WQO11" s="18"/>
      <c r="WQP11" s="18"/>
      <c r="WQQ11" s="18"/>
      <c r="WQR11" s="18"/>
      <c r="WQS11" s="18"/>
      <c r="WQT11" s="18"/>
      <c r="WQU11" s="18"/>
      <c r="WQV11" s="18"/>
      <c r="WQW11" s="18"/>
      <c r="WQX11" s="18"/>
      <c r="WQY11" s="18"/>
      <c r="WQZ11" s="18"/>
      <c r="WRA11" s="18"/>
      <c r="WRB11" s="18"/>
      <c r="WRC11" s="18"/>
      <c r="WRD11" s="18"/>
      <c r="WRE11" s="18"/>
      <c r="WRF11" s="18"/>
      <c r="WRG11" s="18"/>
      <c r="WRH11" s="18"/>
      <c r="WRI11" s="18"/>
      <c r="WRJ11" s="18"/>
      <c r="WRK11" s="18"/>
      <c r="WRL11" s="18"/>
      <c r="WRM11" s="18"/>
      <c r="WRN11" s="18"/>
      <c r="WRO11" s="18"/>
      <c r="WRP11" s="18"/>
      <c r="WRQ11" s="18"/>
      <c r="WRR11" s="18"/>
      <c r="WRS11" s="18"/>
      <c r="WRT11" s="18"/>
      <c r="WRU11" s="18"/>
      <c r="WRV11" s="18"/>
      <c r="WRW11" s="18"/>
      <c r="WRX11" s="18"/>
      <c r="WRY11" s="18"/>
      <c r="WRZ11" s="18"/>
      <c r="WSA11" s="18"/>
      <c r="WSB11" s="18"/>
      <c r="WSC11" s="18"/>
      <c r="WSD11" s="18"/>
      <c r="WSE11" s="18"/>
      <c r="WSF11" s="18"/>
      <c r="WSG11" s="18"/>
      <c r="WSH11" s="18"/>
      <c r="WSI11" s="18"/>
      <c r="WSJ11" s="18"/>
      <c r="WSK11" s="18"/>
      <c r="WSL11" s="18"/>
      <c r="WSM11" s="18"/>
      <c r="WSN11" s="18"/>
      <c r="WSO11" s="18"/>
      <c r="WSP11" s="18"/>
      <c r="WSQ11" s="18"/>
      <c r="WSR11" s="18"/>
      <c r="WSS11" s="18"/>
      <c r="WST11" s="18"/>
      <c r="WSU11" s="18"/>
      <c r="WSV11" s="18"/>
      <c r="WSW11" s="18"/>
      <c r="WSX11" s="18"/>
      <c r="WSY11" s="18"/>
      <c r="WSZ11" s="18"/>
      <c r="WTA11" s="18"/>
      <c r="WTB11" s="18"/>
      <c r="WTC11" s="18"/>
      <c r="WTD11" s="18"/>
      <c r="WTE11" s="18"/>
      <c r="WTF11" s="18"/>
      <c r="WTG11" s="18"/>
      <c r="WTH11" s="18"/>
      <c r="WTI11" s="18"/>
      <c r="WTJ11" s="18"/>
      <c r="WTK11" s="18"/>
      <c r="WTL11" s="18"/>
      <c r="WTM11" s="18"/>
      <c r="WTN11" s="18"/>
      <c r="WTO11" s="18"/>
      <c r="WTP11" s="18"/>
      <c r="WTQ11" s="18"/>
      <c r="WTR11" s="18"/>
      <c r="WTS11" s="18"/>
      <c r="WTT11" s="18"/>
      <c r="WTU11" s="18"/>
      <c r="WTV11" s="18"/>
      <c r="WTW11" s="18"/>
      <c r="WTX11" s="18"/>
      <c r="WTY11" s="18"/>
      <c r="WTZ11" s="18"/>
      <c r="WUA11" s="18"/>
      <c r="WUB11" s="18"/>
      <c r="WUC11" s="18"/>
      <c r="WUD11" s="18"/>
      <c r="WUE11" s="18"/>
      <c r="WUF11" s="18"/>
      <c r="WUG11" s="18"/>
      <c r="WUH11" s="18"/>
      <c r="WUI11" s="18"/>
      <c r="WUJ11" s="18"/>
      <c r="WUK11" s="18"/>
      <c r="WUL11" s="18"/>
      <c r="WUM11" s="18"/>
      <c r="WUN11" s="18"/>
      <c r="WUO11" s="18"/>
      <c r="WUP11" s="18"/>
      <c r="WUQ11" s="18"/>
      <c r="WUR11" s="18"/>
      <c r="WUS11" s="18"/>
      <c r="WUT11" s="18"/>
      <c r="WUU11" s="18"/>
      <c r="WUV11" s="18"/>
      <c r="WUW11" s="18"/>
      <c r="WUX11" s="18"/>
      <c r="WUY11" s="18"/>
      <c r="WUZ11" s="18"/>
      <c r="WVA11" s="18"/>
      <c r="WVB11" s="18"/>
      <c r="WVC11" s="18"/>
      <c r="WVD11" s="18"/>
      <c r="WVE11" s="18"/>
      <c r="WVF11" s="18"/>
      <c r="WVG11" s="18"/>
      <c r="WVH11" s="18"/>
      <c r="WVI11" s="18"/>
      <c r="WVJ11" s="18"/>
      <c r="WVK11" s="18"/>
      <c r="WVL11" s="18"/>
      <c r="WVM11" s="18"/>
      <c r="WVN11" s="18"/>
      <c r="WVO11" s="18"/>
      <c r="WVP11" s="18"/>
      <c r="WVQ11" s="18"/>
      <c r="WVR11" s="18"/>
      <c r="WVS11" s="18"/>
      <c r="WVT11" s="18"/>
      <c r="WVU11" s="18"/>
      <c r="WVV11" s="18"/>
      <c r="WVW11" s="18"/>
      <c r="WVX11" s="18"/>
      <c r="WVY11" s="18"/>
      <c r="WVZ11" s="18"/>
      <c r="WWA11" s="18"/>
      <c r="WWB11" s="18"/>
      <c r="WWC11" s="18"/>
      <c r="WWD11" s="18"/>
      <c r="WWE11" s="18"/>
      <c r="WWF11" s="18"/>
      <c r="WWG11" s="18"/>
      <c r="WWH11" s="18"/>
      <c r="WWI11" s="18"/>
      <c r="WWJ11" s="18"/>
      <c r="WWK11" s="18"/>
      <c r="WWL11" s="18"/>
      <c r="WWM11" s="18"/>
      <c r="WWN11" s="18"/>
      <c r="WWO11" s="18"/>
      <c r="WWP11" s="18"/>
      <c r="WWQ11" s="18"/>
      <c r="WWR11" s="18"/>
      <c r="WWS11" s="18"/>
      <c r="WWT11" s="18"/>
      <c r="WWU11" s="18"/>
      <c r="WWV11" s="18"/>
      <c r="WWW11" s="18"/>
      <c r="WWX11" s="18"/>
      <c r="WWY11" s="18"/>
      <c r="WWZ11" s="18"/>
      <c r="WXA11" s="18"/>
      <c r="WXB11" s="18"/>
      <c r="WXC11" s="18"/>
      <c r="WXD11" s="18"/>
      <c r="WXE11" s="18"/>
      <c r="WXF11" s="18"/>
      <c r="WXG11" s="18"/>
      <c r="WXH11" s="18"/>
      <c r="WXI11" s="18"/>
      <c r="WXJ11" s="18"/>
      <c r="WXK11" s="18"/>
      <c r="WXL11" s="18"/>
      <c r="WXM11" s="18"/>
      <c r="WXN11" s="18"/>
      <c r="WXO11" s="18"/>
      <c r="WXP11" s="18"/>
      <c r="WXQ11" s="18"/>
      <c r="WXR11" s="18"/>
      <c r="WXS11" s="18"/>
      <c r="WXT11" s="18"/>
      <c r="WXU11" s="18"/>
      <c r="WXV11" s="18"/>
      <c r="WXW11" s="18"/>
      <c r="WXX11" s="18"/>
      <c r="WXY11" s="18"/>
      <c r="WXZ11" s="18"/>
      <c r="WYA11" s="18"/>
      <c r="WYB11" s="18"/>
      <c r="WYC11" s="18"/>
      <c r="WYD11" s="18"/>
      <c r="WYE11" s="18"/>
      <c r="WYF11" s="18"/>
      <c r="WYG11" s="18"/>
      <c r="WYH11" s="18"/>
      <c r="WYI11" s="18"/>
      <c r="WYJ11" s="18"/>
      <c r="WYK11" s="18"/>
      <c r="WYL11" s="18"/>
      <c r="WYM11" s="18"/>
      <c r="WYN11" s="18"/>
      <c r="WYO11" s="18"/>
      <c r="WYP11" s="18"/>
      <c r="WYQ11" s="18"/>
      <c r="WYR11" s="18"/>
      <c r="WYS11" s="18"/>
      <c r="WYT11" s="18"/>
      <c r="WYU11" s="18"/>
      <c r="WYV11" s="18"/>
      <c r="WYW11" s="18"/>
      <c r="WYX11" s="18"/>
      <c r="WYY11" s="18"/>
      <c r="WYZ11" s="18"/>
      <c r="WZA11" s="18"/>
      <c r="WZB11" s="18"/>
      <c r="WZC11" s="18"/>
      <c r="WZD11" s="18"/>
      <c r="WZE11" s="18"/>
      <c r="WZF11" s="18"/>
      <c r="WZG11" s="18"/>
      <c r="WZH11" s="18"/>
      <c r="WZI11" s="18"/>
      <c r="WZJ11" s="18"/>
      <c r="WZK11" s="18"/>
      <c r="WZL11" s="18"/>
      <c r="WZM11" s="18"/>
      <c r="WZN11" s="18"/>
      <c r="WZO11" s="18"/>
      <c r="WZP11" s="18"/>
      <c r="WZQ11" s="18"/>
      <c r="WZR11" s="18"/>
      <c r="WZS11" s="18"/>
      <c r="WZT11" s="18"/>
      <c r="WZU11" s="18"/>
      <c r="WZV11" s="18"/>
      <c r="WZW11" s="18"/>
      <c r="WZX11" s="18"/>
      <c r="WZY11" s="18"/>
      <c r="WZZ11" s="18"/>
      <c r="XAA11" s="18"/>
      <c r="XAB11" s="18"/>
      <c r="XAC11" s="18"/>
      <c r="XAD11" s="18"/>
      <c r="XAE11" s="18"/>
      <c r="XAF11" s="18"/>
      <c r="XAG11" s="18"/>
      <c r="XAH11" s="18"/>
      <c r="XAI11" s="18"/>
      <c r="XAJ11" s="18"/>
      <c r="XAK11" s="18"/>
      <c r="XAL11" s="18"/>
      <c r="XAM11" s="18"/>
      <c r="XAN11" s="18"/>
      <c r="XAO11" s="18"/>
      <c r="XAP11" s="18"/>
      <c r="XAQ11" s="18"/>
      <c r="XAR11" s="18"/>
      <c r="XAS11" s="18"/>
      <c r="XAT11" s="18"/>
      <c r="XAU11" s="18"/>
      <c r="XAV11" s="18"/>
      <c r="XAW11" s="18"/>
      <c r="XAX11" s="18"/>
      <c r="XAY11" s="18"/>
      <c r="XAZ11" s="18"/>
      <c r="XBA11" s="18"/>
      <c r="XBB11" s="18"/>
      <c r="XBC11" s="18"/>
      <c r="XBD11" s="18"/>
      <c r="XBE11" s="18"/>
      <c r="XBF11" s="18"/>
      <c r="XBG11" s="18"/>
      <c r="XBH11" s="18"/>
      <c r="XBI11" s="18"/>
      <c r="XBJ11" s="18"/>
      <c r="XBK11" s="18"/>
      <c r="XBL11" s="18"/>
      <c r="XBM11" s="18"/>
      <c r="XBN11" s="18"/>
      <c r="XBO11" s="18"/>
      <c r="XBP11" s="18"/>
      <c r="XBQ11" s="18"/>
      <c r="XBR11" s="18"/>
      <c r="XBS11" s="18"/>
      <c r="XBT11" s="18"/>
      <c r="XBU11" s="18"/>
      <c r="XBV11" s="18"/>
      <c r="XBW11" s="18"/>
      <c r="XBX11" s="18"/>
      <c r="XBY11" s="18"/>
      <c r="XBZ11" s="18"/>
      <c r="XCA11" s="18"/>
      <c r="XCB11" s="18"/>
      <c r="XCC11" s="18"/>
      <c r="XCD11" s="18"/>
      <c r="XCE11" s="18"/>
      <c r="XCF11" s="18"/>
      <c r="XCG11" s="18"/>
      <c r="XCH11" s="18"/>
      <c r="XCI11" s="18"/>
      <c r="XCJ11" s="18"/>
      <c r="XCK11" s="18"/>
      <c r="XCL11" s="18"/>
      <c r="XCM11" s="18"/>
      <c r="XCN11" s="18"/>
      <c r="XCO11" s="18"/>
      <c r="XCP11" s="18"/>
      <c r="XCQ11" s="18"/>
      <c r="XCR11" s="18"/>
      <c r="XCS11" s="18"/>
      <c r="XCT11" s="18"/>
      <c r="XCU11" s="18"/>
      <c r="XCV11" s="18"/>
      <c r="XCW11" s="18"/>
      <c r="XCX11" s="18"/>
      <c r="XCY11" s="18"/>
      <c r="XCZ11" s="18"/>
      <c r="XDA11" s="18"/>
      <c r="XDB11" s="18"/>
      <c r="XDC11" s="18"/>
      <c r="XDD11" s="18"/>
      <c r="XDE11" s="18"/>
      <c r="XDF11" s="18"/>
      <c r="XDG11" s="18"/>
      <c r="XDH11" s="18"/>
      <c r="XDI11" s="18"/>
      <c r="XDJ11" s="18"/>
      <c r="XDK11" s="18"/>
      <c r="XDL11" s="18"/>
      <c r="XDM11" s="18"/>
      <c r="XDN11" s="18"/>
      <c r="XDO11" s="18"/>
      <c r="XDP11" s="18"/>
      <c r="XDQ11" s="18"/>
      <c r="XDR11" s="18"/>
      <c r="XDS11" s="18"/>
      <c r="XDT11" s="18"/>
      <c r="XDU11" s="18"/>
      <c r="XDV11" s="18"/>
      <c r="XDW11" s="18"/>
      <c r="XDX11" s="18"/>
      <c r="XDY11" s="18"/>
      <c r="XDZ11" s="18"/>
      <c r="XEA11" s="18"/>
      <c r="XEB11" s="18"/>
      <c r="XEC11" s="18"/>
      <c r="XED11" s="18"/>
      <c r="XEE11" s="18"/>
      <c r="XEF11" s="18"/>
      <c r="XEG11" s="18"/>
      <c r="XEH11" s="18"/>
    </row>
    <row r="12" spans="1:16362" ht="18.75" customHeight="1" x14ac:dyDescent="0.25">
      <c r="A12" s="1">
        <v>10</v>
      </c>
      <c r="B12" s="1" t="s">
        <v>205</v>
      </c>
    </row>
    <row r="13" spans="1:16362" s="1" customFormat="1" ht="18" customHeight="1" x14ac:dyDescent="0.25">
      <c r="A13" s="1">
        <v>11</v>
      </c>
      <c r="B13" s="1" t="s">
        <v>206</v>
      </c>
    </row>
    <row r="14" spans="1:16362" s="1" customFormat="1" ht="18" customHeight="1" x14ac:dyDescent="0.25">
      <c r="A14" s="18">
        <v>12</v>
      </c>
      <c r="B14" s="1" t="s">
        <v>207</v>
      </c>
    </row>
    <row r="15" spans="1:16362" ht="18.75" customHeight="1" x14ac:dyDescent="0.25">
      <c r="A15" s="1">
        <v>13</v>
      </c>
      <c r="B15" s="2" t="s">
        <v>208</v>
      </c>
    </row>
    <row r="16" spans="1:16362" ht="18.75" customHeight="1" x14ac:dyDescent="0.25">
      <c r="A16" s="1">
        <v>14</v>
      </c>
      <c r="B16" s="3" t="s">
        <v>209</v>
      </c>
    </row>
    <row r="17" spans="1:2" ht="18.75" customHeight="1" x14ac:dyDescent="0.25">
      <c r="A17" s="1">
        <v>15</v>
      </c>
      <c r="B17" s="3" t="s">
        <v>210</v>
      </c>
    </row>
    <row r="18" spans="1:2" ht="18.75" customHeight="1" x14ac:dyDescent="0.25">
      <c r="A18" s="18">
        <v>16</v>
      </c>
      <c r="B18" s="2" t="s">
        <v>211</v>
      </c>
    </row>
    <row r="19" spans="1:2" ht="18.75" customHeight="1" x14ac:dyDescent="0.25">
      <c r="A19" s="1">
        <v>17</v>
      </c>
      <c r="B19" s="2" t="s">
        <v>212</v>
      </c>
    </row>
    <row r="20" spans="1:2" ht="18.75" customHeight="1" x14ac:dyDescent="0.25">
      <c r="A20" s="1">
        <v>18</v>
      </c>
      <c r="B20" s="2" t="s">
        <v>213</v>
      </c>
    </row>
    <row r="21" spans="1:2" ht="18.75" customHeight="1" x14ac:dyDescent="0.25">
      <c r="A21" s="1">
        <v>19</v>
      </c>
      <c r="B21" s="2" t="s">
        <v>214</v>
      </c>
    </row>
    <row r="22" spans="1:2" ht="18.75" customHeight="1" x14ac:dyDescent="0.25">
      <c r="A22" s="18">
        <v>20</v>
      </c>
      <c r="B22" s="2" t="s">
        <v>215</v>
      </c>
    </row>
    <row r="23" spans="1:2" ht="18.75" customHeight="1" x14ac:dyDescent="0.25">
      <c r="A23" s="1">
        <v>21</v>
      </c>
      <c r="B23" s="2" t="s">
        <v>216</v>
      </c>
    </row>
    <row r="24" spans="1:2" ht="18.75" customHeight="1" x14ac:dyDescent="0.25">
      <c r="A24" s="1">
        <v>22</v>
      </c>
      <c r="B24" s="2" t="s">
        <v>217</v>
      </c>
    </row>
    <row r="25" spans="1:2" ht="18.75" customHeight="1" x14ac:dyDescent="0.25">
      <c r="A25" s="1">
        <v>23</v>
      </c>
      <c r="B25" s="2" t="s">
        <v>218</v>
      </c>
    </row>
    <row r="26" spans="1:2" ht="18.75" customHeight="1" x14ac:dyDescent="0.25">
      <c r="A26" s="18">
        <v>24</v>
      </c>
      <c r="B26" s="2" t="s">
        <v>219</v>
      </c>
    </row>
    <row r="27" spans="1:2" ht="18.75" customHeight="1" x14ac:dyDescent="0.25">
      <c r="A27" s="1">
        <v>25</v>
      </c>
      <c r="B27" s="2" t="s">
        <v>220</v>
      </c>
    </row>
    <row r="28" spans="1:2" ht="18.75" customHeight="1" x14ac:dyDescent="0.25">
      <c r="A28" s="1">
        <v>26</v>
      </c>
      <c r="B28" s="2" t="s">
        <v>221</v>
      </c>
    </row>
    <row r="29" spans="1:2" ht="18.75" customHeight="1" x14ac:dyDescent="0.25">
      <c r="A29" s="1">
        <v>27</v>
      </c>
      <c r="B29" s="2" t="s">
        <v>222</v>
      </c>
    </row>
    <row r="30" spans="1:2" ht="18.75" customHeight="1" x14ac:dyDescent="0.25">
      <c r="A30" s="18">
        <v>28</v>
      </c>
      <c r="B30" s="2" t="s">
        <v>223</v>
      </c>
    </row>
    <row r="31" spans="1:2" ht="18.75" customHeight="1" x14ac:dyDescent="0.25">
      <c r="A31" s="1">
        <v>29</v>
      </c>
      <c r="B31" s="2" t="s">
        <v>224</v>
      </c>
    </row>
    <row r="32" spans="1:2" ht="18.75" customHeight="1" x14ac:dyDescent="0.25">
      <c r="A32" s="1">
        <v>30</v>
      </c>
      <c r="B32" s="2" t="s">
        <v>225</v>
      </c>
    </row>
    <row r="33" spans="1:2" ht="18.75" customHeight="1" x14ac:dyDescent="0.25">
      <c r="A33" s="1">
        <v>31</v>
      </c>
      <c r="B33" s="2" t="s">
        <v>226</v>
      </c>
    </row>
    <row r="34" spans="1:2" ht="18.75" customHeight="1" x14ac:dyDescent="0.25">
      <c r="A34" s="18">
        <v>32</v>
      </c>
      <c r="B34" s="2" t="s">
        <v>227</v>
      </c>
    </row>
    <row r="35" spans="1:2" ht="18.75" customHeight="1" x14ac:dyDescent="0.25">
      <c r="A35" s="1">
        <v>33</v>
      </c>
      <c r="B35" s="2" t="s">
        <v>228</v>
      </c>
    </row>
    <row r="36" spans="1:2" ht="18.75" customHeight="1" x14ac:dyDescent="0.25">
      <c r="A36" s="1">
        <v>34</v>
      </c>
      <c r="B36" s="2" t="s">
        <v>229</v>
      </c>
    </row>
    <row r="37" spans="1:2" ht="18.75" customHeight="1" x14ac:dyDescent="0.25">
      <c r="A37" s="1">
        <v>35</v>
      </c>
      <c r="B37" s="2" t="s">
        <v>230</v>
      </c>
    </row>
    <row r="38" spans="1:2" ht="18.75" customHeight="1" x14ac:dyDescent="0.25">
      <c r="A38" s="18">
        <v>36</v>
      </c>
      <c r="B38" s="2" t="s">
        <v>231</v>
      </c>
    </row>
    <row r="39" spans="1:2" ht="18.75" customHeight="1" x14ac:dyDescent="0.25">
      <c r="A39" s="1">
        <v>37</v>
      </c>
      <c r="B39" s="2" t="s">
        <v>232</v>
      </c>
    </row>
    <row r="40" spans="1:2" ht="18.75" customHeight="1" x14ac:dyDescent="0.25">
      <c r="A40" s="1">
        <v>38</v>
      </c>
      <c r="B40" s="2" t="s">
        <v>233</v>
      </c>
    </row>
    <row r="41" spans="1:2" ht="18.75" customHeight="1" x14ac:dyDescent="0.25">
      <c r="A41" s="1">
        <v>39</v>
      </c>
      <c r="B41" s="2" t="s">
        <v>234</v>
      </c>
    </row>
    <row r="42" spans="1:2" ht="18.75" customHeight="1" x14ac:dyDescent="0.25">
      <c r="A42" s="18">
        <v>40</v>
      </c>
      <c r="B42" s="2" t="s">
        <v>235</v>
      </c>
    </row>
    <row r="43" spans="1:2" ht="18.75" customHeight="1" x14ac:dyDescent="0.25">
      <c r="A43" s="1">
        <v>41</v>
      </c>
      <c r="B43" s="2" t="s">
        <v>236</v>
      </c>
    </row>
    <row r="44" spans="1:2" ht="18.75" customHeight="1" x14ac:dyDescent="0.25">
      <c r="A44" s="1">
        <v>42</v>
      </c>
      <c r="B44" s="3" t="s">
        <v>237</v>
      </c>
    </row>
    <row r="45" spans="1:2" ht="18.75" customHeight="1" x14ac:dyDescent="0.25">
      <c r="A45" s="1">
        <v>43</v>
      </c>
      <c r="B45" s="2" t="s">
        <v>238</v>
      </c>
    </row>
    <row r="46" spans="1:2" ht="18.75" customHeight="1" x14ac:dyDescent="0.25">
      <c r="A46" s="18">
        <v>44</v>
      </c>
      <c r="B46" s="5" t="s">
        <v>239</v>
      </c>
    </row>
    <row r="47" spans="1:2" ht="18.75" customHeight="1" x14ac:dyDescent="0.25">
      <c r="A47" s="1">
        <v>45</v>
      </c>
      <c r="B47" s="19" t="s">
        <v>240</v>
      </c>
    </row>
    <row r="48" spans="1:2" ht="18.75" customHeight="1" x14ac:dyDescent="0.25">
      <c r="A48" s="1">
        <v>46</v>
      </c>
      <c r="B48" s="5" t="s">
        <v>241</v>
      </c>
    </row>
    <row r="49" spans="1:3" ht="18.75" customHeight="1" x14ac:dyDescent="0.25">
      <c r="A49" s="1">
        <v>47</v>
      </c>
      <c r="B49" s="5" t="s">
        <v>242</v>
      </c>
    </row>
    <row r="50" spans="1:3" ht="18.75" customHeight="1" x14ac:dyDescent="0.25">
      <c r="A50" s="18">
        <v>48</v>
      </c>
      <c r="B50" s="5" t="s">
        <v>243</v>
      </c>
    </row>
    <row r="51" spans="1:3" ht="18.75" customHeight="1" x14ac:dyDescent="0.25">
      <c r="A51" s="1">
        <v>49</v>
      </c>
      <c r="B51" s="5" t="s">
        <v>244</v>
      </c>
    </row>
    <row r="52" spans="1:3" ht="18.75" customHeight="1" x14ac:dyDescent="0.25">
      <c r="A52" s="1">
        <v>50</v>
      </c>
      <c r="B52" s="5" t="s">
        <v>245</v>
      </c>
    </row>
    <row r="53" spans="1:3" ht="18.75" customHeight="1" x14ac:dyDescent="0.25">
      <c r="A53" s="1">
        <v>51</v>
      </c>
      <c r="B53" s="3" t="s">
        <v>246</v>
      </c>
    </row>
    <row r="54" spans="1:3" ht="18.75" customHeight="1" x14ac:dyDescent="0.25">
      <c r="A54" s="18">
        <v>52</v>
      </c>
      <c r="B54" s="3" t="s">
        <v>247</v>
      </c>
    </row>
    <row r="55" spans="1:3" ht="18.75" customHeight="1" x14ac:dyDescent="0.25">
      <c r="A55" s="1">
        <v>53</v>
      </c>
      <c r="B55" s="3" t="s">
        <v>248</v>
      </c>
    </row>
    <row r="56" spans="1:3" ht="18.75" customHeight="1" x14ac:dyDescent="0.25">
      <c r="A56" s="1">
        <v>54</v>
      </c>
      <c r="B56" s="3" t="s">
        <v>249</v>
      </c>
    </row>
    <row r="57" spans="1:3" ht="18.75" customHeight="1" x14ac:dyDescent="0.25">
      <c r="A57" s="1">
        <v>55</v>
      </c>
      <c r="B57" s="3" t="s">
        <v>250</v>
      </c>
    </row>
    <row r="58" spans="1:3" ht="18.75" customHeight="1" x14ac:dyDescent="0.25">
      <c r="A58" s="18">
        <v>56</v>
      </c>
      <c r="B58" s="3" t="s">
        <v>251</v>
      </c>
    </row>
    <row r="59" spans="1:3" ht="18.75" customHeight="1" x14ac:dyDescent="0.25">
      <c r="A59" s="1">
        <v>57</v>
      </c>
      <c r="B59" s="3" t="s">
        <v>252</v>
      </c>
    </row>
    <row r="60" spans="1:3" ht="18.75" customHeight="1" x14ac:dyDescent="0.25">
      <c r="A60" s="1">
        <v>58</v>
      </c>
      <c r="B60" s="3" t="s">
        <v>253</v>
      </c>
    </row>
    <row r="61" spans="1:3" ht="18.75" customHeight="1" x14ac:dyDescent="0.25">
      <c r="A61" s="1">
        <v>59</v>
      </c>
      <c r="B61" s="2" t="s">
        <v>254</v>
      </c>
    </row>
    <row r="62" spans="1:3" ht="18.75" customHeight="1" x14ac:dyDescent="0.25">
      <c r="A62" s="18">
        <v>60</v>
      </c>
      <c r="B62" s="2" t="s">
        <v>255</v>
      </c>
    </row>
    <row r="63" spans="1:3" ht="18.75" customHeight="1" x14ac:dyDescent="0.25">
      <c r="A63" s="1">
        <v>61</v>
      </c>
      <c r="B63" s="2" t="s">
        <v>256</v>
      </c>
      <c r="C63" s="1"/>
    </row>
    <row r="64" spans="1:3" ht="18.75" customHeight="1" x14ac:dyDescent="0.25">
      <c r="A64" s="1">
        <v>62</v>
      </c>
      <c r="B64" s="2" t="s">
        <v>257</v>
      </c>
      <c r="C64" s="1"/>
    </row>
    <row r="65" spans="1:2" ht="18.75" customHeight="1" x14ac:dyDescent="0.25">
      <c r="A65" s="1">
        <v>63</v>
      </c>
      <c r="B65" s="2" t="s">
        <v>258</v>
      </c>
    </row>
    <row r="66" spans="1:2" ht="18.75" customHeight="1" x14ac:dyDescent="0.25">
      <c r="A66" s="18">
        <v>64</v>
      </c>
      <c r="B66" s="2" t="s">
        <v>259</v>
      </c>
    </row>
    <row r="67" spans="1:2" ht="18.75" customHeight="1" x14ac:dyDescent="0.25">
      <c r="A67" s="1">
        <v>65</v>
      </c>
      <c r="B67" s="2" t="s">
        <v>260</v>
      </c>
    </row>
    <row r="68" spans="1:2" ht="18.75" customHeight="1" x14ac:dyDescent="0.25">
      <c r="A68" s="1">
        <v>66</v>
      </c>
      <c r="B68" s="3" t="s">
        <v>261</v>
      </c>
    </row>
    <row r="69" spans="1:2" ht="18.75" customHeight="1" x14ac:dyDescent="0.25">
      <c r="A69" s="1">
        <v>67</v>
      </c>
      <c r="B69" s="2" t="s">
        <v>262</v>
      </c>
    </row>
    <row r="70" spans="1:2" ht="18.75" customHeight="1" x14ac:dyDescent="0.25">
      <c r="A70" s="18">
        <v>68</v>
      </c>
      <c r="B70" s="2" t="s">
        <v>263</v>
      </c>
    </row>
    <row r="71" spans="1:2" ht="18.75" customHeight="1" x14ac:dyDescent="0.25">
      <c r="A71" s="1">
        <v>69</v>
      </c>
      <c r="B71" s="2" t="s">
        <v>264</v>
      </c>
    </row>
    <row r="72" spans="1:2" ht="18.75" customHeight="1" x14ac:dyDescent="0.25">
      <c r="A72" s="1">
        <v>70</v>
      </c>
      <c r="B72" s="2" t="s">
        <v>265</v>
      </c>
    </row>
    <row r="73" spans="1:2" ht="18.75" customHeight="1" x14ac:dyDescent="0.25">
      <c r="A73" s="1">
        <v>71</v>
      </c>
      <c r="B73" s="3" t="s">
        <v>266</v>
      </c>
    </row>
    <row r="74" spans="1:2" ht="18.75" customHeight="1" x14ac:dyDescent="0.25">
      <c r="A74" s="18">
        <v>72</v>
      </c>
      <c r="B74" s="2" t="s">
        <v>267</v>
      </c>
    </row>
    <row r="75" spans="1:2" ht="18.75" customHeight="1" x14ac:dyDescent="0.25">
      <c r="A75" s="1">
        <v>73</v>
      </c>
      <c r="B75" s="2" t="s">
        <v>267</v>
      </c>
    </row>
    <row r="76" spans="1:2" ht="18.75" customHeight="1" x14ac:dyDescent="0.25">
      <c r="A76" s="1">
        <v>74</v>
      </c>
      <c r="B76" s="2" t="s">
        <v>268</v>
      </c>
    </row>
    <row r="77" spans="1:2" ht="18.75" customHeight="1" x14ac:dyDescent="0.25">
      <c r="A77" s="1">
        <v>75</v>
      </c>
      <c r="B77" s="2" t="s">
        <v>269</v>
      </c>
    </row>
    <row r="78" spans="1:2" ht="18.75" customHeight="1" x14ac:dyDescent="0.25">
      <c r="A78" s="18">
        <v>76</v>
      </c>
      <c r="B78" s="2" t="s">
        <v>270</v>
      </c>
    </row>
    <row r="79" spans="1:2" ht="18.75" customHeight="1" x14ac:dyDescent="0.25">
      <c r="A79" s="1">
        <v>77</v>
      </c>
      <c r="B79" s="2" t="s">
        <v>271</v>
      </c>
    </row>
    <row r="80" spans="1:2" ht="18.75" customHeight="1" x14ac:dyDescent="0.25">
      <c r="A80" s="1">
        <v>78</v>
      </c>
      <c r="B80" s="2" t="s">
        <v>272</v>
      </c>
    </row>
    <row r="81" spans="1:2" ht="18.75" customHeight="1" x14ac:dyDescent="0.25">
      <c r="A81" s="1">
        <v>79</v>
      </c>
      <c r="B81" s="2" t="s">
        <v>273</v>
      </c>
    </row>
    <row r="82" spans="1:2" ht="18.75" customHeight="1" x14ac:dyDescent="0.25">
      <c r="A82" s="18">
        <v>80</v>
      </c>
      <c r="B82" s="2" t="s">
        <v>274</v>
      </c>
    </row>
    <row r="83" spans="1:2" ht="18.75" customHeight="1" x14ac:dyDescent="0.25">
      <c r="A83" s="1">
        <v>81</v>
      </c>
      <c r="B83" s="2" t="s">
        <v>275</v>
      </c>
    </row>
    <row r="84" spans="1:2" ht="18.75" customHeight="1" x14ac:dyDescent="0.25">
      <c r="A84" s="1">
        <v>82</v>
      </c>
      <c r="B84" s="2" t="s">
        <v>276</v>
      </c>
    </row>
    <row r="85" spans="1:2" ht="18.75" customHeight="1" x14ac:dyDescent="0.25">
      <c r="A85" s="1">
        <v>83</v>
      </c>
      <c r="B85" s="2" t="s">
        <v>277</v>
      </c>
    </row>
    <row r="86" spans="1:2" ht="18.75" customHeight="1" x14ac:dyDescent="0.25">
      <c r="A86" s="18">
        <v>84</v>
      </c>
      <c r="B86" s="2" t="s">
        <v>278</v>
      </c>
    </row>
    <row r="87" spans="1:2" ht="18.75" customHeight="1" x14ac:dyDescent="0.25">
      <c r="A87" s="1">
        <v>85</v>
      </c>
      <c r="B87" s="2" t="s">
        <v>279</v>
      </c>
    </row>
    <row r="88" spans="1:2" ht="18.75" customHeight="1" x14ac:dyDescent="0.25">
      <c r="A88" s="1">
        <v>86</v>
      </c>
      <c r="B88" s="2" t="s">
        <v>280</v>
      </c>
    </row>
    <row r="89" spans="1:2" ht="18.75" customHeight="1" x14ac:dyDescent="0.25">
      <c r="A89" s="1">
        <v>87</v>
      </c>
      <c r="B89" s="2" t="s">
        <v>281</v>
      </c>
    </row>
    <row r="90" spans="1:2" ht="18.75" customHeight="1" x14ac:dyDescent="0.25">
      <c r="A90" s="18">
        <v>88</v>
      </c>
      <c r="B90" s="2" t="s">
        <v>282</v>
      </c>
    </row>
    <row r="91" spans="1:2" ht="18.75" customHeight="1" x14ac:dyDescent="0.25">
      <c r="A91" s="1">
        <v>89</v>
      </c>
      <c r="B91" s="2" t="s">
        <v>283</v>
      </c>
    </row>
    <row r="92" spans="1:2" ht="18.75" customHeight="1" x14ac:dyDescent="0.25">
      <c r="A92" s="1">
        <v>90</v>
      </c>
      <c r="B92" s="2" t="s">
        <v>284</v>
      </c>
    </row>
    <row r="93" spans="1:2" ht="18.75" customHeight="1" x14ac:dyDescent="0.25">
      <c r="A93" s="1">
        <v>91</v>
      </c>
      <c r="B93" s="2" t="s">
        <v>285</v>
      </c>
    </row>
    <row r="94" spans="1:2" ht="18.75" customHeight="1" x14ac:dyDescent="0.25">
      <c r="A94" s="18">
        <v>92</v>
      </c>
      <c r="B94" s="2" t="s">
        <v>286</v>
      </c>
    </row>
    <row r="95" spans="1:2" ht="18.75" customHeight="1" x14ac:dyDescent="0.25">
      <c r="A95" s="1">
        <v>93</v>
      </c>
      <c r="B95" s="2" t="s">
        <v>287</v>
      </c>
    </row>
    <row r="96" spans="1:2" ht="18.75" customHeight="1" x14ac:dyDescent="0.25">
      <c r="A96" s="1">
        <v>94</v>
      </c>
      <c r="B96" s="2" t="s">
        <v>288</v>
      </c>
    </row>
    <row r="97" spans="1:2" ht="18.75" customHeight="1" x14ac:dyDescent="0.25">
      <c r="A97" s="1">
        <v>95</v>
      </c>
      <c r="B97" s="19" t="s">
        <v>289</v>
      </c>
    </row>
    <row r="98" spans="1:2" ht="18.75" customHeight="1" x14ac:dyDescent="0.25">
      <c r="A98" s="18">
        <v>96</v>
      </c>
      <c r="B98" s="2" t="s">
        <v>290</v>
      </c>
    </row>
    <row r="99" spans="1:2" ht="18.75" customHeight="1" x14ac:dyDescent="0.25">
      <c r="A99" s="1">
        <v>97</v>
      </c>
      <c r="B99" s="2" t="s">
        <v>291</v>
      </c>
    </row>
    <row r="100" spans="1:2" ht="18.75" customHeight="1" x14ac:dyDescent="0.25">
      <c r="A100" s="1">
        <v>98</v>
      </c>
      <c r="B100" s="2" t="s">
        <v>292</v>
      </c>
    </row>
    <row r="101" spans="1:2" ht="18.75" customHeight="1" x14ac:dyDescent="0.25">
      <c r="A101" s="1">
        <v>99</v>
      </c>
      <c r="B101" s="19" t="s">
        <v>293</v>
      </c>
    </row>
    <row r="102" spans="1:2" ht="18.75" customHeight="1" x14ac:dyDescent="0.25">
      <c r="A102" s="18">
        <v>100</v>
      </c>
      <c r="B102" s="2" t="s">
        <v>294</v>
      </c>
    </row>
    <row r="103" spans="1:2" ht="18.75" customHeight="1" x14ac:dyDescent="0.25">
      <c r="A103" s="1">
        <v>101</v>
      </c>
      <c r="B103" s="2" t="s">
        <v>295</v>
      </c>
    </row>
    <row r="104" spans="1:2" ht="18.75" customHeight="1" x14ac:dyDescent="0.25">
      <c r="A104" s="1">
        <v>102</v>
      </c>
      <c r="B104" s="2" t="s">
        <v>296</v>
      </c>
    </row>
    <row r="105" spans="1:2" ht="18.75" customHeight="1" x14ac:dyDescent="0.25">
      <c r="A105" s="1">
        <v>103</v>
      </c>
      <c r="B105" s="2" t="s">
        <v>297</v>
      </c>
    </row>
    <row r="106" spans="1:2" ht="18.75" customHeight="1" x14ac:dyDescent="0.25">
      <c r="A106" s="18">
        <v>104</v>
      </c>
      <c r="B106" s="20" t="s">
        <v>590</v>
      </c>
    </row>
    <row r="107" spans="1:2" ht="18.75" customHeight="1" x14ac:dyDescent="0.25">
      <c r="A107" s="1">
        <v>105</v>
      </c>
      <c r="B107" s="2" t="s">
        <v>298</v>
      </c>
    </row>
    <row r="108" spans="1:2" ht="18.75" customHeight="1" x14ac:dyDescent="0.25">
      <c r="A108" s="1">
        <v>106</v>
      </c>
      <c r="B108" s="2" t="s">
        <v>299</v>
      </c>
    </row>
    <row r="109" spans="1:2" ht="18.75" customHeight="1" x14ac:dyDescent="0.25">
      <c r="A109" s="1">
        <v>107</v>
      </c>
      <c r="B109" s="2" t="s">
        <v>300</v>
      </c>
    </row>
    <row r="110" spans="1:2" ht="18.75" customHeight="1" x14ac:dyDescent="0.25">
      <c r="A110" s="18">
        <v>108</v>
      </c>
      <c r="B110" s="19" t="s">
        <v>301</v>
      </c>
    </row>
    <row r="111" spans="1:2" ht="18.75" customHeight="1" x14ac:dyDescent="0.25">
      <c r="A111" s="1">
        <v>109</v>
      </c>
      <c r="B111" s="19" t="s">
        <v>302</v>
      </c>
    </row>
    <row r="112" spans="1:2" ht="18.75" customHeight="1" x14ac:dyDescent="0.25">
      <c r="A112" s="1">
        <v>110</v>
      </c>
      <c r="B112" s="2" t="s">
        <v>303</v>
      </c>
    </row>
    <row r="113" spans="1:2" ht="18.75" customHeight="1" x14ac:dyDescent="0.25">
      <c r="A113" s="1">
        <v>111</v>
      </c>
      <c r="B113" s="2" t="s">
        <v>304</v>
      </c>
    </row>
    <row r="114" spans="1:2" ht="18.75" customHeight="1" x14ac:dyDescent="0.25">
      <c r="A114" s="18">
        <v>112</v>
      </c>
      <c r="B114" s="2" t="s">
        <v>305</v>
      </c>
    </row>
    <row r="115" spans="1:2" ht="18.75" customHeight="1" x14ac:dyDescent="0.25">
      <c r="A115" s="1">
        <v>113</v>
      </c>
      <c r="B115" s="2" t="s">
        <v>306</v>
      </c>
    </row>
    <row r="116" spans="1:2" ht="18.75" customHeight="1" x14ac:dyDescent="0.25">
      <c r="A116" s="1">
        <v>114</v>
      </c>
      <c r="B116" s="2" t="s">
        <v>307</v>
      </c>
    </row>
    <row r="117" spans="1:2" ht="18.75" customHeight="1" x14ac:dyDescent="0.25">
      <c r="A117" s="1">
        <v>115</v>
      </c>
      <c r="B117" s="2" t="s">
        <v>308</v>
      </c>
    </row>
    <row r="118" spans="1:2" ht="18.75" customHeight="1" x14ac:dyDescent="0.25">
      <c r="A118" s="18">
        <v>116</v>
      </c>
      <c r="B118" s="2" t="s">
        <v>309</v>
      </c>
    </row>
    <row r="119" spans="1:2" ht="18.75" customHeight="1" x14ac:dyDescent="0.25">
      <c r="A119" s="1">
        <v>117</v>
      </c>
      <c r="B119" s="2" t="s">
        <v>310</v>
      </c>
    </row>
    <row r="120" spans="1:2" ht="18.75" customHeight="1" x14ac:dyDescent="0.25">
      <c r="A120" s="1">
        <v>118</v>
      </c>
      <c r="B120" s="2" t="s">
        <v>311</v>
      </c>
    </row>
    <row r="121" spans="1:2" ht="18.75" customHeight="1" x14ac:dyDescent="0.25">
      <c r="A121" s="1">
        <v>119</v>
      </c>
      <c r="B121" s="2" t="s">
        <v>312</v>
      </c>
    </row>
    <row r="122" spans="1:2" ht="18.75" customHeight="1" x14ac:dyDescent="0.25">
      <c r="A122" s="18">
        <v>120</v>
      </c>
      <c r="B122" s="2" t="s">
        <v>313</v>
      </c>
    </row>
    <row r="123" spans="1:2" ht="18.75" customHeight="1" x14ac:dyDescent="0.25">
      <c r="A123" s="1">
        <v>121</v>
      </c>
      <c r="B123" s="2" t="s">
        <v>314</v>
      </c>
    </row>
    <row r="124" spans="1:2" ht="18.75" customHeight="1" x14ac:dyDescent="0.25">
      <c r="A124" s="1">
        <v>122</v>
      </c>
      <c r="B124" s="19" t="s">
        <v>315</v>
      </c>
    </row>
    <row r="125" spans="1:2" ht="18.75" customHeight="1" x14ac:dyDescent="0.25">
      <c r="A125" s="1">
        <v>123</v>
      </c>
      <c r="B125" s="19" t="s">
        <v>316</v>
      </c>
    </row>
    <row r="126" spans="1:2" ht="18.75" customHeight="1" x14ac:dyDescent="0.25">
      <c r="A126" s="18">
        <v>124</v>
      </c>
      <c r="B126" s="2" t="s">
        <v>317</v>
      </c>
    </row>
    <row r="127" spans="1:2" ht="18.75" customHeight="1" x14ac:dyDescent="0.25">
      <c r="A127" s="1">
        <v>125</v>
      </c>
      <c r="B127" s="2" t="s">
        <v>318</v>
      </c>
    </row>
    <row r="128" spans="1:2" ht="18.75" customHeight="1" x14ac:dyDescent="0.25">
      <c r="A128" s="1">
        <v>126</v>
      </c>
      <c r="B128" s="2" t="s">
        <v>319</v>
      </c>
    </row>
    <row r="129" spans="1:2" ht="18.75" customHeight="1" x14ac:dyDescent="0.25">
      <c r="A129" s="1">
        <v>127</v>
      </c>
      <c r="B129" s="19" t="s">
        <v>320</v>
      </c>
    </row>
    <row r="130" spans="1:2" ht="18.75" customHeight="1" x14ac:dyDescent="0.25">
      <c r="A130" s="18">
        <v>128</v>
      </c>
      <c r="B130" s="2" t="s">
        <v>321</v>
      </c>
    </row>
    <row r="131" spans="1:2" ht="18.75" customHeight="1" x14ac:dyDescent="0.25">
      <c r="A131" s="1">
        <v>129</v>
      </c>
      <c r="B131" s="2" t="s">
        <v>322</v>
      </c>
    </row>
    <row r="132" spans="1:2" ht="18.75" customHeight="1" x14ac:dyDescent="0.25">
      <c r="A132" s="1">
        <v>130</v>
      </c>
      <c r="B132" s="19" t="s">
        <v>630</v>
      </c>
    </row>
    <row r="133" spans="1:2" ht="18.75" customHeight="1" x14ac:dyDescent="0.25">
      <c r="A133" s="1">
        <v>131</v>
      </c>
      <c r="B133" s="19" t="s">
        <v>323</v>
      </c>
    </row>
    <row r="134" spans="1:2" ht="18.75" customHeight="1" x14ac:dyDescent="0.25">
      <c r="A134" s="18">
        <v>132</v>
      </c>
      <c r="B134" s="2" t="s">
        <v>324</v>
      </c>
    </row>
    <row r="135" spans="1:2" ht="18.75" customHeight="1" x14ac:dyDescent="0.25">
      <c r="A135" s="1">
        <v>133</v>
      </c>
      <c r="B135" s="2" t="s">
        <v>325</v>
      </c>
    </row>
    <row r="136" spans="1:2" ht="18.75" customHeight="1" x14ac:dyDescent="0.25">
      <c r="A136" s="1">
        <v>134</v>
      </c>
      <c r="B136" s="2" t="s">
        <v>326</v>
      </c>
    </row>
    <row r="137" spans="1:2" ht="18.75" customHeight="1" x14ac:dyDescent="0.25">
      <c r="A137" s="1">
        <v>135</v>
      </c>
      <c r="B137" s="2" t="s">
        <v>327</v>
      </c>
    </row>
    <row r="138" spans="1:2" ht="18.75" customHeight="1" x14ac:dyDescent="0.25">
      <c r="A138" s="18">
        <v>136</v>
      </c>
      <c r="B138" s="2" t="s">
        <v>328</v>
      </c>
    </row>
    <row r="139" spans="1:2" ht="18.75" customHeight="1" x14ac:dyDescent="0.25">
      <c r="A139" s="1">
        <v>137</v>
      </c>
      <c r="B139" s="2" t="s">
        <v>329</v>
      </c>
    </row>
    <row r="140" spans="1:2" ht="18.75" customHeight="1" x14ac:dyDescent="0.25">
      <c r="A140" s="1">
        <v>138</v>
      </c>
      <c r="B140" s="2" t="s">
        <v>330</v>
      </c>
    </row>
    <row r="141" spans="1:2" ht="18.75" customHeight="1" x14ac:dyDescent="0.25">
      <c r="A141" s="1">
        <v>139</v>
      </c>
      <c r="B141" s="19" t="s">
        <v>331</v>
      </c>
    </row>
    <row r="142" spans="1:2" ht="18.75" customHeight="1" x14ac:dyDescent="0.25">
      <c r="A142" s="18">
        <v>140</v>
      </c>
      <c r="B142" s="19" t="s">
        <v>332</v>
      </c>
    </row>
    <row r="143" spans="1:2" ht="18.75" customHeight="1" x14ac:dyDescent="0.25">
      <c r="A143" s="1">
        <v>141</v>
      </c>
      <c r="B143" s="2" t="s">
        <v>333</v>
      </c>
    </row>
    <row r="144" spans="1:2" ht="18.75" customHeight="1" x14ac:dyDescent="0.25">
      <c r="A144" s="1">
        <v>142</v>
      </c>
      <c r="B144" s="2" t="s">
        <v>334</v>
      </c>
    </row>
    <row r="145" spans="1:2" ht="18.75" customHeight="1" x14ac:dyDescent="0.25">
      <c r="A145" s="1">
        <v>143</v>
      </c>
      <c r="B145" s="2" t="s">
        <v>335</v>
      </c>
    </row>
    <row r="146" spans="1:2" ht="18.75" customHeight="1" x14ac:dyDescent="0.25">
      <c r="A146" s="18">
        <v>144</v>
      </c>
      <c r="B146" s="2" t="s">
        <v>336</v>
      </c>
    </row>
    <row r="147" spans="1:2" ht="18.75" customHeight="1" x14ac:dyDescent="0.25">
      <c r="A147" s="1">
        <v>145</v>
      </c>
      <c r="B147" s="2" t="s">
        <v>337</v>
      </c>
    </row>
    <row r="148" spans="1:2" ht="18.75" customHeight="1" x14ac:dyDescent="0.25">
      <c r="A148" s="1">
        <v>146</v>
      </c>
      <c r="B148" s="2" t="s">
        <v>338</v>
      </c>
    </row>
    <row r="149" spans="1:2" ht="18.75" customHeight="1" x14ac:dyDescent="0.25">
      <c r="A149" s="1">
        <v>147</v>
      </c>
      <c r="B149" s="2" t="s">
        <v>339</v>
      </c>
    </row>
    <row r="150" spans="1:2" ht="18.75" customHeight="1" x14ac:dyDescent="0.25">
      <c r="A150" s="18">
        <v>148</v>
      </c>
      <c r="B150" s="2" t="s">
        <v>340</v>
      </c>
    </row>
    <row r="151" spans="1:2" ht="18.75" customHeight="1" x14ac:dyDescent="0.25">
      <c r="A151" s="1">
        <v>149</v>
      </c>
      <c r="B151" s="2" t="s">
        <v>341</v>
      </c>
    </row>
    <row r="152" spans="1:2" ht="18.75" customHeight="1" x14ac:dyDescent="0.25">
      <c r="A152" s="1">
        <v>150</v>
      </c>
      <c r="B152" s="2" t="s">
        <v>342</v>
      </c>
    </row>
    <row r="153" spans="1:2" ht="18.75" customHeight="1" x14ac:dyDescent="0.25">
      <c r="A153" s="1">
        <v>151</v>
      </c>
      <c r="B153" s="2" t="s">
        <v>343</v>
      </c>
    </row>
    <row r="154" spans="1:2" ht="18.75" customHeight="1" x14ac:dyDescent="0.25">
      <c r="A154" s="18">
        <v>152</v>
      </c>
      <c r="B154" s="2" t="s">
        <v>344</v>
      </c>
    </row>
    <row r="155" spans="1:2" ht="18.75" customHeight="1" x14ac:dyDescent="0.25">
      <c r="A155" s="1">
        <v>153</v>
      </c>
      <c r="B155" s="2" t="s">
        <v>345</v>
      </c>
    </row>
    <row r="156" spans="1:2" ht="18.75" customHeight="1" x14ac:dyDescent="0.25">
      <c r="A156" s="1">
        <v>154</v>
      </c>
      <c r="B156" s="19" t="s">
        <v>346</v>
      </c>
    </row>
    <row r="157" spans="1:2" ht="18.75" customHeight="1" x14ac:dyDescent="0.25">
      <c r="A157" s="1">
        <v>155</v>
      </c>
      <c r="B157" s="2" t="s">
        <v>347</v>
      </c>
    </row>
    <row r="158" spans="1:2" ht="18.75" customHeight="1" x14ac:dyDescent="0.25">
      <c r="A158" s="18">
        <v>156</v>
      </c>
      <c r="B158" s="2" t="s">
        <v>348</v>
      </c>
    </row>
    <row r="159" spans="1:2" ht="18.75" customHeight="1" x14ac:dyDescent="0.25">
      <c r="A159" s="1">
        <v>157</v>
      </c>
      <c r="B159" s="2" t="s">
        <v>349</v>
      </c>
    </row>
    <row r="160" spans="1:2" ht="18.75" customHeight="1" x14ac:dyDescent="0.25">
      <c r="A160" s="1">
        <v>158</v>
      </c>
      <c r="B160" s="2" t="s">
        <v>350</v>
      </c>
    </row>
    <row r="161" spans="1:2" ht="18.75" customHeight="1" x14ac:dyDescent="0.25">
      <c r="A161" s="1">
        <v>159</v>
      </c>
      <c r="B161" s="2" t="s">
        <v>351</v>
      </c>
    </row>
    <row r="162" spans="1:2" ht="18.75" customHeight="1" x14ac:dyDescent="0.25">
      <c r="A162" s="18">
        <v>160</v>
      </c>
      <c r="B162" s="2" t="s">
        <v>352</v>
      </c>
    </row>
    <row r="163" spans="1:2" ht="18.75" customHeight="1" x14ac:dyDescent="0.25">
      <c r="A163" s="1">
        <v>161</v>
      </c>
      <c r="B163" s="2" t="s">
        <v>353</v>
      </c>
    </row>
    <row r="164" spans="1:2" ht="18.75" customHeight="1" x14ac:dyDescent="0.25">
      <c r="A164" s="1">
        <v>162</v>
      </c>
      <c r="B164" s="2" t="s">
        <v>354</v>
      </c>
    </row>
    <row r="165" spans="1:2" ht="18.75" customHeight="1" x14ac:dyDescent="0.25">
      <c r="A165" s="1">
        <v>163</v>
      </c>
      <c r="B165" s="2" t="s">
        <v>355</v>
      </c>
    </row>
    <row r="166" spans="1:2" ht="18.75" customHeight="1" x14ac:dyDescent="0.25">
      <c r="A166" s="18">
        <v>164</v>
      </c>
      <c r="B166" s="2" t="s">
        <v>356</v>
      </c>
    </row>
    <row r="167" spans="1:2" ht="18.75" customHeight="1" x14ac:dyDescent="0.25">
      <c r="A167" s="1">
        <v>165</v>
      </c>
      <c r="B167" s="19" t="s">
        <v>357</v>
      </c>
    </row>
    <row r="168" spans="1:2" ht="18.75" customHeight="1" x14ac:dyDescent="0.25">
      <c r="A168" s="1">
        <v>166</v>
      </c>
      <c r="B168" s="2" t="s">
        <v>358</v>
      </c>
    </row>
    <row r="169" spans="1:2" ht="18.75" customHeight="1" x14ac:dyDescent="0.25">
      <c r="A169" s="1">
        <v>167</v>
      </c>
      <c r="B169" s="2" t="s">
        <v>359</v>
      </c>
    </row>
    <row r="170" spans="1:2" ht="18.75" customHeight="1" x14ac:dyDescent="0.25">
      <c r="A170" s="18">
        <v>168</v>
      </c>
      <c r="B170" s="2" t="s">
        <v>360</v>
      </c>
    </row>
    <row r="171" spans="1:2" ht="18.75" customHeight="1" x14ac:dyDescent="0.25">
      <c r="A171" s="1">
        <v>169</v>
      </c>
      <c r="B171" s="2" t="s">
        <v>361</v>
      </c>
    </row>
    <row r="172" spans="1:2" ht="18.75" customHeight="1" x14ac:dyDescent="0.25">
      <c r="A172" s="1">
        <v>170</v>
      </c>
      <c r="B172" s="2" t="s">
        <v>362</v>
      </c>
    </row>
    <row r="173" spans="1:2" ht="18.75" customHeight="1" x14ac:dyDescent="0.25">
      <c r="A173" s="1">
        <v>171</v>
      </c>
      <c r="B173" s="2" t="s">
        <v>363</v>
      </c>
    </row>
    <row r="174" spans="1:2" ht="18.75" customHeight="1" x14ac:dyDescent="0.25">
      <c r="A174" s="18">
        <v>172</v>
      </c>
      <c r="B174" s="2" t="s">
        <v>364</v>
      </c>
    </row>
    <row r="175" spans="1:2" ht="18.75" customHeight="1" x14ac:dyDescent="0.25">
      <c r="A175" s="1">
        <v>173</v>
      </c>
      <c r="B175" s="2" t="s">
        <v>365</v>
      </c>
    </row>
    <row r="176" spans="1:2" ht="18.75" customHeight="1" x14ac:dyDescent="0.25">
      <c r="A176" s="1">
        <v>174</v>
      </c>
      <c r="B176" s="2" t="s">
        <v>366</v>
      </c>
    </row>
    <row r="177" spans="1:2" ht="18.75" customHeight="1" x14ac:dyDescent="0.25">
      <c r="A177" s="1">
        <v>175</v>
      </c>
      <c r="B177" s="2" t="s">
        <v>367</v>
      </c>
    </row>
    <row r="178" spans="1:2" ht="18.75" customHeight="1" x14ac:dyDescent="0.25">
      <c r="A178" s="18">
        <v>176</v>
      </c>
      <c r="B178" s="2" t="s">
        <v>368</v>
      </c>
    </row>
    <row r="179" spans="1:2" ht="18.75" customHeight="1" x14ac:dyDescent="0.25">
      <c r="A179" s="1">
        <v>177</v>
      </c>
      <c r="B179" s="2" t="s">
        <v>369</v>
      </c>
    </row>
    <row r="180" spans="1:2" ht="18.75" customHeight="1" x14ac:dyDescent="0.25">
      <c r="A180" s="1">
        <v>178</v>
      </c>
      <c r="B180" s="2" t="s">
        <v>370</v>
      </c>
    </row>
    <row r="181" spans="1:2" ht="18.75" customHeight="1" x14ac:dyDescent="0.25">
      <c r="A181" s="1">
        <v>179</v>
      </c>
      <c r="B181" s="2" t="s">
        <v>371</v>
      </c>
    </row>
    <row r="182" spans="1:2" ht="18.75" customHeight="1" x14ac:dyDescent="0.25">
      <c r="A182" s="18">
        <v>180</v>
      </c>
      <c r="B182" s="2" t="s">
        <v>372</v>
      </c>
    </row>
    <row r="183" spans="1:2" ht="18.75" customHeight="1" x14ac:dyDescent="0.25">
      <c r="A183" s="1">
        <v>181</v>
      </c>
      <c r="B183" s="2" t="s">
        <v>373</v>
      </c>
    </row>
    <row r="184" spans="1:2" ht="18.75" customHeight="1" x14ac:dyDescent="0.25">
      <c r="A184" s="1">
        <v>182</v>
      </c>
      <c r="B184" s="2" t="s">
        <v>374</v>
      </c>
    </row>
    <row r="185" spans="1:2" ht="18.75" customHeight="1" x14ac:dyDescent="0.25">
      <c r="A185" s="1">
        <v>183</v>
      </c>
      <c r="B185" s="2" t="s">
        <v>129</v>
      </c>
    </row>
    <row r="186" spans="1:2" ht="18.75" customHeight="1" x14ac:dyDescent="0.25">
      <c r="A186" s="18">
        <v>184</v>
      </c>
      <c r="B186" s="2" t="s">
        <v>375</v>
      </c>
    </row>
    <row r="187" spans="1:2" ht="18.75" customHeight="1" x14ac:dyDescent="0.25">
      <c r="A187" s="1">
        <v>185</v>
      </c>
      <c r="B187" s="2" t="s">
        <v>376</v>
      </c>
    </row>
    <row r="188" spans="1:2" ht="18.75" customHeight="1" x14ac:dyDescent="0.25">
      <c r="A188" s="1">
        <v>186</v>
      </c>
      <c r="B188" s="2" t="s">
        <v>377</v>
      </c>
    </row>
    <row r="189" spans="1:2" ht="18.75" customHeight="1" x14ac:dyDescent="0.25">
      <c r="A189" s="1">
        <v>187</v>
      </c>
      <c r="B189" s="2" t="s">
        <v>378</v>
      </c>
    </row>
    <row r="190" spans="1:2" ht="18.75" customHeight="1" x14ac:dyDescent="0.25">
      <c r="A190" s="18">
        <v>188</v>
      </c>
      <c r="B190" s="2" t="s">
        <v>379</v>
      </c>
    </row>
    <row r="191" spans="1:2" ht="18.75" customHeight="1" x14ac:dyDescent="0.25">
      <c r="A191" s="1">
        <v>189</v>
      </c>
      <c r="B191" s="19" t="s">
        <v>380</v>
      </c>
    </row>
    <row r="192" spans="1:2" ht="18.75" customHeight="1" x14ac:dyDescent="0.25">
      <c r="A192" s="1">
        <v>190</v>
      </c>
      <c r="B192" s="2" t="s">
        <v>381</v>
      </c>
    </row>
    <row r="193" spans="1:2" ht="18.75" customHeight="1" x14ac:dyDescent="0.25">
      <c r="A193" s="1">
        <v>191</v>
      </c>
      <c r="B193" s="2" t="s">
        <v>382</v>
      </c>
    </row>
    <row r="194" spans="1:2" ht="18.75" customHeight="1" x14ac:dyDescent="0.25">
      <c r="A194" s="18">
        <v>192</v>
      </c>
      <c r="B194" s="2" t="s">
        <v>383</v>
      </c>
    </row>
    <row r="195" spans="1:2" ht="18.75" customHeight="1" x14ac:dyDescent="0.25">
      <c r="A195" s="1">
        <v>193</v>
      </c>
      <c r="B195" s="2" t="s">
        <v>384</v>
      </c>
    </row>
    <row r="196" spans="1:2" ht="18.75" customHeight="1" x14ac:dyDescent="0.25">
      <c r="A196" s="1">
        <v>194</v>
      </c>
      <c r="B196" s="2" t="s">
        <v>385</v>
      </c>
    </row>
    <row r="197" spans="1:2" ht="18.75" customHeight="1" x14ac:dyDescent="0.25">
      <c r="A197" s="1">
        <v>195</v>
      </c>
      <c r="B197" s="2" t="s">
        <v>386</v>
      </c>
    </row>
    <row r="198" spans="1:2" ht="18.75" customHeight="1" x14ac:dyDescent="0.25">
      <c r="A198" s="18">
        <v>196</v>
      </c>
      <c r="B198" s="2" t="s">
        <v>387</v>
      </c>
    </row>
    <row r="199" spans="1:2" ht="18.75" customHeight="1" x14ac:dyDescent="0.25">
      <c r="A199" s="1">
        <v>197</v>
      </c>
      <c r="B199" s="19" t="s">
        <v>388</v>
      </c>
    </row>
    <row r="200" spans="1:2" ht="18.75" customHeight="1" x14ac:dyDescent="0.25">
      <c r="A200" s="1">
        <v>198</v>
      </c>
      <c r="B200" s="2" t="s">
        <v>389</v>
      </c>
    </row>
    <row r="201" spans="1:2" ht="18.75" customHeight="1" x14ac:dyDescent="0.25">
      <c r="A201" s="1">
        <v>199</v>
      </c>
      <c r="B201" s="19" t="s">
        <v>390</v>
      </c>
    </row>
    <row r="202" spans="1:2" ht="18.75" customHeight="1" x14ac:dyDescent="0.25">
      <c r="A202" s="18">
        <v>200</v>
      </c>
      <c r="B202" s="2" t="s">
        <v>391</v>
      </c>
    </row>
    <row r="203" spans="1:2" ht="18.75" customHeight="1" x14ac:dyDescent="0.25">
      <c r="A203" s="1">
        <v>201</v>
      </c>
      <c r="B203" s="19" t="s">
        <v>392</v>
      </c>
    </row>
    <row r="204" spans="1:2" ht="18.75" customHeight="1" x14ac:dyDescent="0.25">
      <c r="A204" s="1">
        <v>202</v>
      </c>
      <c r="B204" s="19" t="s">
        <v>393</v>
      </c>
    </row>
    <row r="205" spans="1:2" ht="18.75" customHeight="1" x14ac:dyDescent="0.25">
      <c r="A205" s="1">
        <v>203</v>
      </c>
      <c r="B205" s="2" t="s">
        <v>394</v>
      </c>
    </row>
    <row r="206" spans="1:2" ht="18.75" customHeight="1" x14ac:dyDescent="0.25">
      <c r="A206" s="18">
        <v>204</v>
      </c>
      <c r="B206" s="2" t="s">
        <v>395</v>
      </c>
    </row>
    <row r="207" spans="1:2" ht="18.75" customHeight="1" x14ac:dyDescent="0.25">
      <c r="A207" s="1">
        <v>205</v>
      </c>
      <c r="B207" s="2" t="s">
        <v>396</v>
      </c>
    </row>
    <row r="208" spans="1:2" ht="18.75" customHeight="1" x14ac:dyDescent="0.25">
      <c r="A208" s="1">
        <v>206</v>
      </c>
      <c r="B208" s="2" t="s">
        <v>397</v>
      </c>
    </row>
    <row r="209" spans="1:2" ht="18.75" customHeight="1" x14ac:dyDescent="0.25">
      <c r="A209" s="1">
        <v>207</v>
      </c>
      <c r="B209" s="2" t="s">
        <v>398</v>
      </c>
    </row>
    <row r="210" spans="1:2" ht="18.75" customHeight="1" x14ac:dyDescent="0.25">
      <c r="A210" s="18">
        <v>208</v>
      </c>
      <c r="B210" s="2" t="s">
        <v>399</v>
      </c>
    </row>
    <row r="211" spans="1:2" ht="18.75" customHeight="1" x14ac:dyDescent="0.25">
      <c r="A211" s="1">
        <v>209</v>
      </c>
      <c r="B211" s="2" t="s">
        <v>400</v>
      </c>
    </row>
    <row r="212" spans="1:2" ht="18.75" customHeight="1" x14ac:dyDescent="0.25">
      <c r="A212" s="1">
        <v>210</v>
      </c>
      <c r="B212" s="2" t="s">
        <v>401</v>
      </c>
    </row>
    <row r="213" spans="1:2" ht="18.75" customHeight="1" x14ac:dyDescent="0.25">
      <c r="A213" s="1">
        <v>211</v>
      </c>
      <c r="B213" s="19" t="s">
        <v>402</v>
      </c>
    </row>
    <row r="214" spans="1:2" ht="18.75" customHeight="1" x14ac:dyDescent="0.25">
      <c r="A214" s="18">
        <v>212</v>
      </c>
      <c r="B214" s="2" t="s">
        <v>403</v>
      </c>
    </row>
    <row r="215" spans="1:2" ht="18.75" customHeight="1" x14ac:dyDescent="0.25">
      <c r="A215" s="1">
        <v>213</v>
      </c>
      <c r="B215" s="2" t="s">
        <v>404</v>
      </c>
    </row>
    <row r="216" spans="1:2" ht="18.75" customHeight="1" x14ac:dyDescent="0.25">
      <c r="A216" s="1">
        <v>214</v>
      </c>
      <c r="B216" s="2" t="s">
        <v>405</v>
      </c>
    </row>
    <row r="217" spans="1:2" ht="18.75" customHeight="1" x14ac:dyDescent="0.25">
      <c r="A217" s="1">
        <v>215</v>
      </c>
      <c r="B217" s="19" t="s">
        <v>406</v>
      </c>
    </row>
    <row r="218" spans="1:2" ht="18.75" customHeight="1" x14ac:dyDescent="0.25">
      <c r="A218" s="18">
        <v>216</v>
      </c>
      <c r="B218" s="19" t="s">
        <v>407</v>
      </c>
    </row>
    <row r="219" spans="1:2" ht="18.75" customHeight="1" x14ac:dyDescent="0.25">
      <c r="A219" s="1">
        <v>217</v>
      </c>
      <c r="B219" s="2" t="s">
        <v>408</v>
      </c>
    </row>
    <row r="220" spans="1:2" ht="18.75" customHeight="1" x14ac:dyDescent="0.25">
      <c r="A220" s="1">
        <v>218</v>
      </c>
      <c r="B220" s="2" t="s">
        <v>409</v>
      </c>
    </row>
    <row r="221" spans="1:2" ht="18.75" customHeight="1" x14ac:dyDescent="0.25">
      <c r="A221" s="1">
        <v>219</v>
      </c>
      <c r="B221" s="2" t="s">
        <v>410</v>
      </c>
    </row>
    <row r="222" spans="1:2" ht="18.75" customHeight="1" x14ac:dyDescent="0.25">
      <c r="A222" s="18">
        <v>220</v>
      </c>
      <c r="B222" s="2" t="s">
        <v>411</v>
      </c>
    </row>
    <row r="223" spans="1:2" ht="18.75" customHeight="1" x14ac:dyDescent="0.25">
      <c r="A223" s="1">
        <v>221</v>
      </c>
      <c r="B223" s="19" t="s">
        <v>412</v>
      </c>
    </row>
    <row r="224" spans="1:2" ht="18.75" customHeight="1" x14ac:dyDescent="0.25">
      <c r="A224" s="1">
        <v>222</v>
      </c>
      <c r="B224" s="19" t="s">
        <v>413</v>
      </c>
    </row>
    <row r="225" spans="1:2" ht="18.75" customHeight="1" x14ac:dyDescent="0.25">
      <c r="A225" s="1">
        <v>223</v>
      </c>
      <c r="B225" s="19" t="s">
        <v>414</v>
      </c>
    </row>
    <row r="226" spans="1:2" ht="18.75" customHeight="1" x14ac:dyDescent="0.25">
      <c r="A226" s="18">
        <v>224</v>
      </c>
      <c r="B226" s="19" t="s">
        <v>572</v>
      </c>
    </row>
    <row r="227" spans="1:2" ht="18.75" customHeight="1" x14ac:dyDescent="0.25">
      <c r="A227" s="1">
        <v>225</v>
      </c>
      <c r="B227" s="2" t="s">
        <v>415</v>
      </c>
    </row>
    <row r="228" spans="1:2" ht="18.75" customHeight="1" x14ac:dyDescent="0.25">
      <c r="A228" s="1">
        <v>226</v>
      </c>
      <c r="B228" s="19" t="s">
        <v>416</v>
      </c>
    </row>
    <row r="229" spans="1:2" ht="18.75" customHeight="1" x14ac:dyDescent="0.25">
      <c r="A229" s="1">
        <v>227</v>
      </c>
      <c r="B229" s="2" t="s">
        <v>417</v>
      </c>
    </row>
    <row r="230" spans="1:2" ht="18.75" customHeight="1" x14ac:dyDescent="0.25">
      <c r="A230" s="18">
        <v>228</v>
      </c>
      <c r="B230" s="20" t="s">
        <v>587</v>
      </c>
    </row>
    <row r="231" spans="1:2" ht="18.75" customHeight="1" x14ac:dyDescent="0.25">
      <c r="A231" s="1">
        <v>229</v>
      </c>
      <c r="B231" s="19" t="s">
        <v>418</v>
      </c>
    </row>
    <row r="232" spans="1:2" ht="18.75" customHeight="1" x14ac:dyDescent="0.25">
      <c r="A232" s="1">
        <v>230</v>
      </c>
      <c r="B232" s="2" t="s">
        <v>419</v>
      </c>
    </row>
    <row r="233" spans="1:2" ht="18.75" customHeight="1" x14ac:dyDescent="0.25">
      <c r="A233" s="1">
        <v>231</v>
      </c>
      <c r="B233" s="19" t="s">
        <v>420</v>
      </c>
    </row>
    <row r="234" spans="1:2" ht="18.75" customHeight="1" x14ac:dyDescent="0.25">
      <c r="A234" s="18">
        <v>232</v>
      </c>
      <c r="B234" s="19" t="s">
        <v>421</v>
      </c>
    </row>
    <row r="235" spans="1:2" ht="18.75" customHeight="1" x14ac:dyDescent="0.25">
      <c r="A235" s="1">
        <v>233</v>
      </c>
      <c r="B235" s="19" t="s">
        <v>422</v>
      </c>
    </row>
    <row r="236" spans="1:2" ht="18.75" customHeight="1" x14ac:dyDescent="0.25">
      <c r="A236" s="1">
        <v>234</v>
      </c>
      <c r="B236" s="19" t="s">
        <v>423</v>
      </c>
    </row>
    <row r="237" spans="1:2" ht="18.75" customHeight="1" x14ac:dyDescent="0.25">
      <c r="A237" s="1">
        <v>235</v>
      </c>
      <c r="B237" s="19" t="s">
        <v>424</v>
      </c>
    </row>
    <row r="238" spans="1:2" ht="18.75" customHeight="1" x14ac:dyDescent="0.25">
      <c r="A238" s="18">
        <v>236</v>
      </c>
      <c r="B238" s="19" t="s">
        <v>425</v>
      </c>
    </row>
    <row r="239" spans="1:2" ht="18.75" customHeight="1" x14ac:dyDescent="0.25">
      <c r="A239" s="1">
        <v>237</v>
      </c>
      <c r="B239" s="19" t="s">
        <v>426</v>
      </c>
    </row>
    <row r="240" spans="1:2" ht="18.75" customHeight="1" x14ac:dyDescent="0.25">
      <c r="A240" s="1">
        <v>238</v>
      </c>
      <c r="B240" s="19" t="s">
        <v>427</v>
      </c>
    </row>
    <row r="241" spans="1:2" ht="18.75" customHeight="1" x14ac:dyDescent="0.25">
      <c r="A241" s="1">
        <v>239</v>
      </c>
      <c r="B241" s="19" t="s">
        <v>428</v>
      </c>
    </row>
    <row r="242" spans="1:2" ht="18.75" customHeight="1" x14ac:dyDescent="0.25">
      <c r="A242" s="18">
        <v>240</v>
      </c>
      <c r="B242" s="19" t="s">
        <v>429</v>
      </c>
    </row>
    <row r="243" spans="1:2" ht="18.75" customHeight="1" x14ac:dyDescent="0.25">
      <c r="A243" s="1">
        <v>241</v>
      </c>
      <c r="B243" s="19" t="s">
        <v>430</v>
      </c>
    </row>
    <row r="244" spans="1:2" ht="18.75" customHeight="1" x14ac:dyDescent="0.25">
      <c r="A244" s="1">
        <v>242</v>
      </c>
      <c r="B244" s="19" t="s">
        <v>431</v>
      </c>
    </row>
    <row r="245" spans="1:2" ht="18.75" customHeight="1" x14ac:dyDescent="0.25">
      <c r="A245" s="1">
        <v>243</v>
      </c>
      <c r="B245" s="2" t="s">
        <v>432</v>
      </c>
    </row>
    <row r="246" spans="1:2" ht="18.75" customHeight="1" x14ac:dyDescent="0.25">
      <c r="A246" s="18">
        <v>244</v>
      </c>
      <c r="B246" s="19" t="s">
        <v>433</v>
      </c>
    </row>
    <row r="247" spans="1:2" ht="18.75" customHeight="1" x14ac:dyDescent="0.25">
      <c r="A247" s="1">
        <v>245</v>
      </c>
      <c r="B247" s="19" t="s">
        <v>434</v>
      </c>
    </row>
    <row r="248" spans="1:2" ht="18.75" customHeight="1" x14ac:dyDescent="0.25">
      <c r="A248" s="1">
        <v>246</v>
      </c>
      <c r="B248" s="19" t="s">
        <v>435</v>
      </c>
    </row>
    <row r="249" spans="1:2" ht="18.75" customHeight="1" x14ac:dyDescent="0.25">
      <c r="A249" s="1">
        <v>247</v>
      </c>
      <c r="B249" s="2" t="s">
        <v>436</v>
      </c>
    </row>
    <row r="250" spans="1:2" ht="18.75" customHeight="1" x14ac:dyDescent="0.25">
      <c r="A250" s="18">
        <v>248</v>
      </c>
      <c r="B250" s="19" t="s">
        <v>437</v>
      </c>
    </row>
    <row r="251" spans="1:2" ht="18.75" customHeight="1" x14ac:dyDescent="0.25">
      <c r="A251" s="1">
        <v>249</v>
      </c>
      <c r="B251" s="19" t="s">
        <v>438</v>
      </c>
    </row>
    <row r="252" spans="1:2" ht="18.75" customHeight="1" x14ac:dyDescent="0.25">
      <c r="A252" s="1">
        <v>250</v>
      </c>
      <c r="B252" s="19" t="s">
        <v>437</v>
      </c>
    </row>
    <row r="253" spans="1:2" ht="18.75" customHeight="1" x14ac:dyDescent="0.25">
      <c r="A253" s="1">
        <v>251</v>
      </c>
      <c r="B253" s="19" t="s">
        <v>439</v>
      </c>
    </row>
    <row r="254" spans="1:2" ht="18.75" customHeight="1" x14ac:dyDescent="0.25">
      <c r="A254" s="18">
        <v>252</v>
      </c>
      <c r="B254" s="19" t="s">
        <v>440</v>
      </c>
    </row>
    <row r="255" spans="1:2" ht="18.75" customHeight="1" x14ac:dyDescent="0.25">
      <c r="A255" s="1">
        <v>253</v>
      </c>
      <c r="B255" s="19" t="s">
        <v>440</v>
      </c>
    </row>
    <row r="256" spans="1:2" ht="18.75" customHeight="1" x14ac:dyDescent="0.25">
      <c r="A256" s="1">
        <v>254</v>
      </c>
      <c r="B256" s="2" t="s">
        <v>441</v>
      </c>
    </row>
    <row r="257" spans="1:2" ht="18.75" customHeight="1" x14ac:dyDescent="0.25">
      <c r="A257" s="1">
        <v>255</v>
      </c>
      <c r="B257" s="19" t="s">
        <v>442</v>
      </c>
    </row>
    <row r="258" spans="1:2" ht="18.75" customHeight="1" x14ac:dyDescent="0.25">
      <c r="A258" s="18">
        <v>256</v>
      </c>
      <c r="B258" s="19" t="s">
        <v>443</v>
      </c>
    </row>
    <row r="259" spans="1:2" ht="18.75" customHeight="1" x14ac:dyDescent="0.25">
      <c r="A259" s="1">
        <v>257</v>
      </c>
      <c r="B259" s="2" t="s">
        <v>242</v>
      </c>
    </row>
    <row r="260" spans="1:2" ht="18.75" customHeight="1" x14ac:dyDescent="0.25">
      <c r="A260" s="1">
        <v>258</v>
      </c>
      <c r="B260" s="19" t="s">
        <v>444</v>
      </c>
    </row>
    <row r="261" spans="1:2" ht="18.75" customHeight="1" x14ac:dyDescent="0.25">
      <c r="A261" s="1">
        <v>259</v>
      </c>
      <c r="B261" s="2" t="s">
        <v>445</v>
      </c>
    </row>
    <row r="262" spans="1:2" ht="18.75" customHeight="1" x14ac:dyDescent="0.25">
      <c r="A262" s="18">
        <v>260</v>
      </c>
      <c r="B262" s="2" t="s">
        <v>446</v>
      </c>
    </row>
    <row r="263" spans="1:2" ht="18.75" customHeight="1" x14ac:dyDescent="0.25">
      <c r="A263" s="1">
        <v>261</v>
      </c>
      <c r="B263" s="19" t="s">
        <v>447</v>
      </c>
    </row>
    <row r="264" spans="1:2" ht="18.75" customHeight="1" x14ac:dyDescent="0.25">
      <c r="A264" s="1">
        <v>262</v>
      </c>
      <c r="B264" s="19" t="s">
        <v>448</v>
      </c>
    </row>
    <row r="265" spans="1:2" ht="18.75" customHeight="1" x14ac:dyDescent="0.25">
      <c r="A265" s="1">
        <v>263</v>
      </c>
      <c r="B265" s="19" t="s">
        <v>449</v>
      </c>
    </row>
    <row r="266" spans="1:2" ht="18.75" customHeight="1" x14ac:dyDescent="0.25">
      <c r="A266" s="18">
        <v>264</v>
      </c>
      <c r="B266" s="19" t="s">
        <v>450</v>
      </c>
    </row>
    <row r="267" spans="1:2" ht="18.75" customHeight="1" x14ac:dyDescent="0.25">
      <c r="A267" s="1">
        <v>265</v>
      </c>
      <c r="B267" s="19" t="s">
        <v>451</v>
      </c>
    </row>
    <row r="268" spans="1:2" ht="18.75" customHeight="1" x14ac:dyDescent="0.25">
      <c r="A268" s="1">
        <v>266</v>
      </c>
      <c r="B268" s="19" t="s">
        <v>452</v>
      </c>
    </row>
    <row r="269" spans="1:2" ht="18.75" customHeight="1" x14ac:dyDescent="0.25">
      <c r="A269" s="1">
        <v>267</v>
      </c>
      <c r="B269" s="19" t="s">
        <v>453</v>
      </c>
    </row>
    <row r="270" spans="1:2" ht="18.75" customHeight="1" x14ac:dyDescent="0.25">
      <c r="A270" s="18">
        <v>268</v>
      </c>
      <c r="B270" s="19" t="s">
        <v>458</v>
      </c>
    </row>
    <row r="271" spans="1:2" ht="18.75" customHeight="1" x14ac:dyDescent="0.25">
      <c r="A271" s="1">
        <v>269</v>
      </c>
      <c r="B271" s="19" t="s">
        <v>459</v>
      </c>
    </row>
    <row r="272" spans="1:2" ht="18.75" customHeight="1" x14ac:dyDescent="0.25">
      <c r="A272" s="1">
        <v>270</v>
      </c>
      <c r="B272" s="20" t="s">
        <v>622</v>
      </c>
    </row>
    <row r="273" spans="1:2" ht="18.75" customHeight="1" x14ac:dyDescent="0.25">
      <c r="A273" s="1">
        <v>271</v>
      </c>
      <c r="B273" s="2" t="s">
        <v>465</v>
      </c>
    </row>
    <row r="274" spans="1:2" ht="18.75" customHeight="1" x14ac:dyDescent="0.25">
      <c r="A274" s="18">
        <v>272</v>
      </c>
      <c r="B274" s="19" t="s">
        <v>468</v>
      </c>
    </row>
    <row r="275" spans="1:2" ht="18.75" customHeight="1" x14ac:dyDescent="0.25">
      <c r="A275" s="1">
        <v>273</v>
      </c>
      <c r="B275" s="19" t="s">
        <v>471</v>
      </c>
    </row>
    <row r="276" spans="1:2" ht="18.75" customHeight="1" x14ac:dyDescent="0.25">
      <c r="A276" s="1">
        <v>274</v>
      </c>
      <c r="B276" s="19" t="s">
        <v>502</v>
      </c>
    </row>
    <row r="277" spans="1:2" ht="18.75" customHeight="1" x14ac:dyDescent="0.25">
      <c r="A277" s="1">
        <v>275</v>
      </c>
      <c r="B277" s="19" t="s">
        <v>503</v>
      </c>
    </row>
    <row r="278" spans="1:2" ht="18.75" customHeight="1" x14ac:dyDescent="0.25">
      <c r="A278" s="18">
        <v>276</v>
      </c>
      <c r="B278" s="19" t="s">
        <v>504</v>
      </c>
    </row>
    <row r="279" spans="1:2" ht="18.75" customHeight="1" x14ac:dyDescent="0.25">
      <c r="A279" s="1">
        <v>277</v>
      </c>
      <c r="B279" s="19" t="s">
        <v>505</v>
      </c>
    </row>
    <row r="280" spans="1:2" ht="18.75" customHeight="1" x14ac:dyDescent="0.25">
      <c r="A280" s="1">
        <v>278</v>
      </c>
      <c r="B280" s="19" t="s">
        <v>506</v>
      </c>
    </row>
    <row r="281" spans="1:2" ht="18.75" customHeight="1" x14ac:dyDescent="0.25">
      <c r="A281" s="1">
        <v>279</v>
      </c>
      <c r="B281" s="19" t="s">
        <v>507</v>
      </c>
    </row>
    <row r="282" spans="1:2" ht="18.75" customHeight="1" x14ac:dyDescent="0.25">
      <c r="A282" s="18">
        <v>280</v>
      </c>
      <c r="B282" s="20" t="s">
        <v>508</v>
      </c>
    </row>
    <row r="283" spans="1:2" ht="18.75" customHeight="1" x14ac:dyDescent="0.25">
      <c r="A283" s="1">
        <v>281</v>
      </c>
      <c r="B283" s="19" t="s">
        <v>509</v>
      </c>
    </row>
    <row r="284" spans="1:2" ht="18.75" customHeight="1" x14ac:dyDescent="0.25">
      <c r="A284" s="1">
        <v>282</v>
      </c>
      <c r="B284" s="20" t="s">
        <v>510</v>
      </c>
    </row>
    <row r="285" spans="1:2" ht="18.75" customHeight="1" x14ac:dyDescent="0.25">
      <c r="A285" s="1">
        <v>283</v>
      </c>
      <c r="B285" s="20" t="s">
        <v>511</v>
      </c>
    </row>
    <row r="286" spans="1:2" ht="18.75" customHeight="1" x14ac:dyDescent="0.25">
      <c r="A286" s="18">
        <v>284</v>
      </c>
      <c r="B286" s="20" t="s">
        <v>512</v>
      </c>
    </row>
    <row r="287" spans="1:2" ht="18.75" customHeight="1" x14ac:dyDescent="0.25">
      <c r="A287" s="1">
        <v>285</v>
      </c>
      <c r="B287" s="20" t="s">
        <v>513</v>
      </c>
    </row>
    <row r="288" spans="1:2" ht="18.75" customHeight="1" x14ac:dyDescent="0.25">
      <c r="A288" s="1">
        <v>286</v>
      </c>
      <c r="B288" s="2" t="s">
        <v>514</v>
      </c>
    </row>
    <row r="289" spans="1:2" ht="18.75" customHeight="1" x14ac:dyDescent="0.25">
      <c r="A289" s="1">
        <v>287</v>
      </c>
      <c r="B289" s="19" t="s">
        <v>515</v>
      </c>
    </row>
    <row r="290" spans="1:2" ht="18.75" customHeight="1" x14ac:dyDescent="0.25">
      <c r="A290" s="18">
        <v>288</v>
      </c>
      <c r="B290" s="19" t="s">
        <v>516</v>
      </c>
    </row>
    <row r="291" spans="1:2" ht="18.75" customHeight="1" x14ac:dyDescent="0.25">
      <c r="A291" s="1">
        <v>289</v>
      </c>
      <c r="B291" s="22" t="s">
        <v>519</v>
      </c>
    </row>
    <row r="292" spans="1:2" ht="18.75" customHeight="1" x14ac:dyDescent="0.25">
      <c r="A292" s="18">
        <v>290</v>
      </c>
      <c r="B292" s="21" t="s">
        <v>520</v>
      </c>
    </row>
    <row r="293" spans="1:2" ht="18.75" customHeight="1" x14ac:dyDescent="0.25">
      <c r="A293" s="1">
        <v>291</v>
      </c>
      <c r="B293" s="21" t="s">
        <v>518</v>
      </c>
    </row>
    <row r="294" spans="1:2" ht="18.75" customHeight="1" x14ac:dyDescent="0.25">
      <c r="A294" s="18">
        <v>292</v>
      </c>
      <c r="B294" s="20" t="s">
        <v>521</v>
      </c>
    </row>
    <row r="295" spans="1:2" ht="18.75" customHeight="1" x14ac:dyDescent="0.25">
      <c r="A295" s="1">
        <v>293</v>
      </c>
      <c r="B295" s="20" t="s">
        <v>522</v>
      </c>
    </row>
    <row r="296" spans="1:2" ht="18.75" customHeight="1" x14ac:dyDescent="0.25">
      <c r="A296" s="1">
        <v>294</v>
      </c>
      <c r="B296" s="20" t="s">
        <v>523</v>
      </c>
    </row>
    <row r="297" spans="1:2" ht="18.75" customHeight="1" x14ac:dyDescent="0.25">
      <c r="A297" s="1">
        <v>295</v>
      </c>
      <c r="B297" s="20" t="s">
        <v>524</v>
      </c>
    </row>
    <row r="298" spans="1:2" ht="18.75" customHeight="1" x14ac:dyDescent="0.25">
      <c r="A298" s="18">
        <v>296</v>
      </c>
      <c r="B298" s="20" t="s">
        <v>525</v>
      </c>
    </row>
    <row r="299" spans="1:2" ht="18.75" customHeight="1" x14ac:dyDescent="0.25">
      <c r="A299" s="1">
        <v>297</v>
      </c>
      <c r="B299" s="19" t="s">
        <v>526</v>
      </c>
    </row>
    <row r="300" spans="1:2" ht="18.75" customHeight="1" x14ac:dyDescent="0.25">
      <c r="A300" s="1">
        <v>298</v>
      </c>
      <c r="B300" s="19" t="s">
        <v>527</v>
      </c>
    </row>
    <row r="301" spans="1:2" ht="18.75" customHeight="1" x14ac:dyDescent="0.25">
      <c r="A301" s="1">
        <v>299</v>
      </c>
      <c r="B301" s="19" t="s">
        <v>528</v>
      </c>
    </row>
    <row r="302" spans="1:2" ht="18.75" customHeight="1" x14ac:dyDescent="0.25">
      <c r="A302" s="18">
        <v>300</v>
      </c>
      <c r="B302" s="20" t="s">
        <v>529</v>
      </c>
    </row>
    <row r="303" spans="1:2" ht="18.75" customHeight="1" x14ac:dyDescent="0.25">
      <c r="A303" s="1">
        <v>301</v>
      </c>
      <c r="B303" s="20" t="s">
        <v>564</v>
      </c>
    </row>
    <row r="304" spans="1:2" ht="18.75" customHeight="1" x14ac:dyDescent="0.25">
      <c r="A304" s="1">
        <v>302</v>
      </c>
      <c r="B304" s="20" t="s">
        <v>565</v>
      </c>
    </row>
    <row r="305" spans="1:2" ht="18.75" customHeight="1" x14ac:dyDescent="0.25">
      <c r="A305" s="1">
        <v>303</v>
      </c>
      <c r="B305" s="2" t="s">
        <v>566</v>
      </c>
    </row>
    <row r="306" spans="1:2" ht="18.75" customHeight="1" x14ac:dyDescent="0.25">
      <c r="A306" s="18">
        <v>304</v>
      </c>
      <c r="B306" s="20" t="s">
        <v>567</v>
      </c>
    </row>
    <row r="307" spans="1:2" ht="18.75" customHeight="1" x14ac:dyDescent="0.25">
      <c r="A307" s="1">
        <v>305</v>
      </c>
      <c r="B307" s="20" t="s">
        <v>568</v>
      </c>
    </row>
    <row r="308" spans="1:2" ht="18.75" customHeight="1" x14ac:dyDescent="0.25">
      <c r="A308" s="1">
        <v>306</v>
      </c>
      <c r="B308" s="20" t="s">
        <v>569</v>
      </c>
    </row>
    <row r="309" spans="1:2" ht="18.75" customHeight="1" x14ac:dyDescent="0.25">
      <c r="A309" s="2">
        <v>307</v>
      </c>
      <c r="B309" s="20" t="s">
        <v>570</v>
      </c>
    </row>
    <row r="310" spans="1:2" ht="18.75" customHeight="1" x14ac:dyDescent="0.25">
      <c r="A310" s="2">
        <v>308</v>
      </c>
      <c r="B310" s="20" t="s">
        <v>573</v>
      </c>
    </row>
    <row r="311" spans="1:2" ht="18.75" customHeight="1" x14ac:dyDescent="0.25">
      <c r="A311" s="2">
        <v>309</v>
      </c>
      <c r="B311" s="20" t="s">
        <v>574</v>
      </c>
    </row>
    <row r="312" spans="1:2" ht="18.75" customHeight="1" x14ac:dyDescent="0.25">
      <c r="A312" s="2">
        <v>310</v>
      </c>
      <c r="B312" s="2" t="s">
        <v>575</v>
      </c>
    </row>
    <row r="313" spans="1:2" ht="18.75" customHeight="1" x14ac:dyDescent="0.25">
      <c r="A313" s="2">
        <v>311</v>
      </c>
      <c r="B313" s="20" t="s">
        <v>576</v>
      </c>
    </row>
    <row r="314" spans="1:2" ht="18.75" customHeight="1" x14ac:dyDescent="0.25">
      <c r="A314" s="2">
        <v>312</v>
      </c>
      <c r="B314" s="20" t="s">
        <v>582</v>
      </c>
    </row>
    <row r="315" spans="1:2" ht="18.75" customHeight="1" x14ac:dyDescent="0.25">
      <c r="A315" s="2">
        <v>313</v>
      </c>
      <c r="B315" s="20" t="s">
        <v>585</v>
      </c>
    </row>
    <row r="316" spans="1:2" ht="18.75" customHeight="1" x14ac:dyDescent="0.25">
      <c r="A316" s="2">
        <v>314</v>
      </c>
      <c r="B316" s="20" t="s">
        <v>595</v>
      </c>
    </row>
    <row r="317" spans="1:2" ht="18.75" customHeight="1" x14ac:dyDescent="0.25">
      <c r="A317" s="2">
        <v>315</v>
      </c>
      <c r="B317" s="20" t="s">
        <v>597</v>
      </c>
    </row>
    <row r="318" spans="1:2" ht="18.75" customHeight="1" x14ac:dyDescent="0.25">
      <c r="A318" s="2">
        <v>316</v>
      </c>
      <c r="B318" s="20" t="s">
        <v>599</v>
      </c>
    </row>
    <row r="319" spans="1:2" ht="18.75" customHeight="1" x14ac:dyDescent="0.25">
      <c r="A319" s="2">
        <v>317</v>
      </c>
      <c r="B319" s="20" t="s">
        <v>600</v>
      </c>
    </row>
    <row r="320" spans="1:2" ht="18.75" customHeight="1" x14ac:dyDescent="0.25">
      <c r="A320" s="2">
        <v>318</v>
      </c>
      <c r="B320" s="20" t="s">
        <v>602</v>
      </c>
    </row>
    <row r="321" spans="1:2" ht="18.75" customHeight="1" x14ac:dyDescent="0.25">
      <c r="A321" s="2">
        <v>319</v>
      </c>
      <c r="B321" s="20" t="s">
        <v>603</v>
      </c>
    </row>
    <row r="322" spans="1:2" ht="18.75" customHeight="1" x14ac:dyDescent="0.25">
      <c r="A322" s="2">
        <v>320</v>
      </c>
      <c r="B322" s="20" t="s">
        <v>6324</v>
      </c>
    </row>
    <row r="323" spans="1:2" ht="18.75" customHeight="1" x14ac:dyDescent="0.25">
      <c r="A323" s="2">
        <v>321</v>
      </c>
      <c r="B323" s="20" t="s">
        <v>449</v>
      </c>
    </row>
    <row r="324" spans="1:2" ht="18.75" customHeight="1" x14ac:dyDescent="0.25">
      <c r="A324" s="2">
        <v>322</v>
      </c>
      <c r="B324" s="20" t="s">
        <v>609</v>
      </c>
    </row>
    <row r="325" spans="1:2" ht="18.75" customHeight="1" x14ac:dyDescent="0.25">
      <c r="A325" s="2">
        <v>323</v>
      </c>
      <c r="B325" s="20" t="s">
        <v>450</v>
      </c>
    </row>
    <row r="326" spans="1:2" ht="18.75" customHeight="1" x14ac:dyDescent="0.25">
      <c r="A326" s="2">
        <v>324</v>
      </c>
      <c r="B326" s="20" t="s">
        <v>616</v>
      </c>
    </row>
    <row r="327" spans="1:2" ht="18.75" customHeight="1" x14ac:dyDescent="0.25">
      <c r="A327" s="2">
        <v>325</v>
      </c>
      <c r="B327" s="20" t="s">
        <v>617</v>
      </c>
    </row>
    <row r="328" spans="1:2" ht="18.75" customHeight="1" x14ac:dyDescent="0.25">
      <c r="A328" s="2">
        <v>326</v>
      </c>
      <c r="B328" s="20" t="s">
        <v>619</v>
      </c>
    </row>
    <row r="329" spans="1:2" ht="18.75" customHeight="1" x14ac:dyDescent="0.25">
      <c r="A329" s="2">
        <v>327</v>
      </c>
      <c r="B329" s="20" t="s">
        <v>620</v>
      </c>
    </row>
    <row r="330" spans="1:2" ht="18.75" customHeight="1" x14ac:dyDescent="0.25">
      <c r="A330" s="2">
        <v>328</v>
      </c>
      <c r="B330" s="20" t="s">
        <v>621</v>
      </c>
    </row>
    <row r="331" spans="1:2" ht="18.75" customHeight="1" x14ac:dyDescent="0.25">
      <c r="A331" s="2">
        <v>329</v>
      </c>
      <c r="B331" s="20" t="s">
        <v>625</v>
      </c>
    </row>
    <row r="332" spans="1:2" ht="18.75" customHeight="1" x14ac:dyDescent="0.25">
      <c r="A332" s="2">
        <v>330</v>
      </c>
      <c r="B332" s="20" t="s">
        <v>626</v>
      </c>
    </row>
    <row r="333" spans="1:2" ht="18.75" customHeight="1" x14ac:dyDescent="0.25">
      <c r="A333" s="2">
        <v>331</v>
      </c>
      <c r="B333" s="20" t="s">
        <v>627</v>
      </c>
    </row>
    <row r="334" spans="1:2" ht="18.75" customHeight="1" x14ac:dyDescent="0.25">
      <c r="A334" s="2">
        <v>332</v>
      </c>
      <c r="B334" s="20" t="s">
        <v>629</v>
      </c>
    </row>
    <row r="335" spans="1:2" ht="18.75" customHeight="1" x14ac:dyDescent="0.25">
      <c r="A335" s="2">
        <v>333</v>
      </c>
      <c r="B335" s="20" t="s">
        <v>527</v>
      </c>
    </row>
    <row r="336" spans="1:2" ht="18.75" customHeight="1" x14ac:dyDescent="0.25">
      <c r="A336" s="2">
        <v>334</v>
      </c>
      <c r="B336" s="20" t="s">
        <v>632</v>
      </c>
    </row>
    <row r="337" spans="1:2" ht="18.75" customHeight="1" x14ac:dyDescent="0.25">
      <c r="A337" s="2">
        <v>335</v>
      </c>
      <c r="B337" s="20" t="s">
        <v>634</v>
      </c>
    </row>
    <row r="338" spans="1:2" ht="18.75" customHeight="1" x14ac:dyDescent="0.25">
      <c r="A338" s="2">
        <v>336</v>
      </c>
      <c r="B338" s="20" t="s">
        <v>635</v>
      </c>
    </row>
    <row r="339" spans="1:2" ht="18.75" customHeight="1" x14ac:dyDescent="0.25">
      <c r="A339" s="2">
        <v>337</v>
      </c>
      <c r="B339" s="20" t="s">
        <v>637</v>
      </c>
    </row>
    <row r="340" spans="1:2" ht="18.75" customHeight="1" x14ac:dyDescent="0.25">
      <c r="A340" s="2">
        <v>338</v>
      </c>
      <c r="B340" s="20" t="s">
        <v>638</v>
      </c>
    </row>
    <row r="341" spans="1:2" ht="18.75" customHeight="1" x14ac:dyDescent="0.25">
      <c r="A341" s="2">
        <v>339</v>
      </c>
      <c r="B341" s="20" t="s">
        <v>640</v>
      </c>
    </row>
    <row r="342" spans="1:2" ht="18.75" customHeight="1" x14ac:dyDescent="0.25">
      <c r="A342" s="2">
        <v>340</v>
      </c>
      <c r="B342" s="20" t="s">
        <v>645</v>
      </c>
    </row>
    <row r="343" spans="1:2" ht="18.75" customHeight="1" x14ac:dyDescent="0.25">
      <c r="A343" s="2">
        <v>341</v>
      </c>
      <c r="B343" s="20" t="s">
        <v>646</v>
      </c>
    </row>
    <row r="344" spans="1:2" ht="18.75" customHeight="1" x14ac:dyDescent="0.25">
      <c r="A344" s="2">
        <v>342</v>
      </c>
      <c r="B344" s="20" t="s">
        <v>647</v>
      </c>
    </row>
    <row r="345" spans="1:2" ht="18.75" customHeight="1" x14ac:dyDescent="0.25">
      <c r="A345" s="2">
        <v>343</v>
      </c>
      <c r="B345" s="20" t="s">
        <v>650</v>
      </c>
    </row>
    <row r="346" spans="1:2" ht="18.75" customHeight="1" x14ac:dyDescent="0.25">
      <c r="A346" s="2">
        <v>344</v>
      </c>
      <c r="B346" s="20" t="s">
        <v>651</v>
      </c>
    </row>
    <row r="347" spans="1:2" ht="18.75" customHeight="1" x14ac:dyDescent="0.25">
      <c r="A347" s="2">
        <v>345</v>
      </c>
      <c r="B347" s="24" t="s">
        <v>653</v>
      </c>
    </row>
    <row r="348" spans="1:2" ht="18.75" customHeight="1" x14ac:dyDescent="0.25">
      <c r="A348" s="2">
        <v>346</v>
      </c>
      <c r="B348" s="20" t="s">
        <v>655</v>
      </c>
    </row>
    <row r="349" spans="1:2" ht="18.75" customHeight="1" x14ac:dyDescent="0.25">
      <c r="A349" s="2">
        <v>347</v>
      </c>
      <c r="B349" s="20" t="s">
        <v>656</v>
      </c>
    </row>
    <row r="350" spans="1:2" ht="18.75" customHeight="1" x14ac:dyDescent="0.25">
      <c r="A350" s="2">
        <v>348</v>
      </c>
      <c r="B350" s="20" t="s">
        <v>657</v>
      </c>
    </row>
    <row r="351" spans="1:2" ht="18.75" customHeight="1" x14ac:dyDescent="0.25">
      <c r="A351" s="2">
        <v>349</v>
      </c>
      <c r="B351" s="20" t="s">
        <v>659</v>
      </c>
    </row>
    <row r="352" spans="1:2" ht="18.75" customHeight="1" x14ac:dyDescent="0.25">
      <c r="A352" s="2">
        <v>350</v>
      </c>
      <c r="B352" s="20" t="s">
        <v>660</v>
      </c>
    </row>
    <row r="353" spans="1:2" ht="18.75" customHeight="1" x14ac:dyDescent="0.25">
      <c r="A353" s="2">
        <v>351</v>
      </c>
      <c r="B353" s="20" t="s">
        <v>662</v>
      </c>
    </row>
    <row r="354" spans="1:2" ht="18.75" customHeight="1" x14ac:dyDescent="0.25">
      <c r="A354" s="2">
        <v>352</v>
      </c>
      <c r="B354" s="19" t="s">
        <v>663</v>
      </c>
    </row>
    <row r="355" spans="1:2" ht="18.75" customHeight="1" x14ac:dyDescent="0.25">
      <c r="A355" s="2">
        <v>353</v>
      </c>
      <c r="B355" s="20" t="s">
        <v>665</v>
      </c>
    </row>
    <row r="356" spans="1:2" ht="18.75" customHeight="1" x14ac:dyDescent="0.25">
      <c r="A356" s="2">
        <v>354</v>
      </c>
      <c r="B356" s="20" t="s">
        <v>666</v>
      </c>
    </row>
    <row r="357" spans="1:2" ht="18.75" customHeight="1" x14ac:dyDescent="0.25">
      <c r="A357" s="2">
        <v>355</v>
      </c>
      <c r="B357" s="20" t="s">
        <v>667</v>
      </c>
    </row>
    <row r="358" spans="1:2" ht="18.75" customHeight="1" x14ac:dyDescent="0.25">
      <c r="A358" s="2">
        <v>356</v>
      </c>
      <c r="B358" s="20" t="s">
        <v>668</v>
      </c>
    </row>
    <row r="359" spans="1:2" ht="18.75" customHeight="1" x14ac:dyDescent="0.25">
      <c r="A359" s="2">
        <v>357</v>
      </c>
      <c r="B359" s="20" t="s">
        <v>669</v>
      </c>
    </row>
    <row r="360" spans="1:2" ht="18.75" customHeight="1" x14ac:dyDescent="0.25">
      <c r="A360" s="2">
        <v>358</v>
      </c>
      <c r="B360" s="20" t="s">
        <v>672</v>
      </c>
    </row>
    <row r="361" spans="1:2" ht="18.75" customHeight="1" x14ac:dyDescent="0.25">
      <c r="A361" s="2">
        <v>359</v>
      </c>
      <c r="B361" s="20" t="s">
        <v>675</v>
      </c>
    </row>
    <row r="362" spans="1:2" ht="18.75" customHeight="1" x14ac:dyDescent="0.25">
      <c r="A362" s="2">
        <v>360</v>
      </c>
      <c r="B362" s="20" t="s">
        <v>676</v>
      </c>
    </row>
    <row r="363" spans="1:2" ht="18.75" customHeight="1" x14ac:dyDescent="0.25">
      <c r="A363" s="2">
        <v>361</v>
      </c>
      <c r="B363" s="20" t="s">
        <v>679</v>
      </c>
    </row>
    <row r="364" spans="1:2" ht="18.75" customHeight="1" x14ac:dyDescent="0.25">
      <c r="A364" s="2">
        <v>362</v>
      </c>
      <c r="B364" s="19" t="s">
        <v>680</v>
      </c>
    </row>
    <row r="365" spans="1:2" ht="18.75" customHeight="1" x14ac:dyDescent="0.25">
      <c r="A365" s="2">
        <v>363</v>
      </c>
      <c r="B365" s="20" t="s">
        <v>681</v>
      </c>
    </row>
    <row r="366" spans="1:2" ht="18.75" customHeight="1" x14ac:dyDescent="0.25">
      <c r="A366" s="2">
        <v>364</v>
      </c>
      <c r="B366" s="20" t="s">
        <v>682</v>
      </c>
    </row>
    <row r="367" spans="1:2" ht="18.75" customHeight="1" x14ac:dyDescent="0.25">
      <c r="A367" s="2">
        <v>365</v>
      </c>
      <c r="B367" s="19" t="s">
        <v>683</v>
      </c>
    </row>
    <row r="368" spans="1:2" ht="18.75" customHeight="1" x14ac:dyDescent="0.25">
      <c r="A368" s="2">
        <v>366</v>
      </c>
      <c r="B368" s="19" t="s">
        <v>417</v>
      </c>
    </row>
    <row r="369" spans="1:2" ht="18.75" customHeight="1" x14ac:dyDescent="0.25">
      <c r="A369" s="2">
        <v>367</v>
      </c>
      <c r="B369" s="19" t="s">
        <v>684</v>
      </c>
    </row>
    <row r="370" spans="1:2" ht="18.75" customHeight="1" x14ac:dyDescent="0.25">
      <c r="A370" s="2">
        <v>368</v>
      </c>
      <c r="B370" s="19" t="s">
        <v>685</v>
      </c>
    </row>
    <row r="371" spans="1:2" ht="18.75" customHeight="1" x14ac:dyDescent="0.25">
      <c r="A371" s="2">
        <v>369</v>
      </c>
      <c r="B371" s="19" t="s">
        <v>3697</v>
      </c>
    </row>
    <row r="372" spans="1:2" ht="18.75" customHeight="1" x14ac:dyDescent="0.25">
      <c r="A372" s="2">
        <v>370</v>
      </c>
      <c r="B372" s="19" t="s">
        <v>688</v>
      </c>
    </row>
    <row r="373" spans="1:2" ht="18.75" customHeight="1" x14ac:dyDescent="0.25">
      <c r="A373" s="2">
        <v>371</v>
      </c>
      <c r="B373" s="19" t="s">
        <v>689</v>
      </c>
    </row>
    <row r="374" spans="1:2" ht="18.75" customHeight="1" x14ac:dyDescent="0.25">
      <c r="A374" s="2">
        <v>372</v>
      </c>
      <c r="B374" s="20" t="s">
        <v>691</v>
      </c>
    </row>
    <row r="375" spans="1:2" ht="18.75" customHeight="1" x14ac:dyDescent="0.25">
      <c r="A375" s="2">
        <v>373</v>
      </c>
      <c r="B375" s="20" t="s">
        <v>692</v>
      </c>
    </row>
    <row r="376" spans="1:2" ht="18.75" customHeight="1" x14ac:dyDescent="0.25">
      <c r="A376" s="2">
        <v>374</v>
      </c>
      <c r="B376" s="20" t="s">
        <v>693</v>
      </c>
    </row>
    <row r="377" spans="1:2" ht="18.75" customHeight="1" x14ac:dyDescent="0.25">
      <c r="A377" s="2">
        <v>375</v>
      </c>
      <c r="B377" s="20" t="s">
        <v>696</v>
      </c>
    </row>
    <row r="378" spans="1:2" ht="18.75" customHeight="1" x14ac:dyDescent="0.25">
      <c r="A378" s="2">
        <v>376</v>
      </c>
      <c r="B378" s="20" t="s">
        <v>2965</v>
      </c>
    </row>
    <row r="379" spans="1:2" ht="18.75" customHeight="1" x14ac:dyDescent="0.25">
      <c r="A379" s="2">
        <v>377</v>
      </c>
      <c r="B379" s="20" t="s">
        <v>698</v>
      </c>
    </row>
    <row r="380" spans="1:2" ht="18.75" customHeight="1" x14ac:dyDescent="0.25">
      <c r="A380" s="2">
        <v>378</v>
      </c>
      <c r="B380" s="20" t="s">
        <v>699</v>
      </c>
    </row>
    <row r="381" spans="1:2" ht="18.75" customHeight="1" x14ac:dyDescent="0.25">
      <c r="A381" s="2">
        <v>379</v>
      </c>
      <c r="B381" s="20" t="s">
        <v>700</v>
      </c>
    </row>
    <row r="382" spans="1:2" ht="18.75" customHeight="1" x14ac:dyDescent="0.25">
      <c r="A382" s="2">
        <v>380</v>
      </c>
      <c r="B382" s="20" t="s">
        <v>702</v>
      </c>
    </row>
    <row r="383" spans="1:2" ht="18.75" customHeight="1" x14ac:dyDescent="0.25">
      <c r="A383" s="2">
        <v>381</v>
      </c>
      <c r="B383" s="20" t="s">
        <v>703</v>
      </c>
    </row>
    <row r="384" spans="1:2" ht="18.75" customHeight="1" x14ac:dyDescent="0.25">
      <c r="A384" s="2">
        <v>382</v>
      </c>
      <c r="B384" s="20" t="s">
        <v>416</v>
      </c>
    </row>
    <row r="385" spans="1:2" ht="18.75" customHeight="1" x14ac:dyDescent="0.25">
      <c r="A385" s="2">
        <v>383</v>
      </c>
      <c r="B385" s="20" t="s">
        <v>709</v>
      </c>
    </row>
    <row r="386" spans="1:2" ht="18.75" customHeight="1" x14ac:dyDescent="0.25">
      <c r="A386" s="2">
        <v>384</v>
      </c>
      <c r="B386" s="20" t="s">
        <v>728</v>
      </c>
    </row>
    <row r="387" spans="1:2" ht="18.75" customHeight="1" x14ac:dyDescent="0.25">
      <c r="A387" s="2">
        <v>385</v>
      </c>
      <c r="B387" s="20" t="s">
        <v>734</v>
      </c>
    </row>
    <row r="388" spans="1:2" ht="18.75" customHeight="1" x14ac:dyDescent="0.25">
      <c r="A388" s="2">
        <v>386</v>
      </c>
      <c r="B388" s="20" t="s">
        <v>737</v>
      </c>
    </row>
    <row r="389" spans="1:2" ht="18.75" customHeight="1" x14ac:dyDescent="0.25">
      <c r="A389" s="2">
        <v>387</v>
      </c>
      <c r="B389" s="20" t="s">
        <v>740</v>
      </c>
    </row>
    <row r="390" spans="1:2" ht="18.75" customHeight="1" x14ac:dyDescent="0.25">
      <c r="A390" s="2">
        <v>388</v>
      </c>
      <c r="B390" s="19" t="s">
        <v>742</v>
      </c>
    </row>
    <row r="391" spans="1:2" ht="18.75" customHeight="1" x14ac:dyDescent="0.25">
      <c r="A391" s="2">
        <v>389</v>
      </c>
      <c r="B391" s="20" t="s">
        <v>744</v>
      </c>
    </row>
    <row r="392" spans="1:2" ht="18.75" customHeight="1" x14ac:dyDescent="0.25">
      <c r="A392" s="2">
        <v>390</v>
      </c>
      <c r="B392" s="20" t="s">
        <v>746</v>
      </c>
    </row>
    <row r="393" spans="1:2" ht="18.75" customHeight="1" x14ac:dyDescent="0.25">
      <c r="A393" s="2">
        <v>391</v>
      </c>
      <c r="B393" s="20" t="s">
        <v>747</v>
      </c>
    </row>
    <row r="394" spans="1:2" ht="18.75" customHeight="1" x14ac:dyDescent="0.25">
      <c r="A394" s="2">
        <v>392</v>
      </c>
      <c r="B394" s="20" t="s">
        <v>749</v>
      </c>
    </row>
    <row r="395" spans="1:2" ht="18.75" customHeight="1" x14ac:dyDescent="0.25">
      <c r="A395" s="2">
        <v>393</v>
      </c>
      <c r="B395" s="20" t="s">
        <v>751</v>
      </c>
    </row>
    <row r="396" spans="1:2" ht="18.75" customHeight="1" x14ac:dyDescent="0.25">
      <c r="A396" s="2">
        <v>394</v>
      </c>
      <c r="B396" s="20" t="s">
        <v>752</v>
      </c>
    </row>
    <row r="397" spans="1:2" ht="18.75" customHeight="1" x14ac:dyDescent="0.25">
      <c r="A397" s="2">
        <v>395</v>
      </c>
      <c r="B397" s="20" t="s">
        <v>754</v>
      </c>
    </row>
    <row r="398" spans="1:2" ht="18.75" customHeight="1" x14ac:dyDescent="0.25">
      <c r="A398" s="2">
        <v>396</v>
      </c>
      <c r="B398" s="20" t="s">
        <v>755</v>
      </c>
    </row>
    <row r="399" spans="1:2" ht="18.75" customHeight="1" x14ac:dyDescent="0.25">
      <c r="A399" s="2">
        <v>397</v>
      </c>
      <c r="B399" s="20" t="s">
        <v>756</v>
      </c>
    </row>
    <row r="400" spans="1:2" ht="18.75" customHeight="1" x14ac:dyDescent="0.25">
      <c r="A400" s="2">
        <v>398</v>
      </c>
      <c r="B400" s="20" t="s">
        <v>757</v>
      </c>
    </row>
    <row r="401" spans="1:2" ht="18.75" customHeight="1" x14ac:dyDescent="0.25">
      <c r="A401" s="2">
        <v>399</v>
      </c>
      <c r="B401" s="20" t="s">
        <v>758</v>
      </c>
    </row>
    <row r="402" spans="1:2" ht="18.75" customHeight="1" x14ac:dyDescent="0.25">
      <c r="A402" s="2">
        <v>400</v>
      </c>
      <c r="B402" s="20" t="s">
        <v>760</v>
      </c>
    </row>
    <row r="403" spans="1:2" ht="18.75" customHeight="1" x14ac:dyDescent="0.25">
      <c r="A403" s="2">
        <v>401</v>
      </c>
      <c r="B403" s="20" t="s">
        <v>762</v>
      </c>
    </row>
    <row r="404" spans="1:2" ht="18.75" customHeight="1" x14ac:dyDescent="0.25">
      <c r="A404" s="2">
        <v>402</v>
      </c>
      <c r="B404" s="20" t="s">
        <v>1536</v>
      </c>
    </row>
    <row r="405" spans="1:2" ht="18.75" customHeight="1" x14ac:dyDescent="0.25">
      <c r="A405" s="2">
        <v>403</v>
      </c>
      <c r="B405" s="20" t="s">
        <v>765</v>
      </c>
    </row>
    <row r="406" spans="1:2" ht="18.75" customHeight="1" x14ac:dyDescent="0.25">
      <c r="A406" s="2">
        <v>404</v>
      </c>
      <c r="B406" s="20" t="s">
        <v>767</v>
      </c>
    </row>
    <row r="407" spans="1:2" ht="18.75" customHeight="1" x14ac:dyDescent="0.25">
      <c r="A407" s="2">
        <v>405</v>
      </c>
      <c r="B407" s="20" t="s">
        <v>770</v>
      </c>
    </row>
    <row r="408" spans="1:2" ht="18.75" customHeight="1" x14ac:dyDescent="0.25">
      <c r="A408" s="2">
        <v>406</v>
      </c>
      <c r="B408" s="20" t="s">
        <v>773</v>
      </c>
    </row>
    <row r="409" spans="1:2" ht="18.75" customHeight="1" x14ac:dyDescent="0.25">
      <c r="A409" s="2">
        <v>407</v>
      </c>
      <c r="B409" s="20" t="s">
        <v>774</v>
      </c>
    </row>
    <row r="410" spans="1:2" ht="18.75" customHeight="1" x14ac:dyDescent="0.25">
      <c r="A410" s="2">
        <v>408</v>
      </c>
      <c r="B410" s="20" t="s">
        <v>776</v>
      </c>
    </row>
    <row r="411" spans="1:2" ht="18.75" customHeight="1" x14ac:dyDescent="0.25">
      <c r="A411" s="2">
        <v>409</v>
      </c>
      <c r="B411" s="20" t="s">
        <v>778</v>
      </c>
    </row>
    <row r="412" spans="1:2" ht="18.75" customHeight="1" x14ac:dyDescent="0.25">
      <c r="A412" s="2">
        <v>410</v>
      </c>
      <c r="B412" s="20" t="s">
        <v>793</v>
      </c>
    </row>
    <row r="413" spans="1:2" ht="18.75" customHeight="1" x14ac:dyDescent="0.25">
      <c r="A413" s="2">
        <v>411</v>
      </c>
      <c r="B413" s="20" t="s">
        <v>794</v>
      </c>
    </row>
    <row r="414" spans="1:2" ht="18.75" customHeight="1" x14ac:dyDescent="0.25">
      <c r="A414" s="2">
        <v>412</v>
      </c>
      <c r="B414" s="20" t="s">
        <v>796</v>
      </c>
    </row>
    <row r="415" spans="1:2" ht="18.75" customHeight="1" x14ac:dyDescent="0.25">
      <c r="A415" s="2">
        <v>413</v>
      </c>
      <c r="B415" s="26" t="s">
        <v>799</v>
      </c>
    </row>
    <row r="416" spans="1:2" ht="18.75" customHeight="1" x14ac:dyDescent="0.25">
      <c r="A416" s="2">
        <v>414</v>
      </c>
      <c r="B416" s="26" t="s">
        <v>801</v>
      </c>
    </row>
    <row r="417" spans="1:2" ht="18.75" customHeight="1" x14ac:dyDescent="0.25">
      <c r="A417" s="2">
        <v>415</v>
      </c>
      <c r="B417" s="26" t="s">
        <v>802</v>
      </c>
    </row>
    <row r="418" spans="1:2" ht="18.75" customHeight="1" x14ac:dyDescent="0.25">
      <c r="A418" s="2">
        <v>416</v>
      </c>
      <c r="B418" s="99" t="s">
        <v>804</v>
      </c>
    </row>
    <row r="419" spans="1:2" ht="18.75" customHeight="1" x14ac:dyDescent="0.25">
      <c r="A419" s="2">
        <v>417</v>
      </c>
      <c r="B419" s="26" t="s">
        <v>805</v>
      </c>
    </row>
    <row r="420" spans="1:2" ht="18.75" customHeight="1" x14ac:dyDescent="0.25">
      <c r="A420" s="2">
        <v>418</v>
      </c>
      <c r="B420" s="26" t="s">
        <v>806</v>
      </c>
    </row>
    <row r="421" spans="1:2" ht="18.75" customHeight="1" x14ac:dyDescent="0.25">
      <c r="A421" s="2">
        <v>419</v>
      </c>
      <c r="B421" s="26" t="s">
        <v>807</v>
      </c>
    </row>
    <row r="422" spans="1:2" ht="18.75" customHeight="1" x14ac:dyDescent="0.25">
      <c r="A422" s="2">
        <v>420</v>
      </c>
      <c r="B422" s="26" t="s">
        <v>807</v>
      </c>
    </row>
    <row r="423" spans="1:2" ht="18.75" customHeight="1" x14ac:dyDescent="0.25">
      <c r="A423" s="2">
        <v>421</v>
      </c>
      <c r="B423" s="26" t="s">
        <v>811</v>
      </c>
    </row>
    <row r="424" spans="1:2" ht="18.75" customHeight="1" x14ac:dyDescent="0.25">
      <c r="A424" s="2">
        <v>422</v>
      </c>
      <c r="B424" s="27" t="s">
        <v>812</v>
      </c>
    </row>
    <row r="425" spans="1:2" ht="18.75" customHeight="1" x14ac:dyDescent="0.25">
      <c r="A425" s="2">
        <v>423</v>
      </c>
      <c r="B425" s="27" t="s">
        <v>814</v>
      </c>
    </row>
    <row r="426" spans="1:2" ht="18.75" customHeight="1" x14ac:dyDescent="0.25">
      <c r="A426" s="2">
        <v>424</v>
      </c>
      <c r="B426" s="19" t="s">
        <v>817</v>
      </c>
    </row>
    <row r="427" spans="1:2" ht="18.75" customHeight="1" x14ac:dyDescent="0.25">
      <c r="A427" s="2">
        <v>425</v>
      </c>
      <c r="B427" s="27" t="s">
        <v>820</v>
      </c>
    </row>
    <row r="428" spans="1:2" ht="18.75" customHeight="1" x14ac:dyDescent="0.25">
      <c r="A428" s="2">
        <v>426</v>
      </c>
      <c r="B428" s="27" t="s">
        <v>821</v>
      </c>
    </row>
    <row r="429" spans="1:2" ht="18.75" customHeight="1" x14ac:dyDescent="0.25">
      <c r="A429" s="2">
        <v>427</v>
      </c>
      <c r="B429" s="27" t="s">
        <v>825</v>
      </c>
    </row>
    <row r="430" spans="1:2" ht="18.75" customHeight="1" x14ac:dyDescent="0.25">
      <c r="A430" s="2">
        <v>428</v>
      </c>
      <c r="B430" s="27" t="s">
        <v>827</v>
      </c>
    </row>
    <row r="431" spans="1:2" ht="18.75" customHeight="1" x14ac:dyDescent="0.25">
      <c r="A431" s="2">
        <v>429</v>
      </c>
      <c r="B431" s="19" t="s">
        <v>827</v>
      </c>
    </row>
    <row r="432" spans="1:2" ht="18.75" customHeight="1" x14ac:dyDescent="0.25">
      <c r="A432" s="2">
        <v>430</v>
      </c>
      <c r="B432" s="20" t="s">
        <v>828</v>
      </c>
    </row>
    <row r="433" spans="1:2" ht="18.75" customHeight="1" x14ac:dyDescent="0.25">
      <c r="A433" s="2">
        <v>431</v>
      </c>
      <c r="B433" s="20" t="s">
        <v>829</v>
      </c>
    </row>
    <row r="434" spans="1:2" ht="18.75" customHeight="1" x14ac:dyDescent="0.25">
      <c r="A434" s="2">
        <v>432</v>
      </c>
      <c r="B434" s="20" t="s">
        <v>830</v>
      </c>
    </row>
    <row r="435" spans="1:2" ht="18.75" customHeight="1" x14ac:dyDescent="0.25">
      <c r="A435" s="2">
        <v>433</v>
      </c>
      <c r="B435" s="2" t="s">
        <v>831</v>
      </c>
    </row>
    <row r="436" spans="1:2" ht="18.75" customHeight="1" x14ac:dyDescent="0.25">
      <c r="A436" s="2">
        <v>434</v>
      </c>
      <c r="B436" s="19" t="s">
        <v>832</v>
      </c>
    </row>
    <row r="437" spans="1:2" ht="18.75" customHeight="1" x14ac:dyDescent="0.25">
      <c r="A437" s="2">
        <v>435</v>
      </c>
      <c r="B437" s="27" t="s">
        <v>834</v>
      </c>
    </row>
    <row r="438" spans="1:2" ht="18.75" customHeight="1" x14ac:dyDescent="0.25">
      <c r="A438" s="2">
        <v>436</v>
      </c>
      <c r="B438" s="27" t="s">
        <v>835</v>
      </c>
    </row>
    <row r="439" spans="1:2" ht="18.75" customHeight="1" x14ac:dyDescent="0.25">
      <c r="A439" s="2">
        <v>437</v>
      </c>
      <c r="B439" s="27" t="s">
        <v>837</v>
      </c>
    </row>
    <row r="440" spans="1:2" ht="18.75" customHeight="1" x14ac:dyDescent="0.25">
      <c r="A440" s="2">
        <v>438</v>
      </c>
      <c r="B440" s="27" t="s">
        <v>841</v>
      </c>
    </row>
    <row r="441" spans="1:2" ht="18.75" customHeight="1" x14ac:dyDescent="0.25">
      <c r="A441" s="2">
        <v>439</v>
      </c>
      <c r="B441" s="25" t="s">
        <v>594</v>
      </c>
    </row>
    <row r="442" spans="1:2" ht="18.75" customHeight="1" x14ac:dyDescent="0.25">
      <c r="A442" s="2">
        <v>440</v>
      </c>
      <c r="B442" s="27" t="s">
        <v>845</v>
      </c>
    </row>
    <row r="443" spans="1:2" ht="18.75" customHeight="1" x14ac:dyDescent="0.25">
      <c r="A443" s="2">
        <v>441</v>
      </c>
      <c r="B443" s="28" t="s">
        <v>846</v>
      </c>
    </row>
    <row r="444" spans="1:2" ht="18.75" customHeight="1" x14ac:dyDescent="0.25">
      <c r="A444" s="2">
        <v>442</v>
      </c>
      <c r="B444" s="19" t="s">
        <v>847</v>
      </c>
    </row>
    <row r="445" spans="1:2" ht="18.75" customHeight="1" x14ac:dyDescent="0.25">
      <c r="A445" s="2">
        <v>443</v>
      </c>
      <c r="B445" s="19" t="s">
        <v>848</v>
      </c>
    </row>
    <row r="446" spans="1:2" ht="18.75" customHeight="1" x14ac:dyDescent="0.25">
      <c r="A446" s="2">
        <v>444</v>
      </c>
      <c r="B446" s="19" t="s">
        <v>849</v>
      </c>
    </row>
    <row r="447" spans="1:2" ht="18.75" customHeight="1" x14ac:dyDescent="0.25">
      <c r="A447" s="2">
        <v>445</v>
      </c>
      <c r="B447" s="2" t="s">
        <v>851</v>
      </c>
    </row>
    <row r="448" spans="1:2" ht="18.75" customHeight="1" x14ac:dyDescent="0.25">
      <c r="A448" s="2">
        <v>446</v>
      </c>
      <c r="B448" s="2" t="s">
        <v>854</v>
      </c>
    </row>
    <row r="449" spans="1:2" ht="18.75" customHeight="1" x14ac:dyDescent="0.25">
      <c r="A449" s="2">
        <v>447</v>
      </c>
      <c r="B449" s="2" t="s">
        <v>855</v>
      </c>
    </row>
    <row r="450" spans="1:2" ht="18.75" customHeight="1" x14ac:dyDescent="0.25">
      <c r="A450" s="2">
        <v>448</v>
      </c>
      <c r="B450" s="19" t="s">
        <v>856</v>
      </c>
    </row>
    <row r="451" spans="1:2" ht="18.75" customHeight="1" x14ac:dyDescent="0.25">
      <c r="A451" s="2">
        <v>449</v>
      </c>
      <c r="B451" s="20" t="s">
        <v>859</v>
      </c>
    </row>
    <row r="452" spans="1:2" ht="18.75" customHeight="1" x14ac:dyDescent="0.25">
      <c r="A452" s="2">
        <v>450</v>
      </c>
      <c r="B452" s="20" t="s">
        <v>860</v>
      </c>
    </row>
    <row r="453" spans="1:2" ht="18.75" customHeight="1" x14ac:dyDescent="0.25">
      <c r="A453" s="2">
        <v>451</v>
      </c>
      <c r="B453" s="20" t="s">
        <v>864</v>
      </c>
    </row>
    <row r="454" spans="1:2" ht="18.75" customHeight="1" x14ac:dyDescent="0.25">
      <c r="A454" s="2">
        <v>452</v>
      </c>
      <c r="B454" s="20" t="s">
        <v>867</v>
      </c>
    </row>
    <row r="455" spans="1:2" ht="18.75" customHeight="1" x14ac:dyDescent="0.25">
      <c r="A455" s="2">
        <v>453</v>
      </c>
      <c r="B455" s="23" t="s">
        <v>594</v>
      </c>
    </row>
    <row r="456" spans="1:2" ht="18.75" customHeight="1" x14ac:dyDescent="0.25">
      <c r="A456" s="2">
        <v>454</v>
      </c>
      <c r="B456" s="20" t="s">
        <v>869</v>
      </c>
    </row>
    <row r="457" spans="1:2" ht="18.75" customHeight="1" x14ac:dyDescent="0.25">
      <c r="A457" s="2">
        <v>455</v>
      </c>
      <c r="B457" s="20" t="s">
        <v>870</v>
      </c>
    </row>
    <row r="458" spans="1:2" ht="18.75" customHeight="1" x14ac:dyDescent="0.25">
      <c r="A458" s="2">
        <v>456</v>
      </c>
      <c r="B458" s="20" t="s">
        <v>871</v>
      </c>
    </row>
    <row r="459" spans="1:2" ht="18.75" customHeight="1" x14ac:dyDescent="0.25">
      <c r="A459" s="2">
        <v>457</v>
      </c>
      <c r="B459" s="20" t="s">
        <v>872</v>
      </c>
    </row>
    <row r="460" spans="1:2" ht="18.75" customHeight="1" x14ac:dyDescent="0.25">
      <c r="A460" s="2">
        <v>458</v>
      </c>
      <c r="B460" s="20" t="s">
        <v>874</v>
      </c>
    </row>
    <row r="461" spans="1:2" ht="18.75" customHeight="1" x14ac:dyDescent="0.25">
      <c r="A461" s="2">
        <v>459</v>
      </c>
      <c r="B461" s="19" t="s">
        <v>876</v>
      </c>
    </row>
    <row r="462" spans="1:2" ht="18.75" customHeight="1" x14ac:dyDescent="0.25">
      <c r="A462" s="2">
        <v>460</v>
      </c>
      <c r="B462" s="2" t="s">
        <v>878</v>
      </c>
    </row>
    <row r="463" spans="1:2" ht="18.75" customHeight="1" x14ac:dyDescent="0.25">
      <c r="A463" s="2">
        <v>461</v>
      </c>
      <c r="B463" s="20" t="s">
        <v>881</v>
      </c>
    </row>
    <row r="464" spans="1:2" ht="18.75" customHeight="1" x14ac:dyDescent="0.25">
      <c r="A464" s="2">
        <v>462</v>
      </c>
      <c r="B464" s="20" t="s">
        <v>884</v>
      </c>
    </row>
    <row r="465" spans="1:2" ht="18.75" customHeight="1" x14ac:dyDescent="0.25">
      <c r="A465" s="2">
        <v>463</v>
      </c>
      <c r="B465" s="20" t="s">
        <v>886</v>
      </c>
    </row>
    <row r="466" spans="1:2" ht="18.600000000000001" customHeight="1" x14ac:dyDescent="0.25">
      <c r="A466" s="2">
        <v>464</v>
      </c>
      <c r="B466" s="20" t="s">
        <v>892</v>
      </c>
    </row>
    <row r="467" spans="1:2" ht="18.75" customHeight="1" x14ac:dyDescent="0.25">
      <c r="A467" s="2">
        <v>465</v>
      </c>
      <c r="B467" s="20" t="s">
        <v>897</v>
      </c>
    </row>
    <row r="468" spans="1:2" ht="18.75" customHeight="1" x14ac:dyDescent="0.25">
      <c r="A468" s="2">
        <v>466</v>
      </c>
      <c r="B468" s="20" t="s">
        <v>899</v>
      </c>
    </row>
    <row r="469" spans="1:2" ht="18.75" customHeight="1" x14ac:dyDescent="0.25">
      <c r="A469" s="2">
        <v>467</v>
      </c>
      <c r="B469" s="20" t="s">
        <v>901</v>
      </c>
    </row>
    <row r="470" spans="1:2" ht="18.75" customHeight="1" x14ac:dyDescent="0.25">
      <c r="A470" s="2">
        <v>468</v>
      </c>
      <c r="B470" s="20" t="s">
        <v>905</v>
      </c>
    </row>
    <row r="471" spans="1:2" ht="18.75" customHeight="1" x14ac:dyDescent="0.25">
      <c r="A471" s="2">
        <v>469</v>
      </c>
      <c r="B471" s="20" t="s">
        <v>908</v>
      </c>
    </row>
    <row r="472" spans="1:2" ht="18.75" customHeight="1" x14ac:dyDescent="0.25">
      <c r="A472" s="2">
        <v>470</v>
      </c>
      <c r="B472" s="20" t="s">
        <v>911</v>
      </c>
    </row>
    <row r="473" spans="1:2" ht="18.75" customHeight="1" x14ac:dyDescent="0.25">
      <c r="A473" s="2">
        <v>471</v>
      </c>
      <c r="B473" s="20" t="s">
        <v>917</v>
      </c>
    </row>
    <row r="474" spans="1:2" ht="18.75" customHeight="1" x14ac:dyDescent="0.25">
      <c r="A474" s="2">
        <v>472</v>
      </c>
      <c r="B474" s="20" t="s">
        <v>921</v>
      </c>
    </row>
    <row r="475" spans="1:2" ht="18.75" customHeight="1" x14ac:dyDescent="0.25">
      <c r="A475" s="2">
        <v>473</v>
      </c>
      <c r="B475" s="2" t="s">
        <v>923</v>
      </c>
    </row>
    <row r="476" spans="1:2" ht="18.75" customHeight="1" x14ac:dyDescent="0.25">
      <c r="A476" s="2">
        <v>474</v>
      </c>
      <c r="B476" s="19" t="s">
        <v>928</v>
      </c>
    </row>
    <row r="477" spans="1:2" ht="18.75" customHeight="1" x14ac:dyDescent="0.25">
      <c r="A477" s="2">
        <v>475</v>
      </c>
      <c r="B477" s="20" t="s">
        <v>929</v>
      </c>
    </row>
    <row r="478" spans="1:2" ht="18.75" customHeight="1" x14ac:dyDescent="0.25">
      <c r="A478" s="2">
        <v>476</v>
      </c>
      <c r="B478" s="20" t="s">
        <v>930</v>
      </c>
    </row>
    <row r="479" spans="1:2" ht="18.75" customHeight="1" x14ac:dyDescent="0.25">
      <c r="A479" s="2">
        <v>477</v>
      </c>
      <c r="B479" s="20" t="s">
        <v>932</v>
      </c>
    </row>
    <row r="480" spans="1:2" ht="18.75" customHeight="1" x14ac:dyDescent="0.25">
      <c r="A480" s="2">
        <v>478</v>
      </c>
      <c r="B480" s="20" t="s">
        <v>841</v>
      </c>
    </row>
    <row r="481" spans="1:2" ht="18.75" customHeight="1" x14ac:dyDescent="0.25">
      <c r="A481" s="2">
        <v>479</v>
      </c>
      <c r="B481" s="20" t="s">
        <v>936</v>
      </c>
    </row>
    <row r="482" spans="1:2" ht="18.75" customHeight="1" x14ac:dyDescent="0.25">
      <c r="A482" s="2">
        <v>480</v>
      </c>
      <c r="B482" s="20" t="s">
        <v>940</v>
      </c>
    </row>
    <row r="483" spans="1:2" ht="18.75" customHeight="1" x14ac:dyDescent="0.25">
      <c r="A483" s="2">
        <v>481</v>
      </c>
      <c r="B483" s="20" t="s">
        <v>942</v>
      </c>
    </row>
    <row r="484" spans="1:2" ht="18.75" customHeight="1" x14ac:dyDescent="0.25">
      <c r="A484" s="2">
        <v>482</v>
      </c>
      <c r="B484" s="20" t="s">
        <v>944</v>
      </c>
    </row>
    <row r="485" spans="1:2" ht="18.75" customHeight="1" x14ac:dyDescent="0.25">
      <c r="A485" s="2">
        <v>483</v>
      </c>
      <c r="B485" s="20" t="s">
        <v>945</v>
      </c>
    </row>
    <row r="486" spans="1:2" ht="18.75" customHeight="1" x14ac:dyDescent="0.25">
      <c r="A486" s="2">
        <v>484</v>
      </c>
      <c r="B486" s="20" t="s">
        <v>947</v>
      </c>
    </row>
    <row r="487" spans="1:2" ht="18.75" customHeight="1" x14ac:dyDescent="0.25">
      <c r="A487" s="2">
        <v>485</v>
      </c>
      <c r="B487" s="20" t="s">
        <v>952</v>
      </c>
    </row>
    <row r="488" spans="1:2" ht="18.75" customHeight="1" x14ac:dyDescent="0.25">
      <c r="A488" s="2">
        <v>486</v>
      </c>
      <c r="B488" s="20" t="s">
        <v>954</v>
      </c>
    </row>
    <row r="489" spans="1:2" ht="18.75" customHeight="1" x14ac:dyDescent="0.25">
      <c r="A489" s="2">
        <v>487</v>
      </c>
      <c r="B489" s="20" t="s">
        <v>957</v>
      </c>
    </row>
    <row r="490" spans="1:2" ht="18.75" customHeight="1" x14ac:dyDescent="0.25">
      <c r="A490" s="2">
        <v>488</v>
      </c>
      <c r="B490" s="20" t="s">
        <v>959</v>
      </c>
    </row>
    <row r="491" spans="1:2" ht="18.75" customHeight="1" x14ac:dyDescent="0.25">
      <c r="A491" s="2">
        <v>489</v>
      </c>
      <c r="B491" s="20" t="s">
        <v>964</v>
      </c>
    </row>
    <row r="492" spans="1:2" ht="18.75" customHeight="1" x14ac:dyDescent="0.25">
      <c r="A492" s="2">
        <v>490</v>
      </c>
      <c r="B492" s="20" t="s">
        <v>968</v>
      </c>
    </row>
    <row r="493" spans="1:2" ht="18.75" customHeight="1" x14ac:dyDescent="0.25">
      <c r="A493" s="2">
        <v>491</v>
      </c>
      <c r="B493" s="20" t="s">
        <v>971</v>
      </c>
    </row>
    <row r="494" spans="1:2" ht="18.75" customHeight="1" x14ac:dyDescent="0.25">
      <c r="A494" s="2">
        <v>492</v>
      </c>
      <c r="B494" s="20" t="s">
        <v>972</v>
      </c>
    </row>
    <row r="495" spans="1:2" ht="18.75" customHeight="1" x14ac:dyDescent="0.25">
      <c r="A495" s="2">
        <v>493</v>
      </c>
      <c r="B495" s="20" t="s">
        <v>973</v>
      </c>
    </row>
    <row r="496" spans="1:2" ht="18.75" customHeight="1" x14ac:dyDescent="0.25">
      <c r="A496" s="2">
        <v>494</v>
      </c>
      <c r="B496" s="20" t="s">
        <v>974</v>
      </c>
    </row>
    <row r="497" spans="1:2" ht="18.75" customHeight="1" x14ac:dyDescent="0.25">
      <c r="A497" s="2">
        <v>495</v>
      </c>
      <c r="B497" s="20" t="s">
        <v>976</v>
      </c>
    </row>
    <row r="498" spans="1:2" ht="18.75" customHeight="1" x14ac:dyDescent="0.25">
      <c r="A498" s="2">
        <v>496</v>
      </c>
      <c r="B498" s="20" t="s">
        <v>978</v>
      </c>
    </row>
    <row r="499" spans="1:2" ht="18.75" customHeight="1" x14ac:dyDescent="0.25">
      <c r="A499" s="2">
        <v>497</v>
      </c>
      <c r="B499" s="20" t="s">
        <v>979</v>
      </c>
    </row>
    <row r="500" spans="1:2" ht="18.75" customHeight="1" x14ac:dyDescent="0.25">
      <c r="A500" s="2">
        <v>498</v>
      </c>
      <c r="B500" s="20" t="s">
        <v>980</v>
      </c>
    </row>
    <row r="501" spans="1:2" ht="18.75" customHeight="1" x14ac:dyDescent="0.25">
      <c r="A501" s="2">
        <v>499</v>
      </c>
      <c r="B501" s="20" t="s">
        <v>981</v>
      </c>
    </row>
    <row r="502" spans="1:2" ht="18.75" customHeight="1" x14ac:dyDescent="0.25">
      <c r="A502" s="2">
        <v>500</v>
      </c>
      <c r="B502" s="20" t="s">
        <v>983</v>
      </c>
    </row>
    <row r="503" spans="1:2" ht="18.75" customHeight="1" x14ac:dyDescent="0.25">
      <c r="A503" s="2">
        <v>501</v>
      </c>
      <c r="B503" s="20" t="s">
        <v>984</v>
      </c>
    </row>
    <row r="504" spans="1:2" ht="18.75" customHeight="1" x14ac:dyDescent="0.25">
      <c r="A504" s="2">
        <v>502</v>
      </c>
      <c r="B504" s="20" t="s">
        <v>985</v>
      </c>
    </row>
    <row r="505" spans="1:2" ht="18.75" customHeight="1" x14ac:dyDescent="0.25">
      <c r="A505" s="2">
        <v>503</v>
      </c>
      <c r="B505" s="2" t="s">
        <v>986</v>
      </c>
    </row>
    <row r="506" spans="1:2" ht="18.75" customHeight="1" x14ac:dyDescent="0.25">
      <c r="A506" s="2">
        <v>504</v>
      </c>
      <c r="B506" s="20" t="s">
        <v>988</v>
      </c>
    </row>
    <row r="507" spans="1:2" ht="18.75" customHeight="1" x14ac:dyDescent="0.25">
      <c r="A507" s="2">
        <v>505</v>
      </c>
      <c r="B507" s="20" t="s">
        <v>1001</v>
      </c>
    </row>
    <row r="508" spans="1:2" ht="18.75" customHeight="1" x14ac:dyDescent="0.25">
      <c r="A508" s="2">
        <v>506</v>
      </c>
      <c r="B508" s="20" t="s">
        <v>1026</v>
      </c>
    </row>
    <row r="509" spans="1:2" ht="18.75" customHeight="1" x14ac:dyDescent="0.25">
      <c r="A509" s="2">
        <v>507</v>
      </c>
      <c r="B509" s="20" t="s">
        <v>1002</v>
      </c>
    </row>
    <row r="510" spans="1:2" ht="18.75" customHeight="1" x14ac:dyDescent="0.25">
      <c r="A510" s="2">
        <v>508</v>
      </c>
      <c r="B510" s="20" t="s">
        <v>1003</v>
      </c>
    </row>
    <row r="511" spans="1:2" ht="18.75" customHeight="1" x14ac:dyDescent="0.25">
      <c r="A511" s="2">
        <v>509</v>
      </c>
      <c r="B511" s="20" t="s">
        <v>1004</v>
      </c>
    </row>
    <row r="512" spans="1:2" ht="18.75" customHeight="1" x14ac:dyDescent="0.25">
      <c r="A512" s="2">
        <v>510</v>
      </c>
      <c r="B512" s="20" t="s">
        <v>1007</v>
      </c>
    </row>
    <row r="513" spans="1:2" ht="18.75" customHeight="1" x14ac:dyDescent="0.25">
      <c r="A513" s="2">
        <v>511</v>
      </c>
      <c r="B513" s="20" t="s">
        <v>1010</v>
      </c>
    </row>
    <row r="514" spans="1:2" ht="18.75" customHeight="1" x14ac:dyDescent="0.25">
      <c r="A514" s="2">
        <v>512</v>
      </c>
      <c r="B514" s="20" t="s">
        <v>1011</v>
      </c>
    </row>
    <row r="515" spans="1:2" ht="18.75" customHeight="1" x14ac:dyDescent="0.25">
      <c r="A515" s="2">
        <v>513</v>
      </c>
      <c r="B515" s="20" t="s">
        <v>1013</v>
      </c>
    </row>
    <row r="516" spans="1:2" ht="18.75" customHeight="1" x14ac:dyDescent="0.25">
      <c r="A516" s="2">
        <v>514</v>
      </c>
      <c r="B516" s="20" t="s">
        <v>1016</v>
      </c>
    </row>
    <row r="517" spans="1:2" ht="18.75" customHeight="1" x14ac:dyDescent="0.25">
      <c r="A517" s="2">
        <v>515</v>
      </c>
      <c r="B517" s="20" t="s">
        <v>1017</v>
      </c>
    </row>
    <row r="518" spans="1:2" ht="18.75" customHeight="1" x14ac:dyDescent="0.25">
      <c r="A518" s="2">
        <v>516</v>
      </c>
      <c r="B518" s="20" t="s">
        <v>1018</v>
      </c>
    </row>
    <row r="519" spans="1:2" ht="18.75" customHeight="1" x14ac:dyDescent="0.25">
      <c r="A519" s="2">
        <v>517</v>
      </c>
      <c r="B519" s="20" t="s">
        <v>1019</v>
      </c>
    </row>
    <row r="520" spans="1:2" ht="18.75" customHeight="1" x14ac:dyDescent="0.25">
      <c r="A520" s="2">
        <v>518</v>
      </c>
      <c r="B520" s="20" t="s">
        <v>1022</v>
      </c>
    </row>
    <row r="521" spans="1:2" ht="18.75" customHeight="1" x14ac:dyDescent="0.25">
      <c r="A521" s="2">
        <v>519</v>
      </c>
      <c r="B521" s="20" t="s">
        <v>1023</v>
      </c>
    </row>
    <row r="522" spans="1:2" ht="18.75" customHeight="1" x14ac:dyDescent="0.25">
      <c r="A522" s="2">
        <v>520</v>
      </c>
      <c r="B522" s="20" t="s">
        <v>1024</v>
      </c>
    </row>
    <row r="523" spans="1:2" ht="18.75" customHeight="1" x14ac:dyDescent="0.25">
      <c r="A523" s="2">
        <v>521</v>
      </c>
      <c r="B523" s="20" t="s">
        <v>1029</v>
      </c>
    </row>
    <row r="524" spans="1:2" ht="18.75" customHeight="1" x14ac:dyDescent="0.25">
      <c r="A524" s="2">
        <v>522</v>
      </c>
      <c r="B524" s="20" t="s">
        <v>1031</v>
      </c>
    </row>
    <row r="525" spans="1:2" ht="18.75" customHeight="1" x14ac:dyDescent="0.25">
      <c r="A525" s="2">
        <v>523</v>
      </c>
      <c r="B525" s="20" t="s">
        <v>1032</v>
      </c>
    </row>
    <row r="526" spans="1:2" ht="18.75" customHeight="1" x14ac:dyDescent="0.25">
      <c r="A526" s="2">
        <v>524</v>
      </c>
      <c r="B526" s="20" t="s">
        <v>1036</v>
      </c>
    </row>
    <row r="527" spans="1:2" ht="18.75" customHeight="1" x14ac:dyDescent="0.25">
      <c r="A527" s="2">
        <v>525</v>
      </c>
      <c r="B527" s="20" t="s">
        <v>1037</v>
      </c>
    </row>
    <row r="528" spans="1:2" ht="18.75" customHeight="1" x14ac:dyDescent="0.25">
      <c r="A528" s="2">
        <v>526</v>
      </c>
      <c r="B528" s="20" t="s">
        <v>1038</v>
      </c>
    </row>
    <row r="529" spans="1:2" ht="18.75" customHeight="1" x14ac:dyDescent="0.25">
      <c r="A529" s="2">
        <v>527</v>
      </c>
      <c r="B529" s="20" t="s">
        <v>1039</v>
      </c>
    </row>
    <row r="530" spans="1:2" ht="18.75" customHeight="1" x14ac:dyDescent="0.25">
      <c r="A530" s="2">
        <v>528</v>
      </c>
      <c r="B530" s="20" t="s">
        <v>1102</v>
      </c>
    </row>
    <row r="531" spans="1:2" ht="18.75" customHeight="1" x14ac:dyDescent="0.25">
      <c r="A531" s="2">
        <v>529</v>
      </c>
      <c r="B531" s="19" t="s">
        <v>1103</v>
      </c>
    </row>
    <row r="532" spans="1:2" ht="18.75" customHeight="1" x14ac:dyDescent="0.25">
      <c r="A532" s="2">
        <v>530</v>
      </c>
      <c r="B532" s="20" t="s">
        <v>1104</v>
      </c>
    </row>
    <row r="533" spans="1:2" ht="18.75" customHeight="1" x14ac:dyDescent="0.25">
      <c r="A533" s="2">
        <v>531</v>
      </c>
      <c r="B533" s="20" t="s">
        <v>1105</v>
      </c>
    </row>
    <row r="534" spans="1:2" ht="18.75" customHeight="1" x14ac:dyDescent="0.25">
      <c r="A534" s="2">
        <v>532</v>
      </c>
      <c r="B534" s="20" t="s">
        <v>1106</v>
      </c>
    </row>
    <row r="535" spans="1:2" ht="18.75" customHeight="1" x14ac:dyDescent="0.25">
      <c r="A535" s="2">
        <v>533</v>
      </c>
      <c r="B535" s="20" t="s">
        <v>1107</v>
      </c>
    </row>
    <row r="536" spans="1:2" ht="18.75" customHeight="1" x14ac:dyDescent="0.25">
      <c r="A536" s="2">
        <v>534</v>
      </c>
      <c r="B536" s="19" t="s">
        <v>1110</v>
      </c>
    </row>
    <row r="537" spans="1:2" ht="18.75" customHeight="1" x14ac:dyDescent="0.25">
      <c r="A537" s="2">
        <v>535</v>
      </c>
      <c r="B537" s="2" t="s">
        <v>1113</v>
      </c>
    </row>
    <row r="538" spans="1:2" ht="18.75" customHeight="1" x14ac:dyDescent="0.25">
      <c r="A538" s="2">
        <v>536</v>
      </c>
      <c r="B538" s="20" t="s">
        <v>1114</v>
      </c>
    </row>
    <row r="539" spans="1:2" ht="18.75" customHeight="1" x14ac:dyDescent="0.25">
      <c r="A539" s="2">
        <v>537</v>
      </c>
      <c r="B539" s="20" t="s">
        <v>1115</v>
      </c>
    </row>
    <row r="540" spans="1:2" ht="18.75" customHeight="1" x14ac:dyDescent="0.25">
      <c r="A540" s="2">
        <v>538</v>
      </c>
      <c r="B540" s="20" t="s">
        <v>1116</v>
      </c>
    </row>
    <row r="541" spans="1:2" ht="18.75" customHeight="1" x14ac:dyDescent="0.25">
      <c r="A541" s="2">
        <v>539</v>
      </c>
      <c r="B541" s="20" t="s">
        <v>1117</v>
      </c>
    </row>
    <row r="542" spans="1:2" ht="18.75" customHeight="1" x14ac:dyDescent="0.25">
      <c r="A542" s="2">
        <v>540</v>
      </c>
      <c r="B542" s="20" t="s">
        <v>1118</v>
      </c>
    </row>
    <row r="543" spans="1:2" ht="18.75" customHeight="1" x14ac:dyDescent="0.25">
      <c r="A543" s="2">
        <v>541</v>
      </c>
      <c r="B543" s="2" t="s">
        <v>1119</v>
      </c>
    </row>
    <row r="544" spans="1:2" ht="18.75" customHeight="1" x14ac:dyDescent="0.25">
      <c r="A544" s="2">
        <v>542</v>
      </c>
      <c r="B544" s="20" t="s">
        <v>1121</v>
      </c>
    </row>
    <row r="545" spans="1:2" ht="18.75" customHeight="1" x14ac:dyDescent="0.25">
      <c r="A545" s="2">
        <v>543</v>
      </c>
      <c r="B545" s="20" t="s">
        <v>1122</v>
      </c>
    </row>
    <row r="546" spans="1:2" ht="18.75" customHeight="1" x14ac:dyDescent="0.25">
      <c r="A546" s="2">
        <v>544</v>
      </c>
      <c r="B546" s="20" t="s">
        <v>1124</v>
      </c>
    </row>
    <row r="547" spans="1:2" ht="18.75" customHeight="1" x14ac:dyDescent="0.25">
      <c r="A547" s="2">
        <v>545</v>
      </c>
      <c r="B547" s="20" t="s">
        <v>1127</v>
      </c>
    </row>
    <row r="548" spans="1:2" ht="18.75" customHeight="1" x14ac:dyDescent="0.25">
      <c r="A548" s="2">
        <v>546</v>
      </c>
      <c r="B548" s="20" t="s">
        <v>1128</v>
      </c>
    </row>
    <row r="549" spans="1:2" ht="18.75" customHeight="1" x14ac:dyDescent="0.25">
      <c r="A549" s="2">
        <v>547</v>
      </c>
      <c r="B549" s="20" t="s">
        <v>1130</v>
      </c>
    </row>
    <row r="550" spans="1:2" ht="18.75" customHeight="1" x14ac:dyDescent="0.25">
      <c r="A550" s="2">
        <v>548</v>
      </c>
      <c r="B550" s="20" t="s">
        <v>1134</v>
      </c>
    </row>
    <row r="551" spans="1:2" ht="18.75" customHeight="1" x14ac:dyDescent="0.25">
      <c r="A551" s="2">
        <v>549</v>
      </c>
      <c r="B551" s="20" t="s">
        <v>1138</v>
      </c>
    </row>
    <row r="552" spans="1:2" ht="18.75" customHeight="1" x14ac:dyDescent="0.25">
      <c r="A552" s="2">
        <v>550</v>
      </c>
      <c r="B552" s="20" t="s">
        <v>1139</v>
      </c>
    </row>
    <row r="553" spans="1:2" ht="18.75" customHeight="1" x14ac:dyDescent="0.25">
      <c r="A553" s="2">
        <v>551</v>
      </c>
      <c r="B553" s="20" t="s">
        <v>1144</v>
      </c>
    </row>
    <row r="554" spans="1:2" ht="18.75" customHeight="1" x14ac:dyDescent="0.25">
      <c r="A554" s="2">
        <v>552</v>
      </c>
      <c r="B554" s="20" t="s">
        <v>1147</v>
      </c>
    </row>
    <row r="555" spans="1:2" ht="18.75" customHeight="1" x14ac:dyDescent="0.25">
      <c r="A555" s="2">
        <v>553</v>
      </c>
      <c r="B555" s="20" t="s">
        <v>1149</v>
      </c>
    </row>
    <row r="556" spans="1:2" ht="18.75" customHeight="1" x14ac:dyDescent="0.25">
      <c r="A556" s="2">
        <v>554</v>
      </c>
      <c r="B556" s="20" t="s">
        <v>1152</v>
      </c>
    </row>
    <row r="557" spans="1:2" ht="18.75" customHeight="1" x14ac:dyDescent="0.25">
      <c r="A557" s="2">
        <v>555</v>
      </c>
      <c r="B557" s="20" t="s">
        <v>1154</v>
      </c>
    </row>
    <row r="558" spans="1:2" ht="18.75" customHeight="1" x14ac:dyDescent="0.25">
      <c r="A558" s="2">
        <v>556</v>
      </c>
      <c r="B558" s="20" t="s">
        <v>1158</v>
      </c>
    </row>
    <row r="559" spans="1:2" ht="18.75" customHeight="1" x14ac:dyDescent="0.25">
      <c r="A559" s="2">
        <v>557</v>
      </c>
      <c r="B559" s="20" t="s">
        <v>1159</v>
      </c>
    </row>
    <row r="560" spans="1:2" ht="18.75" customHeight="1" x14ac:dyDescent="0.25">
      <c r="A560" s="2">
        <v>558</v>
      </c>
      <c r="B560" s="20" t="s">
        <v>1160</v>
      </c>
    </row>
    <row r="561" spans="1:2" ht="18.75" customHeight="1" x14ac:dyDescent="0.25">
      <c r="A561" s="2">
        <v>559</v>
      </c>
      <c r="B561" s="20" t="s">
        <v>1162</v>
      </c>
    </row>
    <row r="562" spans="1:2" ht="18.75" customHeight="1" x14ac:dyDescent="0.25">
      <c r="A562" s="2">
        <v>560</v>
      </c>
      <c r="B562" s="20" t="s">
        <v>1163</v>
      </c>
    </row>
    <row r="563" spans="1:2" ht="18.75" customHeight="1" x14ac:dyDescent="0.25">
      <c r="A563" s="2">
        <v>561</v>
      </c>
      <c r="B563" s="20" t="s">
        <v>1164</v>
      </c>
    </row>
    <row r="564" spans="1:2" ht="18.75" customHeight="1" x14ac:dyDescent="0.25">
      <c r="A564" s="2">
        <v>562</v>
      </c>
      <c r="B564" s="20" t="s">
        <v>1165</v>
      </c>
    </row>
    <row r="565" spans="1:2" ht="18.75" customHeight="1" x14ac:dyDescent="0.25">
      <c r="A565" s="2">
        <v>563</v>
      </c>
      <c r="B565" s="20" t="s">
        <v>1166</v>
      </c>
    </row>
    <row r="566" spans="1:2" ht="18.75" customHeight="1" x14ac:dyDescent="0.25">
      <c r="A566" s="2">
        <v>564</v>
      </c>
      <c r="B566" s="20" t="s">
        <v>1169</v>
      </c>
    </row>
    <row r="567" spans="1:2" ht="18.75" customHeight="1" x14ac:dyDescent="0.25">
      <c r="A567" s="2">
        <v>565</v>
      </c>
      <c r="B567" s="20" t="s">
        <v>1171</v>
      </c>
    </row>
    <row r="568" spans="1:2" ht="18.75" customHeight="1" x14ac:dyDescent="0.25">
      <c r="A568" s="2">
        <v>566</v>
      </c>
      <c r="B568" s="20" t="s">
        <v>1173</v>
      </c>
    </row>
    <row r="569" spans="1:2" ht="18.75" customHeight="1" x14ac:dyDescent="0.25">
      <c r="A569" s="2">
        <v>567</v>
      </c>
      <c r="B569" s="19" t="s">
        <v>1178</v>
      </c>
    </row>
    <row r="570" spans="1:2" ht="18.75" customHeight="1" x14ac:dyDescent="0.25">
      <c r="A570" s="2">
        <v>568</v>
      </c>
      <c r="B570" s="20" t="s">
        <v>1179</v>
      </c>
    </row>
    <row r="571" spans="1:2" ht="18.75" customHeight="1" x14ac:dyDescent="0.25">
      <c r="A571" s="2">
        <v>569</v>
      </c>
      <c r="B571" s="32" t="s">
        <v>1180</v>
      </c>
    </row>
    <row r="572" spans="1:2" ht="18.75" customHeight="1" x14ac:dyDescent="0.25">
      <c r="A572" s="2">
        <v>570</v>
      </c>
      <c r="B572" s="20" t="s">
        <v>1182</v>
      </c>
    </row>
    <row r="573" spans="1:2" ht="18.75" customHeight="1" x14ac:dyDescent="0.25">
      <c r="A573" s="2">
        <v>571</v>
      </c>
      <c r="B573" s="20" t="s">
        <v>1183</v>
      </c>
    </row>
    <row r="574" spans="1:2" ht="18.75" customHeight="1" x14ac:dyDescent="0.25">
      <c r="A574" s="2">
        <v>572</v>
      </c>
      <c r="B574" s="20" t="s">
        <v>1184</v>
      </c>
    </row>
    <row r="575" spans="1:2" ht="18.75" customHeight="1" x14ac:dyDescent="0.25">
      <c r="A575" s="2">
        <v>573</v>
      </c>
      <c r="B575" s="20" t="s">
        <v>1185</v>
      </c>
    </row>
    <row r="576" spans="1:2" ht="18.75" customHeight="1" x14ac:dyDescent="0.25">
      <c r="A576" s="2">
        <v>574</v>
      </c>
      <c r="B576" s="20" t="s">
        <v>1186</v>
      </c>
    </row>
    <row r="577" spans="1:2" ht="18.75" customHeight="1" x14ac:dyDescent="0.25">
      <c r="A577" s="2">
        <v>575</v>
      </c>
      <c r="B577" s="19" t="s">
        <v>1189</v>
      </c>
    </row>
    <row r="578" spans="1:2" ht="18.75" customHeight="1" x14ac:dyDescent="0.25">
      <c r="A578" s="2">
        <v>576</v>
      </c>
      <c r="B578" s="19" t="s">
        <v>1190</v>
      </c>
    </row>
    <row r="579" spans="1:2" ht="18.75" customHeight="1" x14ac:dyDescent="0.25">
      <c r="A579" s="2">
        <v>577</v>
      </c>
      <c r="B579" s="20" t="s">
        <v>1192</v>
      </c>
    </row>
    <row r="580" spans="1:2" ht="18.75" customHeight="1" x14ac:dyDescent="0.25">
      <c r="A580" s="2">
        <v>578</v>
      </c>
      <c r="B580" s="20" t="s">
        <v>1193</v>
      </c>
    </row>
    <row r="581" spans="1:2" ht="18.75" customHeight="1" x14ac:dyDescent="0.25">
      <c r="A581" s="2">
        <v>579</v>
      </c>
      <c r="B581" s="20" t="s">
        <v>1194</v>
      </c>
    </row>
    <row r="582" spans="1:2" ht="18.75" customHeight="1" x14ac:dyDescent="0.25">
      <c r="A582" s="2">
        <v>580</v>
      </c>
      <c r="B582" s="19" t="s">
        <v>1195</v>
      </c>
    </row>
    <row r="583" spans="1:2" ht="18.75" customHeight="1" x14ac:dyDescent="0.25">
      <c r="A583" s="2">
        <v>581</v>
      </c>
      <c r="B583" s="19" t="s">
        <v>1197</v>
      </c>
    </row>
    <row r="584" spans="1:2" ht="18.75" customHeight="1" x14ac:dyDescent="0.25">
      <c r="A584" s="2">
        <v>582</v>
      </c>
      <c r="B584" s="19" t="s">
        <v>1199</v>
      </c>
    </row>
    <row r="585" spans="1:2" ht="18.75" customHeight="1" x14ac:dyDescent="0.25">
      <c r="A585" s="2">
        <v>583</v>
      </c>
      <c r="B585" s="19" t="s">
        <v>1202</v>
      </c>
    </row>
    <row r="586" spans="1:2" ht="18.75" customHeight="1" x14ac:dyDescent="0.25">
      <c r="A586" s="2">
        <v>584</v>
      </c>
      <c r="B586" s="19" t="s">
        <v>1203</v>
      </c>
    </row>
    <row r="587" spans="1:2" ht="18.75" customHeight="1" x14ac:dyDescent="0.25">
      <c r="A587" s="2">
        <v>585</v>
      </c>
      <c r="B587" s="19" t="s">
        <v>1204</v>
      </c>
    </row>
    <row r="588" spans="1:2" ht="18.75" customHeight="1" x14ac:dyDescent="0.25">
      <c r="A588" s="2">
        <v>586</v>
      </c>
      <c r="B588" s="19" t="s">
        <v>1206</v>
      </c>
    </row>
    <row r="589" spans="1:2" ht="18.75" customHeight="1" x14ac:dyDescent="0.25">
      <c r="A589" s="2">
        <v>587</v>
      </c>
      <c r="B589" s="19" t="s">
        <v>1207</v>
      </c>
    </row>
    <row r="590" spans="1:2" ht="18.75" customHeight="1" x14ac:dyDescent="0.25">
      <c r="A590" s="2">
        <v>588</v>
      </c>
      <c r="B590" s="2" t="s">
        <v>1208</v>
      </c>
    </row>
    <row r="591" spans="1:2" ht="18.75" customHeight="1" x14ac:dyDescent="0.25">
      <c r="A591" s="2">
        <v>589</v>
      </c>
      <c r="B591" s="2" t="s">
        <v>1209</v>
      </c>
    </row>
    <row r="592" spans="1:2" ht="18.75" customHeight="1" x14ac:dyDescent="0.25">
      <c r="A592" s="2">
        <v>590</v>
      </c>
      <c r="B592" s="2" t="s">
        <v>1210</v>
      </c>
    </row>
    <row r="593" spans="1:2" ht="18.75" customHeight="1" x14ac:dyDescent="0.25">
      <c r="A593" s="2">
        <v>591</v>
      </c>
      <c r="B593" s="2" t="s">
        <v>1212</v>
      </c>
    </row>
    <row r="594" spans="1:2" ht="18.75" customHeight="1" x14ac:dyDescent="0.25">
      <c r="A594" s="2">
        <v>592</v>
      </c>
      <c r="B594" s="2" t="s">
        <v>1213</v>
      </c>
    </row>
    <row r="595" spans="1:2" ht="18.75" customHeight="1" x14ac:dyDescent="0.25">
      <c r="A595" s="2">
        <v>593</v>
      </c>
      <c r="B595" s="19" t="s">
        <v>1214</v>
      </c>
    </row>
    <row r="596" spans="1:2" ht="18.75" customHeight="1" x14ac:dyDescent="0.25">
      <c r="A596" s="2">
        <v>594</v>
      </c>
      <c r="B596" s="2" t="s">
        <v>1215</v>
      </c>
    </row>
    <row r="597" spans="1:2" ht="18.75" customHeight="1" x14ac:dyDescent="0.25">
      <c r="A597" s="2">
        <v>595</v>
      </c>
      <c r="B597" s="2" t="s">
        <v>1217</v>
      </c>
    </row>
    <row r="598" spans="1:2" ht="18.75" customHeight="1" x14ac:dyDescent="0.25">
      <c r="A598" s="2">
        <v>596</v>
      </c>
      <c r="B598" s="19" t="s">
        <v>1219</v>
      </c>
    </row>
    <row r="599" spans="1:2" ht="18.75" customHeight="1" x14ac:dyDescent="0.25">
      <c r="A599" s="2">
        <v>597</v>
      </c>
      <c r="B599" s="19" t="s">
        <v>1220</v>
      </c>
    </row>
    <row r="600" spans="1:2" ht="18.75" customHeight="1" x14ac:dyDescent="0.25">
      <c r="A600" s="2">
        <v>598</v>
      </c>
      <c r="B600" s="19" t="s">
        <v>2820</v>
      </c>
    </row>
    <row r="601" spans="1:2" ht="18.75" customHeight="1" x14ac:dyDescent="0.25">
      <c r="A601" s="2">
        <v>599</v>
      </c>
      <c r="B601" s="19" t="s">
        <v>1221</v>
      </c>
    </row>
    <row r="602" spans="1:2" ht="18.75" customHeight="1" x14ac:dyDescent="0.25">
      <c r="A602" s="2">
        <v>600</v>
      </c>
      <c r="B602" s="2" t="s">
        <v>1224</v>
      </c>
    </row>
    <row r="603" spans="1:2" ht="18.75" customHeight="1" x14ac:dyDescent="0.25">
      <c r="A603" s="2">
        <v>601</v>
      </c>
      <c r="B603" s="19" t="s">
        <v>1226</v>
      </c>
    </row>
    <row r="604" spans="1:2" ht="18.75" customHeight="1" x14ac:dyDescent="0.25">
      <c r="A604" s="2">
        <v>602</v>
      </c>
      <c r="B604" s="19" t="s">
        <v>1228</v>
      </c>
    </row>
    <row r="605" spans="1:2" ht="18.75" customHeight="1" x14ac:dyDescent="0.25">
      <c r="A605" s="2">
        <v>603</v>
      </c>
      <c r="B605" s="2" t="s">
        <v>1230</v>
      </c>
    </row>
    <row r="606" spans="1:2" ht="18.75" customHeight="1" x14ac:dyDescent="0.25">
      <c r="A606" s="2">
        <v>604</v>
      </c>
      <c r="B606" s="19" t="s">
        <v>1232</v>
      </c>
    </row>
    <row r="607" spans="1:2" ht="18.75" customHeight="1" x14ac:dyDescent="0.25">
      <c r="A607" s="2">
        <v>605</v>
      </c>
      <c r="B607" s="19" t="s">
        <v>1235</v>
      </c>
    </row>
    <row r="608" spans="1:2" ht="18.75" customHeight="1" x14ac:dyDescent="0.25">
      <c r="A608" s="2">
        <v>606</v>
      </c>
      <c r="B608" s="19" t="s">
        <v>1240</v>
      </c>
    </row>
    <row r="609" spans="1:2" ht="18.75" customHeight="1" x14ac:dyDescent="0.25">
      <c r="A609" s="2">
        <v>607</v>
      </c>
      <c r="B609" s="19" t="s">
        <v>1332</v>
      </c>
    </row>
    <row r="610" spans="1:2" ht="18.75" customHeight="1" x14ac:dyDescent="0.25">
      <c r="A610" s="2">
        <v>608</v>
      </c>
      <c r="B610" s="2" t="s">
        <v>1335</v>
      </c>
    </row>
    <row r="611" spans="1:2" ht="18.75" customHeight="1" x14ac:dyDescent="0.25">
      <c r="A611" s="2">
        <v>609</v>
      </c>
      <c r="B611" s="19" t="s">
        <v>1338</v>
      </c>
    </row>
    <row r="612" spans="1:2" ht="18.75" customHeight="1" x14ac:dyDescent="0.25">
      <c r="A612" s="2">
        <v>610</v>
      </c>
      <c r="B612" s="19" t="s">
        <v>6634</v>
      </c>
    </row>
    <row r="613" spans="1:2" ht="18.75" customHeight="1" x14ac:dyDescent="0.25">
      <c r="A613" s="2">
        <v>611</v>
      </c>
      <c r="B613" s="19" t="s">
        <v>1361</v>
      </c>
    </row>
    <row r="614" spans="1:2" ht="18.75" customHeight="1" x14ac:dyDescent="0.25">
      <c r="A614" s="2">
        <v>612</v>
      </c>
      <c r="B614" s="2" t="s">
        <v>1362</v>
      </c>
    </row>
    <row r="615" spans="1:2" ht="18.75" customHeight="1" x14ac:dyDescent="0.25">
      <c r="A615" s="2">
        <v>613</v>
      </c>
      <c r="B615" s="19" t="s">
        <v>1363</v>
      </c>
    </row>
    <row r="616" spans="1:2" ht="18.75" customHeight="1" x14ac:dyDescent="0.25">
      <c r="A616" s="2">
        <v>614</v>
      </c>
      <c r="B616" s="2" t="s">
        <v>1365</v>
      </c>
    </row>
    <row r="617" spans="1:2" ht="18.75" customHeight="1" x14ac:dyDescent="0.25">
      <c r="A617" s="2">
        <v>615</v>
      </c>
      <c r="B617" s="2" t="s">
        <v>1374</v>
      </c>
    </row>
    <row r="618" spans="1:2" ht="18.75" customHeight="1" x14ac:dyDescent="0.25">
      <c r="A618" s="2">
        <v>616</v>
      </c>
      <c r="B618" s="19" t="s">
        <v>1423</v>
      </c>
    </row>
    <row r="619" spans="1:2" ht="18.75" customHeight="1" x14ac:dyDescent="0.25">
      <c r="A619" s="2">
        <v>617</v>
      </c>
      <c r="B619" s="19" t="s">
        <v>1425</v>
      </c>
    </row>
    <row r="620" spans="1:2" ht="18.75" customHeight="1" x14ac:dyDescent="0.25">
      <c r="A620" s="2">
        <v>618</v>
      </c>
      <c r="B620" s="2" t="s">
        <v>1427</v>
      </c>
    </row>
    <row r="621" spans="1:2" ht="18.75" customHeight="1" x14ac:dyDescent="0.25">
      <c r="A621" s="2">
        <v>619</v>
      </c>
      <c r="B621" s="19" t="s">
        <v>1457</v>
      </c>
    </row>
    <row r="622" spans="1:2" ht="18.75" customHeight="1" x14ac:dyDescent="0.25">
      <c r="A622" s="2">
        <v>620</v>
      </c>
      <c r="B622" s="2" t="s">
        <v>1479</v>
      </c>
    </row>
    <row r="623" spans="1:2" ht="18.75" customHeight="1" x14ac:dyDescent="0.25">
      <c r="A623" s="2">
        <v>621</v>
      </c>
      <c r="B623" s="19" t="s">
        <v>1523</v>
      </c>
    </row>
    <row r="624" spans="1:2" ht="18.75" customHeight="1" x14ac:dyDescent="0.25">
      <c r="A624" s="2">
        <v>622</v>
      </c>
      <c r="B624" s="19" t="s">
        <v>1524</v>
      </c>
    </row>
    <row r="625" spans="1:2" ht="18.75" customHeight="1" x14ac:dyDescent="0.25">
      <c r="A625" s="2">
        <v>623</v>
      </c>
      <c r="B625" s="19" t="s">
        <v>1526</v>
      </c>
    </row>
    <row r="626" spans="1:2" ht="18.75" customHeight="1" x14ac:dyDescent="0.25">
      <c r="A626" s="2">
        <v>624</v>
      </c>
      <c r="B626" s="19" t="s">
        <v>1530</v>
      </c>
    </row>
    <row r="627" spans="1:2" ht="18.75" customHeight="1" x14ac:dyDescent="0.25">
      <c r="A627" s="2">
        <v>625</v>
      </c>
      <c r="B627" s="2" t="s">
        <v>1531</v>
      </c>
    </row>
    <row r="628" spans="1:2" ht="18.75" customHeight="1" x14ac:dyDescent="0.25">
      <c r="A628" s="2">
        <v>626</v>
      </c>
      <c r="B628" s="19" t="s">
        <v>1539</v>
      </c>
    </row>
    <row r="629" spans="1:2" ht="18.75" customHeight="1" x14ac:dyDescent="0.25">
      <c r="A629" s="2">
        <v>627</v>
      </c>
      <c r="B629" s="19" t="s">
        <v>1543</v>
      </c>
    </row>
    <row r="630" spans="1:2" ht="18.75" customHeight="1" x14ac:dyDescent="0.25">
      <c r="A630" s="2">
        <v>628</v>
      </c>
      <c r="B630" s="2" t="s">
        <v>1545</v>
      </c>
    </row>
    <row r="631" spans="1:2" ht="18.75" customHeight="1" x14ac:dyDescent="0.25">
      <c r="A631" s="2">
        <v>629</v>
      </c>
      <c r="B631" s="2" t="s">
        <v>1543</v>
      </c>
    </row>
    <row r="632" spans="1:2" ht="18.75" customHeight="1" x14ac:dyDescent="0.25">
      <c r="A632" s="2">
        <v>630</v>
      </c>
      <c r="B632" s="19" t="s">
        <v>1569</v>
      </c>
    </row>
    <row r="633" spans="1:2" ht="18.75" customHeight="1" x14ac:dyDescent="0.25">
      <c r="A633" s="2">
        <v>631</v>
      </c>
      <c r="B633" s="2" t="s">
        <v>1661</v>
      </c>
    </row>
    <row r="634" spans="1:2" ht="18.75" customHeight="1" x14ac:dyDescent="0.25">
      <c r="A634" s="2">
        <v>632</v>
      </c>
      <c r="B634" s="2" t="s">
        <v>1677</v>
      </c>
    </row>
    <row r="635" spans="1:2" ht="18.75" customHeight="1" x14ac:dyDescent="0.25">
      <c r="A635" s="2">
        <v>633</v>
      </c>
      <c r="B635" s="2" t="s">
        <v>1678</v>
      </c>
    </row>
    <row r="636" spans="1:2" ht="18.75" customHeight="1" x14ac:dyDescent="0.25">
      <c r="A636" s="2">
        <v>634</v>
      </c>
      <c r="B636" s="2" t="s">
        <v>1679</v>
      </c>
    </row>
    <row r="637" spans="1:2" ht="18.75" customHeight="1" x14ac:dyDescent="0.25">
      <c r="A637" s="2">
        <v>635</v>
      </c>
      <c r="B637" s="2" t="s">
        <v>1681</v>
      </c>
    </row>
    <row r="638" spans="1:2" ht="18.75" customHeight="1" x14ac:dyDescent="0.25">
      <c r="A638" s="2">
        <v>636</v>
      </c>
      <c r="B638" s="2" t="s">
        <v>1682</v>
      </c>
    </row>
    <row r="639" spans="1:2" ht="18.75" customHeight="1" x14ac:dyDescent="0.25">
      <c r="A639" s="2">
        <v>637</v>
      </c>
      <c r="B639" s="2" t="s">
        <v>1683</v>
      </c>
    </row>
    <row r="640" spans="1:2" ht="18.75" customHeight="1" x14ac:dyDescent="0.25">
      <c r="A640" s="2">
        <v>638</v>
      </c>
      <c r="B640" s="2" t="s">
        <v>1684</v>
      </c>
    </row>
    <row r="641" spans="1:2" ht="18.75" customHeight="1" x14ac:dyDescent="0.25">
      <c r="A641" s="2">
        <v>639</v>
      </c>
      <c r="B641" s="2" t="s">
        <v>1688</v>
      </c>
    </row>
    <row r="642" spans="1:2" ht="18.75" customHeight="1" x14ac:dyDescent="0.25">
      <c r="A642" s="2">
        <v>640</v>
      </c>
      <c r="B642" s="19" t="s">
        <v>1696</v>
      </c>
    </row>
    <row r="643" spans="1:2" ht="18.75" customHeight="1" x14ac:dyDescent="0.25">
      <c r="A643" s="2">
        <v>641</v>
      </c>
      <c r="B643" s="19" t="s">
        <v>1705</v>
      </c>
    </row>
    <row r="644" spans="1:2" ht="18.75" customHeight="1" x14ac:dyDescent="0.25">
      <c r="A644" s="2">
        <v>642</v>
      </c>
      <c r="B644" s="2" t="s">
        <v>1706</v>
      </c>
    </row>
    <row r="645" spans="1:2" ht="18.75" customHeight="1" x14ac:dyDescent="0.25">
      <c r="A645" s="2">
        <v>643</v>
      </c>
      <c r="B645" s="19" t="s">
        <v>1707</v>
      </c>
    </row>
    <row r="646" spans="1:2" ht="18.75" customHeight="1" x14ac:dyDescent="0.25">
      <c r="A646" s="2">
        <v>644</v>
      </c>
      <c r="B646" s="2" t="s">
        <v>1708</v>
      </c>
    </row>
    <row r="647" spans="1:2" ht="18.75" customHeight="1" x14ac:dyDescent="0.25">
      <c r="A647" s="2">
        <v>645</v>
      </c>
      <c r="B647" s="2" t="s">
        <v>1709</v>
      </c>
    </row>
    <row r="648" spans="1:2" ht="18.75" customHeight="1" x14ac:dyDescent="0.25">
      <c r="A648" s="2">
        <v>646</v>
      </c>
      <c r="B648" s="2" t="s">
        <v>1713</v>
      </c>
    </row>
    <row r="649" spans="1:2" ht="18.75" customHeight="1" x14ac:dyDescent="0.25">
      <c r="A649" s="2">
        <v>647</v>
      </c>
      <c r="B649" s="2" t="s">
        <v>1717</v>
      </c>
    </row>
    <row r="650" spans="1:2" ht="18.75" customHeight="1" x14ac:dyDescent="0.25">
      <c r="A650" s="2">
        <v>648</v>
      </c>
      <c r="B650" s="19" t="s">
        <v>1718</v>
      </c>
    </row>
    <row r="651" spans="1:2" ht="18.75" customHeight="1" x14ac:dyDescent="0.25">
      <c r="A651" s="2">
        <v>649</v>
      </c>
      <c r="B651" s="2" t="s">
        <v>1720</v>
      </c>
    </row>
    <row r="652" spans="1:2" ht="18.75" customHeight="1" x14ac:dyDescent="0.25">
      <c r="A652" s="2">
        <v>650</v>
      </c>
      <c r="B652" s="19" t="s">
        <v>1724</v>
      </c>
    </row>
    <row r="653" spans="1:2" ht="18.75" customHeight="1" x14ac:dyDescent="0.25">
      <c r="A653" s="2">
        <v>651</v>
      </c>
      <c r="B653" s="2" t="s">
        <v>1725</v>
      </c>
    </row>
    <row r="654" spans="1:2" ht="18.75" customHeight="1" x14ac:dyDescent="0.25">
      <c r="A654" s="2">
        <v>652</v>
      </c>
      <c r="B654" s="2" t="s">
        <v>1730</v>
      </c>
    </row>
    <row r="655" spans="1:2" ht="18.75" customHeight="1" x14ac:dyDescent="0.25">
      <c r="A655" s="2">
        <v>653</v>
      </c>
      <c r="B655" s="2" t="s">
        <v>1731</v>
      </c>
    </row>
    <row r="656" spans="1:2" ht="18.75" customHeight="1" x14ac:dyDescent="0.25">
      <c r="A656" s="2">
        <v>654</v>
      </c>
      <c r="B656" s="2" t="s">
        <v>2034</v>
      </c>
    </row>
    <row r="657" spans="1:2" ht="18.75" customHeight="1" x14ac:dyDescent="0.25">
      <c r="A657" s="2">
        <v>655</v>
      </c>
      <c r="B657" s="2" t="s">
        <v>2039</v>
      </c>
    </row>
    <row r="658" spans="1:2" ht="18.75" customHeight="1" x14ac:dyDescent="0.25">
      <c r="A658" s="2">
        <v>656</v>
      </c>
      <c r="B658" s="2" t="s">
        <v>2043</v>
      </c>
    </row>
    <row r="659" spans="1:2" ht="18.75" customHeight="1" x14ac:dyDescent="0.25">
      <c r="A659" s="2">
        <v>657</v>
      </c>
      <c r="B659" s="19" t="s">
        <v>2047</v>
      </c>
    </row>
    <row r="660" spans="1:2" ht="18.75" customHeight="1" x14ac:dyDescent="0.25">
      <c r="A660" s="2">
        <v>658</v>
      </c>
      <c r="B660" s="2" t="s">
        <v>2049</v>
      </c>
    </row>
    <row r="661" spans="1:2" ht="18.75" customHeight="1" x14ac:dyDescent="0.25">
      <c r="A661" s="2">
        <v>659</v>
      </c>
      <c r="B661" s="2" t="s">
        <v>2050</v>
      </c>
    </row>
    <row r="662" spans="1:2" ht="18.75" customHeight="1" x14ac:dyDescent="0.25">
      <c r="A662" s="2">
        <v>660</v>
      </c>
      <c r="B662" s="19" t="s">
        <v>2053</v>
      </c>
    </row>
    <row r="663" spans="1:2" ht="18.75" customHeight="1" x14ac:dyDescent="0.25">
      <c r="A663" s="2">
        <v>661</v>
      </c>
      <c r="B663" s="2" t="s">
        <v>2055</v>
      </c>
    </row>
    <row r="664" spans="1:2" ht="18.75" customHeight="1" x14ac:dyDescent="0.25">
      <c r="A664" s="2">
        <v>662</v>
      </c>
      <c r="B664" s="2" t="s">
        <v>2056</v>
      </c>
    </row>
    <row r="665" spans="1:2" ht="18.75" customHeight="1" x14ac:dyDescent="0.25">
      <c r="A665" s="2">
        <v>663</v>
      </c>
      <c r="B665" s="19" t="s">
        <v>2057</v>
      </c>
    </row>
    <row r="666" spans="1:2" ht="18.75" customHeight="1" x14ac:dyDescent="0.25">
      <c r="A666" s="2">
        <v>664</v>
      </c>
      <c r="B666" s="2" t="s">
        <v>2058</v>
      </c>
    </row>
    <row r="667" spans="1:2" ht="18.75" customHeight="1" x14ac:dyDescent="0.25">
      <c r="A667" s="2">
        <v>665</v>
      </c>
      <c r="B667" s="19" t="s">
        <v>2059</v>
      </c>
    </row>
    <row r="668" spans="1:2" ht="18.75" customHeight="1" x14ac:dyDescent="0.25">
      <c r="A668" s="2">
        <v>666</v>
      </c>
      <c r="B668" s="2" t="s">
        <v>2061</v>
      </c>
    </row>
    <row r="669" spans="1:2" ht="18.75" customHeight="1" x14ac:dyDescent="0.25">
      <c r="A669" s="2">
        <v>667</v>
      </c>
      <c r="B669" s="19" t="s">
        <v>2062</v>
      </c>
    </row>
    <row r="670" spans="1:2" ht="18.75" customHeight="1" x14ac:dyDescent="0.25">
      <c r="A670" s="2">
        <v>668</v>
      </c>
      <c r="B670" s="2" t="s">
        <v>2064</v>
      </c>
    </row>
    <row r="671" spans="1:2" ht="18.75" customHeight="1" x14ac:dyDescent="0.25">
      <c r="A671" s="2">
        <v>669</v>
      </c>
      <c r="B671" s="2" t="s">
        <v>2065</v>
      </c>
    </row>
    <row r="672" spans="1:2" ht="18.75" customHeight="1" x14ac:dyDescent="0.25">
      <c r="A672" s="2">
        <v>670</v>
      </c>
      <c r="B672" s="19" t="s">
        <v>2070</v>
      </c>
    </row>
    <row r="673" spans="1:2" ht="18.75" customHeight="1" x14ac:dyDescent="0.25">
      <c r="A673" s="2">
        <v>671</v>
      </c>
      <c r="B673" s="19" t="s">
        <v>2072</v>
      </c>
    </row>
    <row r="674" spans="1:2" ht="18.75" customHeight="1" x14ac:dyDescent="0.25">
      <c r="A674" s="2">
        <v>672</v>
      </c>
      <c r="B674" s="2" t="s">
        <v>2073</v>
      </c>
    </row>
    <row r="675" spans="1:2" ht="18.75" customHeight="1" x14ac:dyDescent="0.25">
      <c r="A675" s="2">
        <v>673</v>
      </c>
      <c r="B675" s="2" t="s">
        <v>2076</v>
      </c>
    </row>
    <row r="676" spans="1:2" ht="18.75" customHeight="1" x14ac:dyDescent="0.25">
      <c r="A676" s="2">
        <v>674</v>
      </c>
      <c r="B676" s="2" t="s">
        <v>2078</v>
      </c>
    </row>
    <row r="677" spans="1:2" ht="18.75" customHeight="1" x14ac:dyDescent="0.25">
      <c r="A677" s="2">
        <v>675</v>
      </c>
      <c r="B677" s="2" t="s">
        <v>2079</v>
      </c>
    </row>
    <row r="678" spans="1:2" ht="18.75" customHeight="1" x14ac:dyDescent="0.25">
      <c r="A678" s="2">
        <v>676</v>
      </c>
      <c r="B678" s="2" t="s">
        <v>2084</v>
      </c>
    </row>
    <row r="679" spans="1:2" ht="18.75" customHeight="1" x14ac:dyDescent="0.25">
      <c r="A679" s="2">
        <v>677</v>
      </c>
      <c r="B679" s="19" t="s">
        <v>2085</v>
      </c>
    </row>
    <row r="680" spans="1:2" ht="18.75" customHeight="1" x14ac:dyDescent="0.25">
      <c r="A680" s="2">
        <v>678</v>
      </c>
      <c r="B680" s="2" t="s">
        <v>2086</v>
      </c>
    </row>
    <row r="681" spans="1:2" ht="18.75" customHeight="1" x14ac:dyDescent="0.25">
      <c r="A681" s="2">
        <v>679</v>
      </c>
      <c r="B681" s="2" t="s">
        <v>2087</v>
      </c>
    </row>
    <row r="682" spans="1:2" ht="18.75" customHeight="1" x14ac:dyDescent="0.25">
      <c r="A682" s="2">
        <v>680</v>
      </c>
      <c r="B682" s="2" t="s">
        <v>2088</v>
      </c>
    </row>
    <row r="683" spans="1:2" ht="18.75" customHeight="1" x14ac:dyDescent="0.25">
      <c r="A683" s="2">
        <v>681</v>
      </c>
      <c r="B683" s="2" t="s">
        <v>2091</v>
      </c>
    </row>
    <row r="684" spans="1:2" ht="18.75" customHeight="1" x14ac:dyDescent="0.25">
      <c r="A684" s="2">
        <v>682</v>
      </c>
      <c r="B684" s="2" t="s">
        <v>2092</v>
      </c>
    </row>
    <row r="685" spans="1:2" ht="18.75" customHeight="1" x14ac:dyDescent="0.25">
      <c r="A685" s="2">
        <v>683</v>
      </c>
      <c r="B685" s="19" t="s">
        <v>2093</v>
      </c>
    </row>
    <row r="686" spans="1:2" ht="18.75" customHeight="1" x14ac:dyDescent="0.25">
      <c r="A686" s="2">
        <v>684</v>
      </c>
      <c r="B686" s="2" t="s">
        <v>2096</v>
      </c>
    </row>
    <row r="687" spans="1:2" ht="18.75" customHeight="1" x14ac:dyDescent="0.25">
      <c r="A687" s="2">
        <v>685</v>
      </c>
      <c r="B687" s="19" t="s">
        <v>2098</v>
      </c>
    </row>
    <row r="688" spans="1:2" ht="18.75" customHeight="1" x14ac:dyDescent="0.25">
      <c r="A688" s="2">
        <v>686</v>
      </c>
      <c r="B688" s="19" t="s">
        <v>2100</v>
      </c>
    </row>
    <row r="689" spans="1:2" ht="18.75" customHeight="1" x14ac:dyDescent="0.25">
      <c r="A689" s="2">
        <v>687</v>
      </c>
      <c r="B689" s="19" t="s">
        <v>2101</v>
      </c>
    </row>
    <row r="690" spans="1:2" ht="18.75" customHeight="1" x14ac:dyDescent="0.25">
      <c r="A690" s="2">
        <v>688</v>
      </c>
      <c r="B690" s="19" t="s">
        <v>2102</v>
      </c>
    </row>
    <row r="691" spans="1:2" ht="18.75" customHeight="1" x14ac:dyDescent="0.25">
      <c r="A691" s="2">
        <v>689</v>
      </c>
      <c r="B691" s="2" t="s">
        <v>2104</v>
      </c>
    </row>
    <row r="692" spans="1:2" ht="18.75" customHeight="1" x14ac:dyDescent="0.25">
      <c r="A692" s="2">
        <v>690</v>
      </c>
      <c r="B692" s="2" t="s">
        <v>2105</v>
      </c>
    </row>
    <row r="693" spans="1:2" ht="18.75" customHeight="1" x14ac:dyDescent="0.25">
      <c r="A693" s="2">
        <v>691</v>
      </c>
      <c r="B693" s="2" t="s">
        <v>2107</v>
      </c>
    </row>
    <row r="694" spans="1:2" ht="18.75" customHeight="1" x14ac:dyDescent="0.25">
      <c r="A694" s="2">
        <v>692</v>
      </c>
      <c r="B694" s="2" t="s">
        <v>2108</v>
      </c>
    </row>
    <row r="695" spans="1:2" ht="18.75" customHeight="1" x14ac:dyDescent="0.25">
      <c r="A695" s="2">
        <v>693</v>
      </c>
      <c r="B695" s="19" t="s">
        <v>2111</v>
      </c>
    </row>
    <row r="696" spans="1:2" ht="18.75" customHeight="1" x14ac:dyDescent="0.25">
      <c r="A696" s="2">
        <v>694</v>
      </c>
      <c r="B696" s="80" t="s">
        <v>2113</v>
      </c>
    </row>
    <row r="697" spans="1:2" ht="18.75" customHeight="1" x14ac:dyDescent="0.25">
      <c r="A697" s="2">
        <v>695</v>
      </c>
      <c r="B697" s="2" t="s">
        <v>2114</v>
      </c>
    </row>
    <row r="698" spans="1:2" ht="18.75" customHeight="1" x14ac:dyDescent="0.25">
      <c r="A698" s="2">
        <v>696</v>
      </c>
      <c r="B698" t="s">
        <v>2116</v>
      </c>
    </row>
    <row r="699" spans="1:2" ht="18.75" customHeight="1" x14ac:dyDescent="0.25">
      <c r="A699" s="2">
        <v>697</v>
      </c>
      <c r="B699" s="2" t="s">
        <v>2117</v>
      </c>
    </row>
    <row r="700" spans="1:2" ht="18.75" customHeight="1" x14ac:dyDescent="0.25">
      <c r="A700" s="2">
        <v>698</v>
      </c>
      <c r="B700" s="2" t="s">
        <v>2119</v>
      </c>
    </row>
    <row r="701" spans="1:2" ht="18.75" customHeight="1" x14ac:dyDescent="0.25">
      <c r="A701" s="2">
        <v>699</v>
      </c>
      <c r="B701" s="19" t="s">
        <v>2121</v>
      </c>
    </row>
    <row r="702" spans="1:2" ht="18.75" customHeight="1" x14ac:dyDescent="0.25">
      <c r="A702" s="2">
        <v>700</v>
      </c>
      <c r="B702" s="19" t="s">
        <v>2122</v>
      </c>
    </row>
    <row r="703" spans="1:2" ht="18.75" customHeight="1" x14ac:dyDescent="0.25">
      <c r="A703" s="2">
        <v>701</v>
      </c>
      <c r="B703" s="109" t="s">
        <v>2124</v>
      </c>
    </row>
    <row r="704" spans="1:2" ht="18.75" customHeight="1" x14ac:dyDescent="0.25">
      <c r="A704" s="2">
        <v>702</v>
      </c>
      <c r="B704" s="2" t="s">
        <v>2125</v>
      </c>
    </row>
    <row r="705" spans="1:2" ht="18.75" customHeight="1" x14ac:dyDescent="0.25">
      <c r="A705" s="2">
        <v>703</v>
      </c>
      <c r="B705" s="19" t="s">
        <v>2128</v>
      </c>
    </row>
    <row r="706" spans="1:2" ht="18.75" customHeight="1" x14ac:dyDescent="0.25">
      <c r="A706" s="2">
        <v>704</v>
      </c>
      <c r="B706" s="2" t="s">
        <v>2131</v>
      </c>
    </row>
    <row r="707" spans="1:2" ht="18.75" customHeight="1" x14ac:dyDescent="0.25">
      <c r="A707" s="2">
        <v>705</v>
      </c>
      <c r="B707" t="s">
        <v>2132</v>
      </c>
    </row>
    <row r="708" spans="1:2" ht="18.75" customHeight="1" x14ac:dyDescent="0.25">
      <c r="A708" s="2">
        <v>706</v>
      </c>
      <c r="B708" s="2" t="s">
        <v>2135</v>
      </c>
    </row>
    <row r="709" spans="1:2" ht="18.75" customHeight="1" x14ac:dyDescent="0.25">
      <c r="A709" s="2">
        <v>707</v>
      </c>
      <c r="B709" t="s">
        <v>2137</v>
      </c>
    </row>
    <row r="710" spans="1:2" ht="18.75" customHeight="1" x14ac:dyDescent="0.25">
      <c r="A710" s="2">
        <v>708</v>
      </c>
      <c r="B710" t="s">
        <v>2139</v>
      </c>
    </row>
    <row r="711" spans="1:2" ht="18.75" customHeight="1" x14ac:dyDescent="0.25">
      <c r="A711" s="2">
        <v>709</v>
      </c>
      <c r="B711" s="20" t="s">
        <v>2141</v>
      </c>
    </row>
    <row r="712" spans="1:2" ht="18.75" customHeight="1" x14ac:dyDescent="0.25">
      <c r="A712" s="2">
        <v>710</v>
      </c>
      <c r="B712" s="20" t="s">
        <v>945</v>
      </c>
    </row>
    <row r="713" spans="1:2" ht="18.75" customHeight="1" x14ac:dyDescent="0.25">
      <c r="A713" s="2">
        <v>711</v>
      </c>
      <c r="B713" s="2" t="s">
        <v>2144</v>
      </c>
    </row>
    <row r="714" spans="1:2" ht="18.75" customHeight="1" x14ac:dyDescent="0.25">
      <c r="A714" s="2">
        <v>712</v>
      </c>
      <c r="B714" s="2" t="s">
        <v>2145</v>
      </c>
    </row>
    <row r="715" spans="1:2" ht="18.75" customHeight="1" x14ac:dyDescent="0.25">
      <c r="A715" s="2">
        <v>713</v>
      </c>
      <c r="B715" s="19" t="s">
        <v>2155</v>
      </c>
    </row>
    <row r="716" spans="1:2" ht="18.75" customHeight="1" x14ac:dyDescent="0.25">
      <c r="A716" s="2">
        <v>714</v>
      </c>
      <c r="B716" s="19" t="s">
        <v>2156</v>
      </c>
    </row>
    <row r="717" spans="1:2" ht="18.75" customHeight="1" x14ac:dyDescent="0.25">
      <c r="A717" s="2">
        <v>715</v>
      </c>
      <c r="B717" s="19" t="s">
        <v>2158</v>
      </c>
    </row>
    <row r="718" spans="1:2" ht="18.75" customHeight="1" x14ac:dyDescent="0.25">
      <c r="A718" s="2">
        <v>716</v>
      </c>
      <c r="B718" s="2" t="s">
        <v>2160</v>
      </c>
    </row>
    <row r="719" spans="1:2" ht="18.75" customHeight="1" x14ac:dyDescent="0.25">
      <c r="A719" s="2">
        <v>717</v>
      </c>
      <c r="B719" s="2" t="s">
        <v>5787</v>
      </c>
    </row>
    <row r="720" spans="1:2" ht="18.75" customHeight="1" x14ac:dyDescent="0.25">
      <c r="A720" s="2">
        <v>718</v>
      </c>
      <c r="B720" s="2" t="s">
        <v>2164</v>
      </c>
    </row>
    <row r="721" spans="1:2" ht="18.75" customHeight="1" x14ac:dyDescent="0.25">
      <c r="A721" s="2">
        <v>719</v>
      </c>
      <c r="B721" s="2" t="s">
        <v>2166</v>
      </c>
    </row>
    <row r="722" spans="1:2" ht="18.75" customHeight="1" x14ac:dyDescent="0.25">
      <c r="A722" s="2">
        <v>720</v>
      </c>
      <c r="B722" s="19" t="s">
        <v>2168</v>
      </c>
    </row>
    <row r="723" spans="1:2" ht="18.75" customHeight="1" x14ac:dyDescent="0.25">
      <c r="A723" s="2">
        <v>721</v>
      </c>
      <c r="B723" s="2" t="s">
        <v>2169</v>
      </c>
    </row>
    <row r="724" spans="1:2" ht="18.75" customHeight="1" x14ac:dyDescent="0.25">
      <c r="A724" s="2">
        <v>722</v>
      </c>
      <c r="B724" s="2" t="s">
        <v>2173</v>
      </c>
    </row>
    <row r="725" spans="1:2" ht="18.75" customHeight="1" x14ac:dyDescent="0.25">
      <c r="A725" s="2">
        <v>723</v>
      </c>
      <c r="B725" s="2" t="s">
        <v>2174</v>
      </c>
    </row>
    <row r="726" spans="1:2" ht="18.75" customHeight="1" x14ac:dyDescent="0.25">
      <c r="A726" s="2">
        <v>724</v>
      </c>
      <c r="B726" s="2" t="s">
        <v>2175</v>
      </c>
    </row>
    <row r="727" spans="1:2" ht="18.75" customHeight="1" x14ac:dyDescent="0.25">
      <c r="A727" s="2">
        <v>725</v>
      </c>
      <c r="B727" s="2" t="s">
        <v>2176</v>
      </c>
    </row>
    <row r="728" spans="1:2" ht="18.75" customHeight="1" x14ac:dyDescent="0.25">
      <c r="A728" s="2">
        <v>726</v>
      </c>
      <c r="B728" s="19" t="s">
        <v>2177</v>
      </c>
    </row>
    <row r="729" spans="1:2" ht="18.75" customHeight="1" x14ac:dyDescent="0.25">
      <c r="A729" s="2">
        <v>727</v>
      </c>
      <c r="B729" s="2" t="s">
        <v>2181</v>
      </c>
    </row>
    <row r="730" spans="1:2" ht="18.75" customHeight="1" x14ac:dyDescent="0.25">
      <c r="A730" s="2">
        <v>728</v>
      </c>
      <c r="B730" s="2" t="s">
        <v>2184</v>
      </c>
    </row>
    <row r="731" spans="1:2" ht="18.75" customHeight="1" x14ac:dyDescent="0.25">
      <c r="A731" s="2">
        <v>729</v>
      </c>
      <c r="B731" s="2" t="s">
        <v>2185</v>
      </c>
    </row>
    <row r="732" spans="1:2" ht="18.75" customHeight="1" x14ac:dyDescent="0.25">
      <c r="A732" s="2">
        <v>730</v>
      </c>
      <c r="B732" s="2" t="s">
        <v>2187</v>
      </c>
    </row>
    <row r="733" spans="1:2" ht="18.75" customHeight="1" x14ac:dyDescent="0.25">
      <c r="A733" s="2">
        <v>731</v>
      </c>
      <c r="B733" s="2" t="s">
        <v>2190</v>
      </c>
    </row>
    <row r="734" spans="1:2" ht="18.75" customHeight="1" x14ac:dyDescent="0.25">
      <c r="A734" s="2">
        <v>732</v>
      </c>
      <c r="B734" s="2" t="s">
        <v>2194</v>
      </c>
    </row>
    <row r="735" spans="1:2" ht="18.75" customHeight="1" x14ac:dyDescent="0.25">
      <c r="A735" s="2">
        <v>733</v>
      </c>
      <c r="B735" s="19" t="s">
        <v>2197</v>
      </c>
    </row>
    <row r="736" spans="1:2" ht="18.75" customHeight="1" x14ac:dyDescent="0.25">
      <c r="A736" s="2">
        <v>734</v>
      </c>
      <c r="B736" s="19" t="s">
        <v>2202</v>
      </c>
    </row>
    <row r="737" spans="1:2" ht="18.75" customHeight="1" x14ac:dyDescent="0.25">
      <c r="A737" s="2">
        <v>735</v>
      </c>
      <c r="B737" s="2" t="s">
        <v>2204</v>
      </c>
    </row>
    <row r="738" spans="1:2" ht="18.75" customHeight="1" x14ac:dyDescent="0.25">
      <c r="A738" s="2">
        <v>736</v>
      </c>
      <c r="B738" s="2" t="s">
        <v>2205</v>
      </c>
    </row>
    <row r="739" spans="1:2" ht="18.75" customHeight="1" x14ac:dyDescent="0.25">
      <c r="A739" s="2">
        <v>737</v>
      </c>
      <c r="B739" s="2" t="s">
        <v>2210</v>
      </c>
    </row>
    <row r="740" spans="1:2" ht="18.75" customHeight="1" x14ac:dyDescent="0.25">
      <c r="A740" s="2">
        <v>738</v>
      </c>
      <c r="B740" s="19" t="s">
        <v>2219</v>
      </c>
    </row>
    <row r="741" spans="1:2" ht="18.75" customHeight="1" x14ac:dyDescent="0.25">
      <c r="A741" s="2">
        <v>739</v>
      </c>
      <c r="B741" s="19" t="s">
        <v>2220</v>
      </c>
    </row>
    <row r="742" spans="1:2" ht="18.75" customHeight="1" x14ac:dyDescent="0.25">
      <c r="A742" s="2">
        <v>740</v>
      </c>
      <c r="B742" s="2" t="s">
        <v>2223</v>
      </c>
    </row>
    <row r="743" spans="1:2" ht="18.75" customHeight="1" x14ac:dyDescent="0.25">
      <c r="A743" s="2">
        <v>741</v>
      </c>
      <c r="B743" s="2" t="s">
        <v>2226</v>
      </c>
    </row>
    <row r="744" spans="1:2" ht="18.75" customHeight="1" x14ac:dyDescent="0.25">
      <c r="A744" s="2">
        <v>742</v>
      </c>
      <c r="B744" s="2" t="s">
        <v>2227</v>
      </c>
    </row>
    <row r="745" spans="1:2" ht="18.75" customHeight="1" x14ac:dyDescent="0.25">
      <c r="A745" s="2">
        <v>743</v>
      </c>
      <c r="B745" s="19" t="s">
        <v>6574</v>
      </c>
    </row>
    <row r="746" spans="1:2" ht="18.75" customHeight="1" x14ac:dyDescent="0.25">
      <c r="A746" s="2">
        <v>744</v>
      </c>
      <c r="B746" s="2" t="s">
        <v>2230</v>
      </c>
    </row>
    <row r="747" spans="1:2" ht="18.75" customHeight="1" x14ac:dyDescent="0.25">
      <c r="A747" s="2">
        <v>745</v>
      </c>
      <c r="B747" s="109" t="s">
        <v>2231</v>
      </c>
    </row>
    <row r="748" spans="1:2" ht="18.75" customHeight="1" x14ac:dyDescent="0.25">
      <c r="A748" s="2">
        <v>746</v>
      </c>
      <c r="B748" s="2" t="s">
        <v>2233</v>
      </c>
    </row>
    <row r="749" spans="1:2" ht="18.75" customHeight="1" x14ac:dyDescent="0.25">
      <c r="A749" s="2">
        <v>747</v>
      </c>
      <c r="B749" s="19" t="s">
        <v>2236</v>
      </c>
    </row>
    <row r="750" spans="1:2" ht="18.75" customHeight="1" x14ac:dyDescent="0.25">
      <c r="A750" s="2">
        <v>748</v>
      </c>
      <c r="B750" s="2" t="s">
        <v>2237</v>
      </c>
    </row>
    <row r="751" spans="1:2" ht="18.75" customHeight="1" x14ac:dyDescent="0.25">
      <c r="A751" s="2">
        <v>749</v>
      </c>
      <c r="B751" s="2" t="s">
        <v>2239</v>
      </c>
    </row>
    <row r="752" spans="1:2" ht="18.75" customHeight="1" x14ac:dyDescent="0.25">
      <c r="A752" s="2">
        <v>750</v>
      </c>
      <c r="B752" s="2" t="s">
        <v>2241</v>
      </c>
    </row>
    <row r="753" spans="1:2" ht="18.75" customHeight="1" x14ac:dyDescent="0.25">
      <c r="A753" s="2">
        <v>751</v>
      </c>
      <c r="B753" s="2" t="s">
        <v>2245</v>
      </c>
    </row>
    <row r="754" spans="1:2" ht="18.75" customHeight="1" x14ac:dyDescent="0.25">
      <c r="A754" s="2">
        <v>752</v>
      </c>
      <c r="B754" s="2" t="s">
        <v>2251</v>
      </c>
    </row>
    <row r="755" spans="1:2" ht="18.75" customHeight="1" x14ac:dyDescent="0.25">
      <c r="A755" s="2">
        <v>753</v>
      </c>
      <c r="B755" s="19" t="s">
        <v>2243</v>
      </c>
    </row>
    <row r="756" spans="1:2" ht="18.75" customHeight="1" x14ac:dyDescent="0.25">
      <c r="A756" s="2">
        <v>754</v>
      </c>
      <c r="B756" s="2" t="s">
        <v>2254</v>
      </c>
    </row>
    <row r="757" spans="1:2" ht="18.75" customHeight="1" x14ac:dyDescent="0.25">
      <c r="A757" s="2">
        <v>755</v>
      </c>
      <c r="B757" s="2" t="s">
        <v>2255</v>
      </c>
    </row>
    <row r="758" spans="1:2" ht="18.75" customHeight="1" x14ac:dyDescent="0.25">
      <c r="A758" s="2">
        <v>756</v>
      </c>
      <c r="B758" s="19" t="s">
        <v>2255</v>
      </c>
    </row>
    <row r="759" spans="1:2" ht="18.75" customHeight="1" x14ac:dyDescent="0.25">
      <c r="A759" s="2">
        <v>757</v>
      </c>
      <c r="B759" s="2" t="s">
        <v>6563</v>
      </c>
    </row>
    <row r="760" spans="1:2" ht="18.75" customHeight="1" x14ac:dyDescent="0.25">
      <c r="A760" s="2">
        <v>758</v>
      </c>
      <c r="B760" s="2" t="s">
        <v>2258</v>
      </c>
    </row>
    <row r="761" spans="1:2" ht="18.75" customHeight="1" x14ac:dyDescent="0.25">
      <c r="A761" s="2">
        <v>759</v>
      </c>
      <c r="B761" s="2" t="s">
        <v>2262</v>
      </c>
    </row>
    <row r="762" spans="1:2" ht="18.75" customHeight="1" x14ac:dyDescent="0.25">
      <c r="A762" s="2">
        <v>760</v>
      </c>
      <c r="B762" s="2" t="s">
        <v>2266</v>
      </c>
    </row>
    <row r="763" spans="1:2" ht="18.75" customHeight="1" x14ac:dyDescent="0.25">
      <c r="A763" s="2">
        <v>761</v>
      </c>
      <c r="B763" s="19" t="s">
        <v>2268</v>
      </c>
    </row>
    <row r="764" spans="1:2" ht="18.75" customHeight="1" x14ac:dyDescent="0.25">
      <c r="A764" s="2">
        <v>762</v>
      </c>
      <c r="B764" s="2" t="s">
        <v>2294</v>
      </c>
    </row>
    <row r="765" spans="1:2" ht="18.75" customHeight="1" x14ac:dyDescent="0.25">
      <c r="A765" s="2">
        <v>763</v>
      </c>
      <c r="B765" s="2" t="s">
        <v>2290</v>
      </c>
    </row>
    <row r="766" spans="1:2" ht="18.75" customHeight="1" x14ac:dyDescent="0.25">
      <c r="A766" s="2">
        <v>764</v>
      </c>
      <c r="B766" s="2" t="s">
        <v>2292</v>
      </c>
    </row>
    <row r="767" spans="1:2" ht="18.75" customHeight="1" x14ac:dyDescent="0.25">
      <c r="A767" s="2">
        <v>765</v>
      </c>
      <c r="B767" s="2" t="s">
        <v>2293</v>
      </c>
    </row>
    <row r="768" spans="1:2" ht="18.75" customHeight="1" x14ac:dyDescent="0.25">
      <c r="A768" s="2">
        <v>766</v>
      </c>
      <c r="B768" s="2" t="s">
        <v>2295</v>
      </c>
    </row>
    <row r="769" spans="1:2" ht="18.75" customHeight="1" x14ac:dyDescent="0.25">
      <c r="A769" s="2">
        <v>767</v>
      </c>
      <c r="B769" s="2" t="s">
        <v>2297</v>
      </c>
    </row>
    <row r="770" spans="1:2" ht="18.75" customHeight="1" x14ac:dyDescent="0.25">
      <c r="A770" s="2">
        <v>768</v>
      </c>
      <c r="B770" s="2" t="s">
        <v>2299</v>
      </c>
    </row>
    <row r="771" spans="1:2" ht="18.75" customHeight="1" x14ac:dyDescent="0.25">
      <c r="A771" s="2">
        <v>769</v>
      </c>
      <c r="B771" s="19" t="s">
        <v>2301</v>
      </c>
    </row>
    <row r="772" spans="1:2" ht="18.75" customHeight="1" x14ac:dyDescent="0.25">
      <c r="A772" s="2">
        <v>770</v>
      </c>
      <c r="B772" s="19" t="s">
        <v>2307</v>
      </c>
    </row>
    <row r="773" spans="1:2" ht="18.75" customHeight="1" x14ac:dyDescent="0.25">
      <c r="A773" s="2">
        <v>771</v>
      </c>
      <c r="B773" s="19" t="s">
        <v>2308</v>
      </c>
    </row>
    <row r="774" spans="1:2" ht="18.75" customHeight="1" x14ac:dyDescent="0.25">
      <c r="A774" s="2">
        <v>772</v>
      </c>
      <c r="B774" s="2" t="s">
        <v>2315</v>
      </c>
    </row>
    <row r="775" spans="1:2" ht="18.75" customHeight="1" x14ac:dyDescent="0.25">
      <c r="A775" s="2">
        <v>773</v>
      </c>
      <c r="B775" s="2" t="s">
        <v>2318</v>
      </c>
    </row>
    <row r="776" spans="1:2" ht="18.75" customHeight="1" x14ac:dyDescent="0.25">
      <c r="A776" s="2">
        <v>774</v>
      </c>
      <c r="B776" s="2" t="s">
        <v>2321</v>
      </c>
    </row>
    <row r="777" spans="1:2" ht="18.75" customHeight="1" x14ac:dyDescent="0.25">
      <c r="A777" s="2">
        <v>775</v>
      </c>
      <c r="B777" s="19" t="s">
        <v>4616</v>
      </c>
    </row>
    <row r="778" spans="1:2" ht="18.75" customHeight="1" x14ac:dyDescent="0.25">
      <c r="A778" s="2">
        <v>776</v>
      </c>
      <c r="B778" s="19" t="s">
        <v>2324</v>
      </c>
    </row>
    <row r="779" spans="1:2" ht="18.75" customHeight="1" x14ac:dyDescent="0.25">
      <c r="A779" s="2">
        <v>777</v>
      </c>
      <c r="B779" s="2" t="s">
        <v>2325</v>
      </c>
    </row>
    <row r="780" spans="1:2" ht="18.75" customHeight="1" x14ac:dyDescent="0.25">
      <c r="A780" s="2">
        <v>778</v>
      </c>
      <c r="B780" s="19" t="s">
        <v>2328</v>
      </c>
    </row>
    <row r="781" spans="1:2" ht="18.75" customHeight="1" x14ac:dyDescent="0.25">
      <c r="A781" s="2">
        <v>779</v>
      </c>
      <c r="B781" s="2" t="s">
        <v>2329</v>
      </c>
    </row>
    <row r="782" spans="1:2" ht="18.75" customHeight="1" x14ac:dyDescent="0.25">
      <c r="A782" s="2">
        <v>780</v>
      </c>
      <c r="B782" s="2" t="s">
        <v>2332</v>
      </c>
    </row>
    <row r="783" spans="1:2" ht="18.75" customHeight="1" x14ac:dyDescent="0.25">
      <c r="A783" s="2">
        <v>781</v>
      </c>
      <c r="B783" s="19" t="s">
        <v>2334</v>
      </c>
    </row>
    <row r="784" spans="1:2" ht="18.75" customHeight="1" x14ac:dyDescent="0.25">
      <c r="A784" s="2">
        <v>782</v>
      </c>
      <c r="B784" s="2" t="s">
        <v>2335</v>
      </c>
    </row>
    <row r="785" spans="1:2" ht="18.75" customHeight="1" x14ac:dyDescent="0.25">
      <c r="A785" s="2">
        <v>783</v>
      </c>
      <c r="B785" s="2" t="s">
        <v>2339</v>
      </c>
    </row>
    <row r="786" spans="1:2" ht="18.75" customHeight="1" x14ac:dyDescent="0.25">
      <c r="A786" s="2">
        <v>784</v>
      </c>
      <c r="B786" s="2" t="s">
        <v>2340</v>
      </c>
    </row>
    <row r="787" spans="1:2" ht="18.75" customHeight="1" x14ac:dyDescent="0.25">
      <c r="A787" s="2">
        <v>785</v>
      </c>
      <c r="B787" s="2" t="s">
        <v>2344</v>
      </c>
    </row>
    <row r="788" spans="1:2" ht="18.75" customHeight="1" x14ac:dyDescent="0.25">
      <c r="A788" s="2">
        <v>786</v>
      </c>
      <c r="B788" s="2" t="s">
        <v>2345</v>
      </c>
    </row>
    <row r="789" spans="1:2" ht="18.75" customHeight="1" x14ac:dyDescent="0.25">
      <c r="A789" s="2">
        <v>787</v>
      </c>
      <c r="B789" s="2" t="s">
        <v>2348</v>
      </c>
    </row>
    <row r="790" spans="1:2" ht="18.75" customHeight="1" x14ac:dyDescent="0.25">
      <c r="A790" s="2">
        <v>788</v>
      </c>
      <c r="B790" s="2" t="s">
        <v>2351</v>
      </c>
    </row>
    <row r="791" spans="1:2" ht="18.75" customHeight="1" x14ac:dyDescent="0.25">
      <c r="A791" s="2">
        <v>789</v>
      </c>
      <c r="B791" s="2" t="s">
        <v>2354</v>
      </c>
    </row>
    <row r="792" spans="1:2" ht="18.75" customHeight="1" x14ac:dyDescent="0.25">
      <c r="A792" s="2">
        <v>790</v>
      </c>
      <c r="B792" s="2" t="s">
        <v>2356</v>
      </c>
    </row>
    <row r="793" spans="1:2" ht="18.75" customHeight="1" x14ac:dyDescent="0.25">
      <c r="A793" s="2">
        <v>791</v>
      </c>
      <c r="B793" s="2" t="s">
        <v>2359</v>
      </c>
    </row>
    <row r="794" spans="1:2" ht="18.75" customHeight="1" x14ac:dyDescent="0.25">
      <c r="A794" s="2">
        <v>792</v>
      </c>
      <c r="B794" s="2" t="s">
        <v>2363</v>
      </c>
    </row>
    <row r="795" spans="1:2" ht="18.75" customHeight="1" x14ac:dyDescent="0.25">
      <c r="A795" s="2">
        <v>793</v>
      </c>
      <c r="B795" s="19" t="s">
        <v>2362</v>
      </c>
    </row>
    <row r="796" spans="1:2" ht="18.75" customHeight="1" x14ac:dyDescent="0.25">
      <c r="A796" s="2">
        <v>794</v>
      </c>
      <c r="B796" s="19" t="s">
        <v>2365</v>
      </c>
    </row>
    <row r="797" spans="1:2" ht="18.75" customHeight="1" x14ac:dyDescent="0.25">
      <c r="A797" s="2">
        <v>795</v>
      </c>
      <c r="B797" s="2" t="s">
        <v>2367</v>
      </c>
    </row>
    <row r="798" spans="1:2" ht="18.75" customHeight="1" x14ac:dyDescent="0.25">
      <c r="A798" s="2">
        <v>796</v>
      </c>
      <c r="B798" s="2" t="s">
        <v>2368</v>
      </c>
    </row>
    <row r="799" spans="1:2" ht="18.75" customHeight="1" x14ac:dyDescent="0.25">
      <c r="A799" s="2">
        <v>797</v>
      </c>
      <c r="B799" s="2" t="s">
        <v>2369</v>
      </c>
    </row>
    <row r="800" spans="1:2" ht="18.75" customHeight="1" x14ac:dyDescent="0.25">
      <c r="A800" s="2">
        <v>798</v>
      </c>
      <c r="B800" s="2" t="s">
        <v>2370</v>
      </c>
    </row>
    <row r="801" spans="1:2" ht="18.75" customHeight="1" x14ac:dyDescent="0.25">
      <c r="A801" s="2">
        <v>799</v>
      </c>
      <c r="B801" s="2" t="s">
        <v>2371</v>
      </c>
    </row>
    <row r="802" spans="1:2" ht="18.75" customHeight="1" x14ac:dyDescent="0.25">
      <c r="A802" s="2">
        <v>800</v>
      </c>
      <c r="B802" s="2" t="s">
        <v>2374</v>
      </c>
    </row>
    <row r="803" spans="1:2" ht="18.75" customHeight="1" x14ac:dyDescent="0.25">
      <c r="A803" s="2">
        <v>801</v>
      </c>
      <c r="B803" s="2" t="s">
        <v>2378</v>
      </c>
    </row>
    <row r="804" spans="1:2" ht="18.75" customHeight="1" x14ac:dyDescent="0.25">
      <c r="A804" s="2">
        <v>802</v>
      </c>
      <c r="B804" s="19" t="s">
        <v>2379</v>
      </c>
    </row>
    <row r="805" spans="1:2" ht="18.75" customHeight="1" x14ac:dyDescent="0.25">
      <c r="A805" s="2">
        <v>803</v>
      </c>
      <c r="B805" s="2" t="s">
        <v>2381</v>
      </c>
    </row>
    <row r="806" spans="1:2" ht="18.75" customHeight="1" x14ac:dyDescent="0.25">
      <c r="A806" s="2">
        <v>804</v>
      </c>
      <c r="B806" s="2" t="s">
        <v>2385</v>
      </c>
    </row>
    <row r="807" spans="1:2" ht="18.75" customHeight="1" x14ac:dyDescent="0.25">
      <c r="A807" s="2">
        <v>805</v>
      </c>
      <c r="B807" s="19" t="s">
        <v>2387</v>
      </c>
    </row>
    <row r="808" spans="1:2" ht="18.75" customHeight="1" x14ac:dyDescent="0.25">
      <c r="A808" s="2">
        <v>806</v>
      </c>
      <c r="B808" s="2" t="s">
        <v>2388</v>
      </c>
    </row>
    <row r="809" spans="1:2" ht="18.75" customHeight="1" x14ac:dyDescent="0.25">
      <c r="A809" s="2">
        <v>807</v>
      </c>
      <c r="B809" s="2" t="s">
        <v>2392</v>
      </c>
    </row>
    <row r="810" spans="1:2" ht="18.75" customHeight="1" x14ac:dyDescent="0.25">
      <c r="A810" s="2">
        <v>808</v>
      </c>
      <c r="B810" s="19" t="s">
        <v>2394</v>
      </c>
    </row>
    <row r="811" spans="1:2" ht="18.75" customHeight="1" x14ac:dyDescent="0.25">
      <c r="A811" s="2">
        <v>809</v>
      </c>
      <c r="B811" s="2" t="s">
        <v>2395</v>
      </c>
    </row>
    <row r="812" spans="1:2" ht="18.75" customHeight="1" x14ac:dyDescent="0.25">
      <c r="A812" s="2">
        <v>810</v>
      </c>
      <c r="B812" s="2" t="s">
        <v>2399</v>
      </c>
    </row>
    <row r="813" spans="1:2" ht="18.75" customHeight="1" x14ac:dyDescent="0.25">
      <c r="A813" s="2">
        <v>811</v>
      </c>
      <c r="B813" s="2" t="s">
        <v>2400</v>
      </c>
    </row>
    <row r="814" spans="1:2" ht="18.75" customHeight="1" x14ac:dyDescent="0.25">
      <c r="A814" s="2">
        <v>812</v>
      </c>
      <c r="B814" s="2" t="s">
        <v>2402</v>
      </c>
    </row>
    <row r="815" spans="1:2" ht="18.75" customHeight="1" x14ac:dyDescent="0.25">
      <c r="A815" s="2">
        <v>813</v>
      </c>
      <c r="B815" s="2" t="s">
        <v>2403</v>
      </c>
    </row>
    <row r="816" spans="1:2" ht="18.75" customHeight="1" x14ac:dyDescent="0.25">
      <c r="A816" s="2">
        <v>814</v>
      </c>
      <c r="B816" s="2" t="s">
        <v>2404</v>
      </c>
    </row>
    <row r="817" spans="1:2" ht="18.75" customHeight="1" x14ac:dyDescent="0.25">
      <c r="A817" s="2">
        <v>815</v>
      </c>
      <c r="B817" s="2" t="s">
        <v>2405</v>
      </c>
    </row>
    <row r="818" spans="1:2" ht="18.75" customHeight="1" x14ac:dyDescent="0.25">
      <c r="A818" s="2">
        <v>816</v>
      </c>
      <c r="B818" s="2" t="s">
        <v>2406</v>
      </c>
    </row>
    <row r="819" spans="1:2" ht="18.75" customHeight="1" x14ac:dyDescent="0.25">
      <c r="A819" s="2">
        <v>817</v>
      </c>
      <c r="B819" s="2" t="s">
        <v>2407</v>
      </c>
    </row>
    <row r="820" spans="1:2" ht="18.75" customHeight="1" x14ac:dyDescent="0.25">
      <c r="A820" s="2">
        <v>818</v>
      </c>
      <c r="B820" s="2" t="s">
        <v>2409</v>
      </c>
    </row>
    <row r="821" spans="1:2" ht="18.75" customHeight="1" x14ac:dyDescent="0.25">
      <c r="A821" s="2">
        <v>819</v>
      </c>
      <c r="B821" s="2" t="s">
        <v>2411</v>
      </c>
    </row>
    <row r="822" spans="1:2" ht="18.75" customHeight="1" x14ac:dyDescent="0.25">
      <c r="A822" s="2">
        <v>820</v>
      </c>
      <c r="B822" s="2" t="s">
        <v>2413</v>
      </c>
    </row>
    <row r="823" spans="1:2" ht="18.75" customHeight="1" x14ac:dyDescent="0.25">
      <c r="A823" s="2">
        <v>821</v>
      </c>
      <c r="B823" s="2" t="s">
        <v>2416</v>
      </c>
    </row>
    <row r="824" spans="1:2" ht="18.75" customHeight="1" x14ac:dyDescent="0.25">
      <c r="A824" s="2">
        <v>822</v>
      </c>
      <c r="B824" s="2" t="s">
        <v>2417</v>
      </c>
    </row>
    <row r="825" spans="1:2" ht="18.75" customHeight="1" x14ac:dyDescent="0.25">
      <c r="A825" s="2">
        <v>823</v>
      </c>
      <c r="B825" s="2" t="s">
        <v>2420</v>
      </c>
    </row>
    <row r="826" spans="1:2" ht="18.75" customHeight="1" x14ac:dyDescent="0.25">
      <c r="A826" s="2">
        <v>824</v>
      </c>
      <c r="B826" s="2" t="s">
        <v>2422</v>
      </c>
    </row>
    <row r="827" spans="1:2" ht="18.75" customHeight="1" x14ac:dyDescent="0.25">
      <c r="A827" s="2">
        <v>825</v>
      </c>
      <c r="B827" s="2" t="s">
        <v>2425</v>
      </c>
    </row>
    <row r="828" spans="1:2" ht="18.75" customHeight="1" x14ac:dyDescent="0.25">
      <c r="A828" s="2">
        <v>826</v>
      </c>
      <c r="B828" s="2" t="s">
        <v>2430</v>
      </c>
    </row>
    <row r="829" spans="1:2" ht="18.75" customHeight="1" x14ac:dyDescent="0.25">
      <c r="A829" s="2">
        <v>827</v>
      </c>
      <c r="B829" s="19" t="s">
        <v>2428</v>
      </c>
    </row>
    <row r="830" spans="1:2" ht="18.75" customHeight="1" x14ac:dyDescent="0.25">
      <c r="A830" s="2">
        <v>828</v>
      </c>
      <c r="B830" s="2" t="s">
        <v>2433</v>
      </c>
    </row>
    <row r="831" spans="1:2" ht="18.75" customHeight="1" x14ac:dyDescent="0.25">
      <c r="A831" s="2">
        <v>829</v>
      </c>
      <c r="B831" s="2" t="s">
        <v>2434</v>
      </c>
    </row>
    <row r="832" spans="1:2" ht="18.75" customHeight="1" x14ac:dyDescent="0.25">
      <c r="A832" s="2">
        <v>830</v>
      </c>
      <c r="B832" s="19" t="s">
        <v>2435</v>
      </c>
    </row>
    <row r="833" spans="1:2" ht="18.75" customHeight="1" x14ac:dyDescent="0.25">
      <c r="A833" s="2">
        <v>831</v>
      </c>
      <c r="B833" s="19" t="s">
        <v>2446</v>
      </c>
    </row>
    <row r="834" spans="1:2" ht="18.75" customHeight="1" x14ac:dyDescent="0.25">
      <c r="A834" s="2">
        <v>832</v>
      </c>
      <c r="B834" s="2" t="s">
        <v>2456</v>
      </c>
    </row>
    <row r="835" spans="1:2" ht="18.75" customHeight="1" x14ac:dyDescent="0.25">
      <c r="A835" s="2">
        <v>833</v>
      </c>
      <c r="B835" s="19" t="s">
        <v>2455</v>
      </c>
    </row>
    <row r="836" spans="1:2" ht="18.75" customHeight="1" x14ac:dyDescent="0.25">
      <c r="A836" s="2">
        <v>834</v>
      </c>
      <c r="B836" s="19" t="s">
        <v>2454</v>
      </c>
    </row>
    <row r="837" spans="1:2" ht="18.75" customHeight="1" x14ac:dyDescent="0.25">
      <c r="A837" s="2">
        <v>835</v>
      </c>
      <c r="B837" s="2" t="s">
        <v>2457</v>
      </c>
    </row>
    <row r="838" spans="1:2" ht="18.75" customHeight="1" x14ac:dyDescent="0.25">
      <c r="A838" s="2">
        <v>836</v>
      </c>
      <c r="B838" s="19" t="s">
        <v>2453</v>
      </c>
    </row>
    <row r="839" spans="1:2" ht="18.75" customHeight="1" x14ac:dyDescent="0.25">
      <c r="A839" s="2">
        <v>837</v>
      </c>
      <c r="B839" s="19" t="s">
        <v>2447</v>
      </c>
    </row>
    <row r="840" spans="1:2" ht="18.75" customHeight="1" x14ac:dyDescent="0.25">
      <c r="A840" s="2">
        <v>838</v>
      </c>
      <c r="B840" s="109" t="s">
        <v>2451</v>
      </c>
    </row>
    <row r="841" spans="1:2" ht="18.75" customHeight="1" x14ac:dyDescent="0.25">
      <c r="A841" s="2">
        <v>839</v>
      </c>
      <c r="B841" s="19" t="s">
        <v>2458</v>
      </c>
    </row>
    <row r="842" spans="1:2" ht="18.75" customHeight="1" x14ac:dyDescent="0.25">
      <c r="A842" s="2">
        <v>840</v>
      </c>
      <c r="B842" s="2" t="s">
        <v>2459</v>
      </c>
    </row>
    <row r="843" spans="1:2" ht="18.75" customHeight="1" x14ac:dyDescent="0.25">
      <c r="A843" s="2">
        <v>841</v>
      </c>
      <c r="B843" s="2" t="s">
        <v>2460</v>
      </c>
    </row>
    <row r="844" spans="1:2" ht="18.75" customHeight="1" x14ac:dyDescent="0.25">
      <c r="A844" s="2">
        <v>842</v>
      </c>
      <c r="B844" s="19" t="s">
        <v>2462</v>
      </c>
    </row>
    <row r="845" spans="1:2" ht="18.75" customHeight="1" x14ac:dyDescent="0.25">
      <c r="A845" s="2">
        <v>843</v>
      </c>
      <c r="B845" s="2" t="s">
        <v>2464</v>
      </c>
    </row>
    <row r="846" spans="1:2" ht="18.75" customHeight="1" x14ac:dyDescent="0.25">
      <c r="A846" s="2">
        <v>844</v>
      </c>
      <c r="B846" s="2" t="s">
        <v>2467</v>
      </c>
    </row>
    <row r="847" spans="1:2" ht="18.75" customHeight="1" x14ac:dyDescent="0.25">
      <c r="A847" s="2">
        <v>845</v>
      </c>
      <c r="B847" s="2" t="s">
        <v>2475</v>
      </c>
    </row>
    <row r="848" spans="1:2" ht="18.75" customHeight="1" x14ac:dyDescent="0.25">
      <c r="A848" s="2">
        <v>846</v>
      </c>
      <c r="B848" s="19" t="s">
        <v>2479</v>
      </c>
    </row>
    <row r="849" spans="1:2" ht="18.75" customHeight="1" x14ac:dyDescent="0.25">
      <c r="A849" s="2">
        <v>847</v>
      </c>
      <c r="B849" s="2" t="s">
        <v>2481</v>
      </c>
    </row>
    <row r="850" spans="1:2" ht="18.75" customHeight="1" x14ac:dyDescent="0.25">
      <c r="A850" s="2">
        <v>848</v>
      </c>
      <c r="B850" s="2" t="s">
        <v>2483</v>
      </c>
    </row>
    <row r="851" spans="1:2" ht="18.75" customHeight="1" x14ac:dyDescent="0.25">
      <c r="A851" s="2">
        <v>849</v>
      </c>
      <c r="B851" s="2" t="s">
        <v>2486</v>
      </c>
    </row>
    <row r="852" spans="1:2" ht="18.75" customHeight="1" x14ac:dyDescent="0.25">
      <c r="A852" s="2">
        <v>850</v>
      </c>
      <c r="B852" s="2" t="s">
        <v>2492</v>
      </c>
    </row>
    <row r="853" spans="1:2" ht="18.75" customHeight="1" x14ac:dyDescent="0.25">
      <c r="A853" s="2">
        <v>851</v>
      </c>
      <c r="B853" s="2" t="s">
        <v>2494</v>
      </c>
    </row>
    <row r="854" spans="1:2" ht="18.75" customHeight="1" x14ac:dyDescent="0.25">
      <c r="A854" s="2">
        <v>852</v>
      </c>
      <c r="B854" s="2" t="s">
        <v>2498</v>
      </c>
    </row>
    <row r="855" spans="1:2" ht="18.75" customHeight="1" x14ac:dyDescent="0.25">
      <c r="A855" s="2">
        <v>853</v>
      </c>
      <c r="B855" s="19" t="s">
        <v>2459</v>
      </c>
    </row>
    <row r="856" spans="1:2" ht="18.75" customHeight="1" x14ac:dyDescent="0.25">
      <c r="A856" s="2">
        <v>854</v>
      </c>
      <c r="B856" s="2" t="s">
        <v>2507</v>
      </c>
    </row>
    <row r="857" spans="1:2" ht="18.75" customHeight="1" x14ac:dyDescent="0.25">
      <c r="A857" s="2">
        <v>855</v>
      </c>
      <c r="B857" s="2" t="s">
        <v>2513</v>
      </c>
    </row>
    <row r="858" spans="1:2" ht="18.75" customHeight="1" x14ac:dyDescent="0.25">
      <c r="A858" s="2">
        <v>856</v>
      </c>
      <c r="B858" s="2" t="s">
        <v>2520</v>
      </c>
    </row>
    <row r="859" spans="1:2" ht="18.75" customHeight="1" x14ac:dyDescent="0.25">
      <c r="A859" s="2">
        <v>857</v>
      </c>
      <c r="B859" s="19" t="s">
        <v>2523</v>
      </c>
    </row>
    <row r="860" spans="1:2" ht="18.75" customHeight="1" x14ac:dyDescent="0.25">
      <c r="A860" s="2">
        <v>858</v>
      </c>
      <c r="B860" s="19" t="s">
        <v>2524</v>
      </c>
    </row>
    <row r="861" spans="1:2" ht="18.75" customHeight="1" x14ac:dyDescent="0.25">
      <c r="A861" s="2">
        <v>859</v>
      </c>
      <c r="B861" s="19" t="s">
        <v>2528</v>
      </c>
    </row>
    <row r="862" spans="1:2" ht="18.75" customHeight="1" x14ac:dyDescent="0.25">
      <c r="A862" s="2">
        <v>860</v>
      </c>
      <c r="B862" s="19" t="s">
        <v>2530</v>
      </c>
    </row>
    <row r="863" spans="1:2" ht="18.75" customHeight="1" x14ac:dyDescent="0.25">
      <c r="A863" s="2">
        <v>861</v>
      </c>
      <c r="B863" s="109" t="s">
        <v>2533</v>
      </c>
    </row>
    <row r="864" spans="1:2" ht="18.75" customHeight="1" x14ac:dyDescent="0.25">
      <c r="A864" s="2">
        <v>862</v>
      </c>
      <c r="B864" s="2" t="s">
        <v>2535</v>
      </c>
    </row>
    <row r="865" spans="1:2" ht="18.75" customHeight="1" x14ac:dyDescent="0.25">
      <c r="A865" s="2">
        <v>863</v>
      </c>
      <c r="B865" s="19" t="s">
        <v>2536</v>
      </c>
    </row>
    <row r="866" spans="1:2" ht="18.75" customHeight="1" x14ac:dyDescent="0.25">
      <c r="A866" s="2">
        <v>864</v>
      </c>
      <c r="B866" s="2" t="s">
        <v>2539</v>
      </c>
    </row>
    <row r="867" spans="1:2" ht="18.75" customHeight="1" x14ac:dyDescent="0.25">
      <c r="A867" s="2">
        <v>865</v>
      </c>
      <c r="B867" s="2" t="s">
        <v>2540</v>
      </c>
    </row>
    <row r="868" spans="1:2" ht="18.75" customHeight="1" x14ac:dyDescent="0.25">
      <c r="A868" s="2">
        <v>866</v>
      </c>
      <c r="B868" s="2" t="s">
        <v>2542</v>
      </c>
    </row>
    <row r="869" spans="1:2" ht="18.75" customHeight="1" x14ac:dyDescent="0.25">
      <c r="A869" s="2">
        <v>867</v>
      </c>
      <c r="B869" s="2" t="s">
        <v>2546</v>
      </c>
    </row>
    <row r="870" spans="1:2" ht="18.75" customHeight="1" x14ac:dyDescent="0.25">
      <c r="A870" s="2">
        <v>868</v>
      </c>
      <c r="B870" s="2" t="s">
        <v>2549</v>
      </c>
    </row>
    <row r="871" spans="1:2" ht="18.75" customHeight="1" x14ac:dyDescent="0.25">
      <c r="A871" s="2">
        <v>869</v>
      </c>
      <c r="B871" s="2" t="s">
        <v>2551</v>
      </c>
    </row>
    <row r="872" spans="1:2" ht="18.75" customHeight="1" x14ac:dyDescent="0.25">
      <c r="A872" s="2">
        <v>870</v>
      </c>
      <c r="B872" s="2" t="s">
        <v>2553</v>
      </c>
    </row>
    <row r="873" spans="1:2" ht="18.75" customHeight="1" x14ac:dyDescent="0.25">
      <c r="A873" s="2">
        <v>871</v>
      </c>
      <c r="B873" s="2" t="s">
        <v>2555</v>
      </c>
    </row>
    <row r="874" spans="1:2" ht="18.75" customHeight="1" x14ac:dyDescent="0.25">
      <c r="A874" s="2">
        <v>872</v>
      </c>
      <c r="B874" s="2" t="s">
        <v>2558</v>
      </c>
    </row>
    <row r="875" spans="1:2" ht="18.75" customHeight="1" x14ac:dyDescent="0.25">
      <c r="A875" s="2">
        <v>873</v>
      </c>
      <c r="B875" s="19" t="s">
        <v>2560</v>
      </c>
    </row>
    <row r="876" spans="1:2" ht="18.75" customHeight="1" x14ac:dyDescent="0.25">
      <c r="A876" s="2">
        <v>874</v>
      </c>
      <c r="B876" s="2" t="s">
        <v>2564</v>
      </c>
    </row>
    <row r="877" spans="1:2" ht="18.75" customHeight="1" x14ac:dyDescent="0.25">
      <c r="A877" s="2">
        <v>875</v>
      </c>
      <c r="B877" s="2" t="s">
        <v>2565</v>
      </c>
    </row>
    <row r="878" spans="1:2" ht="18.75" customHeight="1" x14ac:dyDescent="0.25">
      <c r="A878" s="2">
        <v>876</v>
      </c>
      <c r="B878" s="2" t="s">
        <v>2566</v>
      </c>
    </row>
    <row r="879" spans="1:2" ht="18.75" customHeight="1" x14ac:dyDescent="0.25">
      <c r="A879" s="2">
        <v>877</v>
      </c>
      <c r="B879" s="2" t="s">
        <v>2567</v>
      </c>
    </row>
    <row r="880" spans="1:2" ht="18.75" customHeight="1" x14ac:dyDescent="0.25">
      <c r="A880" s="2">
        <v>878</v>
      </c>
      <c r="B880" s="19" t="s">
        <v>2568</v>
      </c>
    </row>
    <row r="881" spans="1:2" ht="18.75" customHeight="1" x14ac:dyDescent="0.25">
      <c r="A881" s="2">
        <v>879</v>
      </c>
      <c r="B881" s="2" t="s">
        <v>2569</v>
      </c>
    </row>
    <row r="882" spans="1:2" ht="18.75" customHeight="1" x14ac:dyDescent="0.25">
      <c r="A882" s="2">
        <v>880</v>
      </c>
      <c r="B882" s="2" t="s">
        <v>2570</v>
      </c>
    </row>
    <row r="883" spans="1:2" ht="18.75" customHeight="1" x14ac:dyDescent="0.25">
      <c r="A883" s="2">
        <v>881</v>
      </c>
      <c r="B883" s="19" t="s">
        <v>2571</v>
      </c>
    </row>
    <row r="884" spans="1:2" ht="18.75" customHeight="1" x14ac:dyDescent="0.25">
      <c r="A884" s="2">
        <v>882</v>
      </c>
      <c r="B884" s="2" t="s">
        <v>2572</v>
      </c>
    </row>
    <row r="885" spans="1:2" ht="18.75" customHeight="1" x14ac:dyDescent="0.25">
      <c r="A885" s="2">
        <v>883</v>
      </c>
      <c r="B885" s="2" t="s">
        <v>2574</v>
      </c>
    </row>
    <row r="886" spans="1:2" ht="18.75" customHeight="1" x14ac:dyDescent="0.25">
      <c r="A886" s="2">
        <v>884</v>
      </c>
      <c r="B886" s="2" t="s">
        <v>2575</v>
      </c>
    </row>
    <row r="887" spans="1:2" ht="18.75" customHeight="1" x14ac:dyDescent="0.25">
      <c r="A887" s="2">
        <v>885</v>
      </c>
      <c r="B887" s="19" t="s">
        <v>2576</v>
      </c>
    </row>
    <row r="888" spans="1:2" ht="18.75" customHeight="1" x14ac:dyDescent="0.25">
      <c r="A888" s="2">
        <v>886</v>
      </c>
      <c r="B888" s="19" t="s">
        <v>2580</v>
      </c>
    </row>
    <row r="889" spans="1:2" ht="18.75" customHeight="1" x14ac:dyDescent="0.25">
      <c r="A889" s="2">
        <v>887</v>
      </c>
      <c r="B889" s="2" t="s">
        <v>2582</v>
      </c>
    </row>
    <row r="890" spans="1:2" ht="18.75" customHeight="1" x14ac:dyDescent="0.25">
      <c r="A890" s="2">
        <v>888</v>
      </c>
      <c r="B890" s="2" t="s">
        <v>2585</v>
      </c>
    </row>
    <row r="891" spans="1:2" ht="18.75" customHeight="1" x14ac:dyDescent="0.25">
      <c r="A891" s="2">
        <v>889</v>
      </c>
      <c r="B891" s="19" t="s">
        <v>2588</v>
      </c>
    </row>
    <row r="892" spans="1:2" ht="18.75" customHeight="1" x14ac:dyDescent="0.25">
      <c r="A892" s="2">
        <v>890</v>
      </c>
      <c r="B892" s="2" t="s">
        <v>2599</v>
      </c>
    </row>
    <row r="893" spans="1:2" ht="18.75" customHeight="1" x14ac:dyDescent="0.25">
      <c r="A893" s="2">
        <v>891</v>
      </c>
      <c r="B893" s="2" t="s">
        <v>2600</v>
      </c>
    </row>
    <row r="894" spans="1:2" ht="18.75" customHeight="1" x14ac:dyDescent="0.25">
      <c r="A894" s="2">
        <v>892</v>
      </c>
      <c r="B894" s="2" t="s">
        <v>2601</v>
      </c>
    </row>
    <row r="895" spans="1:2" ht="18.75" customHeight="1" x14ac:dyDescent="0.25">
      <c r="A895" s="2">
        <v>893</v>
      </c>
      <c r="B895" s="2" t="s">
        <v>2603</v>
      </c>
    </row>
    <row r="896" spans="1:2" ht="18.75" customHeight="1" x14ac:dyDescent="0.25">
      <c r="A896" s="2">
        <v>894</v>
      </c>
      <c r="B896" s="2" t="s">
        <v>2606</v>
      </c>
    </row>
    <row r="897" spans="1:2" ht="18.75" customHeight="1" x14ac:dyDescent="0.25">
      <c r="A897" s="2">
        <v>895</v>
      </c>
      <c r="B897" s="19" t="s">
        <v>2607</v>
      </c>
    </row>
    <row r="898" spans="1:2" ht="18.75" customHeight="1" x14ac:dyDescent="0.25">
      <c r="A898" s="2">
        <v>896</v>
      </c>
      <c r="B898" s="2" t="s">
        <v>2609</v>
      </c>
    </row>
    <row r="899" spans="1:2" ht="18.75" customHeight="1" x14ac:dyDescent="0.25">
      <c r="A899" s="2">
        <v>897</v>
      </c>
      <c r="B899" s="2" t="s">
        <v>2610</v>
      </c>
    </row>
    <row r="900" spans="1:2" ht="18.75" customHeight="1" x14ac:dyDescent="0.25">
      <c r="A900" s="2">
        <v>898</v>
      </c>
      <c r="B900" s="19" t="s">
        <v>2611</v>
      </c>
    </row>
    <row r="901" spans="1:2" ht="18.75" customHeight="1" x14ac:dyDescent="0.25">
      <c r="A901" s="2">
        <v>899</v>
      </c>
      <c r="B901" s="2" t="s">
        <v>2612</v>
      </c>
    </row>
    <row r="902" spans="1:2" ht="18.75" customHeight="1" x14ac:dyDescent="0.25">
      <c r="A902" s="2">
        <v>900</v>
      </c>
      <c r="B902" s="2" t="s">
        <v>2617</v>
      </c>
    </row>
    <row r="903" spans="1:2" ht="18.75" customHeight="1" x14ac:dyDescent="0.25">
      <c r="A903" s="2">
        <v>901</v>
      </c>
      <c r="B903" s="19" t="s">
        <v>2619</v>
      </c>
    </row>
    <row r="904" spans="1:2" ht="18.75" customHeight="1" x14ac:dyDescent="0.25">
      <c r="A904" s="2">
        <v>902</v>
      </c>
      <c r="B904" s="19" t="s">
        <v>2621</v>
      </c>
    </row>
    <row r="905" spans="1:2" ht="18.75" customHeight="1" x14ac:dyDescent="0.25">
      <c r="A905" s="2">
        <v>903</v>
      </c>
      <c r="B905" s="19" t="s">
        <v>2623</v>
      </c>
    </row>
    <row r="906" spans="1:2" ht="18.75" customHeight="1" x14ac:dyDescent="0.25">
      <c r="A906" s="2">
        <v>904</v>
      </c>
      <c r="B906" s="2" t="s">
        <v>2625</v>
      </c>
    </row>
    <row r="907" spans="1:2" ht="18.75" customHeight="1" x14ac:dyDescent="0.25">
      <c r="A907" s="2">
        <v>905</v>
      </c>
      <c r="B907" s="19" t="s">
        <v>2627</v>
      </c>
    </row>
    <row r="908" spans="1:2" ht="18.75" customHeight="1" x14ac:dyDescent="0.25">
      <c r="A908" s="2">
        <v>906</v>
      </c>
      <c r="B908" s="19" t="s">
        <v>2628</v>
      </c>
    </row>
    <row r="909" spans="1:2" ht="18.75" customHeight="1" x14ac:dyDescent="0.25">
      <c r="A909" s="2">
        <v>907</v>
      </c>
      <c r="B909" s="2" t="s">
        <v>2629</v>
      </c>
    </row>
    <row r="910" spans="1:2" ht="18.75" customHeight="1" x14ac:dyDescent="0.25">
      <c r="A910" s="2">
        <v>908</v>
      </c>
      <c r="B910" s="2" t="s">
        <v>2631</v>
      </c>
    </row>
    <row r="911" spans="1:2" ht="18.75" customHeight="1" x14ac:dyDescent="0.25">
      <c r="A911" s="2">
        <v>909</v>
      </c>
      <c r="B911" s="2" t="s">
        <v>2632</v>
      </c>
    </row>
    <row r="912" spans="1:2" ht="18.75" customHeight="1" x14ac:dyDescent="0.25">
      <c r="A912" s="2">
        <v>910</v>
      </c>
      <c r="B912" s="2" t="s">
        <v>2633</v>
      </c>
    </row>
    <row r="913" spans="1:2" ht="18.75" customHeight="1" x14ac:dyDescent="0.25">
      <c r="A913" s="2">
        <v>911</v>
      </c>
      <c r="B913" s="2" t="s">
        <v>2636</v>
      </c>
    </row>
    <row r="914" spans="1:2" ht="18.75" customHeight="1" x14ac:dyDescent="0.25">
      <c r="A914" s="2">
        <v>912</v>
      </c>
      <c r="B914" s="2" t="s">
        <v>2638</v>
      </c>
    </row>
    <row r="915" spans="1:2" ht="18.75" customHeight="1" x14ac:dyDescent="0.25">
      <c r="A915" s="2">
        <v>913</v>
      </c>
      <c r="B915" s="19" t="s">
        <v>2643</v>
      </c>
    </row>
    <row r="916" spans="1:2" ht="18.75" customHeight="1" x14ac:dyDescent="0.25">
      <c r="A916" s="2">
        <v>914</v>
      </c>
      <c r="B916" s="2" t="s">
        <v>2645</v>
      </c>
    </row>
    <row r="917" spans="1:2" ht="18.75" customHeight="1" x14ac:dyDescent="0.25">
      <c r="A917" s="2">
        <v>915</v>
      </c>
      <c r="B917" s="2" t="s">
        <v>2647</v>
      </c>
    </row>
    <row r="918" spans="1:2" ht="18.75" customHeight="1" x14ac:dyDescent="0.25">
      <c r="A918" s="2">
        <v>916</v>
      </c>
      <c r="B918" s="2" t="s">
        <v>2649</v>
      </c>
    </row>
    <row r="919" spans="1:2" ht="18.75" customHeight="1" x14ac:dyDescent="0.25">
      <c r="A919" s="2">
        <v>917</v>
      </c>
      <c r="B919" s="2" t="s">
        <v>2652</v>
      </c>
    </row>
    <row r="920" spans="1:2" ht="18.75" customHeight="1" x14ac:dyDescent="0.25">
      <c r="A920" s="2">
        <v>918</v>
      </c>
      <c r="B920" s="2" t="s">
        <v>2653</v>
      </c>
    </row>
    <row r="921" spans="1:2" ht="18.75" customHeight="1" x14ac:dyDescent="0.25">
      <c r="A921" s="2">
        <v>919</v>
      </c>
      <c r="B921" s="2" t="s">
        <v>2654</v>
      </c>
    </row>
    <row r="922" spans="1:2" ht="18.75" customHeight="1" x14ac:dyDescent="0.25">
      <c r="A922" s="2">
        <v>920</v>
      </c>
      <c r="B922" s="19" t="s">
        <v>2656</v>
      </c>
    </row>
    <row r="923" spans="1:2" ht="18.75" customHeight="1" x14ac:dyDescent="0.25">
      <c r="A923" s="2">
        <v>921</v>
      </c>
      <c r="B923" s="2" t="s">
        <v>2667</v>
      </c>
    </row>
    <row r="924" spans="1:2" ht="18.75" customHeight="1" x14ac:dyDescent="0.25">
      <c r="A924" s="2">
        <v>922</v>
      </c>
      <c r="B924" s="19" t="s">
        <v>2669</v>
      </c>
    </row>
    <row r="925" spans="1:2" ht="18.75" customHeight="1" x14ac:dyDescent="0.25">
      <c r="A925" s="2">
        <v>923</v>
      </c>
      <c r="B925" s="2" t="s">
        <v>2671</v>
      </c>
    </row>
    <row r="926" spans="1:2" ht="18.75" customHeight="1" x14ac:dyDescent="0.25">
      <c r="A926" s="2">
        <v>924</v>
      </c>
      <c r="B926" s="19" t="s">
        <v>2672</v>
      </c>
    </row>
    <row r="927" spans="1:2" ht="18.75" customHeight="1" x14ac:dyDescent="0.25">
      <c r="A927" s="2">
        <v>925</v>
      </c>
      <c r="B927" s="2" t="s">
        <v>2673</v>
      </c>
    </row>
    <row r="928" spans="1:2" ht="18.75" customHeight="1" x14ac:dyDescent="0.25">
      <c r="A928" s="2">
        <v>926</v>
      </c>
      <c r="B928" s="19" t="s">
        <v>2676</v>
      </c>
    </row>
    <row r="929" spans="1:2" ht="18.75" customHeight="1" x14ac:dyDescent="0.25">
      <c r="A929" s="2">
        <v>927</v>
      </c>
      <c r="B929" s="19" t="s">
        <v>2679</v>
      </c>
    </row>
    <row r="930" spans="1:2" ht="18.75" customHeight="1" x14ac:dyDescent="0.25">
      <c r="A930" s="2">
        <v>928</v>
      </c>
      <c r="B930" s="19" t="s">
        <v>2680</v>
      </c>
    </row>
    <row r="931" spans="1:2" ht="18.75" customHeight="1" x14ac:dyDescent="0.25">
      <c r="A931" s="2">
        <v>929</v>
      </c>
      <c r="B931" s="19" t="s">
        <v>2683</v>
      </c>
    </row>
    <row r="932" spans="1:2" ht="18.75" customHeight="1" x14ac:dyDescent="0.25">
      <c r="A932" s="2">
        <v>930</v>
      </c>
      <c r="B932" s="2" t="s">
        <v>2685</v>
      </c>
    </row>
    <row r="933" spans="1:2" ht="18.75" customHeight="1" x14ac:dyDescent="0.25">
      <c r="A933" s="2">
        <v>931</v>
      </c>
      <c r="B933" s="2" t="s">
        <v>2058</v>
      </c>
    </row>
    <row r="934" spans="1:2" ht="18.75" customHeight="1" x14ac:dyDescent="0.25">
      <c r="A934" s="2">
        <v>932</v>
      </c>
      <c r="B934" s="19" t="s">
        <v>2688</v>
      </c>
    </row>
    <row r="935" spans="1:2" ht="18.75" customHeight="1" x14ac:dyDescent="0.25">
      <c r="A935" s="2">
        <v>933</v>
      </c>
      <c r="B935" s="2" t="s">
        <v>2691</v>
      </c>
    </row>
    <row r="936" spans="1:2" ht="18.75" customHeight="1" x14ac:dyDescent="0.25">
      <c r="A936" s="2">
        <v>934</v>
      </c>
      <c r="B936" s="2" t="s">
        <v>2692</v>
      </c>
    </row>
    <row r="937" spans="1:2" ht="18.75" customHeight="1" x14ac:dyDescent="0.25">
      <c r="A937" s="2">
        <v>935</v>
      </c>
      <c r="B937" s="2" t="s">
        <v>2695</v>
      </c>
    </row>
    <row r="938" spans="1:2" ht="18.75" customHeight="1" x14ac:dyDescent="0.25">
      <c r="A938" s="2">
        <v>936</v>
      </c>
      <c r="B938" s="2" t="s">
        <v>2696</v>
      </c>
    </row>
    <row r="939" spans="1:2" ht="18.75" customHeight="1" x14ac:dyDescent="0.25">
      <c r="A939" s="2">
        <v>937</v>
      </c>
      <c r="B939" s="2" t="s">
        <v>2702</v>
      </c>
    </row>
    <row r="940" spans="1:2" ht="18.75" customHeight="1" x14ac:dyDescent="0.25">
      <c r="A940" s="2">
        <v>938</v>
      </c>
      <c r="B940" s="2" t="s">
        <v>2703</v>
      </c>
    </row>
    <row r="941" spans="1:2" ht="18.75" customHeight="1" x14ac:dyDescent="0.25">
      <c r="A941" s="2">
        <v>939</v>
      </c>
      <c r="B941" s="2" t="s">
        <v>2706</v>
      </c>
    </row>
    <row r="942" spans="1:2" ht="18.75" customHeight="1" x14ac:dyDescent="0.25">
      <c r="A942" s="2">
        <v>940</v>
      </c>
      <c r="B942" s="2" t="s">
        <v>2707</v>
      </c>
    </row>
    <row r="943" spans="1:2" ht="18.75" customHeight="1" x14ac:dyDescent="0.25">
      <c r="A943" s="2">
        <v>941</v>
      </c>
      <c r="B943" s="2" t="s">
        <v>2710</v>
      </c>
    </row>
    <row r="944" spans="1:2" ht="18.75" customHeight="1" x14ac:dyDescent="0.25">
      <c r="A944" s="2">
        <v>942</v>
      </c>
      <c r="B944" s="109" t="s">
        <v>6635</v>
      </c>
    </row>
    <row r="945" spans="1:2" ht="18.75" customHeight="1" x14ac:dyDescent="0.25">
      <c r="A945" s="2">
        <v>943</v>
      </c>
      <c r="B945" s="2" t="s">
        <v>2714</v>
      </c>
    </row>
    <row r="946" spans="1:2" ht="18.75" customHeight="1" x14ac:dyDescent="0.25">
      <c r="A946" s="2">
        <v>944</v>
      </c>
      <c r="B946" s="19" t="s">
        <v>2718</v>
      </c>
    </row>
    <row r="947" spans="1:2" ht="18.75" customHeight="1" x14ac:dyDescent="0.25">
      <c r="A947" s="2">
        <v>945</v>
      </c>
      <c r="B947" s="19" t="s">
        <v>2719</v>
      </c>
    </row>
    <row r="948" spans="1:2" ht="18.75" customHeight="1" x14ac:dyDescent="0.25">
      <c r="A948" s="2">
        <v>946</v>
      </c>
      <c r="B948" s="2" t="s">
        <v>2728</v>
      </c>
    </row>
    <row r="949" spans="1:2" ht="18.75" customHeight="1" x14ac:dyDescent="0.25">
      <c r="A949" s="2">
        <v>947</v>
      </c>
      <c r="B949" s="19" t="s">
        <v>2730</v>
      </c>
    </row>
    <row r="950" spans="1:2" ht="18.75" customHeight="1" x14ac:dyDescent="0.25">
      <c r="A950" s="2">
        <v>948</v>
      </c>
      <c r="B950" s="19" t="s">
        <v>2731</v>
      </c>
    </row>
    <row r="951" spans="1:2" ht="18.75" customHeight="1" x14ac:dyDescent="0.25">
      <c r="A951" s="2">
        <v>949</v>
      </c>
      <c r="B951" s="19" t="s">
        <v>2732</v>
      </c>
    </row>
    <row r="952" spans="1:2" ht="18.75" customHeight="1" x14ac:dyDescent="0.25">
      <c r="A952" s="2">
        <v>950</v>
      </c>
      <c r="B952" s="109" t="s">
        <v>2738</v>
      </c>
    </row>
    <row r="953" spans="1:2" ht="18.75" customHeight="1" x14ac:dyDescent="0.25">
      <c r="A953" s="2">
        <v>951</v>
      </c>
      <c r="B953" s="2" t="s">
        <v>2742</v>
      </c>
    </row>
    <row r="954" spans="1:2" ht="18.75" customHeight="1" x14ac:dyDescent="0.25">
      <c r="A954" s="2">
        <v>952</v>
      </c>
      <c r="B954" s="19" t="s">
        <v>2748</v>
      </c>
    </row>
    <row r="955" spans="1:2" ht="18.75" customHeight="1" x14ac:dyDescent="0.25">
      <c r="A955" s="2">
        <v>953</v>
      </c>
      <c r="B955" s="2" t="s">
        <v>2750</v>
      </c>
    </row>
    <row r="956" spans="1:2" ht="18.75" customHeight="1" x14ac:dyDescent="0.25">
      <c r="A956" s="2">
        <v>954</v>
      </c>
      <c r="B956" s="2" t="s">
        <v>2751</v>
      </c>
    </row>
    <row r="957" spans="1:2" ht="18.75" customHeight="1" x14ac:dyDescent="0.25">
      <c r="A957" s="2">
        <v>955</v>
      </c>
      <c r="B957" s="19" t="s">
        <v>2753</v>
      </c>
    </row>
    <row r="958" spans="1:2" ht="18.75" customHeight="1" x14ac:dyDescent="0.25">
      <c r="A958" s="2">
        <v>956</v>
      </c>
      <c r="B958" s="19" t="s">
        <v>2754</v>
      </c>
    </row>
    <row r="959" spans="1:2" ht="18.75" customHeight="1" x14ac:dyDescent="0.25">
      <c r="A959" s="2">
        <v>957</v>
      </c>
      <c r="B959" s="2" t="s">
        <v>2756</v>
      </c>
    </row>
    <row r="960" spans="1:2" ht="18.75" customHeight="1" x14ac:dyDescent="0.25">
      <c r="A960" s="2">
        <v>958</v>
      </c>
      <c r="B960" s="19" t="s">
        <v>2756</v>
      </c>
    </row>
    <row r="961" spans="1:2" ht="18.75" customHeight="1" x14ac:dyDescent="0.25">
      <c r="A961" s="2">
        <v>959</v>
      </c>
      <c r="B961" s="2" t="s">
        <v>2769</v>
      </c>
    </row>
    <row r="962" spans="1:2" ht="18.75" customHeight="1" x14ac:dyDescent="0.25">
      <c r="A962" s="2">
        <v>960</v>
      </c>
      <c r="B962" s="2" t="s">
        <v>2771</v>
      </c>
    </row>
    <row r="963" spans="1:2" ht="18.75" customHeight="1" x14ac:dyDescent="0.25">
      <c r="A963" s="2">
        <v>961</v>
      </c>
      <c r="B963" s="19" t="s">
        <v>2765</v>
      </c>
    </row>
    <row r="964" spans="1:2" ht="18.75" customHeight="1" x14ac:dyDescent="0.25">
      <c r="A964" s="2">
        <v>962</v>
      </c>
      <c r="B964" s="19" t="s">
        <v>2766</v>
      </c>
    </row>
    <row r="965" spans="1:2" ht="18.75" customHeight="1" x14ac:dyDescent="0.25">
      <c r="A965" s="2">
        <v>963</v>
      </c>
      <c r="B965" s="19" t="s">
        <v>2767</v>
      </c>
    </row>
    <row r="966" spans="1:2" ht="18.75" customHeight="1" x14ac:dyDescent="0.25">
      <c r="A966" s="2">
        <v>964</v>
      </c>
      <c r="B966" s="19" t="s">
        <v>2768</v>
      </c>
    </row>
    <row r="967" spans="1:2" ht="18.75" customHeight="1" x14ac:dyDescent="0.25">
      <c r="A967" s="2">
        <v>965</v>
      </c>
      <c r="B967" s="19" t="s">
        <v>2778</v>
      </c>
    </row>
    <row r="968" spans="1:2" ht="18.75" customHeight="1" x14ac:dyDescent="0.25">
      <c r="A968" s="2">
        <v>966</v>
      </c>
      <c r="B968" s="2" t="s">
        <v>2780</v>
      </c>
    </row>
    <row r="969" spans="1:2" ht="18.75" customHeight="1" x14ac:dyDescent="0.25">
      <c r="A969" s="2">
        <v>967</v>
      </c>
      <c r="B969" s="19" t="s">
        <v>2782</v>
      </c>
    </row>
    <row r="970" spans="1:2" ht="18.75" customHeight="1" x14ac:dyDescent="0.25">
      <c r="A970" s="2">
        <v>968</v>
      </c>
      <c r="B970" s="19" t="s">
        <v>2786</v>
      </c>
    </row>
    <row r="971" spans="1:2" ht="18.75" customHeight="1" x14ac:dyDescent="0.25">
      <c r="A971" s="2">
        <v>969</v>
      </c>
      <c r="B971" s="2" t="s">
        <v>2787</v>
      </c>
    </row>
    <row r="972" spans="1:2" ht="18.75" customHeight="1" x14ac:dyDescent="0.25">
      <c r="A972" s="2">
        <v>970</v>
      </c>
      <c r="B972" s="2" t="s">
        <v>2788</v>
      </c>
    </row>
    <row r="973" spans="1:2" ht="18.75" customHeight="1" x14ac:dyDescent="0.25">
      <c r="A973" s="2">
        <v>971</v>
      </c>
      <c r="B973" s="19" t="s">
        <v>4640</v>
      </c>
    </row>
    <row r="974" spans="1:2" ht="18.75" customHeight="1" x14ac:dyDescent="0.25">
      <c r="A974" s="2">
        <v>972</v>
      </c>
      <c r="B974" s="19" t="s">
        <v>2789</v>
      </c>
    </row>
    <row r="975" spans="1:2" ht="18.75" customHeight="1" x14ac:dyDescent="0.25">
      <c r="A975" s="2">
        <v>973</v>
      </c>
      <c r="B975" s="2" t="s">
        <v>2794</v>
      </c>
    </row>
    <row r="976" spans="1:2" ht="18.75" customHeight="1" x14ac:dyDescent="0.25">
      <c r="A976" s="2">
        <v>974</v>
      </c>
      <c r="B976" s="2" t="s">
        <v>2796</v>
      </c>
    </row>
    <row r="977" spans="1:2" ht="18.75" customHeight="1" x14ac:dyDescent="0.25">
      <c r="A977" s="2">
        <v>975</v>
      </c>
      <c r="B977" s="2" t="s">
        <v>2798</v>
      </c>
    </row>
    <row r="978" spans="1:2" ht="18.75" customHeight="1" x14ac:dyDescent="0.25">
      <c r="A978" s="2">
        <v>976</v>
      </c>
      <c r="B978" s="19" t="s">
        <v>2799</v>
      </c>
    </row>
    <row r="979" spans="1:2" ht="18.75" customHeight="1" x14ac:dyDescent="0.25">
      <c r="A979" s="2">
        <v>977</v>
      </c>
      <c r="B979" s="2" t="s">
        <v>2800</v>
      </c>
    </row>
    <row r="980" spans="1:2" ht="18.75" customHeight="1" x14ac:dyDescent="0.25">
      <c r="A980" s="2">
        <v>978</v>
      </c>
      <c r="B980" s="2" t="s">
        <v>2802</v>
      </c>
    </row>
    <row r="981" spans="1:2" ht="18.75" customHeight="1" x14ac:dyDescent="0.25">
      <c r="A981" s="2">
        <v>979</v>
      </c>
      <c r="B981" s="2" t="s">
        <v>2803</v>
      </c>
    </row>
    <row r="982" spans="1:2" ht="18.75" customHeight="1" x14ac:dyDescent="0.25">
      <c r="A982" s="2">
        <v>980</v>
      </c>
      <c r="B982" s="19" t="s">
        <v>2804</v>
      </c>
    </row>
    <row r="983" spans="1:2" ht="18.75" customHeight="1" x14ac:dyDescent="0.25">
      <c r="A983" s="2">
        <v>981</v>
      </c>
      <c r="B983" s="19" t="s">
        <v>2814</v>
      </c>
    </row>
    <row r="984" spans="1:2" ht="18.75" customHeight="1" x14ac:dyDescent="0.25">
      <c r="A984" s="2">
        <v>982</v>
      </c>
      <c r="B984" s="19" t="s">
        <v>2818</v>
      </c>
    </row>
    <row r="985" spans="1:2" ht="18.75" customHeight="1" x14ac:dyDescent="0.25">
      <c r="A985" s="2">
        <v>983</v>
      </c>
      <c r="B985" s="2" t="s">
        <v>2821</v>
      </c>
    </row>
    <row r="986" spans="1:2" ht="18.75" customHeight="1" x14ac:dyDescent="0.25">
      <c r="A986" s="2">
        <v>984</v>
      </c>
      <c r="B986" s="2" t="s">
        <v>2824</v>
      </c>
    </row>
    <row r="987" spans="1:2" ht="18.75" customHeight="1" x14ac:dyDescent="0.25">
      <c r="A987" s="2">
        <v>985</v>
      </c>
      <c r="B987" s="2" t="s">
        <v>2826</v>
      </c>
    </row>
    <row r="988" spans="1:2" ht="18.75" customHeight="1" x14ac:dyDescent="0.25">
      <c r="A988" s="2">
        <v>986</v>
      </c>
      <c r="B988" s="2" t="s">
        <v>2830</v>
      </c>
    </row>
    <row r="989" spans="1:2" ht="18.75" customHeight="1" x14ac:dyDescent="0.25">
      <c r="A989" s="2">
        <v>987</v>
      </c>
      <c r="B989" s="2" t="s">
        <v>2832</v>
      </c>
    </row>
    <row r="990" spans="1:2" ht="18.75" customHeight="1" x14ac:dyDescent="0.25">
      <c r="A990" s="2">
        <v>988</v>
      </c>
      <c r="B990" s="2" t="s">
        <v>2835</v>
      </c>
    </row>
    <row r="991" spans="1:2" ht="18.75" customHeight="1" x14ac:dyDescent="0.25">
      <c r="A991" s="2">
        <v>989</v>
      </c>
      <c r="B991" s="2" t="s">
        <v>2838</v>
      </c>
    </row>
    <row r="992" spans="1:2" ht="18.75" customHeight="1" x14ac:dyDescent="0.25">
      <c r="A992" s="2">
        <v>990</v>
      </c>
      <c r="B992" s="2" t="s">
        <v>2839</v>
      </c>
    </row>
    <row r="993" spans="1:2" ht="18.75" customHeight="1" x14ac:dyDescent="0.25">
      <c r="A993" s="2">
        <v>991</v>
      </c>
      <c r="B993" s="2" t="s">
        <v>2840</v>
      </c>
    </row>
    <row r="994" spans="1:2" ht="18.75" customHeight="1" x14ac:dyDescent="0.25">
      <c r="A994" s="2">
        <v>992</v>
      </c>
      <c r="B994" s="19" t="s">
        <v>2844</v>
      </c>
    </row>
    <row r="995" spans="1:2" ht="18.75" customHeight="1" x14ac:dyDescent="0.25">
      <c r="A995" s="2">
        <v>993</v>
      </c>
      <c r="B995" s="2" t="s">
        <v>2845</v>
      </c>
    </row>
    <row r="996" spans="1:2" ht="18.75" customHeight="1" x14ac:dyDescent="0.25">
      <c r="A996" s="2">
        <v>994</v>
      </c>
      <c r="B996" s="19" t="s">
        <v>2846</v>
      </c>
    </row>
    <row r="997" spans="1:2" ht="18.75" customHeight="1" x14ac:dyDescent="0.25">
      <c r="A997" s="2">
        <v>995</v>
      </c>
      <c r="B997" s="2" t="s">
        <v>2847</v>
      </c>
    </row>
    <row r="998" spans="1:2" ht="18.75" customHeight="1" x14ac:dyDescent="0.25">
      <c r="A998" s="2">
        <v>996</v>
      </c>
      <c r="B998" s="2" t="s">
        <v>2848</v>
      </c>
    </row>
    <row r="999" spans="1:2" ht="18.75" customHeight="1" x14ac:dyDescent="0.25">
      <c r="A999" s="2">
        <v>997</v>
      </c>
      <c r="B999" s="2" t="s">
        <v>2852</v>
      </c>
    </row>
    <row r="1000" spans="1:2" ht="18.75" customHeight="1" x14ac:dyDescent="0.25">
      <c r="A1000" s="2">
        <v>998</v>
      </c>
      <c r="B1000" s="2" t="s">
        <v>2855</v>
      </c>
    </row>
    <row r="1001" spans="1:2" ht="18.75" customHeight="1" x14ac:dyDescent="0.25">
      <c r="A1001" s="2">
        <v>999</v>
      </c>
      <c r="B1001" s="2" t="s">
        <v>2859</v>
      </c>
    </row>
    <row r="1002" spans="1:2" ht="18.75" customHeight="1" x14ac:dyDescent="0.25">
      <c r="A1002" s="2">
        <v>1000</v>
      </c>
      <c r="B1002" s="19" t="s">
        <v>2861</v>
      </c>
    </row>
    <row r="1003" spans="1:2" ht="18.75" customHeight="1" x14ac:dyDescent="0.25">
      <c r="A1003" s="2">
        <v>1001</v>
      </c>
      <c r="B1003" s="19" t="s">
        <v>2862</v>
      </c>
    </row>
    <row r="1004" spans="1:2" ht="18.75" customHeight="1" x14ac:dyDescent="0.25">
      <c r="A1004" s="2">
        <v>1002</v>
      </c>
      <c r="B1004" s="2" t="s">
        <v>2863</v>
      </c>
    </row>
    <row r="1005" spans="1:2" ht="18.75" customHeight="1" x14ac:dyDescent="0.25">
      <c r="A1005" s="2">
        <v>1003</v>
      </c>
      <c r="B1005" s="2" t="s">
        <v>2865</v>
      </c>
    </row>
    <row r="1006" spans="1:2" ht="18.75" customHeight="1" x14ac:dyDescent="0.25">
      <c r="A1006" s="2">
        <v>1004</v>
      </c>
      <c r="B1006" s="109" t="s">
        <v>2868</v>
      </c>
    </row>
    <row r="1007" spans="1:2" ht="18.75" customHeight="1" x14ac:dyDescent="0.25">
      <c r="A1007" s="2">
        <v>1005</v>
      </c>
      <c r="B1007" s="2" t="s">
        <v>2871</v>
      </c>
    </row>
    <row r="1008" spans="1:2" ht="18.75" customHeight="1" x14ac:dyDescent="0.25">
      <c r="A1008" s="2">
        <v>1006</v>
      </c>
      <c r="B1008" s="19" t="s">
        <v>2875</v>
      </c>
    </row>
    <row r="1009" spans="1:2" ht="18.75" customHeight="1" x14ac:dyDescent="0.25">
      <c r="A1009" s="2">
        <v>1007</v>
      </c>
      <c r="B1009" s="2" t="s">
        <v>2879</v>
      </c>
    </row>
    <row r="1010" spans="1:2" ht="18.75" customHeight="1" x14ac:dyDescent="0.25">
      <c r="A1010" s="2">
        <v>1008</v>
      </c>
      <c r="B1010" s="2" t="s">
        <v>2881</v>
      </c>
    </row>
    <row r="1011" spans="1:2" ht="18.75" customHeight="1" x14ac:dyDescent="0.25">
      <c r="A1011" s="2">
        <v>1009</v>
      </c>
      <c r="B1011" s="2" t="s">
        <v>2880</v>
      </c>
    </row>
    <row r="1012" spans="1:2" ht="18.75" customHeight="1" x14ac:dyDescent="0.25">
      <c r="A1012" s="2">
        <v>1010</v>
      </c>
      <c r="B1012" s="2" t="s">
        <v>2885</v>
      </c>
    </row>
    <row r="1013" spans="1:2" ht="18.75" customHeight="1" x14ac:dyDescent="0.25">
      <c r="A1013" s="2">
        <v>1011</v>
      </c>
      <c r="B1013" s="19" t="s">
        <v>2886</v>
      </c>
    </row>
    <row r="1014" spans="1:2" ht="18.75" customHeight="1" x14ac:dyDescent="0.25">
      <c r="A1014" s="2">
        <v>1012</v>
      </c>
      <c r="B1014" s="2" t="s">
        <v>2889</v>
      </c>
    </row>
    <row r="1015" spans="1:2" ht="18.75" customHeight="1" x14ac:dyDescent="0.25">
      <c r="A1015" s="2">
        <v>1013</v>
      </c>
      <c r="B1015" s="2" t="s">
        <v>2893</v>
      </c>
    </row>
    <row r="1016" spans="1:2" ht="18.75" customHeight="1" x14ac:dyDescent="0.25">
      <c r="A1016" s="2">
        <v>1014</v>
      </c>
      <c r="B1016" s="2" t="s">
        <v>2894</v>
      </c>
    </row>
    <row r="1017" spans="1:2" ht="18.75" customHeight="1" x14ac:dyDescent="0.25">
      <c r="A1017" s="2">
        <v>1015</v>
      </c>
      <c r="B1017" s="2" t="s">
        <v>2899</v>
      </c>
    </row>
    <row r="1018" spans="1:2" ht="18.75" customHeight="1" x14ac:dyDescent="0.25">
      <c r="A1018" s="2">
        <v>1016</v>
      </c>
      <c r="B1018" s="19" t="s">
        <v>2900</v>
      </c>
    </row>
    <row r="1019" spans="1:2" ht="18.75" customHeight="1" x14ac:dyDescent="0.25">
      <c r="A1019" s="2">
        <v>1017</v>
      </c>
      <c r="B1019" s="2" t="s">
        <v>2904</v>
      </c>
    </row>
    <row r="1020" spans="1:2" ht="18.75" customHeight="1" x14ac:dyDescent="0.25">
      <c r="A1020" s="2">
        <v>1018</v>
      </c>
      <c r="B1020" s="2" t="s">
        <v>2906</v>
      </c>
    </row>
    <row r="1021" spans="1:2" ht="18.75" customHeight="1" x14ac:dyDescent="0.25">
      <c r="A1021" s="2">
        <v>1019</v>
      </c>
      <c r="B1021" s="2" t="s">
        <v>2909</v>
      </c>
    </row>
    <row r="1022" spans="1:2" ht="18.75" customHeight="1" x14ac:dyDescent="0.25">
      <c r="A1022" s="2">
        <v>1020</v>
      </c>
      <c r="B1022" s="19" t="s">
        <v>3674</v>
      </c>
    </row>
    <row r="1023" spans="1:2" ht="18.75" customHeight="1" x14ac:dyDescent="0.25">
      <c r="A1023" s="2">
        <v>1021</v>
      </c>
      <c r="B1023" s="19" t="s">
        <v>2913</v>
      </c>
    </row>
    <row r="1024" spans="1:2" ht="18.75" customHeight="1" x14ac:dyDescent="0.25">
      <c r="A1024" s="2">
        <v>1022</v>
      </c>
      <c r="B1024" s="2" t="s">
        <v>2928</v>
      </c>
    </row>
    <row r="1025" spans="1:2" ht="18.75" customHeight="1" x14ac:dyDescent="0.25">
      <c r="A1025" s="2">
        <v>1023</v>
      </c>
      <c r="B1025" s="2" t="s">
        <v>2929</v>
      </c>
    </row>
    <row r="1026" spans="1:2" ht="18.75" customHeight="1" x14ac:dyDescent="0.25">
      <c r="A1026" s="2">
        <v>1024</v>
      </c>
      <c r="B1026" s="2" t="s">
        <v>2931</v>
      </c>
    </row>
    <row r="1027" spans="1:2" ht="18.75" customHeight="1" x14ac:dyDescent="0.25">
      <c r="A1027" s="2">
        <v>1025</v>
      </c>
      <c r="B1027" s="2" t="s">
        <v>2938</v>
      </c>
    </row>
    <row r="1028" spans="1:2" ht="18.75" customHeight="1" x14ac:dyDescent="0.25">
      <c r="A1028" s="2">
        <v>1026</v>
      </c>
      <c r="B1028" s="19" t="s">
        <v>5724</v>
      </c>
    </row>
    <row r="1029" spans="1:2" ht="18.75" customHeight="1" x14ac:dyDescent="0.25">
      <c r="A1029" s="2">
        <v>1027</v>
      </c>
      <c r="B1029" s="109" t="s">
        <v>2944</v>
      </c>
    </row>
    <row r="1030" spans="1:2" ht="18.75" customHeight="1" x14ac:dyDescent="0.25">
      <c r="A1030" s="2">
        <v>1028</v>
      </c>
      <c r="B1030" s="2" t="s">
        <v>2950</v>
      </c>
    </row>
    <row r="1031" spans="1:2" ht="18.75" customHeight="1" x14ac:dyDescent="0.25">
      <c r="A1031" s="2">
        <v>1029</v>
      </c>
      <c r="B1031" s="2" t="s">
        <v>2953</v>
      </c>
    </row>
    <row r="1032" spans="1:2" ht="18.75" customHeight="1" x14ac:dyDescent="0.25">
      <c r="A1032" s="2">
        <v>1030</v>
      </c>
      <c r="B1032" s="2" t="s">
        <v>2954</v>
      </c>
    </row>
    <row r="1033" spans="1:2" ht="18.75" customHeight="1" x14ac:dyDescent="0.25">
      <c r="A1033" s="2">
        <v>1031</v>
      </c>
      <c r="B1033" s="2" t="s">
        <v>2957</v>
      </c>
    </row>
    <row r="1034" spans="1:2" ht="18.75" customHeight="1" x14ac:dyDescent="0.25">
      <c r="A1034" s="2">
        <v>1032</v>
      </c>
      <c r="B1034" s="2" t="s">
        <v>2960</v>
      </c>
    </row>
    <row r="1035" spans="1:2" ht="18.75" customHeight="1" x14ac:dyDescent="0.25">
      <c r="A1035" s="2">
        <v>1033</v>
      </c>
      <c r="B1035" s="19" t="s">
        <v>2963</v>
      </c>
    </row>
    <row r="1036" spans="1:2" ht="18.75" customHeight="1" x14ac:dyDescent="0.25">
      <c r="A1036" s="2">
        <v>1034</v>
      </c>
      <c r="B1036" s="2" t="s">
        <v>2969</v>
      </c>
    </row>
    <row r="1037" spans="1:2" ht="18.75" customHeight="1" x14ac:dyDescent="0.25">
      <c r="A1037" s="2">
        <v>1035</v>
      </c>
      <c r="B1037" s="2" t="s">
        <v>2971</v>
      </c>
    </row>
    <row r="1038" spans="1:2" ht="18.75" customHeight="1" x14ac:dyDescent="0.25">
      <c r="A1038" s="2">
        <v>1036</v>
      </c>
      <c r="B1038" s="2" t="s">
        <v>2973</v>
      </c>
    </row>
    <row r="1039" spans="1:2" ht="18.75" customHeight="1" x14ac:dyDescent="0.25">
      <c r="A1039" s="2">
        <v>1037</v>
      </c>
      <c r="B1039" s="2" t="s">
        <v>2974</v>
      </c>
    </row>
    <row r="1040" spans="1:2" ht="18.75" customHeight="1" x14ac:dyDescent="0.25">
      <c r="A1040" s="2">
        <v>1038</v>
      </c>
      <c r="B1040" s="19" t="s">
        <v>2975</v>
      </c>
    </row>
    <row r="1041" spans="1:2" ht="18.75" customHeight="1" x14ac:dyDescent="0.25">
      <c r="A1041" s="2">
        <v>1039</v>
      </c>
      <c r="B1041" s="19" t="s">
        <v>2976</v>
      </c>
    </row>
    <row r="1042" spans="1:2" ht="18.75" customHeight="1" x14ac:dyDescent="0.25">
      <c r="A1042" s="2">
        <v>1040</v>
      </c>
      <c r="B1042" s="2" t="s">
        <v>2980</v>
      </c>
    </row>
    <row r="1043" spans="1:2" ht="18.75" customHeight="1" x14ac:dyDescent="0.25">
      <c r="A1043" s="2">
        <v>1041</v>
      </c>
      <c r="B1043" s="2" t="s">
        <v>2983</v>
      </c>
    </row>
    <row r="1044" spans="1:2" ht="18.75" customHeight="1" x14ac:dyDescent="0.25">
      <c r="A1044" s="2">
        <v>1042</v>
      </c>
      <c r="B1044" s="109" t="s">
        <v>2984</v>
      </c>
    </row>
    <row r="1045" spans="1:2" ht="18.75" customHeight="1" x14ac:dyDescent="0.25">
      <c r="A1045" s="2">
        <v>1043</v>
      </c>
      <c r="B1045" s="2" t="s">
        <v>2988</v>
      </c>
    </row>
    <row r="1046" spans="1:2" ht="18.75" customHeight="1" x14ac:dyDescent="0.25">
      <c r="A1046" s="2">
        <v>1044</v>
      </c>
      <c r="B1046" s="2" t="s">
        <v>1194</v>
      </c>
    </row>
    <row r="1047" spans="1:2" ht="18.75" customHeight="1" x14ac:dyDescent="0.25">
      <c r="A1047" s="2">
        <v>1045</v>
      </c>
      <c r="B1047" s="2" t="s">
        <v>3002</v>
      </c>
    </row>
    <row r="1048" spans="1:2" ht="18.75" customHeight="1" x14ac:dyDescent="0.25">
      <c r="A1048" s="2">
        <v>1046</v>
      </c>
      <c r="B1048" s="2" t="s">
        <v>3003</v>
      </c>
    </row>
    <row r="1049" spans="1:2" ht="18.75" customHeight="1" x14ac:dyDescent="0.25">
      <c r="A1049" s="2">
        <v>1047</v>
      </c>
      <c r="B1049" s="2" t="s">
        <v>3006</v>
      </c>
    </row>
    <row r="1050" spans="1:2" ht="18.75" customHeight="1" x14ac:dyDescent="0.25">
      <c r="A1050" s="2">
        <v>1048</v>
      </c>
      <c r="B1050" s="2" t="s">
        <v>3008</v>
      </c>
    </row>
    <row r="1051" spans="1:2" ht="18.75" customHeight="1" x14ac:dyDescent="0.25">
      <c r="A1051" s="2">
        <v>1049</v>
      </c>
      <c r="B1051" s="2" t="s">
        <v>3009</v>
      </c>
    </row>
    <row r="1052" spans="1:2" ht="18.75" customHeight="1" x14ac:dyDescent="0.25">
      <c r="A1052" s="2">
        <v>1050</v>
      </c>
      <c r="B1052" s="19" t="s">
        <v>3020</v>
      </c>
    </row>
    <row r="1053" spans="1:2" ht="18.75" customHeight="1" x14ac:dyDescent="0.25">
      <c r="A1053" s="2">
        <v>1051</v>
      </c>
      <c r="B1053" s="19" t="s">
        <v>3018</v>
      </c>
    </row>
    <row r="1054" spans="1:2" ht="18.75" customHeight="1" x14ac:dyDescent="0.25">
      <c r="A1054" s="2">
        <v>1052</v>
      </c>
      <c r="B1054" s="19" t="s">
        <v>3019</v>
      </c>
    </row>
    <row r="1055" spans="1:2" ht="18.75" customHeight="1" x14ac:dyDescent="0.25">
      <c r="A1055" s="2">
        <v>1053</v>
      </c>
      <c r="B1055" s="2" t="s">
        <v>3017</v>
      </c>
    </row>
    <row r="1056" spans="1:2" ht="18.75" customHeight="1" x14ac:dyDescent="0.25">
      <c r="A1056" s="2">
        <v>1054</v>
      </c>
      <c r="B1056" s="2" t="s">
        <v>3022</v>
      </c>
    </row>
    <row r="1057" spans="1:2" ht="18.75" customHeight="1" x14ac:dyDescent="0.25">
      <c r="A1057" s="2">
        <v>1055</v>
      </c>
      <c r="B1057" s="2" t="s">
        <v>3026</v>
      </c>
    </row>
    <row r="1058" spans="1:2" ht="18.75" customHeight="1" x14ac:dyDescent="0.25">
      <c r="A1058" s="2">
        <v>1056</v>
      </c>
      <c r="B1058" s="2" t="s">
        <v>3029</v>
      </c>
    </row>
    <row r="1059" spans="1:2" ht="18.75" customHeight="1" x14ac:dyDescent="0.25">
      <c r="A1059" s="2">
        <v>1057</v>
      </c>
      <c r="B1059" s="2" t="s">
        <v>3031</v>
      </c>
    </row>
    <row r="1060" spans="1:2" ht="18.75" customHeight="1" x14ac:dyDescent="0.25">
      <c r="A1060" s="2">
        <v>1058</v>
      </c>
      <c r="B1060" s="2" t="s">
        <v>3033</v>
      </c>
    </row>
    <row r="1061" spans="1:2" ht="18.75" customHeight="1" x14ac:dyDescent="0.25">
      <c r="A1061" s="2">
        <v>1059</v>
      </c>
      <c r="B1061" s="19" t="s">
        <v>3038</v>
      </c>
    </row>
    <row r="1062" spans="1:2" ht="18.75" customHeight="1" x14ac:dyDescent="0.25">
      <c r="A1062" s="2">
        <v>1060</v>
      </c>
      <c r="B1062" s="19" t="s">
        <v>3040</v>
      </c>
    </row>
    <row r="1063" spans="1:2" ht="18.75" customHeight="1" x14ac:dyDescent="0.25">
      <c r="A1063" s="2">
        <v>1061</v>
      </c>
      <c r="B1063" s="19" t="s">
        <v>3042</v>
      </c>
    </row>
    <row r="1064" spans="1:2" ht="18.75" customHeight="1" x14ac:dyDescent="0.25">
      <c r="A1064" s="2">
        <v>1062</v>
      </c>
      <c r="B1064" s="19" t="s">
        <v>3045</v>
      </c>
    </row>
    <row r="1065" spans="1:2" ht="18.75" customHeight="1" x14ac:dyDescent="0.25">
      <c r="A1065" s="2">
        <v>1063</v>
      </c>
      <c r="B1065" s="19" t="s">
        <v>4504</v>
      </c>
    </row>
    <row r="1066" spans="1:2" ht="18.75" customHeight="1" x14ac:dyDescent="0.25">
      <c r="A1066" s="2">
        <v>1064</v>
      </c>
      <c r="B1066" s="19" t="s">
        <v>3053</v>
      </c>
    </row>
    <row r="1067" spans="1:2" ht="18.75" customHeight="1" x14ac:dyDescent="0.25">
      <c r="A1067" s="2">
        <v>1065</v>
      </c>
      <c r="B1067" s="2" t="s">
        <v>3060</v>
      </c>
    </row>
    <row r="1068" spans="1:2" ht="18.75" customHeight="1" x14ac:dyDescent="0.25">
      <c r="A1068" s="2">
        <v>1066</v>
      </c>
      <c r="B1068" s="2" t="s">
        <v>3064</v>
      </c>
    </row>
    <row r="1069" spans="1:2" ht="18.75" customHeight="1" x14ac:dyDescent="0.25">
      <c r="A1069" s="2">
        <v>1067</v>
      </c>
      <c r="B1069" s="2" t="s">
        <v>3067</v>
      </c>
    </row>
    <row r="1070" spans="1:2" ht="18.75" customHeight="1" x14ac:dyDescent="0.25">
      <c r="A1070" s="2">
        <v>1068</v>
      </c>
      <c r="B1070" s="19" t="s">
        <v>3068</v>
      </c>
    </row>
    <row r="1071" spans="1:2" ht="18.75" customHeight="1" x14ac:dyDescent="0.25">
      <c r="A1071" s="2">
        <v>1069</v>
      </c>
      <c r="B1071" s="2" t="s">
        <v>3069</v>
      </c>
    </row>
    <row r="1072" spans="1:2" ht="18.75" customHeight="1" x14ac:dyDescent="0.25">
      <c r="A1072" s="2">
        <v>1070</v>
      </c>
      <c r="B1072" s="2" t="s">
        <v>3072</v>
      </c>
    </row>
    <row r="1073" spans="1:2" ht="18.75" customHeight="1" x14ac:dyDescent="0.25">
      <c r="A1073" s="2">
        <v>1071</v>
      </c>
      <c r="B1073" s="19" t="s">
        <v>3075</v>
      </c>
    </row>
    <row r="1074" spans="1:2" ht="18.75" customHeight="1" x14ac:dyDescent="0.25">
      <c r="A1074" s="2">
        <v>1072</v>
      </c>
      <c r="B1074" s="2" t="s">
        <v>3077</v>
      </c>
    </row>
    <row r="1075" spans="1:2" ht="18.75" customHeight="1" x14ac:dyDescent="0.25">
      <c r="A1075" s="2">
        <v>1073</v>
      </c>
      <c r="B1075" s="109" t="s">
        <v>3079</v>
      </c>
    </row>
    <row r="1076" spans="1:2" ht="18.75" customHeight="1" x14ac:dyDescent="0.25">
      <c r="A1076" s="2">
        <v>1074</v>
      </c>
      <c r="B1076" s="19" t="s">
        <v>3083</v>
      </c>
    </row>
    <row r="1077" spans="1:2" ht="18.75" customHeight="1" x14ac:dyDescent="0.25">
      <c r="A1077" s="2">
        <v>1075</v>
      </c>
      <c r="B1077" s="2" t="s">
        <v>3089</v>
      </c>
    </row>
    <row r="1078" spans="1:2" ht="18.75" customHeight="1" x14ac:dyDescent="0.25">
      <c r="A1078" s="2">
        <v>1076</v>
      </c>
      <c r="B1078" s="2" t="s">
        <v>3092</v>
      </c>
    </row>
    <row r="1079" spans="1:2" ht="18.75" customHeight="1" x14ac:dyDescent="0.25">
      <c r="A1079" s="2">
        <v>1077</v>
      </c>
      <c r="B1079" s="2" t="s">
        <v>3093</v>
      </c>
    </row>
    <row r="1080" spans="1:2" ht="18.75" customHeight="1" x14ac:dyDescent="0.25">
      <c r="A1080" s="2">
        <v>1078</v>
      </c>
      <c r="B1080" s="19" t="s">
        <v>3095</v>
      </c>
    </row>
    <row r="1081" spans="1:2" ht="18.75" customHeight="1" x14ac:dyDescent="0.25">
      <c r="A1081" s="2">
        <v>1079</v>
      </c>
      <c r="B1081" s="2" t="s">
        <v>3097</v>
      </c>
    </row>
    <row r="1082" spans="1:2" ht="18.75" customHeight="1" x14ac:dyDescent="0.25">
      <c r="A1082" s="2">
        <v>1080</v>
      </c>
      <c r="B1082" s="2" t="s">
        <v>5608</v>
      </c>
    </row>
    <row r="1083" spans="1:2" ht="18.75" customHeight="1" x14ac:dyDescent="0.25">
      <c r="A1083" s="2">
        <v>1081</v>
      </c>
      <c r="B1083" s="2" t="s">
        <v>3101</v>
      </c>
    </row>
    <row r="1084" spans="1:2" ht="18.75" customHeight="1" x14ac:dyDescent="0.25">
      <c r="A1084" s="2">
        <v>1082</v>
      </c>
      <c r="B1084" s="2" t="s">
        <v>3102</v>
      </c>
    </row>
    <row r="1085" spans="1:2" ht="18.75" customHeight="1" x14ac:dyDescent="0.25">
      <c r="A1085" s="2">
        <v>1083</v>
      </c>
      <c r="B1085" s="19" t="s">
        <v>3108</v>
      </c>
    </row>
    <row r="1086" spans="1:2" ht="18.75" customHeight="1" x14ac:dyDescent="0.25">
      <c r="A1086" s="2">
        <v>1084</v>
      </c>
      <c r="B1086" s="19" t="s">
        <v>3112</v>
      </c>
    </row>
    <row r="1087" spans="1:2" ht="18.75" customHeight="1" x14ac:dyDescent="0.25">
      <c r="A1087" s="2">
        <v>1085</v>
      </c>
      <c r="B1087" s="2" t="s">
        <v>3113</v>
      </c>
    </row>
    <row r="1088" spans="1:2" ht="18.75" customHeight="1" x14ac:dyDescent="0.25">
      <c r="A1088" s="2">
        <v>1086</v>
      </c>
      <c r="B1088" s="2" t="s">
        <v>3114</v>
      </c>
    </row>
    <row r="1089" spans="1:2" ht="18.75" customHeight="1" x14ac:dyDescent="0.25">
      <c r="A1089" s="2">
        <v>1087</v>
      </c>
      <c r="B1089" s="2" t="s">
        <v>3116</v>
      </c>
    </row>
    <row r="1090" spans="1:2" ht="18.75" customHeight="1" x14ac:dyDescent="0.25">
      <c r="A1090" s="2">
        <v>1088</v>
      </c>
      <c r="B1090" s="19" t="s">
        <v>3105</v>
      </c>
    </row>
    <row r="1091" spans="1:2" ht="18.75" customHeight="1" x14ac:dyDescent="0.25">
      <c r="A1091" s="2">
        <v>1089</v>
      </c>
      <c r="B1091" s="2" t="s">
        <v>3106</v>
      </c>
    </row>
    <row r="1092" spans="1:2" ht="18.75" customHeight="1" x14ac:dyDescent="0.25">
      <c r="A1092" s="2">
        <v>1090</v>
      </c>
      <c r="B1092" s="2" t="s">
        <v>3120</v>
      </c>
    </row>
    <row r="1093" spans="1:2" ht="18.75" customHeight="1" x14ac:dyDescent="0.25">
      <c r="A1093" s="2">
        <v>1091</v>
      </c>
      <c r="B1093" s="19" t="s">
        <v>3121</v>
      </c>
    </row>
    <row r="1094" spans="1:2" ht="18.75" customHeight="1" x14ac:dyDescent="0.25">
      <c r="A1094" s="2">
        <v>1092</v>
      </c>
      <c r="B1094" s="19" t="s">
        <v>3124</v>
      </c>
    </row>
    <row r="1095" spans="1:2" ht="18.75" customHeight="1" x14ac:dyDescent="0.25">
      <c r="A1095" s="2">
        <v>1093</v>
      </c>
      <c r="B1095" s="19" t="s">
        <v>3131</v>
      </c>
    </row>
    <row r="1096" spans="1:2" ht="18.75" customHeight="1" x14ac:dyDescent="0.25">
      <c r="A1096" s="2">
        <v>1094</v>
      </c>
      <c r="B1096" s="19" t="s">
        <v>3132</v>
      </c>
    </row>
    <row r="1097" spans="1:2" ht="18.75" customHeight="1" x14ac:dyDescent="0.25">
      <c r="A1097" s="2">
        <v>1095</v>
      </c>
      <c r="B1097" s="109" t="s">
        <v>3133</v>
      </c>
    </row>
    <row r="1098" spans="1:2" ht="18.75" customHeight="1" x14ac:dyDescent="0.25">
      <c r="A1098" s="2">
        <v>1096</v>
      </c>
      <c r="B1098" s="2" t="s">
        <v>3134</v>
      </c>
    </row>
    <row r="1099" spans="1:2" ht="18.75" customHeight="1" x14ac:dyDescent="0.25">
      <c r="A1099" s="2">
        <v>1097</v>
      </c>
      <c r="B1099" s="2" t="s">
        <v>3135</v>
      </c>
    </row>
    <row r="1100" spans="1:2" ht="18.75" customHeight="1" x14ac:dyDescent="0.25">
      <c r="A1100" s="2">
        <v>1098</v>
      </c>
      <c r="B1100" s="2" t="s">
        <v>3137</v>
      </c>
    </row>
    <row r="1101" spans="1:2" ht="18.75" customHeight="1" x14ac:dyDescent="0.25">
      <c r="A1101" s="2">
        <v>1099</v>
      </c>
      <c r="B1101" s="19" t="s">
        <v>3139</v>
      </c>
    </row>
    <row r="1102" spans="1:2" ht="18.75" customHeight="1" x14ac:dyDescent="0.25">
      <c r="A1102" s="2">
        <v>1100</v>
      </c>
      <c r="B1102" s="19" t="s">
        <v>3140</v>
      </c>
    </row>
    <row r="1103" spans="1:2" ht="18.75" customHeight="1" x14ac:dyDescent="0.25">
      <c r="A1103" s="2">
        <v>1101</v>
      </c>
      <c r="B1103" s="2" t="s">
        <v>3142</v>
      </c>
    </row>
    <row r="1104" spans="1:2" ht="18.75" customHeight="1" x14ac:dyDescent="0.25">
      <c r="A1104" s="2">
        <v>1102</v>
      </c>
      <c r="B1104" s="2" t="s">
        <v>3144</v>
      </c>
    </row>
    <row r="1105" spans="1:2" ht="18.75" customHeight="1" x14ac:dyDescent="0.25">
      <c r="A1105" s="2">
        <v>1103</v>
      </c>
      <c r="B1105" s="2" t="s">
        <v>3146</v>
      </c>
    </row>
    <row r="1106" spans="1:2" ht="18.75" customHeight="1" x14ac:dyDescent="0.25">
      <c r="A1106" s="2">
        <v>1104</v>
      </c>
      <c r="B1106" s="19" t="s">
        <v>3149</v>
      </c>
    </row>
    <row r="1107" spans="1:2" ht="18.75" customHeight="1" x14ac:dyDescent="0.25">
      <c r="A1107" s="2">
        <v>1105</v>
      </c>
      <c r="B1107" s="19" t="s">
        <v>3151</v>
      </c>
    </row>
    <row r="1108" spans="1:2" ht="18.75" customHeight="1" x14ac:dyDescent="0.25">
      <c r="A1108" s="2">
        <v>1106</v>
      </c>
      <c r="B1108" s="2" t="s">
        <v>3154</v>
      </c>
    </row>
    <row r="1109" spans="1:2" ht="18.75" customHeight="1" x14ac:dyDescent="0.25">
      <c r="A1109" s="2">
        <v>1107</v>
      </c>
      <c r="B1109" s="2" t="s">
        <v>3155</v>
      </c>
    </row>
    <row r="1110" spans="1:2" ht="18.75" customHeight="1" x14ac:dyDescent="0.25">
      <c r="A1110" s="2">
        <v>1108</v>
      </c>
      <c r="B1110" s="109" t="s">
        <v>3163</v>
      </c>
    </row>
    <row r="1111" spans="1:2" ht="18.75" customHeight="1" x14ac:dyDescent="0.25">
      <c r="A1111" s="2">
        <v>1109</v>
      </c>
      <c r="B1111" s="2" t="s">
        <v>3167</v>
      </c>
    </row>
    <row r="1112" spans="1:2" ht="18.75" customHeight="1" x14ac:dyDescent="0.25">
      <c r="A1112" s="2">
        <v>1110</v>
      </c>
      <c r="B1112" s="19" t="s">
        <v>3169</v>
      </c>
    </row>
    <row r="1113" spans="1:2" ht="18.75" customHeight="1" x14ac:dyDescent="0.25">
      <c r="A1113" s="2">
        <v>1111</v>
      </c>
      <c r="B1113" s="2" t="s">
        <v>3174</v>
      </c>
    </row>
    <row r="1114" spans="1:2" ht="18.75" customHeight="1" x14ac:dyDescent="0.25">
      <c r="A1114" s="2">
        <v>1112</v>
      </c>
      <c r="B1114" s="2" t="s">
        <v>3176</v>
      </c>
    </row>
    <row r="1115" spans="1:2" ht="18.75" customHeight="1" x14ac:dyDescent="0.25">
      <c r="A1115" s="2">
        <v>1113</v>
      </c>
      <c r="B1115" s="2" t="s">
        <v>3180</v>
      </c>
    </row>
    <row r="1116" spans="1:2" ht="18.75" customHeight="1" x14ac:dyDescent="0.25">
      <c r="A1116" s="2">
        <v>1114</v>
      </c>
      <c r="B1116" s="2" t="s">
        <v>3183</v>
      </c>
    </row>
    <row r="1117" spans="1:2" ht="18.75" customHeight="1" x14ac:dyDescent="0.25">
      <c r="A1117" s="2">
        <v>1115</v>
      </c>
      <c r="B1117" s="2" t="s">
        <v>3186</v>
      </c>
    </row>
    <row r="1118" spans="1:2" ht="18.75" customHeight="1" x14ac:dyDescent="0.25">
      <c r="A1118" s="2">
        <v>1116</v>
      </c>
      <c r="B1118" s="19" t="s">
        <v>3190</v>
      </c>
    </row>
    <row r="1119" spans="1:2" ht="18.75" customHeight="1" x14ac:dyDescent="0.25">
      <c r="A1119" s="2">
        <v>1117</v>
      </c>
      <c r="B1119" s="19" t="s">
        <v>3192</v>
      </c>
    </row>
    <row r="1120" spans="1:2" ht="18.75" customHeight="1" x14ac:dyDescent="0.25">
      <c r="A1120" s="2">
        <v>1118</v>
      </c>
      <c r="B1120" s="2" t="s">
        <v>3193</v>
      </c>
    </row>
    <row r="1121" spans="1:2" ht="18.75" customHeight="1" x14ac:dyDescent="0.25">
      <c r="A1121" s="2">
        <v>1119</v>
      </c>
      <c r="B1121" s="19" t="s">
        <v>3194</v>
      </c>
    </row>
    <row r="1122" spans="1:2" ht="18.75" customHeight="1" x14ac:dyDescent="0.25">
      <c r="A1122" s="2">
        <v>1120</v>
      </c>
      <c r="B1122" s="19" t="s">
        <v>3195</v>
      </c>
    </row>
    <row r="1123" spans="1:2" ht="18.75" customHeight="1" x14ac:dyDescent="0.25">
      <c r="A1123" s="2">
        <v>1121</v>
      </c>
      <c r="B1123" s="19" t="s">
        <v>3198</v>
      </c>
    </row>
    <row r="1124" spans="1:2" ht="18.75" customHeight="1" x14ac:dyDescent="0.25">
      <c r="A1124" s="2">
        <v>1122</v>
      </c>
      <c r="B1124" s="2" t="s">
        <v>3202</v>
      </c>
    </row>
    <row r="1125" spans="1:2" ht="18.75" customHeight="1" x14ac:dyDescent="0.25">
      <c r="A1125" s="2">
        <v>1123</v>
      </c>
      <c r="B1125" s="19" t="s">
        <v>3204</v>
      </c>
    </row>
    <row r="1126" spans="1:2" ht="18.75" customHeight="1" x14ac:dyDescent="0.25">
      <c r="A1126" s="2">
        <v>1124</v>
      </c>
      <c r="B1126" s="2" t="s">
        <v>3205</v>
      </c>
    </row>
    <row r="1127" spans="1:2" ht="18.75" customHeight="1" x14ac:dyDescent="0.25">
      <c r="A1127" s="2">
        <v>1125</v>
      </c>
      <c r="B1127" s="2" t="s">
        <v>3211</v>
      </c>
    </row>
    <row r="1128" spans="1:2" ht="18.75" customHeight="1" x14ac:dyDescent="0.25">
      <c r="A1128" s="2">
        <v>1126</v>
      </c>
      <c r="B1128" s="19" t="s">
        <v>3212</v>
      </c>
    </row>
    <row r="1129" spans="1:2" ht="18.75" customHeight="1" x14ac:dyDescent="0.25">
      <c r="A1129" s="2">
        <v>1127</v>
      </c>
      <c r="B1129" s="19" t="s">
        <v>3215</v>
      </c>
    </row>
    <row r="1130" spans="1:2" ht="18.75" customHeight="1" x14ac:dyDescent="0.25">
      <c r="A1130" s="2">
        <v>1128</v>
      </c>
      <c r="B1130" s="2" t="s">
        <v>3218</v>
      </c>
    </row>
    <row r="1131" spans="1:2" ht="18.75" customHeight="1" x14ac:dyDescent="0.25">
      <c r="A1131" s="2">
        <v>1129</v>
      </c>
      <c r="B1131" s="2" t="s">
        <v>3221</v>
      </c>
    </row>
    <row r="1132" spans="1:2" ht="18.75" customHeight="1" x14ac:dyDescent="0.25">
      <c r="A1132" s="2">
        <v>1130</v>
      </c>
      <c r="B1132" s="2" t="s">
        <v>3224</v>
      </c>
    </row>
    <row r="1133" spans="1:2" ht="18.75" customHeight="1" x14ac:dyDescent="0.25">
      <c r="A1133" s="2">
        <v>1131</v>
      </c>
      <c r="B1133" s="2" t="s">
        <v>3227</v>
      </c>
    </row>
    <row r="1134" spans="1:2" ht="18.75" customHeight="1" x14ac:dyDescent="0.25">
      <c r="A1134" s="2">
        <v>1132</v>
      </c>
      <c r="B1134" s="19" t="s">
        <v>3235</v>
      </c>
    </row>
    <row r="1135" spans="1:2" ht="18.75" customHeight="1" x14ac:dyDescent="0.25">
      <c r="A1135" s="2">
        <v>1133</v>
      </c>
      <c r="B1135" s="19" t="s">
        <v>3238</v>
      </c>
    </row>
    <row r="1136" spans="1:2" ht="18.75" customHeight="1" x14ac:dyDescent="0.25">
      <c r="A1136" s="2">
        <v>1134</v>
      </c>
      <c r="B1136" s="2" t="s">
        <v>3240</v>
      </c>
    </row>
    <row r="1137" spans="1:2" ht="18.75" customHeight="1" x14ac:dyDescent="0.25">
      <c r="A1137" s="2">
        <v>1135</v>
      </c>
      <c r="B1137" s="2" t="s">
        <v>3245</v>
      </c>
    </row>
    <row r="1138" spans="1:2" ht="18.75" customHeight="1" x14ac:dyDescent="0.25">
      <c r="A1138" s="2">
        <v>1136</v>
      </c>
      <c r="B1138" s="2" t="s">
        <v>3246</v>
      </c>
    </row>
    <row r="1139" spans="1:2" ht="18.75" customHeight="1" x14ac:dyDescent="0.25">
      <c r="A1139" s="2">
        <v>1137</v>
      </c>
      <c r="B1139" s="2" t="s">
        <v>3248</v>
      </c>
    </row>
    <row r="1140" spans="1:2" ht="18.75" customHeight="1" x14ac:dyDescent="0.25">
      <c r="A1140" s="2">
        <v>1138</v>
      </c>
      <c r="B1140" s="19" t="s">
        <v>3250</v>
      </c>
    </row>
    <row r="1141" spans="1:2" ht="18.75" customHeight="1" x14ac:dyDescent="0.25">
      <c r="A1141" s="2">
        <v>1139</v>
      </c>
      <c r="B1141" s="19" t="s">
        <v>3256</v>
      </c>
    </row>
    <row r="1142" spans="1:2" ht="18.75" customHeight="1" x14ac:dyDescent="0.25">
      <c r="A1142" s="2">
        <v>1140</v>
      </c>
      <c r="B1142" s="19" t="s">
        <v>3251</v>
      </c>
    </row>
    <row r="1143" spans="1:2" ht="18.75" customHeight="1" x14ac:dyDescent="0.25">
      <c r="A1143" s="2">
        <v>1141</v>
      </c>
      <c r="B1143" s="19" t="s">
        <v>3253</v>
      </c>
    </row>
    <row r="1144" spans="1:2" ht="18.75" customHeight="1" x14ac:dyDescent="0.25">
      <c r="A1144" s="2">
        <v>1142</v>
      </c>
      <c r="B1144" s="2" t="s">
        <v>3260</v>
      </c>
    </row>
    <row r="1145" spans="1:2" ht="18.75" customHeight="1" x14ac:dyDescent="0.25">
      <c r="A1145" s="2">
        <v>1143</v>
      </c>
      <c r="B1145" s="2" t="s">
        <v>3262</v>
      </c>
    </row>
    <row r="1146" spans="1:2" ht="18.75" customHeight="1" x14ac:dyDescent="0.25">
      <c r="A1146" s="2">
        <v>1144</v>
      </c>
      <c r="B1146" s="2" t="s">
        <v>3265</v>
      </c>
    </row>
    <row r="1147" spans="1:2" ht="18.75" customHeight="1" x14ac:dyDescent="0.25">
      <c r="A1147" s="2">
        <v>1145</v>
      </c>
      <c r="B1147" s="19" t="s">
        <v>3268</v>
      </c>
    </row>
    <row r="1148" spans="1:2" ht="18.75" customHeight="1" x14ac:dyDescent="0.25">
      <c r="A1148" s="2">
        <v>1146</v>
      </c>
      <c r="B1148" s="2" t="s">
        <v>3269</v>
      </c>
    </row>
    <row r="1149" spans="1:2" ht="18.75" customHeight="1" x14ac:dyDescent="0.25">
      <c r="A1149" s="2">
        <v>1147</v>
      </c>
      <c r="B1149" s="2" t="s">
        <v>3274</v>
      </c>
    </row>
    <row r="1150" spans="1:2" ht="18.75" customHeight="1" x14ac:dyDescent="0.25">
      <c r="A1150" s="2">
        <v>1148</v>
      </c>
      <c r="B1150" s="2" t="s">
        <v>3276</v>
      </c>
    </row>
    <row r="1151" spans="1:2" ht="18.75" customHeight="1" x14ac:dyDescent="0.25">
      <c r="A1151" s="2">
        <v>1149</v>
      </c>
      <c r="B1151" s="2" t="s">
        <v>3277</v>
      </c>
    </row>
    <row r="1152" spans="1:2" ht="18.75" customHeight="1" x14ac:dyDescent="0.25">
      <c r="A1152" s="2">
        <v>1150</v>
      </c>
      <c r="B1152" s="19" t="s">
        <v>3278</v>
      </c>
    </row>
    <row r="1153" spans="1:2" ht="18.75" customHeight="1" x14ac:dyDescent="0.25">
      <c r="A1153" s="2">
        <v>1151</v>
      </c>
      <c r="B1153" s="2" t="s">
        <v>3282</v>
      </c>
    </row>
    <row r="1154" spans="1:2" ht="18.75" customHeight="1" x14ac:dyDescent="0.25">
      <c r="A1154" s="2">
        <v>1152</v>
      </c>
      <c r="B1154" s="19" t="s">
        <v>3286</v>
      </c>
    </row>
    <row r="1155" spans="1:2" ht="18.75" customHeight="1" x14ac:dyDescent="0.25">
      <c r="A1155" s="2">
        <v>1153</v>
      </c>
      <c r="B1155" s="2" t="s">
        <v>3289</v>
      </c>
    </row>
    <row r="1156" spans="1:2" ht="18.75" customHeight="1" x14ac:dyDescent="0.25">
      <c r="A1156" s="2">
        <v>1154</v>
      </c>
      <c r="B1156" s="2" t="s">
        <v>3290</v>
      </c>
    </row>
    <row r="1157" spans="1:2" ht="18.75" customHeight="1" x14ac:dyDescent="0.25">
      <c r="A1157" s="2">
        <v>1155</v>
      </c>
      <c r="B1157" s="2" t="s">
        <v>3293</v>
      </c>
    </row>
    <row r="1158" spans="1:2" ht="18.75" customHeight="1" x14ac:dyDescent="0.25">
      <c r="A1158" s="2">
        <v>1156</v>
      </c>
      <c r="B1158" s="2" t="s">
        <v>3294</v>
      </c>
    </row>
    <row r="1159" spans="1:2" ht="18.75" customHeight="1" x14ac:dyDescent="0.25">
      <c r="A1159" s="2">
        <v>1157</v>
      </c>
      <c r="B1159" s="2" t="s">
        <v>3296</v>
      </c>
    </row>
    <row r="1160" spans="1:2" ht="18.75" customHeight="1" x14ac:dyDescent="0.25">
      <c r="A1160" s="2">
        <v>1158</v>
      </c>
      <c r="B1160" s="19" t="s">
        <v>3302</v>
      </c>
    </row>
    <row r="1161" spans="1:2" ht="18.75" customHeight="1" x14ac:dyDescent="0.25">
      <c r="A1161" s="2">
        <v>1159</v>
      </c>
      <c r="B1161" s="19" t="s">
        <v>4502</v>
      </c>
    </row>
    <row r="1162" spans="1:2" ht="18.75" customHeight="1" x14ac:dyDescent="0.25">
      <c r="A1162" s="2">
        <v>1160</v>
      </c>
      <c r="B1162" s="19" t="s">
        <v>3305</v>
      </c>
    </row>
    <row r="1163" spans="1:2" ht="18.75" customHeight="1" x14ac:dyDescent="0.25">
      <c r="A1163" s="2">
        <v>1161</v>
      </c>
      <c r="B1163" s="2" t="s">
        <v>3306</v>
      </c>
    </row>
    <row r="1164" spans="1:2" ht="18.75" customHeight="1" x14ac:dyDescent="0.25">
      <c r="A1164" s="2">
        <v>1162</v>
      </c>
      <c r="B1164" s="2" t="s">
        <v>3311</v>
      </c>
    </row>
    <row r="1165" spans="1:2" ht="18.75" customHeight="1" x14ac:dyDescent="0.25">
      <c r="A1165" s="2">
        <v>1163</v>
      </c>
      <c r="B1165" s="80" t="s">
        <v>3315</v>
      </c>
    </row>
    <row r="1166" spans="1:2" ht="18.75" customHeight="1" x14ac:dyDescent="0.25">
      <c r="A1166" s="2">
        <v>1164</v>
      </c>
      <c r="B1166" s="19" t="s">
        <v>3318</v>
      </c>
    </row>
    <row r="1167" spans="1:2" ht="18.75" customHeight="1" x14ac:dyDescent="0.25">
      <c r="A1167" s="2">
        <v>1165</v>
      </c>
      <c r="B1167" s="19" t="s">
        <v>3324</v>
      </c>
    </row>
    <row r="1168" spans="1:2" ht="18.75" customHeight="1" x14ac:dyDescent="0.25">
      <c r="A1168" s="2">
        <v>1166</v>
      </c>
      <c r="B1168" s="19" t="s">
        <v>3325</v>
      </c>
    </row>
    <row r="1169" spans="1:2" ht="18.75" customHeight="1" x14ac:dyDescent="0.25">
      <c r="A1169" s="2">
        <v>1167</v>
      </c>
      <c r="B1169" s="2" t="s">
        <v>3326</v>
      </c>
    </row>
    <row r="1170" spans="1:2" ht="18.75" customHeight="1" x14ac:dyDescent="0.25">
      <c r="A1170" s="2">
        <v>1168</v>
      </c>
      <c r="B1170" s="19" t="s">
        <v>3328</v>
      </c>
    </row>
    <row r="1171" spans="1:2" ht="18.75" customHeight="1" x14ac:dyDescent="0.25">
      <c r="A1171" s="2">
        <v>1169</v>
      </c>
      <c r="B1171" s="19" t="s">
        <v>3330</v>
      </c>
    </row>
    <row r="1172" spans="1:2" ht="18.75" customHeight="1" x14ac:dyDescent="0.25">
      <c r="A1172" s="2">
        <v>1170</v>
      </c>
      <c r="B1172" s="19" t="s">
        <v>3332</v>
      </c>
    </row>
    <row r="1173" spans="1:2" ht="18.75" customHeight="1" x14ac:dyDescent="0.25">
      <c r="A1173" s="2">
        <v>1171</v>
      </c>
      <c r="B1173" s="2" t="s">
        <v>3333</v>
      </c>
    </row>
    <row r="1174" spans="1:2" ht="18.75" customHeight="1" x14ac:dyDescent="0.25">
      <c r="A1174" s="2">
        <v>1172</v>
      </c>
      <c r="B1174" s="2" t="s">
        <v>3332</v>
      </c>
    </row>
    <row r="1175" spans="1:2" ht="18.75" customHeight="1" x14ac:dyDescent="0.25">
      <c r="A1175" s="2">
        <v>1173</v>
      </c>
      <c r="B1175" s="2" t="s">
        <v>3338</v>
      </c>
    </row>
    <row r="1176" spans="1:2" ht="18.75" customHeight="1" x14ac:dyDescent="0.25">
      <c r="A1176" s="2">
        <v>1174</v>
      </c>
      <c r="B1176" s="19" t="s">
        <v>3340</v>
      </c>
    </row>
    <row r="1177" spans="1:2" ht="18.75" customHeight="1" x14ac:dyDescent="0.25">
      <c r="A1177" s="2">
        <v>1175</v>
      </c>
      <c r="B1177" s="2" t="s">
        <v>3343</v>
      </c>
    </row>
    <row r="1178" spans="1:2" ht="18.75" customHeight="1" x14ac:dyDescent="0.25">
      <c r="A1178" s="2">
        <v>1176</v>
      </c>
      <c r="B1178" s="2" t="s">
        <v>3344</v>
      </c>
    </row>
    <row r="1179" spans="1:2" ht="18.75" customHeight="1" x14ac:dyDescent="0.25">
      <c r="A1179" s="2">
        <v>1177</v>
      </c>
      <c r="B1179" s="2" t="s">
        <v>3347</v>
      </c>
    </row>
    <row r="1180" spans="1:2" ht="18.75" customHeight="1" x14ac:dyDescent="0.25">
      <c r="A1180" s="2">
        <v>1178</v>
      </c>
      <c r="B1180" s="109" t="s">
        <v>3348</v>
      </c>
    </row>
    <row r="1181" spans="1:2" ht="18.75" customHeight="1" x14ac:dyDescent="0.25">
      <c r="A1181" s="2">
        <v>1179</v>
      </c>
      <c r="B1181" s="2" t="s">
        <v>3354</v>
      </c>
    </row>
    <row r="1182" spans="1:2" ht="18.75" customHeight="1" x14ac:dyDescent="0.25">
      <c r="A1182" s="2">
        <v>1180</v>
      </c>
      <c r="B1182" s="2" t="s">
        <v>3356</v>
      </c>
    </row>
    <row r="1183" spans="1:2" ht="18.75" customHeight="1" x14ac:dyDescent="0.25">
      <c r="A1183" s="2">
        <v>1181</v>
      </c>
      <c r="B1183" s="2" t="s">
        <v>3359</v>
      </c>
    </row>
    <row r="1184" spans="1:2" ht="18.75" customHeight="1" x14ac:dyDescent="0.25">
      <c r="A1184" s="2">
        <v>1182</v>
      </c>
      <c r="B1184" s="2" t="s">
        <v>3360</v>
      </c>
    </row>
    <row r="1185" spans="1:2" ht="18.75" customHeight="1" x14ac:dyDescent="0.25">
      <c r="A1185" s="2">
        <v>1183</v>
      </c>
      <c r="B1185" s="2" t="s">
        <v>3362</v>
      </c>
    </row>
    <row r="1186" spans="1:2" ht="18.75" customHeight="1" x14ac:dyDescent="0.25">
      <c r="A1186" s="2">
        <v>1184</v>
      </c>
      <c r="B1186" s="19" t="s">
        <v>3366</v>
      </c>
    </row>
    <row r="1187" spans="1:2" ht="18.75" customHeight="1" x14ac:dyDescent="0.25">
      <c r="A1187" s="2">
        <v>1185</v>
      </c>
      <c r="B1187" s="2" t="s">
        <v>3368</v>
      </c>
    </row>
    <row r="1188" spans="1:2" ht="18.75" customHeight="1" x14ac:dyDescent="0.25">
      <c r="A1188" s="2">
        <v>1186</v>
      </c>
      <c r="B1188" s="2" t="s">
        <v>3369</v>
      </c>
    </row>
    <row r="1189" spans="1:2" ht="18.75" customHeight="1" x14ac:dyDescent="0.25">
      <c r="A1189" s="2">
        <v>1187</v>
      </c>
      <c r="B1189" s="2" t="s">
        <v>3370</v>
      </c>
    </row>
    <row r="1190" spans="1:2" ht="18.75" customHeight="1" x14ac:dyDescent="0.25">
      <c r="A1190" s="2">
        <v>1188</v>
      </c>
      <c r="B1190" s="2" t="s">
        <v>3373</v>
      </c>
    </row>
    <row r="1191" spans="1:2" ht="18.75" customHeight="1" x14ac:dyDescent="0.25">
      <c r="A1191" s="2">
        <v>1189</v>
      </c>
      <c r="B1191" s="2" t="s">
        <v>3375</v>
      </c>
    </row>
    <row r="1192" spans="1:2" ht="18.75" customHeight="1" x14ac:dyDescent="0.25">
      <c r="A1192" s="2">
        <v>1190</v>
      </c>
      <c r="B1192" s="2" t="s">
        <v>3459</v>
      </c>
    </row>
    <row r="1193" spans="1:2" ht="18.75" customHeight="1" x14ac:dyDescent="0.25">
      <c r="A1193" s="2">
        <v>1191</v>
      </c>
      <c r="B1193" s="109" t="s">
        <v>3377</v>
      </c>
    </row>
    <row r="1194" spans="1:2" ht="18.75" customHeight="1" x14ac:dyDescent="0.25">
      <c r="A1194" s="2">
        <v>1192</v>
      </c>
      <c r="B1194" s="2" t="s">
        <v>3380</v>
      </c>
    </row>
    <row r="1195" spans="1:2" ht="18.75" customHeight="1" x14ac:dyDescent="0.25">
      <c r="A1195" s="2">
        <v>1193</v>
      </c>
      <c r="B1195" s="2" t="s">
        <v>3382</v>
      </c>
    </row>
    <row r="1196" spans="1:2" ht="18.75" customHeight="1" x14ac:dyDescent="0.25">
      <c r="A1196" s="2">
        <v>1194</v>
      </c>
      <c r="B1196" s="2" t="s">
        <v>3383</v>
      </c>
    </row>
    <row r="1197" spans="1:2" ht="18.75" customHeight="1" x14ac:dyDescent="0.25">
      <c r="A1197" s="2">
        <v>1195</v>
      </c>
      <c r="B1197" s="2" t="s">
        <v>3386</v>
      </c>
    </row>
    <row r="1198" spans="1:2" ht="18.75" customHeight="1" x14ac:dyDescent="0.25">
      <c r="A1198" s="2">
        <v>1196</v>
      </c>
      <c r="B1198" s="2" t="s">
        <v>3388</v>
      </c>
    </row>
    <row r="1199" spans="1:2" ht="18.75" customHeight="1" x14ac:dyDescent="0.25">
      <c r="A1199" s="2">
        <v>1197</v>
      </c>
      <c r="B1199" s="2" t="s">
        <v>3391</v>
      </c>
    </row>
    <row r="1200" spans="1:2" ht="18.75" customHeight="1" x14ac:dyDescent="0.25">
      <c r="A1200" s="2">
        <v>1198</v>
      </c>
      <c r="B1200" s="2" t="s">
        <v>3392</v>
      </c>
    </row>
    <row r="1201" spans="1:2" ht="18.75" customHeight="1" x14ac:dyDescent="0.25">
      <c r="A1201" s="2">
        <v>1199</v>
      </c>
      <c r="B1201" s="2" t="s">
        <v>3394</v>
      </c>
    </row>
    <row r="1202" spans="1:2" ht="18.75" customHeight="1" x14ac:dyDescent="0.25">
      <c r="A1202" s="2">
        <v>1200</v>
      </c>
      <c r="B1202" s="2" t="s">
        <v>3397</v>
      </c>
    </row>
    <row r="1203" spans="1:2" ht="18.75" customHeight="1" x14ac:dyDescent="0.25">
      <c r="A1203" s="2">
        <v>1201</v>
      </c>
      <c r="B1203" s="2" t="s">
        <v>3398</v>
      </c>
    </row>
    <row r="1204" spans="1:2" ht="18.75" customHeight="1" x14ac:dyDescent="0.25">
      <c r="A1204" s="2">
        <v>1202</v>
      </c>
      <c r="B1204" s="2" t="s">
        <v>3401</v>
      </c>
    </row>
    <row r="1205" spans="1:2" ht="18.75" customHeight="1" x14ac:dyDescent="0.25">
      <c r="A1205" s="2">
        <v>1203</v>
      </c>
      <c r="B1205" s="19" t="s">
        <v>3402</v>
      </c>
    </row>
    <row r="1206" spans="1:2" ht="18.75" customHeight="1" x14ac:dyDescent="0.25">
      <c r="A1206" s="2">
        <v>1204</v>
      </c>
      <c r="B1206" s="19" t="s">
        <v>3407</v>
      </c>
    </row>
    <row r="1207" spans="1:2" ht="18.75" customHeight="1" x14ac:dyDescent="0.25">
      <c r="A1207" s="2">
        <v>1205</v>
      </c>
      <c r="B1207" s="109" t="s">
        <v>3195</v>
      </c>
    </row>
    <row r="1208" spans="1:2" ht="18.75" customHeight="1" x14ac:dyDescent="0.25">
      <c r="A1208" s="2">
        <v>1206</v>
      </c>
      <c r="B1208" s="2" t="s">
        <v>3412</v>
      </c>
    </row>
    <row r="1209" spans="1:2" ht="18.75" customHeight="1" x14ac:dyDescent="0.25">
      <c r="A1209" s="2">
        <v>1207</v>
      </c>
      <c r="B1209" s="2" t="s">
        <v>3416</v>
      </c>
    </row>
    <row r="1210" spans="1:2" ht="18.75" customHeight="1" x14ac:dyDescent="0.25">
      <c r="A1210" s="2">
        <v>1208</v>
      </c>
      <c r="B1210" s="19" t="s">
        <v>3414</v>
      </c>
    </row>
    <row r="1211" spans="1:2" ht="18.75" customHeight="1" x14ac:dyDescent="0.25">
      <c r="A1211" s="2">
        <v>1209</v>
      </c>
      <c r="B1211" s="2" t="s">
        <v>3420</v>
      </c>
    </row>
    <row r="1212" spans="1:2" ht="18.75" customHeight="1" x14ac:dyDescent="0.25">
      <c r="A1212" s="2">
        <v>1210</v>
      </c>
      <c r="B1212" s="109" t="s">
        <v>3422</v>
      </c>
    </row>
    <row r="1213" spans="1:2" ht="18.75" customHeight="1" x14ac:dyDescent="0.25">
      <c r="A1213" s="2">
        <v>1211</v>
      </c>
      <c r="B1213" s="109" t="s">
        <v>3428</v>
      </c>
    </row>
    <row r="1214" spans="1:2" ht="18.75" customHeight="1" x14ac:dyDescent="0.25">
      <c r="A1214" s="2">
        <v>1212</v>
      </c>
      <c r="B1214" s="19" t="s">
        <v>3429</v>
      </c>
    </row>
    <row r="1215" spans="1:2" ht="18.75" customHeight="1" x14ac:dyDescent="0.25">
      <c r="A1215" s="2">
        <v>1213</v>
      </c>
      <c r="B1215" s="2" t="s">
        <v>3433</v>
      </c>
    </row>
    <row r="1216" spans="1:2" ht="18.75" customHeight="1" x14ac:dyDescent="0.25">
      <c r="A1216" s="2">
        <v>1214</v>
      </c>
      <c r="B1216" s="2" t="s">
        <v>3436</v>
      </c>
    </row>
    <row r="1217" spans="1:2" ht="18.75" customHeight="1" x14ac:dyDescent="0.25">
      <c r="A1217" s="2">
        <v>1215</v>
      </c>
      <c r="B1217" s="19" t="s">
        <v>3438</v>
      </c>
    </row>
    <row r="1218" spans="1:2" ht="18.75" customHeight="1" x14ac:dyDescent="0.25">
      <c r="A1218" s="2">
        <v>1216</v>
      </c>
      <c r="B1218" s="2" t="s">
        <v>3440</v>
      </c>
    </row>
    <row r="1219" spans="1:2" ht="18.75" customHeight="1" x14ac:dyDescent="0.25">
      <c r="A1219" s="2">
        <v>1217</v>
      </c>
      <c r="B1219" s="19" t="s">
        <v>3447</v>
      </c>
    </row>
    <row r="1220" spans="1:2" ht="18.75" customHeight="1" x14ac:dyDescent="0.25">
      <c r="A1220" s="2">
        <v>1218</v>
      </c>
      <c r="B1220" s="19" t="s">
        <v>3448</v>
      </c>
    </row>
    <row r="1221" spans="1:2" ht="18.75" customHeight="1" x14ac:dyDescent="0.25">
      <c r="A1221" s="2">
        <v>1219</v>
      </c>
      <c r="B1221" s="2" t="s">
        <v>3450</v>
      </c>
    </row>
    <row r="1222" spans="1:2" ht="18.75" customHeight="1" x14ac:dyDescent="0.25">
      <c r="A1222" s="2">
        <v>1220</v>
      </c>
      <c r="B1222" s="2" t="s">
        <v>3452</v>
      </c>
    </row>
    <row r="1223" spans="1:2" ht="18.75" customHeight="1" x14ac:dyDescent="0.25">
      <c r="A1223" s="2">
        <v>1221</v>
      </c>
      <c r="B1223" s="2" t="s">
        <v>3454</v>
      </c>
    </row>
    <row r="1224" spans="1:2" ht="18.75" customHeight="1" x14ac:dyDescent="0.25">
      <c r="A1224" s="2">
        <v>1222</v>
      </c>
      <c r="B1224" s="2" t="s">
        <v>3456</v>
      </c>
    </row>
    <row r="1225" spans="1:2" ht="18.75" customHeight="1" x14ac:dyDescent="0.25">
      <c r="A1225" s="2">
        <v>1223</v>
      </c>
      <c r="B1225" s="2" t="s">
        <v>3458</v>
      </c>
    </row>
    <row r="1226" spans="1:2" ht="18.75" customHeight="1" x14ac:dyDescent="0.25">
      <c r="A1226" s="2">
        <v>1224</v>
      </c>
      <c r="B1226" s="2" t="s">
        <v>3463</v>
      </c>
    </row>
    <row r="1227" spans="1:2" ht="18.75" customHeight="1" x14ac:dyDescent="0.25">
      <c r="A1227" s="2">
        <v>1225</v>
      </c>
      <c r="B1227" s="2" t="s">
        <v>3465</v>
      </c>
    </row>
    <row r="1228" spans="1:2" ht="18.75" customHeight="1" x14ac:dyDescent="0.25">
      <c r="A1228" s="2">
        <v>1226</v>
      </c>
      <c r="B1228" s="2" t="s">
        <v>3468</v>
      </c>
    </row>
    <row r="1229" spans="1:2" ht="18.75" customHeight="1" x14ac:dyDescent="0.25">
      <c r="A1229" s="2">
        <v>1227</v>
      </c>
      <c r="B1229" s="2" t="s">
        <v>3470</v>
      </c>
    </row>
    <row r="1230" spans="1:2" ht="18.75" customHeight="1" x14ac:dyDescent="0.25">
      <c r="A1230" s="2">
        <v>1228</v>
      </c>
      <c r="B1230" s="2" t="s">
        <v>3478</v>
      </c>
    </row>
    <row r="1231" spans="1:2" ht="18.75" customHeight="1" x14ac:dyDescent="0.25">
      <c r="A1231" s="2">
        <v>1229</v>
      </c>
      <c r="B1231" s="2" t="s">
        <v>3481</v>
      </c>
    </row>
    <row r="1232" spans="1:2" ht="18.75" customHeight="1" x14ac:dyDescent="0.25">
      <c r="A1232" s="2">
        <v>1230</v>
      </c>
      <c r="B1232" s="19" t="s">
        <v>3484</v>
      </c>
    </row>
    <row r="1233" spans="1:2" ht="18.75" customHeight="1" x14ac:dyDescent="0.25">
      <c r="A1233" s="2">
        <v>1231</v>
      </c>
      <c r="B1233" s="19" t="s">
        <v>3485</v>
      </c>
    </row>
    <row r="1234" spans="1:2" ht="18.75" customHeight="1" x14ac:dyDescent="0.25">
      <c r="A1234" s="2">
        <v>1232</v>
      </c>
      <c r="B1234" s="19" t="s">
        <v>3491</v>
      </c>
    </row>
    <row r="1235" spans="1:2" ht="18.75" customHeight="1" x14ac:dyDescent="0.25">
      <c r="A1235" s="2">
        <v>1233</v>
      </c>
      <c r="B1235" s="2" t="s">
        <v>3493</v>
      </c>
    </row>
    <row r="1236" spans="1:2" ht="18.75" customHeight="1" x14ac:dyDescent="0.25">
      <c r="A1236" s="2">
        <v>1234</v>
      </c>
      <c r="B1236" s="19" t="s">
        <v>3495</v>
      </c>
    </row>
    <row r="1237" spans="1:2" ht="18.75" customHeight="1" x14ac:dyDescent="0.25">
      <c r="A1237" s="2">
        <v>1235</v>
      </c>
      <c r="B1237" s="2" t="s">
        <v>3497</v>
      </c>
    </row>
    <row r="1238" spans="1:2" ht="18.75" customHeight="1" x14ac:dyDescent="0.25">
      <c r="A1238" s="2">
        <v>1236</v>
      </c>
      <c r="B1238" s="2" t="s">
        <v>3499</v>
      </c>
    </row>
    <row r="1239" spans="1:2" ht="18.75" customHeight="1" x14ac:dyDescent="0.25">
      <c r="A1239" s="2">
        <v>1237</v>
      </c>
      <c r="B1239" s="2" t="s">
        <v>3501</v>
      </c>
    </row>
    <row r="1240" spans="1:2" ht="18.75" customHeight="1" x14ac:dyDescent="0.25">
      <c r="A1240" s="2">
        <v>1238</v>
      </c>
      <c r="B1240" s="2" t="s">
        <v>3502</v>
      </c>
    </row>
    <row r="1241" spans="1:2" ht="18.75" customHeight="1" x14ac:dyDescent="0.25">
      <c r="A1241" s="2">
        <v>1239</v>
      </c>
      <c r="B1241" s="2" t="s">
        <v>3503</v>
      </c>
    </row>
    <row r="1242" spans="1:2" ht="18.75" customHeight="1" x14ac:dyDescent="0.25">
      <c r="A1242" s="2">
        <v>1240</v>
      </c>
      <c r="B1242" s="109" t="s">
        <v>3506</v>
      </c>
    </row>
    <row r="1243" spans="1:2" ht="18.75" customHeight="1" x14ac:dyDescent="0.25">
      <c r="A1243" s="2">
        <v>1241</v>
      </c>
      <c r="B1243" s="2" t="s">
        <v>3508</v>
      </c>
    </row>
    <row r="1244" spans="1:2" ht="18.75" customHeight="1" x14ac:dyDescent="0.25">
      <c r="A1244" s="2">
        <v>1242</v>
      </c>
      <c r="B1244" s="2" t="s">
        <v>3510</v>
      </c>
    </row>
    <row r="1245" spans="1:2" ht="18.75" customHeight="1" x14ac:dyDescent="0.25">
      <c r="A1245" s="2">
        <v>1243</v>
      </c>
      <c r="B1245" s="2" t="s">
        <v>3512</v>
      </c>
    </row>
    <row r="1246" spans="1:2" ht="18.75" customHeight="1" x14ac:dyDescent="0.25">
      <c r="A1246" s="2">
        <v>1244</v>
      </c>
      <c r="B1246" s="19" t="s">
        <v>3513</v>
      </c>
    </row>
    <row r="1247" spans="1:2" ht="18.75" customHeight="1" x14ac:dyDescent="0.25">
      <c r="A1247" s="2">
        <v>1245</v>
      </c>
      <c r="B1247" s="2" t="s">
        <v>3516</v>
      </c>
    </row>
    <row r="1248" spans="1:2" ht="18.75" customHeight="1" x14ac:dyDescent="0.25">
      <c r="A1248" s="2">
        <v>1246</v>
      </c>
      <c r="B1248" s="19" t="s">
        <v>4733</v>
      </c>
    </row>
    <row r="1249" spans="1:2" ht="18.75" customHeight="1" x14ac:dyDescent="0.25">
      <c r="A1249" s="2">
        <v>1247</v>
      </c>
      <c r="B1249" s="2" t="s">
        <v>3521</v>
      </c>
    </row>
    <row r="1250" spans="1:2" ht="18.75" customHeight="1" x14ac:dyDescent="0.25">
      <c r="A1250" s="2">
        <v>1248</v>
      </c>
      <c r="B1250" s="2" t="s">
        <v>3523</v>
      </c>
    </row>
    <row r="1251" spans="1:2" ht="18.75" customHeight="1" x14ac:dyDescent="0.25">
      <c r="A1251" s="2">
        <v>1249</v>
      </c>
      <c r="B1251" s="19" t="s">
        <v>3525</v>
      </c>
    </row>
    <row r="1252" spans="1:2" ht="18.75" customHeight="1" x14ac:dyDescent="0.25">
      <c r="A1252" s="2">
        <v>1250</v>
      </c>
      <c r="B1252" s="109" t="s">
        <v>3548</v>
      </c>
    </row>
    <row r="1253" spans="1:2" ht="18.75" customHeight="1" x14ac:dyDescent="0.25">
      <c r="A1253" s="2">
        <v>1251</v>
      </c>
      <c r="B1253" s="2" t="s">
        <v>3551</v>
      </c>
    </row>
    <row r="1254" spans="1:2" ht="18.75" customHeight="1" x14ac:dyDescent="0.25">
      <c r="A1254" s="2">
        <v>1252</v>
      </c>
      <c r="B1254" s="2" t="s">
        <v>3555</v>
      </c>
    </row>
    <row r="1255" spans="1:2" ht="18.75" customHeight="1" x14ac:dyDescent="0.25">
      <c r="A1255" s="2">
        <v>1253</v>
      </c>
      <c r="B1255" s="2" t="s">
        <v>3560</v>
      </c>
    </row>
    <row r="1256" spans="1:2" ht="18.75" customHeight="1" x14ac:dyDescent="0.25">
      <c r="A1256" s="2">
        <v>1254</v>
      </c>
      <c r="B1256" s="2" t="s">
        <v>3563</v>
      </c>
    </row>
    <row r="1257" spans="1:2" ht="18.75" customHeight="1" x14ac:dyDescent="0.25">
      <c r="A1257" s="2">
        <v>1255</v>
      </c>
      <c r="B1257" s="2" t="s">
        <v>3565</v>
      </c>
    </row>
    <row r="1258" spans="1:2" ht="18.75" customHeight="1" x14ac:dyDescent="0.25">
      <c r="A1258" s="2">
        <v>1256</v>
      </c>
      <c r="B1258" s="19" t="s">
        <v>3566</v>
      </c>
    </row>
    <row r="1259" spans="1:2" ht="18.75" customHeight="1" x14ac:dyDescent="0.25">
      <c r="A1259" s="2">
        <v>1257</v>
      </c>
      <c r="B1259" s="19" t="s">
        <v>3568</v>
      </c>
    </row>
    <row r="1260" spans="1:2" ht="18.75" customHeight="1" x14ac:dyDescent="0.25">
      <c r="A1260" s="2">
        <v>1258</v>
      </c>
      <c r="B1260" s="109" t="s">
        <v>3569</v>
      </c>
    </row>
    <row r="1261" spans="1:2" ht="18.75" customHeight="1" x14ac:dyDescent="0.25">
      <c r="A1261" s="2">
        <v>1259</v>
      </c>
      <c r="B1261" s="19" t="s">
        <v>3573</v>
      </c>
    </row>
    <row r="1262" spans="1:2" ht="18.75" customHeight="1" x14ac:dyDescent="0.25">
      <c r="A1262" s="2">
        <v>1260</v>
      </c>
      <c r="B1262" s="109" t="s">
        <v>3576</v>
      </c>
    </row>
    <row r="1263" spans="1:2" ht="18.75" customHeight="1" x14ac:dyDescent="0.25">
      <c r="A1263" s="2">
        <v>1261</v>
      </c>
      <c r="B1263" s="109" t="s">
        <v>3579</v>
      </c>
    </row>
    <row r="1264" spans="1:2" ht="18.75" customHeight="1" x14ac:dyDescent="0.25">
      <c r="A1264" s="2">
        <v>1262</v>
      </c>
      <c r="B1264" s="109" t="s">
        <v>3582</v>
      </c>
    </row>
    <row r="1265" spans="1:2" ht="18.75" customHeight="1" x14ac:dyDescent="0.25">
      <c r="A1265" s="2">
        <v>1263</v>
      </c>
      <c r="B1265" s="2" t="s">
        <v>3585</v>
      </c>
    </row>
    <row r="1266" spans="1:2" ht="18.75" customHeight="1" x14ac:dyDescent="0.25">
      <c r="A1266" s="2">
        <v>1264</v>
      </c>
      <c r="B1266" s="2" t="s">
        <v>3588</v>
      </c>
    </row>
    <row r="1267" spans="1:2" ht="18.75" customHeight="1" x14ac:dyDescent="0.25">
      <c r="A1267" s="2">
        <v>1265</v>
      </c>
      <c r="B1267" s="2" t="s">
        <v>3590</v>
      </c>
    </row>
    <row r="1268" spans="1:2" ht="18.75" customHeight="1" x14ac:dyDescent="0.25">
      <c r="A1268" s="2">
        <v>1266</v>
      </c>
      <c r="B1268" s="19" t="s">
        <v>3592</v>
      </c>
    </row>
    <row r="1269" spans="1:2" ht="18.75" customHeight="1" x14ac:dyDescent="0.25">
      <c r="A1269" s="2">
        <v>1267</v>
      </c>
      <c r="B1269" s="2" t="s">
        <v>3606</v>
      </c>
    </row>
    <row r="1270" spans="1:2" ht="18.75" customHeight="1" x14ac:dyDescent="0.25">
      <c r="A1270" s="2">
        <v>1268</v>
      </c>
      <c r="B1270" s="2" t="s">
        <v>3608</v>
      </c>
    </row>
    <row r="1271" spans="1:2" ht="18.75" customHeight="1" x14ac:dyDescent="0.25">
      <c r="A1271" s="2">
        <v>1269</v>
      </c>
      <c r="B1271" s="19" t="s">
        <v>3613</v>
      </c>
    </row>
    <row r="1272" spans="1:2" ht="18.75" customHeight="1" x14ac:dyDescent="0.25">
      <c r="A1272" s="2">
        <v>1270</v>
      </c>
      <c r="B1272" s="2" t="s">
        <v>3615</v>
      </c>
    </row>
    <row r="1273" spans="1:2" ht="18.75" customHeight="1" x14ac:dyDescent="0.25">
      <c r="A1273" s="2">
        <v>1271</v>
      </c>
      <c r="B1273" s="19" t="s">
        <v>3617</v>
      </c>
    </row>
    <row r="1274" spans="1:2" ht="18.75" customHeight="1" x14ac:dyDescent="0.25">
      <c r="A1274" s="2">
        <v>1272</v>
      </c>
      <c r="B1274" s="32" t="s">
        <v>3620</v>
      </c>
    </row>
    <row r="1275" spans="1:2" ht="18.75" customHeight="1" x14ac:dyDescent="0.25">
      <c r="A1275" s="2">
        <v>1273</v>
      </c>
      <c r="B1275" s="2" t="s">
        <v>3625</v>
      </c>
    </row>
    <row r="1276" spans="1:2" ht="18.75" customHeight="1" x14ac:dyDescent="0.25">
      <c r="A1276" s="2">
        <v>1274</v>
      </c>
      <c r="B1276" s="19" t="s">
        <v>3632</v>
      </c>
    </row>
    <row r="1277" spans="1:2" ht="18.75" customHeight="1" x14ac:dyDescent="0.25">
      <c r="A1277" s="2">
        <v>1275</v>
      </c>
      <c r="B1277" s="109" t="s">
        <v>3635</v>
      </c>
    </row>
    <row r="1278" spans="1:2" ht="18.75" customHeight="1" x14ac:dyDescent="0.25">
      <c r="A1278" s="2">
        <v>1276</v>
      </c>
      <c r="B1278" s="2" t="s">
        <v>3637</v>
      </c>
    </row>
    <row r="1279" spans="1:2" ht="18.75" customHeight="1" x14ac:dyDescent="0.25">
      <c r="A1279" s="2">
        <v>1277</v>
      </c>
      <c r="B1279" s="19" t="s">
        <v>3641</v>
      </c>
    </row>
    <row r="1280" spans="1:2" ht="18.75" customHeight="1" x14ac:dyDescent="0.25">
      <c r="A1280" s="2">
        <v>1278</v>
      </c>
      <c r="B1280" s="19" t="s">
        <v>3645</v>
      </c>
    </row>
    <row r="1281" spans="1:2" ht="18.75" customHeight="1" x14ac:dyDescent="0.25">
      <c r="A1281" s="2">
        <v>1279</v>
      </c>
      <c r="B1281" s="2" t="s">
        <v>3648</v>
      </c>
    </row>
    <row r="1282" spans="1:2" ht="18.75" customHeight="1" x14ac:dyDescent="0.25">
      <c r="A1282" s="2">
        <v>1280</v>
      </c>
      <c r="B1282" s="2" t="s">
        <v>3649</v>
      </c>
    </row>
    <row r="1283" spans="1:2" ht="18.75" customHeight="1" x14ac:dyDescent="0.25">
      <c r="A1283" s="2">
        <v>1281</v>
      </c>
      <c r="B1283" s="19" t="s">
        <v>3651</v>
      </c>
    </row>
    <row r="1284" spans="1:2" ht="18.75" customHeight="1" x14ac:dyDescent="0.25">
      <c r="A1284" s="2">
        <v>1282</v>
      </c>
      <c r="B1284" s="2" t="s">
        <v>3652</v>
      </c>
    </row>
    <row r="1285" spans="1:2" ht="18.75" customHeight="1" x14ac:dyDescent="0.25">
      <c r="A1285" s="2">
        <v>1283</v>
      </c>
      <c r="B1285" s="2" t="s">
        <v>3656</v>
      </c>
    </row>
    <row r="1286" spans="1:2" ht="18.75" customHeight="1" x14ac:dyDescent="0.25">
      <c r="A1286" s="2">
        <v>1284</v>
      </c>
      <c r="B1286" s="2" t="s">
        <v>3660</v>
      </c>
    </row>
    <row r="1287" spans="1:2" ht="18.75" customHeight="1" x14ac:dyDescent="0.25">
      <c r="A1287" s="2">
        <v>1285</v>
      </c>
      <c r="B1287" s="2" t="s">
        <v>3666</v>
      </c>
    </row>
    <row r="1288" spans="1:2" ht="18.75" customHeight="1" x14ac:dyDescent="0.25">
      <c r="A1288" s="2">
        <v>1286</v>
      </c>
      <c r="B1288" s="19" t="s">
        <v>3665</v>
      </c>
    </row>
    <row r="1289" spans="1:2" ht="18.75" customHeight="1" x14ac:dyDescent="0.25">
      <c r="A1289" s="2">
        <v>1287</v>
      </c>
      <c r="B1289" s="19" t="s">
        <v>5754</v>
      </c>
    </row>
    <row r="1290" spans="1:2" ht="18.75" customHeight="1" x14ac:dyDescent="0.25">
      <c r="A1290" s="2">
        <v>1288</v>
      </c>
      <c r="B1290" s="109" t="s">
        <v>3670</v>
      </c>
    </row>
    <row r="1291" spans="1:2" ht="18.75" customHeight="1" x14ac:dyDescent="0.25">
      <c r="A1291" s="2">
        <v>1289</v>
      </c>
      <c r="B1291" s="2" t="s">
        <v>3673</v>
      </c>
    </row>
    <row r="1292" spans="1:2" ht="18.75" customHeight="1" x14ac:dyDescent="0.25">
      <c r="A1292" s="2">
        <v>1290</v>
      </c>
      <c r="B1292" s="2" t="s">
        <v>3673</v>
      </c>
    </row>
    <row r="1293" spans="1:2" ht="18.75" customHeight="1" x14ac:dyDescent="0.25">
      <c r="A1293" s="2">
        <v>1291</v>
      </c>
      <c r="B1293" s="19" t="s">
        <v>4195</v>
      </c>
    </row>
    <row r="1294" spans="1:2" ht="18.75" customHeight="1" x14ac:dyDescent="0.25">
      <c r="A1294" s="2">
        <v>1292</v>
      </c>
      <c r="B1294" s="2" t="s">
        <v>3680</v>
      </c>
    </row>
    <row r="1295" spans="1:2" ht="18.75" customHeight="1" x14ac:dyDescent="0.25">
      <c r="A1295" s="2">
        <v>1293</v>
      </c>
      <c r="B1295" s="2" t="s">
        <v>3679</v>
      </c>
    </row>
    <row r="1296" spans="1:2" ht="18.75" customHeight="1" x14ac:dyDescent="0.25">
      <c r="A1296" s="2">
        <v>1294</v>
      </c>
      <c r="B1296" s="19" t="s">
        <v>3683</v>
      </c>
    </row>
    <row r="1297" spans="1:2" ht="18.75" customHeight="1" x14ac:dyDescent="0.25">
      <c r="A1297" s="2">
        <v>1295</v>
      </c>
      <c r="B1297" s="109" t="s">
        <v>3687</v>
      </c>
    </row>
    <row r="1298" spans="1:2" ht="18.75" customHeight="1" x14ac:dyDescent="0.25">
      <c r="A1298" s="2">
        <v>1296</v>
      </c>
      <c r="B1298" s="19" t="s">
        <v>3686</v>
      </c>
    </row>
    <row r="1299" spans="1:2" ht="18.75" customHeight="1" x14ac:dyDescent="0.25">
      <c r="A1299" s="2">
        <v>1297</v>
      </c>
      <c r="B1299" s="2" t="s">
        <v>3688</v>
      </c>
    </row>
    <row r="1300" spans="1:2" ht="18.75" customHeight="1" x14ac:dyDescent="0.25">
      <c r="A1300" s="2">
        <v>1298</v>
      </c>
      <c r="B1300" s="19" t="s">
        <v>3691</v>
      </c>
    </row>
    <row r="1301" spans="1:2" ht="18.75" customHeight="1" x14ac:dyDescent="0.25">
      <c r="A1301" s="2">
        <v>1299</v>
      </c>
      <c r="B1301" s="2" t="s">
        <v>3694</v>
      </c>
    </row>
    <row r="1302" spans="1:2" ht="18.75" customHeight="1" x14ac:dyDescent="0.25">
      <c r="A1302" s="2">
        <v>1300</v>
      </c>
      <c r="B1302" s="19" t="s">
        <v>3700</v>
      </c>
    </row>
    <row r="1303" spans="1:2" ht="18.75" customHeight="1" x14ac:dyDescent="0.25">
      <c r="A1303" s="2">
        <v>1301</v>
      </c>
      <c r="B1303" s="19" t="s">
        <v>3702</v>
      </c>
    </row>
    <row r="1304" spans="1:2" ht="18.75" customHeight="1" x14ac:dyDescent="0.25">
      <c r="A1304" s="2">
        <v>1302</v>
      </c>
      <c r="B1304" s="19" t="s">
        <v>3704</v>
      </c>
    </row>
    <row r="1305" spans="1:2" ht="18.75" customHeight="1" x14ac:dyDescent="0.25">
      <c r="A1305" s="2">
        <v>1303</v>
      </c>
      <c r="B1305" s="19" t="s">
        <v>3706</v>
      </c>
    </row>
    <row r="1306" spans="1:2" ht="18.75" customHeight="1" x14ac:dyDescent="0.25">
      <c r="A1306" s="2">
        <v>1304</v>
      </c>
      <c r="B1306" s="19" t="s">
        <v>3708</v>
      </c>
    </row>
    <row r="1307" spans="1:2" ht="18.75" customHeight="1" x14ac:dyDescent="0.25">
      <c r="A1307" s="2">
        <v>1305</v>
      </c>
      <c r="B1307" s="19" t="s">
        <v>3713</v>
      </c>
    </row>
    <row r="1308" spans="1:2" ht="18.75" customHeight="1" x14ac:dyDescent="0.25">
      <c r="A1308" s="2">
        <v>1306</v>
      </c>
      <c r="B1308" s="19" t="s">
        <v>3714</v>
      </c>
    </row>
    <row r="1309" spans="1:2" ht="18.75" customHeight="1" x14ac:dyDescent="0.25">
      <c r="A1309" s="2">
        <v>1307</v>
      </c>
      <c r="B1309" s="19" t="s">
        <v>3716</v>
      </c>
    </row>
    <row r="1310" spans="1:2" ht="18.75" customHeight="1" x14ac:dyDescent="0.25">
      <c r="A1310" s="2">
        <v>1308</v>
      </c>
      <c r="B1310" s="19" t="s">
        <v>3719</v>
      </c>
    </row>
    <row r="1311" spans="1:2" ht="18.75" customHeight="1" x14ac:dyDescent="0.25">
      <c r="A1311" s="2">
        <v>1309</v>
      </c>
      <c r="B1311" s="20" t="s">
        <v>3723</v>
      </c>
    </row>
    <row r="1312" spans="1:2" ht="18.75" customHeight="1" x14ac:dyDescent="0.25">
      <c r="A1312" s="2">
        <v>1310</v>
      </c>
      <c r="B1312" s="19" t="s">
        <v>3726</v>
      </c>
    </row>
    <row r="1313" spans="1:2" ht="18.75" customHeight="1" x14ac:dyDescent="0.25">
      <c r="A1313" s="2">
        <v>1311</v>
      </c>
      <c r="B1313" s="19" t="s">
        <v>3731</v>
      </c>
    </row>
    <row r="1314" spans="1:2" ht="18.75" customHeight="1" x14ac:dyDescent="0.25">
      <c r="A1314" s="2">
        <v>1312</v>
      </c>
      <c r="B1314" s="19" t="s">
        <v>3739</v>
      </c>
    </row>
    <row r="1315" spans="1:2" ht="18.75" customHeight="1" x14ac:dyDescent="0.25">
      <c r="A1315" s="2">
        <v>1313</v>
      </c>
      <c r="B1315" s="19" t="s">
        <v>3740</v>
      </c>
    </row>
    <row r="1316" spans="1:2" ht="18.75" customHeight="1" x14ac:dyDescent="0.25">
      <c r="A1316" s="2">
        <v>1314</v>
      </c>
      <c r="B1316" s="19" t="s">
        <v>3741</v>
      </c>
    </row>
    <row r="1317" spans="1:2" ht="18.75" customHeight="1" x14ac:dyDescent="0.25">
      <c r="A1317" s="2">
        <v>1315</v>
      </c>
      <c r="B1317" s="19" t="s">
        <v>3743</v>
      </c>
    </row>
    <row r="1318" spans="1:2" ht="18.75" customHeight="1" x14ac:dyDescent="0.25">
      <c r="A1318" s="2">
        <v>1316</v>
      </c>
      <c r="B1318" s="19" t="s">
        <v>3746</v>
      </c>
    </row>
    <row r="1319" spans="1:2" ht="18.75" customHeight="1" x14ac:dyDescent="0.25">
      <c r="A1319" s="2">
        <v>1317</v>
      </c>
      <c r="B1319" s="19" t="s">
        <v>3749</v>
      </c>
    </row>
    <row r="1320" spans="1:2" ht="18.75" customHeight="1" x14ac:dyDescent="0.25">
      <c r="A1320" s="2">
        <v>1318</v>
      </c>
      <c r="B1320" s="19" t="s">
        <v>3750</v>
      </c>
    </row>
    <row r="1321" spans="1:2" ht="18.75" customHeight="1" x14ac:dyDescent="0.25">
      <c r="A1321" s="2">
        <v>1319</v>
      </c>
      <c r="B1321" s="20" t="s">
        <v>3751</v>
      </c>
    </row>
    <row r="1322" spans="1:2" ht="18.75" customHeight="1" x14ac:dyDescent="0.25">
      <c r="A1322" s="2">
        <v>1320</v>
      </c>
      <c r="B1322" s="19" t="s">
        <v>7458</v>
      </c>
    </row>
    <row r="1323" spans="1:2" ht="18.75" customHeight="1" x14ac:dyDescent="0.25">
      <c r="A1323" s="2">
        <v>1321</v>
      </c>
      <c r="B1323" s="19" t="s">
        <v>3755</v>
      </c>
    </row>
    <row r="1324" spans="1:2" ht="18.75" customHeight="1" x14ac:dyDescent="0.25">
      <c r="A1324" s="2">
        <v>1322</v>
      </c>
      <c r="B1324" s="19" t="s">
        <v>3756</v>
      </c>
    </row>
    <row r="1325" spans="1:2" ht="18.75" customHeight="1" x14ac:dyDescent="0.25">
      <c r="A1325" s="2">
        <v>1323</v>
      </c>
      <c r="B1325" s="19" t="s">
        <v>3757</v>
      </c>
    </row>
    <row r="1326" spans="1:2" ht="18.75" customHeight="1" x14ac:dyDescent="0.25">
      <c r="A1326" s="2">
        <v>1324</v>
      </c>
      <c r="B1326" s="19" t="s">
        <v>3759</v>
      </c>
    </row>
    <row r="1327" spans="1:2" ht="18.75" customHeight="1" x14ac:dyDescent="0.25">
      <c r="A1327" s="2">
        <v>1325</v>
      </c>
      <c r="B1327" s="19" t="s">
        <v>3760</v>
      </c>
    </row>
    <row r="1328" spans="1:2" ht="18.75" customHeight="1" x14ac:dyDescent="0.25">
      <c r="A1328" s="2">
        <v>1326</v>
      </c>
      <c r="B1328" s="19" t="s">
        <v>3761</v>
      </c>
    </row>
    <row r="1329" spans="1:2" ht="18.75" customHeight="1" x14ac:dyDescent="0.25">
      <c r="A1329" s="2">
        <v>1327</v>
      </c>
      <c r="B1329" s="19" t="s">
        <v>3763</v>
      </c>
    </row>
    <row r="1330" spans="1:2" ht="18.75" customHeight="1" x14ac:dyDescent="0.25">
      <c r="A1330" s="2">
        <v>1328</v>
      </c>
      <c r="B1330" s="19" t="s">
        <v>3766</v>
      </c>
    </row>
    <row r="1331" spans="1:2" ht="18.75" customHeight="1" x14ac:dyDescent="0.25">
      <c r="A1331" s="2">
        <v>1329</v>
      </c>
      <c r="B1331" s="19" t="s">
        <v>3767</v>
      </c>
    </row>
    <row r="1332" spans="1:2" ht="18.75" customHeight="1" x14ac:dyDescent="0.25">
      <c r="A1332" s="2">
        <v>1330</v>
      </c>
      <c r="B1332" s="19" t="s">
        <v>3770</v>
      </c>
    </row>
    <row r="1333" spans="1:2" ht="18.75" customHeight="1" x14ac:dyDescent="0.25">
      <c r="A1333" s="2">
        <v>1331</v>
      </c>
      <c r="B1333" s="19" t="s">
        <v>3771</v>
      </c>
    </row>
    <row r="1334" spans="1:2" ht="18.75" customHeight="1" x14ac:dyDescent="0.25">
      <c r="A1334" s="2">
        <v>1332</v>
      </c>
      <c r="B1334" s="19" t="s">
        <v>3773</v>
      </c>
    </row>
    <row r="1335" spans="1:2" ht="18.75" customHeight="1" x14ac:dyDescent="0.25">
      <c r="A1335" s="2">
        <v>1333</v>
      </c>
      <c r="B1335" s="19" t="s">
        <v>3774</v>
      </c>
    </row>
    <row r="1336" spans="1:2" ht="18.75" customHeight="1" x14ac:dyDescent="0.25">
      <c r="A1336" s="2">
        <v>1334</v>
      </c>
      <c r="B1336" s="19" t="s">
        <v>3776</v>
      </c>
    </row>
    <row r="1337" spans="1:2" ht="18.75" customHeight="1" x14ac:dyDescent="0.25">
      <c r="A1337" s="2">
        <v>1335</v>
      </c>
      <c r="B1337" s="19" t="s">
        <v>3780</v>
      </c>
    </row>
    <row r="1338" spans="1:2" ht="18.75" customHeight="1" x14ac:dyDescent="0.25">
      <c r="A1338" s="2">
        <v>1336</v>
      </c>
      <c r="B1338" s="19" t="s">
        <v>3783</v>
      </c>
    </row>
    <row r="1339" spans="1:2" ht="18.75" customHeight="1" x14ac:dyDescent="0.25">
      <c r="A1339" s="2">
        <v>1337</v>
      </c>
      <c r="B1339" s="20" t="s">
        <v>3790</v>
      </c>
    </row>
    <row r="1340" spans="1:2" ht="18.75" customHeight="1" x14ac:dyDescent="0.25">
      <c r="A1340" s="2">
        <v>1338</v>
      </c>
      <c r="B1340" s="19" t="s">
        <v>3788</v>
      </c>
    </row>
    <row r="1341" spans="1:2" ht="18.75" customHeight="1" x14ac:dyDescent="0.25">
      <c r="A1341" s="2">
        <v>1339</v>
      </c>
      <c r="B1341" s="19" t="s">
        <v>3792</v>
      </c>
    </row>
    <row r="1342" spans="1:2" ht="18.75" customHeight="1" x14ac:dyDescent="0.25">
      <c r="A1342" s="2">
        <v>1340</v>
      </c>
      <c r="B1342" s="32" t="s">
        <v>3795</v>
      </c>
    </row>
    <row r="1343" spans="1:2" ht="18.75" customHeight="1" x14ac:dyDescent="0.25">
      <c r="A1343" s="2">
        <v>1341</v>
      </c>
      <c r="B1343" s="19" t="s">
        <v>3799</v>
      </c>
    </row>
    <row r="1344" spans="1:2" ht="18.75" customHeight="1" x14ac:dyDescent="0.25">
      <c r="A1344" s="2">
        <v>1342</v>
      </c>
      <c r="B1344" s="19" t="s">
        <v>3798</v>
      </c>
    </row>
    <row r="1345" spans="1:2" ht="18.75" customHeight="1" x14ac:dyDescent="0.25">
      <c r="A1345" s="2">
        <v>1343</v>
      </c>
      <c r="B1345" s="19" t="s">
        <v>3802</v>
      </c>
    </row>
    <row r="1346" spans="1:2" ht="18.75" customHeight="1" x14ac:dyDescent="0.25">
      <c r="A1346" s="2">
        <v>1344</v>
      </c>
      <c r="B1346" s="2" t="s">
        <v>3803</v>
      </c>
    </row>
    <row r="1347" spans="1:2" ht="18.75" customHeight="1" x14ac:dyDescent="0.25">
      <c r="A1347" s="2">
        <v>1345</v>
      </c>
      <c r="B1347" s="2" t="s">
        <v>3804</v>
      </c>
    </row>
    <row r="1348" spans="1:2" ht="18.75" customHeight="1" x14ac:dyDescent="0.25">
      <c r="A1348" s="2">
        <v>1346</v>
      </c>
      <c r="B1348" s="19" t="s">
        <v>3805</v>
      </c>
    </row>
    <row r="1349" spans="1:2" ht="18.75" customHeight="1" x14ac:dyDescent="0.25">
      <c r="A1349" s="2">
        <v>1347</v>
      </c>
      <c r="B1349" s="2" t="s">
        <v>3807</v>
      </c>
    </row>
    <row r="1350" spans="1:2" ht="18.75" customHeight="1" x14ac:dyDescent="0.25">
      <c r="A1350" s="2">
        <v>1348</v>
      </c>
      <c r="B1350" s="2" t="s">
        <v>3808</v>
      </c>
    </row>
    <row r="1351" spans="1:2" ht="18.75" customHeight="1" x14ac:dyDescent="0.25">
      <c r="A1351" s="2">
        <v>1349</v>
      </c>
      <c r="B1351" s="2" t="s">
        <v>3812</v>
      </c>
    </row>
    <row r="1352" spans="1:2" ht="18.75" customHeight="1" x14ac:dyDescent="0.25">
      <c r="A1352" s="2">
        <v>1350</v>
      </c>
      <c r="B1352" s="2" t="s">
        <v>3814</v>
      </c>
    </row>
    <row r="1353" spans="1:2" ht="18.75" customHeight="1" x14ac:dyDescent="0.25">
      <c r="A1353" s="2">
        <v>1351</v>
      </c>
      <c r="B1353" s="2" t="s">
        <v>3816</v>
      </c>
    </row>
    <row r="1354" spans="1:2" ht="18.75" customHeight="1" x14ac:dyDescent="0.25">
      <c r="A1354" s="2">
        <v>1352</v>
      </c>
      <c r="B1354" s="2" t="s">
        <v>3823</v>
      </c>
    </row>
    <row r="1355" spans="1:2" ht="18.75" customHeight="1" x14ac:dyDescent="0.25">
      <c r="A1355" s="2">
        <v>1353</v>
      </c>
      <c r="B1355" s="2" t="s">
        <v>3825</v>
      </c>
    </row>
    <row r="1356" spans="1:2" ht="18.75" customHeight="1" x14ac:dyDescent="0.25">
      <c r="A1356" s="2">
        <v>1354</v>
      </c>
      <c r="B1356" s="19" t="s">
        <v>3829</v>
      </c>
    </row>
    <row r="1357" spans="1:2" ht="18.75" customHeight="1" x14ac:dyDescent="0.25">
      <c r="A1357" s="2">
        <v>1355</v>
      </c>
      <c r="B1357" s="19" t="s">
        <v>3831</v>
      </c>
    </row>
    <row r="1358" spans="1:2" ht="18.75" customHeight="1" x14ac:dyDescent="0.25">
      <c r="A1358" s="2">
        <v>1356</v>
      </c>
      <c r="B1358" s="2" t="s">
        <v>3833</v>
      </c>
    </row>
    <row r="1359" spans="1:2" ht="18.75" customHeight="1" x14ac:dyDescent="0.25">
      <c r="A1359" s="2">
        <v>1357</v>
      </c>
      <c r="B1359" s="2" t="s">
        <v>3835</v>
      </c>
    </row>
    <row r="1360" spans="1:2" ht="18.75" customHeight="1" x14ac:dyDescent="0.25">
      <c r="A1360" s="2">
        <v>1358</v>
      </c>
      <c r="B1360" s="19" t="s">
        <v>3838</v>
      </c>
    </row>
    <row r="1361" spans="1:2" ht="18.75" customHeight="1" x14ac:dyDescent="0.25">
      <c r="A1361" s="2">
        <v>1359</v>
      </c>
      <c r="B1361" s="2" t="s">
        <v>3844</v>
      </c>
    </row>
    <row r="1362" spans="1:2" ht="18.75" customHeight="1" x14ac:dyDescent="0.25">
      <c r="A1362" s="2">
        <v>1360</v>
      </c>
      <c r="B1362" s="19" t="s">
        <v>3847</v>
      </c>
    </row>
    <row r="1363" spans="1:2" ht="18.75" customHeight="1" x14ac:dyDescent="0.25">
      <c r="A1363" s="2">
        <v>1361</v>
      </c>
      <c r="B1363" s="2" t="s">
        <v>3850</v>
      </c>
    </row>
    <row r="1364" spans="1:2" ht="18.75" customHeight="1" x14ac:dyDescent="0.25">
      <c r="A1364" s="2">
        <v>1362</v>
      </c>
      <c r="B1364" s="19" t="s">
        <v>3854</v>
      </c>
    </row>
    <row r="1365" spans="1:2" ht="18.75" customHeight="1" x14ac:dyDescent="0.25">
      <c r="A1365" s="2">
        <v>1363</v>
      </c>
      <c r="B1365" s="19" t="s">
        <v>3856</v>
      </c>
    </row>
    <row r="1366" spans="1:2" ht="18.75" customHeight="1" x14ac:dyDescent="0.25">
      <c r="A1366" s="2">
        <v>1364</v>
      </c>
      <c r="B1366" s="2" t="s">
        <v>3861</v>
      </c>
    </row>
    <row r="1367" spans="1:2" ht="18.75" customHeight="1" x14ac:dyDescent="0.25">
      <c r="A1367" s="2">
        <v>1365</v>
      </c>
      <c r="B1367" s="109" t="s">
        <v>3867</v>
      </c>
    </row>
    <row r="1368" spans="1:2" ht="18.75" customHeight="1" x14ac:dyDescent="0.25">
      <c r="A1368" s="2">
        <v>1366</v>
      </c>
      <c r="B1368" s="19" t="s">
        <v>4538</v>
      </c>
    </row>
    <row r="1369" spans="1:2" ht="18.75" customHeight="1" x14ac:dyDescent="0.25">
      <c r="A1369" s="2">
        <v>1367</v>
      </c>
      <c r="B1369" s="2" t="s">
        <v>3873</v>
      </c>
    </row>
    <row r="1370" spans="1:2" ht="18.75" customHeight="1" x14ac:dyDescent="0.25">
      <c r="A1370" s="2">
        <v>1368</v>
      </c>
      <c r="B1370" s="19" t="s">
        <v>3876</v>
      </c>
    </row>
    <row r="1371" spans="1:2" ht="18.75" customHeight="1" x14ac:dyDescent="0.25">
      <c r="A1371" s="2">
        <v>1369</v>
      </c>
      <c r="B1371" s="19" t="s">
        <v>3879</v>
      </c>
    </row>
    <row r="1372" spans="1:2" ht="18.75" customHeight="1" x14ac:dyDescent="0.25">
      <c r="A1372" s="2">
        <v>1370</v>
      </c>
      <c r="B1372" s="19" t="s">
        <v>3881</v>
      </c>
    </row>
    <row r="1373" spans="1:2" ht="18.75" customHeight="1" x14ac:dyDescent="0.25">
      <c r="A1373" s="2">
        <v>1371</v>
      </c>
      <c r="B1373" s="19" t="s">
        <v>3883</v>
      </c>
    </row>
    <row r="1374" spans="1:2" ht="18.75" customHeight="1" x14ac:dyDescent="0.25">
      <c r="A1374" s="2">
        <v>1372</v>
      </c>
      <c r="B1374" s="19" t="s">
        <v>3887</v>
      </c>
    </row>
    <row r="1375" spans="1:2" ht="18.75" customHeight="1" x14ac:dyDescent="0.25">
      <c r="A1375" s="2">
        <v>1373</v>
      </c>
      <c r="B1375" s="19" t="s">
        <v>3888</v>
      </c>
    </row>
    <row r="1376" spans="1:2" ht="18.75" customHeight="1" x14ac:dyDescent="0.25">
      <c r="A1376" s="2">
        <v>1374</v>
      </c>
      <c r="B1376" s="19" t="s">
        <v>3892</v>
      </c>
    </row>
    <row r="1377" spans="1:2" ht="18.75" customHeight="1" x14ac:dyDescent="0.25">
      <c r="A1377" s="2">
        <v>1375</v>
      </c>
      <c r="B1377" s="2" t="s">
        <v>3895</v>
      </c>
    </row>
    <row r="1378" spans="1:2" ht="18.75" customHeight="1" x14ac:dyDescent="0.25">
      <c r="A1378" s="2">
        <v>1376</v>
      </c>
      <c r="B1378" s="19" t="s">
        <v>3897</v>
      </c>
    </row>
    <row r="1379" spans="1:2" ht="18.75" customHeight="1" x14ac:dyDescent="0.25">
      <c r="A1379" s="2">
        <v>1377</v>
      </c>
      <c r="B1379" s="19" t="s">
        <v>3898</v>
      </c>
    </row>
    <row r="1380" spans="1:2" ht="18.75" customHeight="1" x14ac:dyDescent="0.25">
      <c r="A1380" s="2">
        <v>1378</v>
      </c>
      <c r="B1380" s="2" t="s">
        <v>3901</v>
      </c>
    </row>
    <row r="1381" spans="1:2" ht="18.75" customHeight="1" x14ac:dyDescent="0.25">
      <c r="A1381" s="2">
        <v>1379</v>
      </c>
      <c r="B1381" s="2" t="s">
        <v>3905</v>
      </c>
    </row>
    <row r="1382" spans="1:2" ht="18.75" customHeight="1" x14ac:dyDescent="0.25">
      <c r="A1382" s="2">
        <v>1380</v>
      </c>
      <c r="B1382" s="2" t="s">
        <v>3907</v>
      </c>
    </row>
    <row r="1383" spans="1:2" ht="18.75" customHeight="1" x14ac:dyDescent="0.25">
      <c r="A1383" s="2">
        <v>1381</v>
      </c>
      <c r="B1383" s="2" t="s">
        <v>3912</v>
      </c>
    </row>
    <row r="1384" spans="1:2" ht="18.75" customHeight="1" x14ac:dyDescent="0.25">
      <c r="A1384" s="2">
        <v>1382</v>
      </c>
      <c r="B1384" s="32" t="s">
        <v>3916</v>
      </c>
    </row>
    <row r="1385" spans="1:2" ht="18.75" customHeight="1" x14ac:dyDescent="0.25">
      <c r="A1385" s="2">
        <v>1383</v>
      </c>
      <c r="B1385" s="2" t="s">
        <v>3920</v>
      </c>
    </row>
    <row r="1386" spans="1:2" ht="18.75" customHeight="1" x14ac:dyDescent="0.25">
      <c r="A1386" s="2">
        <v>1384</v>
      </c>
      <c r="B1386" s="19" t="s">
        <v>3926</v>
      </c>
    </row>
    <row r="1387" spans="1:2" ht="18.75" customHeight="1" x14ac:dyDescent="0.25">
      <c r="A1387" s="2">
        <v>1385</v>
      </c>
      <c r="B1387" s="19" t="s">
        <v>3929</v>
      </c>
    </row>
    <row r="1388" spans="1:2" ht="18.75" customHeight="1" x14ac:dyDescent="0.25">
      <c r="A1388" s="2">
        <v>1386</v>
      </c>
      <c r="B1388" s="19" t="s">
        <v>3930</v>
      </c>
    </row>
    <row r="1389" spans="1:2" ht="18.75" customHeight="1" x14ac:dyDescent="0.25">
      <c r="A1389" s="2">
        <v>1387</v>
      </c>
      <c r="B1389" s="19" t="s">
        <v>3933</v>
      </c>
    </row>
    <row r="1390" spans="1:2" ht="18.75" customHeight="1" x14ac:dyDescent="0.25">
      <c r="A1390" s="2">
        <v>1388</v>
      </c>
      <c r="B1390" s="19" t="s">
        <v>4435</v>
      </c>
    </row>
    <row r="1391" spans="1:2" ht="18.75" customHeight="1" x14ac:dyDescent="0.25">
      <c r="A1391" s="2">
        <v>1389</v>
      </c>
      <c r="B1391" s="19" t="s">
        <v>3937</v>
      </c>
    </row>
    <row r="1392" spans="1:2" ht="18.75" customHeight="1" x14ac:dyDescent="0.25">
      <c r="A1392" s="2">
        <v>1390</v>
      </c>
      <c r="B1392" s="19" t="s">
        <v>3938</v>
      </c>
    </row>
    <row r="1393" spans="1:2" ht="18.75" customHeight="1" x14ac:dyDescent="0.25">
      <c r="A1393" s="2">
        <v>1391</v>
      </c>
      <c r="B1393" s="2" t="s">
        <v>3943</v>
      </c>
    </row>
    <row r="1394" spans="1:2" ht="18.75" customHeight="1" x14ac:dyDescent="0.25">
      <c r="A1394" s="2">
        <v>1392</v>
      </c>
      <c r="B1394" s="19" t="s">
        <v>3946</v>
      </c>
    </row>
    <row r="1395" spans="1:2" ht="18.75" customHeight="1" x14ac:dyDescent="0.25">
      <c r="A1395" s="2">
        <v>1393</v>
      </c>
      <c r="B1395" s="19" t="s">
        <v>3948</v>
      </c>
    </row>
    <row r="1396" spans="1:2" ht="18.75" customHeight="1" x14ac:dyDescent="0.25">
      <c r="A1396" s="2">
        <v>1394</v>
      </c>
      <c r="B1396" s="19" t="s">
        <v>3949</v>
      </c>
    </row>
    <row r="1397" spans="1:2" ht="18.75" customHeight="1" x14ac:dyDescent="0.25">
      <c r="A1397" s="2">
        <v>1395</v>
      </c>
      <c r="B1397" s="19" t="s">
        <v>3951</v>
      </c>
    </row>
    <row r="1398" spans="1:2" ht="18.75" customHeight="1" x14ac:dyDescent="0.25">
      <c r="A1398" s="2">
        <v>1396</v>
      </c>
      <c r="B1398" s="19" t="s">
        <v>3953</v>
      </c>
    </row>
    <row r="1399" spans="1:2" ht="18.75" customHeight="1" x14ac:dyDescent="0.25">
      <c r="A1399" s="2">
        <v>1397</v>
      </c>
      <c r="B1399" s="2" t="s">
        <v>3955</v>
      </c>
    </row>
    <row r="1400" spans="1:2" ht="18.75" customHeight="1" x14ac:dyDescent="0.25">
      <c r="A1400" s="2">
        <v>1398</v>
      </c>
      <c r="B1400" s="2" t="s">
        <v>3957</v>
      </c>
    </row>
    <row r="1401" spans="1:2" ht="18.75" customHeight="1" x14ac:dyDescent="0.25">
      <c r="A1401" s="2">
        <v>1399</v>
      </c>
      <c r="B1401" s="19" t="s">
        <v>3959</v>
      </c>
    </row>
    <row r="1402" spans="1:2" ht="18.75" customHeight="1" x14ac:dyDescent="0.25">
      <c r="A1402" s="2">
        <v>1400</v>
      </c>
      <c r="B1402" s="19" t="s">
        <v>3969</v>
      </c>
    </row>
    <row r="1403" spans="1:2" ht="18.75" customHeight="1" x14ac:dyDescent="0.25">
      <c r="A1403" s="2">
        <v>1401</v>
      </c>
      <c r="B1403" s="19" t="s">
        <v>3973</v>
      </c>
    </row>
    <row r="1404" spans="1:2" ht="18.75" customHeight="1" x14ac:dyDescent="0.25">
      <c r="A1404" s="2">
        <v>1402</v>
      </c>
      <c r="B1404" s="19" t="s">
        <v>3972</v>
      </c>
    </row>
    <row r="1405" spans="1:2" ht="18.75" customHeight="1" x14ac:dyDescent="0.25">
      <c r="A1405" s="2">
        <v>1403</v>
      </c>
      <c r="B1405" s="19" t="s">
        <v>4617</v>
      </c>
    </row>
    <row r="1406" spans="1:2" ht="18.75" customHeight="1" x14ac:dyDescent="0.25">
      <c r="A1406" s="2">
        <v>1404</v>
      </c>
      <c r="B1406" s="19" t="s">
        <v>3978</v>
      </c>
    </row>
    <row r="1407" spans="1:2" ht="18.75" customHeight="1" x14ac:dyDescent="0.25">
      <c r="A1407" s="2">
        <v>1405</v>
      </c>
      <c r="B1407" s="19" t="s">
        <v>3979</v>
      </c>
    </row>
    <row r="1408" spans="1:2" ht="18.75" customHeight="1" x14ac:dyDescent="0.25">
      <c r="A1408" s="2">
        <v>1406</v>
      </c>
      <c r="B1408" s="19" t="s">
        <v>3981</v>
      </c>
    </row>
    <row r="1409" spans="1:2" ht="18.75" customHeight="1" x14ac:dyDescent="0.25">
      <c r="A1409" s="2">
        <v>1407</v>
      </c>
      <c r="B1409" s="19" t="s">
        <v>3983</v>
      </c>
    </row>
    <row r="1410" spans="1:2" ht="18.75" customHeight="1" x14ac:dyDescent="0.25">
      <c r="A1410" s="2">
        <v>1408</v>
      </c>
      <c r="B1410" s="19" t="s">
        <v>3986</v>
      </c>
    </row>
    <row r="1411" spans="1:2" ht="18.75" customHeight="1" x14ac:dyDescent="0.25">
      <c r="A1411" s="2">
        <v>1409</v>
      </c>
      <c r="B1411" s="19" t="s">
        <v>3992</v>
      </c>
    </row>
    <row r="1412" spans="1:2" ht="18.75" customHeight="1" x14ac:dyDescent="0.25">
      <c r="A1412" s="2">
        <v>1410</v>
      </c>
      <c r="B1412" s="19" t="s">
        <v>3996</v>
      </c>
    </row>
    <row r="1413" spans="1:2" ht="18.75" customHeight="1" x14ac:dyDescent="0.25">
      <c r="A1413" s="2">
        <v>1411</v>
      </c>
      <c r="B1413" s="19" t="s">
        <v>4001</v>
      </c>
    </row>
    <row r="1414" spans="1:2" ht="18.75" customHeight="1" x14ac:dyDescent="0.25">
      <c r="A1414" s="2">
        <v>1412</v>
      </c>
      <c r="B1414" s="19" t="s">
        <v>4005</v>
      </c>
    </row>
    <row r="1415" spans="1:2" ht="18.75" customHeight="1" x14ac:dyDescent="0.25">
      <c r="A1415" s="2">
        <v>1413</v>
      </c>
      <c r="B1415" s="19" t="s">
        <v>4006</v>
      </c>
    </row>
    <row r="1416" spans="1:2" ht="18.75" customHeight="1" x14ac:dyDescent="0.25">
      <c r="A1416" s="2">
        <v>1414</v>
      </c>
      <c r="B1416" s="19" t="s">
        <v>4008</v>
      </c>
    </row>
    <row r="1417" spans="1:2" ht="18.75" customHeight="1" x14ac:dyDescent="0.25">
      <c r="A1417" s="2">
        <v>1415</v>
      </c>
      <c r="B1417" s="19" t="s">
        <v>4009</v>
      </c>
    </row>
    <row r="1418" spans="1:2" ht="18.75" customHeight="1" x14ac:dyDescent="0.25">
      <c r="A1418" s="2">
        <v>1416</v>
      </c>
      <c r="B1418" s="19" t="s">
        <v>4011</v>
      </c>
    </row>
    <row r="1419" spans="1:2" ht="18.75" customHeight="1" x14ac:dyDescent="0.25">
      <c r="A1419" s="2">
        <v>1417</v>
      </c>
      <c r="B1419" s="19" t="s">
        <v>4014</v>
      </c>
    </row>
    <row r="1420" spans="1:2" ht="18.75" customHeight="1" x14ac:dyDescent="0.25">
      <c r="A1420" s="2">
        <v>1418</v>
      </c>
      <c r="B1420" s="19" t="s">
        <v>4016</v>
      </c>
    </row>
    <row r="1421" spans="1:2" ht="18.75" customHeight="1" x14ac:dyDescent="0.25">
      <c r="A1421" s="2">
        <v>1419</v>
      </c>
      <c r="B1421" s="19" t="s">
        <v>4017</v>
      </c>
    </row>
    <row r="1422" spans="1:2" ht="18.75" customHeight="1" x14ac:dyDescent="0.25">
      <c r="A1422" s="2">
        <v>1420</v>
      </c>
      <c r="B1422" s="19" t="s">
        <v>4019</v>
      </c>
    </row>
    <row r="1423" spans="1:2" ht="18.75" customHeight="1" x14ac:dyDescent="0.25">
      <c r="A1423" s="2">
        <v>1421</v>
      </c>
      <c r="B1423" s="19" t="s">
        <v>4022</v>
      </c>
    </row>
    <row r="1424" spans="1:2" ht="18.75" customHeight="1" x14ac:dyDescent="0.25">
      <c r="A1424" s="2">
        <v>1422</v>
      </c>
      <c r="B1424" s="19" t="s">
        <v>4026</v>
      </c>
    </row>
    <row r="1425" spans="1:2" ht="18.75" customHeight="1" x14ac:dyDescent="0.25">
      <c r="A1425" s="2">
        <v>1423</v>
      </c>
      <c r="B1425" s="19" t="s">
        <v>4031</v>
      </c>
    </row>
    <row r="1426" spans="1:2" ht="18.75" customHeight="1" x14ac:dyDescent="0.25">
      <c r="A1426" s="2">
        <v>1424</v>
      </c>
      <c r="B1426" s="20" t="s">
        <v>4034</v>
      </c>
    </row>
    <row r="1427" spans="1:2" ht="18.75" customHeight="1" x14ac:dyDescent="0.25">
      <c r="A1427" s="2">
        <v>1425</v>
      </c>
      <c r="B1427" s="2" t="s">
        <v>4038</v>
      </c>
    </row>
    <row r="1428" spans="1:2" ht="18.75" customHeight="1" x14ac:dyDescent="0.25">
      <c r="A1428" s="2">
        <v>1426</v>
      </c>
      <c r="B1428" s="19" t="s">
        <v>4041</v>
      </c>
    </row>
    <row r="1429" spans="1:2" ht="18.75" customHeight="1" x14ac:dyDescent="0.25">
      <c r="A1429" s="2">
        <v>1427</v>
      </c>
      <c r="B1429" s="19" t="s">
        <v>6721</v>
      </c>
    </row>
    <row r="1430" spans="1:2" ht="18.75" customHeight="1" x14ac:dyDescent="0.25">
      <c r="A1430" s="2">
        <v>1428</v>
      </c>
      <c r="B1430" s="19" t="s">
        <v>4044</v>
      </c>
    </row>
    <row r="1431" spans="1:2" ht="18.75" customHeight="1" x14ac:dyDescent="0.25">
      <c r="A1431" s="2">
        <v>1429</v>
      </c>
      <c r="B1431" s="2" t="s">
        <v>4045</v>
      </c>
    </row>
    <row r="1432" spans="1:2" ht="18.75" customHeight="1" x14ac:dyDescent="0.25">
      <c r="A1432" s="2">
        <v>1430</v>
      </c>
      <c r="B1432" s="19" t="s">
        <v>4049</v>
      </c>
    </row>
    <row r="1433" spans="1:2" ht="18.75" customHeight="1" x14ac:dyDescent="0.25">
      <c r="A1433" s="2">
        <v>1431</v>
      </c>
      <c r="B1433" s="19" t="s">
        <v>4052</v>
      </c>
    </row>
    <row r="1434" spans="1:2" ht="18.75" customHeight="1" x14ac:dyDescent="0.25">
      <c r="A1434" s="2">
        <v>1432</v>
      </c>
      <c r="B1434" s="19" t="s">
        <v>3362</v>
      </c>
    </row>
    <row r="1435" spans="1:2" ht="18.75" customHeight="1" x14ac:dyDescent="0.25">
      <c r="A1435" s="2">
        <v>1433</v>
      </c>
      <c r="B1435" s="2" t="s">
        <v>4060</v>
      </c>
    </row>
    <row r="1436" spans="1:2" ht="18.75" customHeight="1" x14ac:dyDescent="0.25">
      <c r="A1436" s="2">
        <v>1434</v>
      </c>
      <c r="B1436" s="20" t="s">
        <v>4062</v>
      </c>
    </row>
    <row r="1437" spans="1:2" ht="18.75" customHeight="1" x14ac:dyDescent="0.25">
      <c r="A1437" s="2">
        <v>1435</v>
      </c>
      <c r="B1437" s="2" t="s">
        <v>4063</v>
      </c>
    </row>
    <row r="1438" spans="1:2" ht="18.75" customHeight="1" x14ac:dyDescent="0.25">
      <c r="A1438" s="2">
        <v>1436</v>
      </c>
      <c r="B1438" s="19" t="s">
        <v>4071</v>
      </c>
    </row>
    <row r="1439" spans="1:2" ht="18.75" customHeight="1" x14ac:dyDescent="0.25">
      <c r="A1439" s="2">
        <v>1437</v>
      </c>
      <c r="B1439" s="19" t="s">
        <v>4074</v>
      </c>
    </row>
    <row r="1440" spans="1:2" ht="18.75" customHeight="1" x14ac:dyDescent="0.25">
      <c r="A1440" s="2">
        <v>1438</v>
      </c>
      <c r="B1440" s="2" t="s">
        <v>4081</v>
      </c>
    </row>
    <row r="1441" spans="1:2" ht="18.75" customHeight="1" x14ac:dyDescent="0.25">
      <c r="A1441" s="2">
        <v>1439</v>
      </c>
      <c r="B1441" s="19" t="s">
        <v>4083</v>
      </c>
    </row>
    <row r="1442" spans="1:2" ht="18.75" customHeight="1" x14ac:dyDescent="0.25">
      <c r="A1442" s="2">
        <v>1440</v>
      </c>
      <c r="B1442" s="2" t="s">
        <v>4084</v>
      </c>
    </row>
    <row r="1443" spans="1:2" ht="18.75" customHeight="1" x14ac:dyDescent="0.25">
      <c r="A1443" s="2">
        <v>1441</v>
      </c>
      <c r="B1443" s="109" t="s">
        <v>4086</v>
      </c>
    </row>
    <row r="1444" spans="1:2" ht="18.75" customHeight="1" x14ac:dyDescent="0.25">
      <c r="A1444" s="2">
        <v>1442</v>
      </c>
      <c r="B1444" s="19" t="s">
        <v>4087</v>
      </c>
    </row>
    <row r="1445" spans="1:2" ht="18.75" customHeight="1" x14ac:dyDescent="0.25">
      <c r="A1445" s="2">
        <v>1443</v>
      </c>
      <c r="B1445" s="109" t="s">
        <v>4092</v>
      </c>
    </row>
    <row r="1446" spans="1:2" ht="18.75" customHeight="1" x14ac:dyDescent="0.25">
      <c r="A1446" s="2">
        <v>1444</v>
      </c>
      <c r="B1446" s="2" t="s">
        <v>4099</v>
      </c>
    </row>
    <row r="1447" spans="1:2" ht="18.75" customHeight="1" x14ac:dyDescent="0.25">
      <c r="A1447" s="2">
        <v>1445</v>
      </c>
      <c r="B1447" s="19" t="s">
        <v>4098</v>
      </c>
    </row>
    <row r="1448" spans="1:2" ht="18.75" customHeight="1" x14ac:dyDescent="0.2">
      <c r="A1448" s="2">
        <v>1446</v>
      </c>
      <c r="B1448" s="100" t="s">
        <v>4110</v>
      </c>
    </row>
    <row r="1449" spans="1:2" ht="18.75" customHeight="1" x14ac:dyDescent="0.25">
      <c r="A1449" s="2">
        <v>1447</v>
      </c>
      <c r="B1449" s="19" t="s">
        <v>4100</v>
      </c>
    </row>
    <row r="1450" spans="1:2" ht="18.75" customHeight="1" x14ac:dyDescent="0.25">
      <c r="A1450" s="2">
        <v>1448</v>
      </c>
      <c r="B1450" s="2" t="s">
        <v>4102</v>
      </c>
    </row>
    <row r="1451" spans="1:2" ht="18.75" customHeight="1" x14ac:dyDescent="0.25">
      <c r="A1451" s="2">
        <v>1449</v>
      </c>
      <c r="B1451" s="19" t="s">
        <v>4104</v>
      </c>
    </row>
    <row r="1452" spans="1:2" ht="18.75" customHeight="1" x14ac:dyDescent="0.25">
      <c r="A1452" s="2">
        <v>1450</v>
      </c>
      <c r="B1452" s="2" t="s">
        <v>4105</v>
      </c>
    </row>
    <row r="1453" spans="1:2" ht="18.75" customHeight="1" x14ac:dyDescent="0.25">
      <c r="A1453" s="2">
        <v>1451</v>
      </c>
      <c r="B1453" s="19" t="s">
        <v>4108</v>
      </c>
    </row>
    <row r="1454" spans="1:2" ht="18.75" customHeight="1" x14ac:dyDescent="0.25">
      <c r="A1454" s="2">
        <v>1452</v>
      </c>
      <c r="B1454" s="2" t="s">
        <v>4111</v>
      </c>
    </row>
    <row r="1455" spans="1:2" ht="18.75" customHeight="1" x14ac:dyDescent="0.25">
      <c r="A1455" s="2">
        <v>1453</v>
      </c>
      <c r="B1455" s="2" t="s">
        <v>4114</v>
      </c>
    </row>
    <row r="1456" spans="1:2" ht="18.75" customHeight="1" x14ac:dyDescent="0.25">
      <c r="A1456" s="2">
        <v>1454</v>
      </c>
      <c r="B1456" s="19" t="s">
        <v>4116</v>
      </c>
    </row>
    <row r="1457" spans="1:2" ht="18.75" customHeight="1" x14ac:dyDescent="0.25">
      <c r="A1457" s="2">
        <v>1455</v>
      </c>
      <c r="B1457" s="2" t="s">
        <v>4117</v>
      </c>
    </row>
    <row r="1458" spans="1:2" ht="18.75" customHeight="1" x14ac:dyDescent="0.25">
      <c r="A1458" s="2">
        <v>1456</v>
      </c>
      <c r="B1458" s="109" t="s">
        <v>4123</v>
      </c>
    </row>
    <row r="1459" spans="1:2" ht="18.75" customHeight="1" x14ac:dyDescent="0.25">
      <c r="A1459" s="2">
        <v>1457</v>
      </c>
      <c r="B1459" s="2" t="s">
        <v>4124</v>
      </c>
    </row>
    <row r="1460" spans="1:2" ht="18.75" customHeight="1" x14ac:dyDescent="0.25">
      <c r="A1460" s="2">
        <v>1458</v>
      </c>
      <c r="B1460" s="2" t="s">
        <v>4126</v>
      </c>
    </row>
    <row r="1461" spans="1:2" ht="18.75" customHeight="1" x14ac:dyDescent="0.25">
      <c r="A1461" s="2">
        <v>1459</v>
      </c>
      <c r="B1461" s="2" t="s">
        <v>4128</v>
      </c>
    </row>
    <row r="1462" spans="1:2" ht="18.75" customHeight="1" x14ac:dyDescent="0.25">
      <c r="A1462" s="2">
        <v>1460</v>
      </c>
      <c r="B1462" s="19" t="s">
        <v>4130</v>
      </c>
    </row>
    <row r="1463" spans="1:2" ht="18.75" customHeight="1" x14ac:dyDescent="0.25">
      <c r="A1463" s="2">
        <v>1461</v>
      </c>
      <c r="B1463" s="2" t="s">
        <v>4134</v>
      </c>
    </row>
    <row r="1464" spans="1:2" ht="18.75" customHeight="1" x14ac:dyDescent="0.25">
      <c r="A1464" s="2">
        <v>1462</v>
      </c>
      <c r="B1464" s="2" t="s">
        <v>4136</v>
      </c>
    </row>
    <row r="1465" spans="1:2" ht="18.75" customHeight="1" x14ac:dyDescent="0.25">
      <c r="A1465" s="2">
        <v>1463</v>
      </c>
      <c r="B1465" s="2" t="s">
        <v>4137</v>
      </c>
    </row>
    <row r="1466" spans="1:2" ht="18.75" customHeight="1" x14ac:dyDescent="0.25">
      <c r="A1466" s="2">
        <v>1464</v>
      </c>
      <c r="B1466" s="2" t="s">
        <v>4141</v>
      </c>
    </row>
    <row r="1467" spans="1:2" ht="18.75" customHeight="1" x14ac:dyDescent="0.25">
      <c r="A1467" s="2">
        <v>1465</v>
      </c>
      <c r="B1467" s="109" t="s">
        <v>4145</v>
      </c>
    </row>
    <row r="1468" spans="1:2" ht="18.75" customHeight="1" x14ac:dyDescent="0.25">
      <c r="A1468" s="2">
        <v>1466</v>
      </c>
      <c r="B1468" s="109" t="s">
        <v>4149</v>
      </c>
    </row>
    <row r="1469" spans="1:2" ht="18.75" customHeight="1" x14ac:dyDescent="0.25">
      <c r="A1469" s="2">
        <v>1467</v>
      </c>
      <c r="B1469" s="2" t="s">
        <v>4151</v>
      </c>
    </row>
    <row r="1470" spans="1:2" ht="18.75" customHeight="1" x14ac:dyDescent="0.25">
      <c r="A1470" s="2">
        <v>1468</v>
      </c>
      <c r="B1470" s="109" t="s">
        <v>4152</v>
      </c>
    </row>
    <row r="1471" spans="1:2" ht="18.75" customHeight="1" x14ac:dyDescent="0.25">
      <c r="A1471" s="2">
        <v>1469</v>
      </c>
      <c r="B1471" s="2" t="s">
        <v>4156</v>
      </c>
    </row>
    <row r="1472" spans="1:2" ht="18.75" customHeight="1" x14ac:dyDescent="0.25">
      <c r="A1472" s="2">
        <v>1470</v>
      </c>
      <c r="B1472" s="2" t="s">
        <v>4158</v>
      </c>
    </row>
    <row r="1473" spans="1:2" ht="18.75" customHeight="1" x14ac:dyDescent="0.25">
      <c r="A1473" s="2">
        <v>1471</v>
      </c>
      <c r="B1473" s="2" t="s">
        <v>4160</v>
      </c>
    </row>
    <row r="1474" spans="1:2" ht="18.75" customHeight="1" x14ac:dyDescent="0.25">
      <c r="A1474" s="2">
        <v>1472</v>
      </c>
      <c r="B1474" s="19" t="s">
        <v>4162</v>
      </c>
    </row>
    <row r="1475" spans="1:2" ht="18.75" customHeight="1" x14ac:dyDescent="0.25">
      <c r="A1475" s="2">
        <v>1473</v>
      </c>
      <c r="B1475" s="19" t="s">
        <v>4163</v>
      </c>
    </row>
    <row r="1476" spans="1:2" ht="18.75" customHeight="1" x14ac:dyDescent="0.25">
      <c r="A1476" s="2">
        <v>1474</v>
      </c>
      <c r="B1476" s="2" t="s">
        <v>4164</v>
      </c>
    </row>
    <row r="1477" spans="1:2" ht="18.75" customHeight="1" x14ac:dyDescent="0.25">
      <c r="A1477" s="2">
        <v>1475</v>
      </c>
      <c r="B1477" s="2" t="s">
        <v>4165</v>
      </c>
    </row>
    <row r="1478" spans="1:2" ht="18.75" customHeight="1" x14ac:dyDescent="0.25">
      <c r="A1478" s="2">
        <v>1476</v>
      </c>
      <c r="B1478" s="2" t="s">
        <v>4168</v>
      </c>
    </row>
    <row r="1479" spans="1:2" ht="18.75" customHeight="1" x14ac:dyDescent="0.25">
      <c r="A1479" s="2">
        <v>1477</v>
      </c>
      <c r="B1479" s="2" t="s">
        <v>4169</v>
      </c>
    </row>
    <row r="1480" spans="1:2" ht="18.75" customHeight="1" x14ac:dyDescent="0.25">
      <c r="A1480" s="2">
        <v>1478</v>
      </c>
      <c r="B1480" s="2" t="s">
        <v>4173</v>
      </c>
    </row>
    <row r="1481" spans="1:2" ht="18.75" customHeight="1" x14ac:dyDescent="0.25">
      <c r="A1481" s="2">
        <v>1479</v>
      </c>
      <c r="B1481" s="2" t="s">
        <v>4175</v>
      </c>
    </row>
    <row r="1482" spans="1:2" ht="18.75" customHeight="1" x14ac:dyDescent="0.25">
      <c r="A1482" s="2">
        <v>1480</v>
      </c>
      <c r="B1482" s="2" t="s">
        <v>4179</v>
      </c>
    </row>
    <row r="1483" spans="1:2" ht="18.75" customHeight="1" x14ac:dyDescent="0.25">
      <c r="A1483" s="2">
        <v>1481</v>
      </c>
      <c r="B1483" s="2" t="s">
        <v>4187</v>
      </c>
    </row>
    <row r="1484" spans="1:2" ht="18.75" customHeight="1" x14ac:dyDescent="0.25">
      <c r="A1484" s="2">
        <v>1482</v>
      </c>
      <c r="B1484" s="2" t="s">
        <v>4182</v>
      </c>
    </row>
    <row r="1485" spans="1:2" ht="18.75" customHeight="1" x14ac:dyDescent="0.25">
      <c r="A1485" s="2">
        <v>1483</v>
      </c>
      <c r="B1485" s="2" t="s">
        <v>4186</v>
      </c>
    </row>
    <row r="1486" spans="1:2" ht="18.75" customHeight="1" x14ac:dyDescent="0.25">
      <c r="A1486" s="2">
        <v>1484</v>
      </c>
      <c r="B1486" s="2" t="s">
        <v>4189</v>
      </c>
    </row>
    <row r="1487" spans="1:2" ht="18.75" customHeight="1" x14ac:dyDescent="0.25">
      <c r="A1487" s="2">
        <v>1485</v>
      </c>
      <c r="B1487" s="19" t="s">
        <v>4190</v>
      </c>
    </row>
    <row r="1488" spans="1:2" ht="18.75" customHeight="1" x14ac:dyDescent="0.25">
      <c r="A1488" s="2">
        <v>1486</v>
      </c>
      <c r="B1488" s="2" t="s">
        <v>4194</v>
      </c>
    </row>
    <row r="1489" spans="1:2" ht="18.75" customHeight="1" x14ac:dyDescent="0.25">
      <c r="A1489" s="2">
        <v>1487</v>
      </c>
      <c r="B1489" s="2" t="s">
        <v>4197</v>
      </c>
    </row>
    <row r="1490" spans="1:2" ht="18.75" customHeight="1" x14ac:dyDescent="0.25">
      <c r="A1490" s="2">
        <v>1488</v>
      </c>
      <c r="B1490" s="19" t="s">
        <v>4200</v>
      </c>
    </row>
    <row r="1491" spans="1:2" ht="18.75" customHeight="1" x14ac:dyDescent="0.25">
      <c r="A1491" s="2">
        <v>1489</v>
      </c>
      <c r="B1491" s="2" t="s">
        <v>4203</v>
      </c>
    </row>
    <row r="1492" spans="1:2" ht="18.75" customHeight="1" x14ac:dyDescent="0.25">
      <c r="A1492" s="2">
        <v>1490</v>
      </c>
      <c r="B1492" s="2" t="s">
        <v>4207</v>
      </c>
    </row>
    <row r="1493" spans="1:2" ht="18.75" customHeight="1" x14ac:dyDescent="0.25">
      <c r="A1493" s="2">
        <v>1491</v>
      </c>
      <c r="B1493" s="2" t="s">
        <v>4210</v>
      </c>
    </row>
    <row r="1494" spans="1:2" ht="18.75" customHeight="1" x14ac:dyDescent="0.25">
      <c r="A1494" s="2">
        <v>1492</v>
      </c>
      <c r="B1494" s="2" t="s">
        <v>4212</v>
      </c>
    </row>
    <row r="1495" spans="1:2" ht="18.75" customHeight="1" x14ac:dyDescent="0.25">
      <c r="A1495" s="2">
        <v>1493</v>
      </c>
      <c r="B1495" s="2" t="s">
        <v>4215</v>
      </c>
    </row>
    <row r="1496" spans="1:2" ht="18.75" customHeight="1" x14ac:dyDescent="0.25">
      <c r="A1496" s="2">
        <v>1494</v>
      </c>
      <c r="B1496" s="19" t="s">
        <v>4218</v>
      </c>
    </row>
    <row r="1497" spans="1:2" ht="18.75" customHeight="1" x14ac:dyDescent="0.25">
      <c r="A1497" s="2">
        <v>1495</v>
      </c>
      <c r="B1497" s="2" t="s">
        <v>4219</v>
      </c>
    </row>
    <row r="1498" spans="1:2" ht="18.75" customHeight="1" x14ac:dyDescent="0.25">
      <c r="A1498" s="2" t="s">
        <v>4220</v>
      </c>
      <c r="B1498" s="106" t="s">
        <v>4439</v>
      </c>
    </row>
    <row r="1499" spans="1:2" ht="18.75" customHeight="1" x14ac:dyDescent="0.25">
      <c r="A1499" s="2">
        <v>1496</v>
      </c>
      <c r="B1499" s="2" t="s">
        <v>4221</v>
      </c>
    </row>
    <row r="1500" spans="1:2" ht="18.75" customHeight="1" x14ac:dyDescent="0.25">
      <c r="A1500" s="2">
        <v>1497</v>
      </c>
      <c r="B1500" s="2" t="s">
        <v>4224</v>
      </c>
    </row>
    <row r="1501" spans="1:2" ht="18.75" customHeight="1" x14ac:dyDescent="0.25">
      <c r="A1501" s="2">
        <v>1498</v>
      </c>
      <c r="B1501" s="2" t="s">
        <v>4226</v>
      </c>
    </row>
    <row r="1502" spans="1:2" ht="18.75" customHeight="1" x14ac:dyDescent="0.25">
      <c r="A1502" s="2">
        <v>1499</v>
      </c>
      <c r="B1502" s="2" t="s">
        <v>4228</v>
      </c>
    </row>
    <row r="1503" spans="1:2" ht="18.75" customHeight="1" x14ac:dyDescent="0.25">
      <c r="A1503" s="2">
        <v>1500</v>
      </c>
      <c r="B1503" s="2" t="s">
        <v>4229</v>
      </c>
    </row>
    <row r="1504" spans="1:2" ht="18.75" customHeight="1" x14ac:dyDescent="0.25">
      <c r="A1504" s="2">
        <v>1501</v>
      </c>
      <c r="B1504" s="109" t="s">
        <v>5033</v>
      </c>
    </row>
    <row r="1505" spans="1:2" ht="18.75" customHeight="1" x14ac:dyDescent="0.25">
      <c r="A1505" s="2">
        <v>1502</v>
      </c>
      <c r="B1505" s="2" t="s">
        <v>4235</v>
      </c>
    </row>
    <row r="1506" spans="1:2" ht="18.75" customHeight="1" x14ac:dyDescent="0.25">
      <c r="A1506" s="2">
        <v>1503</v>
      </c>
      <c r="B1506" s="109" t="s">
        <v>4237</v>
      </c>
    </row>
    <row r="1507" spans="1:2" ht="18.75" customHeight="1" x14ac:dyDescent="0.25">
      <c r="A1507" s="2">
        <v>1504</v>
      </c>
      <c r="B1507" s="2" t="s">
        <v>4238</v>
      </c>
    </row>
    <row r="1508" spans="1:2" ht="18.75" customHeight="1" x14ac:dyDescent="0.25">
      <c r="A1508" s="2">
        <v>1505</v>
      </c>
      <c r="B1508" s="2" t="s">
        <v>4239</v>
      </c>
    </row>
    <row r="1509" spans="1:2" ht="18.75" customHeight="1" x14ac:dyDescent="0.25">
      <c r="A1509" s="2">
        <v>1506</v>
      </c>
      <c r="B1509" s="109" t="s">
        <v>4242</v>
      </c>
    </row>
    <row r="1510" spans="1:2" ht="18.75" customHeight="1" x14ac:dyDescent="0.25">
      <c r="A1510" s="2">
        <v>1507</v>
      </c>
      <c r="B1510" s="109" t="s">
        <v>4244</v>
      </c>
    </row>
    <row r="1511" spans="1:2" ht="18.75" customHeight="1" x14ac:dyDescent="0.25">
      <c r="A1511" s="2">
        <v>1508</v>
      </c>
      <c r="B1511" s="19" t="s">
        <v>4245</v>
      </c>
    </row>
    <row r="1512" spans="1:2" ht="18.75" customHeight="1" x14ac:dyDescent="0.25">
      <c r="A1512" s="2">
        <v>1509</v>
      </c>
      <c r="B1512" s="2" t="s">
        <v>4248</v>
      </c>
    </row>
    <row r="1513" spans="1:2" ht="18.75" customHeight="1" x14ac:dyDescent="0.25">
      <c r="A1513" s="2">
        <v>1510</v>
      </c>
      <c r="B1513" s="2" t="s">
        <v>4250</v>
      </c>
    </row>
    <row r="1514" spans="1:2" ht="18.75" customHeight="1" x14ac:dyDescent="0.25">
      <c r="A1514" s="2">
        <v>1511</v>
      </c>
      <c r="B1514" s="2" t="s">
        <v>4253</v>
      </c>
    </row>
    <row r="1515" spans="1:2" ht="18.75" customHeight="1" x14ac:dyDescent="0.25">
      <c r="A1515" s="2">
        <v>1512</v>
      </c>
      <c r="B1515" s="19" t="s">
        <v>4255</v>
      </c>
    </row>
    <row r="1516" spans="1:2" ht="18.75" customHeight="1" x14ac:dyDescent="0.25">
      <c r="A1516" s="2">
        <v>1513</v>
      </c>
      <c r="B1516" s="109" t="s">
        <v>4256</v>
      </c>
    </row>
    <row r="1517" spans="1:2" ht="18.75" customHeight="1" x14ac:dyDescent="0.25">
      <c r="A1517" s="2">
        <v>1514</v>
      </c>
      <c r="B1517" s="19" t="s">
        <v>4257</v>
      </c>
    </row>
    <row r="1518" spans="1:2" ht="18.75" customHeight="1" x14ac:dyDescent="0.25">
      <c r="A1518" s="2">
        <v>1515</v>
      </c>
      <c r="B1518" s="2" t="s">
        <v>4262</v>
      </c>
    </row>
    <row r="1519" spans="1:2" ht="18.75" customHeight="1" x14ac:dyDescent="0.25">
      <c r="A1519" s="2">
        <v>1516</v>
      </c>
      <c r="B1519" s="19" t="s">
        <v>4267</v>
      </c>
    </row>
    <row r="1520" spans="1:2" ht="18.75" customHeight="1" x14ac:dyDescent="0.25">
      <c r="A1520" s="2">
        <v>1517</v>
      </c>
      <c r="B1520" s="109" t="s">
        <v>4269</v>
      </c>
    </row>
    <row r="1521" spans="1:2" ht="18.75" customHeight="1" x14ac:dyDescent="0.25">
      <c r="A1521" s="2">
        <v>1518</v>
      </c>
      <c r="B1521" s="19" t="s">
        <v>4270</v>
      </c>
    </row>
    <row r="1522" spans="1:2" ht="18.75" customHeight="1" x14ac:dyDescent="0.25">
      <c r="A1522" s="2">
        <v>1519</v>
      </c>
      <c r="B1522" s="19" t="s">
        <v>4277</v>
      </c>
    </row>
    <row r="1523" spans="1:2" ht="18.75" customHeight="1" x14ac:dyDescent="0.25">
      <c r="A1523" s="2">
        <v>1520</v>
      </c>
      <c r="B1523" s="2" t="s">
        <v>4281</v>
      </c>
    </row>
    <row r="1524" spans="1:2" ht="18.75" customHeight="1" x14ac:dyDescent="0.25">
      <c r="A1524" s="2">
        <v>1521</v>
      </c>
      <c r="B1524" s="19" t="s">
        <v>4283</v>
      </c>
    </row>
    <row r="1525" spans="1:2" ht="18.75" customHeight="1" x14ac:dyDescent="0.25">
      <c r="A1525" s="2">
        <v>1522</v>
      </c>
      <c r="B1525" s="2" t="s">
        <v>4286</v>
      </c>
    </row>
    <row r="1526" spans="1:2" ht="18.75" customHeight="1" x14ac:dyDescent="0.25">
      <c r="A1526" s="2">
        <v>1523</v>
      </c>
      <c r="B1526" s="2" t="s">
        <v>4289</v>
      </c>
    </row>
    <row r="1527" spans="1:2" ht="18.75" customHeight="1" x14ac:dyDescent="0.25">
      <c r="A1527" s="2">
        <v>1524</v>
      </c>
      <c r="B1527" s="2" t="s">
        <v>4290</v>
      </c>
    </row>
    <row r="1528" spans="1:2" ht="18.75" customHeight="1" x14ac:dyDescent="0.25">
      <c r="A1528" s="2">
        <v>1525</v>
      </c>
      <c r="B1528" s="19" t="s">
        <v>4292</v>
      </c>
    </row>
    <row r="1529" spans="1:2" ht="18.75" customHeight="1" x14ac:dyDescent="0.25">
      <c r="A1529" s="2">
        <v>1526</v>
      </c>
      <c r="B1529" s="109" t="s">
        <v>6632</v>
      </c>
    </row>
    <row r="1530" spans="1:2" ht="18.75" customHeight="1" x14ac:dyDescent="0.25">
      <c r="A1530" s="2">
        <v>1527</v>
      </c>
      <c r="B1530" s="19" t="s">
        <v>4302</v>
      </c>
    </row>
    <row r="1531" spans="1:2" ht="18.75" customHeight="1" x14ac:dyDescent="0.25">
      <c r="A1531" s="2">
        <v>1528</v>
      </c>
      <c r="B1531" s="19" t="s">
        <v>4306</v>
      </c>
    </row>
    <row r="1532" spans="1:2" ht="18.75" customHeight="1" x14ac:dyDescent="0.25">
      <c r="A1532" s="2">
        <v>1529</v>
      </c>
      <c r="B1532" s="2" t="s">
        <v>4308</v>
      </c>
    </row>
    <row r="1533" spans="1:2" ht="18.75" customHeight="1" x14ac:dyDescent="0.25">
      <c r="A1533" s="2">
        <v>1530</v>
      </c>
      <c r="B1533" s="109" t="s">
        <v>4309</v>
      </c>
    </row>
    <row r="1534" spans="1:2" ht="18.75" customHeight="1" x14ac:dyDescent="0.25">
      <c r="A1534" s="2">
        <v>1531</v>
      </c>
      <c r="B1534" s="2" t="s">
        <v>4311</v>
      </c>
    </row>
    <row r="1535" spans="1:2" ht="18.75" customHeight="1" x14ac:dyDescent="0.25">
      <c r="A1535" s="2">
        <v>1532</v>
      </c>
      <c r="B1535" s="2" t="s">
        <v>4313</v>
      </c>
    </row>
    <row r="1536" spans="1:2" ht="18.75" customHeight="1" x14ac:dyDescent="0.25">
      <c r="A1536" s="2">
        <v>1533</v>
      </c>
      <c r="B1536" s="19" t="s">
        <v>4315</v>
      </c>
    </row>
    <row r="1537" spans="1:2" ht="18.75" customHeight="1" x14ac:dyDescent="0.25">
      <c r="A1537" s="2">
        <v>1534</v>
      </c>
      <c r="B1537" s="2" t="s">
        <v>4320</v>
      </c>
    </row>
    <row r="1538" spans="1:2" ht="18.75" customHeight="1" x14ac:dyDescent="0.25">
      <c r="A1538" s="2">
        <v>1535</v>
      </c>
      <c r="B1538" s="19" t="s">
        <v>4323</v>
      </c>
    </row>
    <row r="1539" spans="1:2" ht="18.75" customHeight="1" x14ac:dyDescent="0.25">
      <c r="A1539" s="2">
        <v>1536</v>
      </c>
      <c r="B1539" s="19" t="s">
        <v>4325</v>
      </c>
    </row>
    <row r="1540" spans="1:2" ht="18.75" customHeight="1" x14ac:dyDescent="0.25">
      <c r="A1540" s="2">
        <v>1537</v>
      </c>
      <c r="B1540" s="19" t="s">
        <v>4329</v>
      </c>
    </row>
    <row r="1541" spans="1:2" ht="18.75" customHeight="1" x14ac:dyDescent="0.25">
      <c r="A1541" s="2">
        <v>1538</v>
      </c>
      <c r="B1541" s="19" t="s">
        <v>4331</v>
      </c>
    </row>
    <row r="1542" spans="1:2" ht="18.75" customHeight="1" x14ac:dyDescent="0.25">
      <c r="A1542" s="2">
        <v>1539</v>
      </c>
      <c r="B1542" s="19" t="s">
        <v>4333</v>
      </c>
    </row>
    <row r="1543" spans="1:2" ht="18.75" customHeight="1" x14ac:dyDescent="0.25">
      <c r="A1543" s="2">
        <v>1540</v>
      </c>
      <c r="B1543" s="19" t="s">
        <v>4338</v>
      </c>
    </row>
    <row r="1544" spans="1:2" ht="18.75" customHeight="1" x14ac:dyDescent="0.25">
      <c r="A1544" s="2">
        <v>1541</v>
      </c>
      <c r="B1544" s="19" t="s">
        <v>4340</v>
      </c>
    </row>
    <row r="1545" spans="1:2" ht="18.75" customHeight="1" x14ac:dyDescent="0.25">
      <c r="A1545" s="2">
        <v>1542</v>
      </c>
      <c r="B1545" s="19" t="s">
        <v>4343</v>
      </c>
    </row>
    <row r="1546" spans="1:2" ht="18.75" customHeight="1" x14ac:dyDescent="0.25">
      <c r="A1546" s="2">
        <v>1543</v>
      </c>
      <c r="B1546" s="19" t="s">
        <v>4345</v>
      </c>
    </row>
    <row r="1547" spans="1:2" ht="18.75" customHeight="1" x14ac:dyDescent="0.25">
      <c r="A1547" s="2">
        <v>1544</v>
      </c>
      <c r="B1547" s="19" t="s">
        <v>4352</v>
      </c>
    </row>
    <row r="1548" spans="1:2" ht="18.75" customHeight="1" x14ac:dyDescent="0.25">
      <c r="A1548" s="2">
        <v>1545</v>
      </c>
      <c r="B1548" s="19" t="s">
        <v>4354</v>
      </c>
    </row>
    <row r="1549" spans="1:2" ht="18.75" customHeight="1" x14ac:dyDescent="0.25">
      <c r="A1549" s="2">
        <v>1546</v>
      </c>
      <c r="B1549" s="19" t="s">
        <v>4257</v>
      </c>
    </row>
    <row r="1550" spans="1:2" ht="18.75" customHeight="1" x14ac:dyDescent="0.25">
      <c r="A1550" s="2">
        <v>1547</v>
      </c>
      <c r="B1550" s="2" t="s">
        <v>4357</v>
      </c>
    </row>
    <row r="1551" spans="1:2" ht="18.75" customHeight="1" x14ac:dyDescent="0.25">
      <c r="A1551" s="2">
        <v>1548</v>
      </c>
      <c r="B1551" s="2" t="s">
        <v>4358</v>
      </c>
    </row>
    <row r="1552" spans="1:2" ht="18.75" customHeight="1" x14ac:dyDescent="0.25">
      <c r="A1552" s="2">
        <v>1549</v>
      </c>
      <c r="B1552" s="2" t="s">
        <v>4360</v>
      </c>
    </row>
    <row r="1553" spans="1:2" ht="18.75" customHeight="1" x14ac:dyDescent="0.25">
      <c r="A1553" s="2">
        <v>1550</v>
      </c>
      <c r="B1553" s="19" t="s">
        <v>4363</v>
      </c>
    </row>
    <row r="1554" spans="1:2" ht="18.75" customHeight="1" x14ac:dyDescent="0.25">
      <c r="A1554" s="2">
        <v>1551</v>
      </c>
      <c r="B1554" s="19" t="s">
        <v>4366</v>
      </c>
    </row>
    <row r="1555" spans="1:2" ht="18.75" customHeight="1" x14ac:dyDescent="0.25">
      <c r="A1555" s="2">
        <v>1552</v>
      </c>
      <c r="B1555" s="19" t="s">
        <v>4500</v>
      </c>
    </row>
    <row r="1556" spans="1:2" ht="18.75" customHeight="1" x14ac:dyDescent="0.25">
      <c r="A1556" s="2">
        <v>1553</v>
      </c>
      <c r="B1556" s="2" t="s">
        <v>4367</v>
      </c>
    </row>
    <row r="1557" spans="1:2" ht="18.75" customHeight="1" x14ac:dyDescent="0.25">
      <c r="A1557" s="2">
        <v>1554</v>
      </c>
      <c r="B1557" s="2" t="s">
        <v>4369</v>
      </c>
    </row>
    <row r="1558" spans="1:2" ht="18.75" customHeight="1" x14ac:dyDescent="0.25">
      <c r="A1558" s="2">
        <v>1555</v>
      </c>
      <c r="B1558" s="19" t="s">
        <v>4371</v>
      </c>
    </row>
    <row r="1559" spans="1:2" ht="18.75" customHeight="1" x14ac:dyDescent="0.25">
      <c r="A1559" s="2">
        <v>1556</v>
      </c>
      <c r="B1559" s="19" t="s">
        <v>4373</v>
      </c>
    </row>
    <row r="1560" spans="1:2" ht="18.75" customHeight="1" x14ac:dyDescent="0.25">
      <c r="A1560" s="2">
        <v>1557</v>
      </c>
      <c r="B1560" s="2" t="s">
        <v>4375</v>
      </c>
    </row>
    <row r="1561" spans="1:2" ht="18.75" customHeight="1" x14ac:dyDescent="0.25">
      <c r="A1561" s="2">
        <v>1558</v>
      </c>
      <c r="B1561" s="19" t="s">
        <v>4376</v>
      </c>
    </row>
    <row r="1562" spans="1:2" ht="18.75" customHeight="1" x14ac:dyDescent="0.25">
      <c r="A1562" s="2">
        <v>1559</v>
      </c>
      <c r="B1562" s="2" t="s">
        <v>4377</v>
      </c>
    </row>
    <row r="1563" spans="1:2" ht="18.75" customHeight="1" x14ac:dyDescent="0.25">
      <c r="A1563" s="2">
        <v>1560</v>
      </c>
      <c r="B1563" s="19" t="s">
        <v>4379</v>
      </c>
    </row>
    <row r="1564" spans="1:2" ht="18.75" customHeight="1" x14ac:dyDescent="0.25">
      <c r="A1564" s="2">
        <v>1561</v>
      </c>
      <c r="B1564" s="19" t="s">
        <v>4381</v>
      </c>
    </row>
    <row r="1565" spans="1:2" ht="18.75" customHeight="1" x14ac:dyDescent="0.25">
      <c r="A1565" s="2">
        <v>1562</v>
      </c>
      <c r="B1565" s="108" t="s">
        <v>4615</v>
      </c>
    </row>
    <row r="1566" spans="1:2" ht="18.75" customHeight="1" x14ac:dyDescent="0.25">
      <c r="A1566" s="2">
        <v>1563</v>
      </c>
      <c r="B1566" s="2" t="s">
        <v>4382</v>
      </c>
    </row>
    <row r="1567" spans="1:2" ht="18.75" customHeight="1" x14ac:dyDescent="0.25">
      <c r="A1567" s="2">
        <v>1564</v>
      </c>
      <c r="B1567" s="2" t="s">
        <v>4384</v>
      </c>
    </row>
    <row r="1568" spans="1:2" ht="18.75" customHeight="1" x14ac:dyDescent="0.25">
      <c r="A1568" s="2">
        <v>1565</v>
      </c>
      <c r="B1568" s="19" t="s">
        <v>4385</v>
      </c>
    </row>
    <row r="1569" spans="1:3" ht="18.75" customHeight="1" x14ac:dyDescent="0.25">
      <c r="A1569" s="2">
        <v>1566</v>
      </c>
      <c r="B1569" s="19" t="s">
        <v>4386</v>
      </c>
    </row>
    <row r="1570" spans="1:3" ht="18.75" customHeight="1" x14ac:dyDescent="0.25">
      <c r="A1570" s="2">
        <v>1567</v>
      </c>
      <c r="B1570" s="2" t="s">
        <v>4387</v>
      </c>
    </row>
    <row r="1571" spans="1:3" ht="18.75" customHeight="1" x14ac:dyDescent="0.25">
      <c r="A1571" s="2">
        <v>1568</v>
      </c>
      <c r="B1571" s="19" t="s">
        <v>4389</v>
      </c>
    </row>
    <row r="1572" spans="1:3" ht="18.75" customHeight="1" x14ac:dyDescent="0.25">
      <c r="A1572" s="2">
        <v>1569</v>
      </c>
      <c r="B1572" s="19" t="s">
        <v>4390</v>
      </c>
    </row>
    <row r="1573" spans="1:3" ht="18.75" customHeight="1" x14ac:dyDescent="0.25">
      <c r="A1573" s="2">
        <v>1570</v>
      </c>
      <c r="B1573" s="2" t="s">
        <v>4392</v>
      </c>
    </row>
    <row r="1574" spans="1:3" ht="18.75" customHeight="1" x14ac:dyDescent="0.25">
      <c r="A1574" s="2">
        <v>1571</v>
      </c>
      <c r="B1574" s="2" t="s">
        <v>4396</v>
      </c>
      <c r="C1574" s="2" t="s">
        <v>4396</v>
      </c>
    </row>
    <row r="1575" spans="1:3" ht="18.75" customHeight="1" x14ac:dyDescent="0.25">
      <c r="A1575" s="2">
        <v>1572</v>
      </c>
      <c r="B1575" s="109" t="s">
        <v>4397</v>
      </c>
      <c r="C1575" s="2" t="s">
        <v>4397</v>
      </c>
    </row>
    <row r="1576" spans="1:3" ht="18.75" customHeight="1" x14ac:dyDescent="0.25">
      <c r="A1576" s="2">
        <v>1573</v>
      </c>
      <c r="B1576" s="19" t="s">
        <v>4398</v>
      </c>
    </row>
    <row r="1577" spans="1:3" ht="18.75" customHeight="1" x14ac:dyDescent="0.25">
      <c r="A1577" s="2">
        <v>1574</v>
      </c>
      <c r="B1577" s="2" t="s">
        <v>4400</v>
      </c>
    </row>
    <row r="1578" spans="1:3" ht="18.75" customHeight="1" x14ac:dyDescent="0.25">
      <c r="A1578" s="2">
        <v>1575</v>
      </c>
      <c r="B1578" s="2" t="s">
        <v>4402</v>
      </c>
    </row>
    <row r="1579" spans="1:3" ht="18.75" customHeight="1" x14ac:dyDescent="0.25">
      <c r="A1579" s="2">
        <v>1576</v>
      </c>
      <c r="B1579" s="2" t="s">
        <v>4403</v>
      </c>
    </row>
    <row r="1580" spans="1:3" ht="18.75" customHeight="1" x14ac:dyDescent="0.25">
      <c r="A1580" s="2">
        <v>1577</v>
      </c>
      <c r="B1580" s="2" t="s">
        <v>4405</v>
      </c>
    </row>
    <row r="1581" spans="1:3" ht="18.75" customHeight="1" x14ac:dyDescent="0.25">
      <c r="A1581" s="2">
        <v>1578</v>
      </c>
      <c r="B1581" s="2" t="s">
        <v>4407</v>
      </c>
    </row>
    <row r="1582" spans="1:3" ht="18.75" customHeight="1" x14ac:dyDescent="0.25">
      <c r="A1582" s="2">
        <v>1579</v>
      </c>
      <c r="B1582" s="2" t="s">
        <v>4409</v>
      </c>
    </row>
    <row r="1583" spans="1:3" ht="18.75" customHeight="1" x14ac:dyDescent="0.25">
      <c r="A1583" s="2">
        <v>1580</v>
      </c>
      <c r="B1583" s="19" t="s">
        <v>4411</v>
      </c>
    </row>
    <row r="1584" spans="1:3" ht="18.75" customHeight="1" x14ac:dyDescent="0.25">
      <c r="A1584" s="2">
        <v>1581</v>
      </c>
      <c r="B1584" s="2" t="s">
        <v>4412</v>
      </c>
    </row>
    <row r="1585" spans="1:2" ht="18.75" customHeight="1" x14ac:dyDescent="0.25">
      <c r="A1585" s="2">
        <v>1582</v>
      </c>
      <c r="B1585" s="2" t="s">
        <v>4414</v>
      </c>
    </row>
    <row r="1586" spans="1:2" ht="18.75" customHeight="1" x14ac:dyDescent="0.25">
      <c r="A1586" s="2">
        <v>1583</v>
      </c>
      <c r="B1586" s="19" t="s">
        <v>4416</v>
      </c>
    </row>
    <row r="1587" spans="1:2" ht="18.75" customHeight="1" x14ac:dyDescent="0.25">
      <c r="A1587" s="2">
        <v>1584</v>
      </c>
      <c r="B1587" s="109" t="s">
        <v>4418</v>
      </c>
    </row>
    <row r="1588" spans="1:2" ht="18.75" customHeight="1" x14ac:dyDescent="0.25">
      <c r="A1588" s="2">
        <v>1585</v>
      </c>
      <c r="B1588" s="2" t="s">
        <v>4420</v>
      </c>
    </row>
    <row r="1589" spans="1:2" ht="18.75" customHeight="1" x14ac:dyDescent="0.25">
      <c r="A1589" s="2">
        <v>1586</v>
      </c>
      <c r="B1589" s="2" t="s">
        <v>4425</v>
      </c>
    </row>
    <row r="1590" spans="1:2" ht="18.75" customHeight="1" x14ac:dyDescent="0.25">
      <c r="A1590" s="2">
        <v>1587</v>
      </c>
      <c r="B1590" s="2" t="s">
        <v>4427</v>
      </c>
    </row>
    <row r="1591" spans="1:2" ht="18.75" customHeight="1" x14ac:dyDescent="0.25">
      <c r="A1591" s="2">
        <v>1588</v>
      </c>
      <c r="B1591" s="2" t="s">
        <v>4429</v>
      </c>
    </row>
    <row r="1592" spans="1:2" ht="18.75" customHeight="1" x14ac:dyDescent="0.25">
      <c r="A1592" s="2">
        <v>1589</v>
      </c>
      <c r="B1592" s="2" t="s">
        <v>4431</v>
      </c>
    </row>
    <row r="1593" spans="1:2" ht="18.75" customHeight="1" x14ac:dyDescent="0.25">
      <c r="A1593" s="2">
        <v>1590</v>
      </c>
      <c r="B1593" s="2" t="s">
        <v>4435</v>
      </c>
    </row>
    <row r="1594" spans="1:2" ht="18.75" customHeight="1" x14ac:dyDescent="0.25">
      <c r="A1594" s="2">
        <v>1591</v>
      </c>
      <c r="B1594" s="2" t="s">
        <v>4436</v>
      </c>
    </row>
    <row r="1595" spans="1:2" ht="18.75" customHeight="1" x14ac:dyDescent="0.25">
      <c r="A1595" s="2">
        <v>1592</v>
      </c>
      <c r="B1595" s="2" t="s">
        <v>4438</v>
      </c>
    </row>
    <row r="1596" spans="1:2" ht="18.75" customHeight="1" x14ac:dyDescent="0.25">
      <c r="A1596" s="2">
        <v>1593</v>
      </c>
      <c r="B1596" s="2" t="s">
        <v>4440</v>
      </c>
    </row>
    <row r="1597" spans="1:2" ht="18.75" customHeight="1" x14ac:dyDescent="0.25">
      <c r="A1597" s="2">
        <v>1594</v>
      </c>
      <c r="B1597" s="19" t="s">
        <v>4442</v>
      </c>
    </row>
    <row r="1598" spans="1:2" ht="18.75" customHeight="1" x14ac:dyDescent="0.25">
      <c r="A1598" s="2">
        <v>1595</v>
      </c>
      <c r="B1598" s="2" t="s">
        <v>4444</v>
      </c>
    </row>
    <row r="1599" spans="1:2" ht="18.75" customHeight="1" x14ac:dyDescent="0.25">
      <c r="A1599" s="2">
        <v>1596</v>
      </c>
      <c r="B1599" s="19" t="s">
        <v>4445</v>
      </c>
    </row>
    <row r="1600" spans="1:2" ht="18.75" customHeight="1" x14ac:dyDescent="0.25">
      <c r="A1600" s="2">
        <v>1597</v>
      </c>
      <c r="B1600" s="19" t="s">
        <v>4444</v>
      </c>
    </row>
    <row r="1601" spans="1:2" ht="18.75" customHeight="1" x14ac:dyDescent="0.25">
      <c r="A1601" s="2">
        <v>1598</v>
      </c>
      <c r="B1601" s="2" t="s">
        <v>4449</v>
      </c>
    </row>
    <row r="1602" spans="1:2" ht="18.75" customHeight="1" x14ac:dyDescent="0.25">
      <c r="A1602" s="2">
        <v>1599</v>
      </c>
      <c r="B1602" s="2" t="s">
        <v>4450</v>
      </c>
    </row>
    <row r="1603" spans="1:2" ht="18.75" customHeight="1" x14ac:dyDescent="0.25">
      <c r="A1603" s="2">
        <v>1600</v>
      </c>
      <c r="B1603" s="2" t="s">
        <v>4453</v>
      </c>
    </row>
    <row r="1604" spans="1:2" ht="18.75" customHeight="1" x14ac:dyDescent="0.25">
      <c r="A1604" s="2">
        <v>1601</v>
      </c>
      <c r="B1604" s="2" t="s">
        <v>4456</v>
      </c>
    </row>
    <row r="1605" spans="1:2" ht="18.75" customHeight="1" x14ac:dyDescent="0.25">
      <c r="A1605" s="2">
        <v>1602</v>
      </c>
      <c r="B1605" s="19" t="s">
        <v>4458</v>
      </c>
    </row>
    <row r="1606" spans="1:2" ht="18.75" customHeight="1" x14ac:dyDescent="0.25">
      <c r="A1606" s="2">
        <v>1603</v>
      </c>
      <c r="B1606" s="19" t="s">
        <v>4459</v>
      </c>
    </row>
    <row r="1607" spans="1:2" ht="18.75" customHeight="1" x14ac:dyDescent="0.25">
      <c r="A1607" s="2">
        <v>1604</v>
      </c>
      <c r="B1607" s="19" t="s">
        <v>4461</v>
      </c>
    </row>
    <row r="1608" spans="1:2" ht="18.75" customHeight="1" x14ac:dyDescent="0.25">
      <c r="A1608" s="2">
        <v>1605</v>
      </c>
      <c r="B1608" s="2" t="s">
        <v>4462</v>
      </c>
    </row>
    <row r="1609" spans="1:2" ht="18.75" customHeight="1" x14ac:dyDescent="0.25">
      <c r="A1609" s="2">
        <v>1606</v>
      </c>
      <c r="B1609" s="19" t="s">
        <v>4463</v>
      </c>
    </row>
    <row r="1610" spans="1:2" ht="18.75" customHeight="1" x14ac:dyDescent="0.25">
      <c r="A1610" s="2">
        <v>1607</v>
      </c>
      <c r="B1610" s="19" t="s">
        <v>4465</v>
      </c>
    </row>
    <row r="1611" spans="1:2" ht="18.75" customHeight="1" x14ac:dyDescent="0.25">
      <c r="A1611" s="2">
        <v>1608</v>
      </c>
      <c r="B1611" s="19" t="s">
        <v>4466</v>
      </c>
    </row>
    <row r="1612" spans="1:2" ht="18.75" customHeight="1" x14ac:dyDescent="0.25">
      <c r="A1612" s="2">
        <v>1609</v>
      </c>
      <c r="B1612" s="19" t="s">
        <v>4468</v>
      </c>
    </row>
    <row r="1613" spans="1:2" ht="18.75" customHeight="1" x14ac:dyDescent="0.25">
      <c r="A1613" s="2">
        <v>1610</v>
      </c>
      <c r="B1613" s="19" t="s">
        <v>4470</v>
      </c>
    </row>
    <row r="1614" spans="1:2" ht="18.75" customHeight="1" x14ac:dyDescent="0.25">
      <c r="A1614" s="2">
        <v>1611</v>
      </c>
      <c r="B1614" s="19" t="s">
        <v>4471</v>
      </c>
    </row>
    <row r="1615" spans="1:2" ht="18.75" customHeight="1" x14ac:dyDescent="0.25">
      <c r="A1615" s="2">
        <v>1612</v>
      </c>
      <c r="B1615" s="19" t="s">
        <v>4473</v>
      </c>
    </row>
    <row r="1616" spans="1:2" ht="18.75" customHeight="1" x14ac:dyDescent="0.25">
      <c r="A1616" s="2">
        <v>1613</v>
      </c>
      <c r="B1616" s="19" t="s">
        <v>3760</v>
      </c>
    </row>
    <row r="1617" spans="1:2" ht="18.75" customHeight="1" x14ac:dyDescent="0.25">
      <c r="A1617" s="2">
        <v>1614</v>
      </c>
      <c r="B1617" s="19" t="s">
        <v>4477</v>
      </c>
    </row>
    <row r="1618" spans="1:2" ht="18.75" customHeight="1" x14ac:dyDescent="0.25">
      <c r="A1618" s="2">
        <v>1615</v>
      </c>
      <c r="B1618" s="19" t="s">
        <v>4479</v>
      </c>
    </row>
    <row r="1619" spans="1:2" ht="18.75" customHeight="1" x14ac:dyDescent="0.25">
      <c r="A1619" s="2">
        <v>1616</v>
      </c>
      <c r="B1619" s="19" t="s">
        <v>4481</v>
      </c>
    </row>
    <row r="1620" spans="1:2" ht="18.75" customHeight="1" x14ac:dyDescent="0.25">
      <c r="A1620" s="2">
        <v>1617</v>
      </c>
      <c r="B1620" s="2" t="s">
        <v>4483</v>
      </c>
    </row>
    <row r="1621" spans="1:2" ht="18.75" customHeight="1" x14ac:dyDescent="0.25">
      <c r="A1621" s="2">
        <v>1618</v>
      </c>
      <c r="B1621" s="19" t="s">
        <v>4486</v>
      </c>
    </row>
    <row r="1622" spans="1:2" ht="18.75" customHeight="1" x14ac:dyDescent="0.25">
      <c r="A1622" s="2">
        <v>1619</v>
      </c>
      <c r="B1622" s="19" t="s">
        <v>4487</v>
      </c>
    </row>
    <row r="1623" spans="1:2" ht="18.75" customHeight="1" x14ac:dyDescent="0.25">
      <c r="A1623" s="2">
        <v>1620</v>
      </c>
      <c r="B1623" s="19" t="s">
        <v>6685</v>
      </c>
    </row>
    <row r="1624" spans="1:2" ht="18.75" customHeight="1" x14ac:dyDescent="0.25">
      <c r="A1624" s="2">
        <v>1621</v>
      </c>
      <c r="B1624" s="19" t="s">
        <v>4490</v>
      </c>
    </row>
    <row r="1625" spans="1:2" ht="18.75" customHeight="1" x14ac:dyDescent="0.25">
      <c r="A1625" s="2">
        <v>1622</v>
      </c>
      <c r="B1625" s="19" t="s">
        <v>4492</v>
      </c>
    </row>
    <row r="1626" spans="1:2" ht="18.75" customHeight="1" x14ac:dyDescent="0.25">
      <c r="A1626" s="2">
        <v>1623</v>
      </c>
      <c r="B1626" s="19" t="s">
        <v>4494</v>
      </c>
    </row>
    <row r="1627" spans="1:2" ht="18.75" customHeight="1" x14ac:dyDescent="0.25">
      <c r="A1627" s="2">
        <v>1624</v>
      </c>
      <c r="B1627" s="20" t="s">
        <v>4497</v>
      </c>
    </row>
    <row r="1628" spans="1:2" ht="18.75" customHeight="1" x14ac:dyDescent="0.25">
      <c r="A1628" s="2">
        <v>1625</v>
      </c>
      <c r="B1628" s="19" t="s">
        <v>4498</v>
      </c>
    </row>
    <row r="1629" spans="1:2" ht="18.75" customHeight="1" x14ac:dyDescent="0.25">
      <c r="A1629" s="2">
        <v>1626</v>
      </c>
      <c r="B1629" s="19" t="s">
        <v>4505</v>
      </c>
    </row>
    <row r="1630" spans="1:2" ht="18.75" customHeight="1" x14ac:dyDescent="0.25">
      <c r="A1630" s="2">
        <v>1627</v>
      </c>
      <c r="B1630" s="19" t="s">
        <v>4507</v>
      </c>
    </row>
    <row r="1631" spans="1:2" ht="18.75" customHeight="1" x14ac:dyDescent="0.25">
      <c r="A1631" s="2">
        <v>1628</v>
      </c>
      <c r="B1631" s="19" t="s">
        <v>4509</v>
      </c>
    </row>
    <row r="1632" spans="1:2" ht="18.75" customHeight="1" x14ac:dyDescent="0.25">
      <c r="A1632" s="2">
        <v>1629</v>
      </c>
      <c r="B1632" s="19" t="s">
        <v>4511</v>
      </c>
    </row>
    <row r="1633" spans="1:2" ht="18.75" customHeight="1" x14ac:dyDescent="0.25">
      <c r="A1633" s="2">
        <v>1630</v>
      </c>
      <c r="B1633" s="19" t="s">
        <v>4513</v>
      </c>
    </row>
    <row r="1634" spans="1:2" ht="18.75" customHeight="1" x14ac:dyDescent="0.25">
      <c r="A1634" s="2">
        <v>1631</v>
      </c>
      <c r="B1634" s="2" t="s">
        <v>4515</v>
      </c>
    </row>
    <row r="1635" spans="1:2" ht="18.75" customHeight="1" x14ac:dyDescent="0.25">
      <c r="A1635" s="2">
        <v>1632</v>
      </c>
      <c r="B1635" s="19" t="s">
        <v>4517</v>
      </c>
    </row>
    <row r="1636" spans="1:2" ht="18.75" customHeight="1" x14ac:dyDescent="0.25">
      <c r="A1636" s="2">
        <v>1633</v>
      </c>
      <c r="B1636" s="19" t="s">
        <v>4519</v>
      </c>
    </row>
    <row r="1637" spans="1:2" ht="18.75" customHeight="1" x14ac:dyDescent="0.25">
      <c r="A1637" s="2">
        <v>1634</v>
      </c>
      <c r="B1637" s="19" t="s">
        <v>4521</v>
      </c>
    </row>
    <row r="1638" spans="1:2" ht="18.75" customHeight="1" x14ac:dyDescent="0.25">
      <c r="A1638" s="2">
        <v>1635</v>
      </c>
      <c r="B1638" s="19" t="s">
        <v>4522</v>
      </c>
    </row>
    <row r="1639" spans="1:2" ht="18.75" customHeight="1" x14ac:dyDescent="0.25">
      <c r="A1639" s="2">
        <v>1636</v>
      </c>
      <c r="B1639" s="19" t="s">
        <v>4524</v>
      </c>
    </row>
    <row r="1640" spans="1:2" ht="18.75" customHeight="1" x14ac:dyDescent="0.25">
      <c r="A1640" s="2">
        <v>1637</v>
      </c>
      <c r="B1640" s="19" t="s">
        <v>4526</v>
      </c>
    </row>
    <row r="1641" spans="1:2" ht="18.75" customHeight="1" x14ac:dyDescent="0.25">
      <c r="A1641" s="2">
        <v>1638</v>
      </c>
      <c r="B1641" s="19" t="s">
        <v>4528</v>
      </c>
    </row>
    <row r="1642" spans="1:2" ht="18.75" customHeight="1" x14ac:dyDescent="0.25">
      <c r="A1642" s="2">
        <v>1639</v>
      </c>
      <c r="B1642" s="19" t="s">
        <v>2988</v>
      </c>
    </row>
    <row r="1643" spans="1:2" ht="18.75" customHeight="1" x14ac:dyDescent="0.25">
      <c r="A1643" s="2">
        <v>1640</v>
      </c>
      <c r="B1643" s="19" t="s">
        <v>4673</v>
      </c>
    </row>
    <row r="1644" spans="1:2" ht="18.75" customHeight="1" x14ac:dyDescent="0.25">
      <c r="A1644" s="2">
        <v>1641</v>
      </c>
      <c r="B1644" s="19" t="s">
        <v>4531</v>
      </c>
    </row>
    <row r="1645" spans="1:2" ht="18.75" customHeight="1" x14ac:dyDescent="0.25">
      <c r="A1645" s="2">
        <v>1642</v>
      </c>
      <c r="B1645" s="2" t="s">
        <v>4532</v>
      </c>
    </row>
    <row r="1646" spans="1:2" ht="18.75" customHeight="1" x14ac:dyDescent="0.25">
      <c r="A1646" s="2">
        <v>1643</v>
      </c>
      <c r="B1646" s="2" t="s">
        <v>4534</v>
      </c>
    </row>
    <row r="1647" spans="1:2" ht="18.75" customHeight="1" x14ac:dyDescent="0.25">
      <c r="A1647" s="2">
        <v>1644</v>
      </c>
      <c r="B1647" s="2" t="s">
        <v>4536</v>
      </c>
    </row>
    <row r="1648" spans="1:2" ht="18.75" customHeight="1" x14ac:dyDescent="0.25">
      <c r="A1648" s="2">
        <v>1645</v>
      </c>
      <c r="B1648" s="19" t="s">
        <v>4537</v>
      </c>
    </row>
    <row r="1649" spans="1:2" ht="18.75" customHeight="1" x14ac:dyDescent="0.25">
      <c r="A1649" s="2">
        <v>1646</v>
      </c>
      <c r="B1649" s="19" t="s">
        <v>4539</v>
      </c>
    </row>
    <row r="1650" spans="1:2" ht="18.75" customHeight="1" x14ac:dyDescent="0.25">
      <c r="A1650" s="2">
        <v>1647</v>
      </c>
      <c r="B1650" s="19" t="s">
        <v>6322</v>
      </c>
    </row>
    <row r="1651" spans="1:2" ht="18.75" customHeight="1" x14ac:dyDescent="0.25">
      <c r="A1651" s="2">
        <v>1648</v>
      </c>
      <c r="B1651" s="2" t="s">
        <v>4547</v>
      </c>
    </row>
    <row r="1652" spans="1:2" ht="18.75" customHeight="1" x14ac:dyDescent="0.25">
      <c r="A1652" s="2">
        <v>1649</v>
      </c>
      <c r="B1652" s="2" t="s">
        <v>4549</v>
      </c>
    </row>
    <row r="1653" spans="1:2" ht="18.75" customHeight="1" x14ac:dyDescent="0.25">
      <c r="A1653" s="2">
        <v>1650</v>
      </c>
      <c r="B1653" s="2" t="s">
        <v>4555</v>
      </c>
    </row>
    <row r="1654" spans="1:2" ht="18.75" customHeight="1" x14ac:dyDescent="0.25">
      <c r="A1654" s="2">
        <v>1651</v>
      </c>
      <c r="B1654" s="2" t="s">
        <v>4556</v>
      </c>
    </row>
    <row r="1655" spans="1:2" ht="18.75" customHeight="1" x14ac:dyDescent="0.25">
      <c r="A1655" s="2">
        <v>1652</v>
      </c>
      <c r="B1655" s="19" t="s">
        <v>4560</v>
      </c>
    </row>
    <row r="1656" spans="1:2" ht="18.75" customHeight="1" x14ac:dyDescent="0.25">
      <c r="A1656" s="2">
        <v>1653</v>
      </c>
      <c r="B1656" s="2" t="s">
        <v>4563</v>
      </c>
    </row>
    <row r="1657" spans="1:2" ht="18.75" customHeight="1" x14ac:dyDescent="0.25">
      <c r="A1657" s="2">
        <v>1654</v>
      </c>
      <c r="B1657" s="19" t="s">
        <v>4564</v>
      </c>
    </row>
    <row r="1658" spans="1:2" ht="18.75" customHeight="1" x14ac:dyDescent="0.25">
      <c r="A1658" s="2">
        <v>1655</v>
      </c>
      <c r="B1658" s="2" t="s">
        <v>4569</v>
      </c>
    </row>
    <row r="1659" spans="1:2" ht="18.75" customHeight="1" x14ac:dyDescent="0.25">
      <c r="A1659" s="2">
        <v>1656</v>
      </c>
      <c r="B1659" s="2" t="s">
        <v>4574</v>
      </c>
    </row>
    <row r="1660" spans="1:2" ht="18.75" customHeight="1" x14ac:dyDescent="0.25">
      <c r="A1660" s="2">
        <v>1657</v>
      </c>
      <c r="B1660" s="2" t="s">
        <v>4577</v>
      </c>
    </row>
    <row r="1661" spans="1:2" ht="18.75" customHeight="1" x14ac:dyDescent="0.25">
      <c r="A1661" s="2">
        <v>1658</v>
      </c>
      <c r="B1661" s="2" t="s">
        <v>4579</v>
      </c>
    </row>
    <row r="1662" spans="1:2" ht="18.75" customHeight="1" x14ac:dyDescent="0.25">
      <c r="A1662" s="2">
        <v>1659</v>
      </c>
      <c r="B1662" s="2" t="s">
        <v>4580</v>
      </c>
    </row>
    <row r="1663" spans="1:2" ht="18.75" customHeight="1" x14ac:dyDescent="0.25">
      <c r="A1663" s="2">
        <v>1660</v>
      </c>
      <c r="B1663" s="19" t="s">
        <v>4581</v>
      </c>
    </row>
    <row r="1664" spans="1:2" ht="18.75" customHeight="1" x14ac:dyDescent="0.25">
      <c r="A1664" s="2">
        <v>1661</v>
      </c>
      <c r="B1664" s="19" t="s">
        <v>4584</v>
      </c>
    </row>
    <row r="1665" spans="1:2" ht="18.75" customHeight="1" x14ac:dyDescent="0.25">
      <c r="A1665" s="2">
        <v>1662</v>
      </c>
      <c r="B1665" s="19" t="s">
        <v>4927</v>
      </c>
    </row>
    <row r="1666" spans="1:2" ht="18.75" customHeight="1" x14ac:dyDescent="0.25">
      <c r="A1666" s="2">
        <v>1663</v>
      </c>
      <c r="B1666" s="19" t="s">
        <v>4592</v>
      </c>
    </row>
    <row r="1667" spans="1:2" ht="18.75" customHeight="1" x14ac:dyDescent="0.25">
      <c r="A1667" s="2">
        <v>1664</v>
      </c>
      <c r="B1667" s="2" t="s">
        <v>4597</v>
      </c>
    </row>
    <row r="1668" spans="1:2" ht="18.75" customHeight="1" x14ac:dyDescent="0.25">
      <c r="A1668" s="2">
        <v>1665</v>
      </c>
      <c r="B1668" s="2" t="s">
        <v>4598</v>
      </c>
    </row>
    <row r="1669" spans="1:2" ht="18.75" customHeight="1" x14ac:dyDescent="0.25">
      <c r="A1669" s="2">
        <v>1666</v>
      </c>
      <c r="B1669" s="19" t="s">
        <v>4602</v>
      </c>
    </row>
    <row r="1670" spans="1:2" ht="18.75" customHeight="1" x14ac:dyDescent="0.25">
      <c r="A1670" s="2">
        <v>1667</v>
      </c>
      <c r="B1670" s="19" t="s">
        <v>4614</v>
      </c>
    </row>
    <row r="1671" spans="1:2" ht="18.75" customHeight="1" x14ac:dyDescent="0.25">
      <c r="A1671" s="2">
        <v>1668</v>
      </c>
      <c r="B1671" s="2" t="s">
        <v>4620</v>
      </c>
    </row>
    <row r="1672" spans="1:2" ht="18.75" customHeight="1" x14ac:dyDescent="0.25">
      <c r="A1672" s="2">
        <v>1669</v>
      </c>
      <c r="B1672" s="19" t="s">
        <v>4622</v>
      </c>
    </row>
    <row r="1673" spans="1:2" ht="18.75" customHeight="1" x14ac:dyDescent="0.25">
      <c r="A1673" s="2">
        <v>1670</v>
      </c>
      <c r="B1673" s="2" t="s">
        <v>4631</v>
      </c>
    </row>
    <row r="1674" spans="1:2" ht="18.75" customHeight="1" x14ac:dyDescent="0.25">
      <c r="A1674" s="2">
        <v>1671</v>
      </c>
      <c r="B1674" s="19" t="s">
        <v>4634</v>
      </c>
    </row>
    <row r="1675" spans="1:2" ht="18.75" customHeight="1" x14ac:dyDescent="0.25">
      <c r="A1675" s="2">
        <v>1672</v>
      </c>
      <c r="B1675" s="19" t="s">
        <v>4642</v>
      </c>
    </row>
    <row r="1676" spans="1:2" ht="18.75" customHeight="1" x14ac:dyDescent="0.25">
      <c r="A1676" s="2">
        <v>1673</v>
      </c>
      <c r="B1676" s="19" t="s">
        <v>4643</v>
      </c>
    </row>
    <row r="1677" spans="1:2" ht="18.75" customHeight="1" x14ac:dyDescent="0.25">
      <c r="A1677" s="2">
        <v>1674</v>
      </c>
      <c r="B1677" s="19" t="s">
        <v>4645</v>
      </c>
    </row>
    <row r="1678" spans="1:2" ht="18.75" customHeight="1" x14ac:dyDescent="0.25">
      <c r="A1678" s="2">
        <v>1675</v>
      </c>
      <c r="B1678" s="19" t="s">
        <v>4647</v>
      </c>
    </row>
    <row r="1679" spans="1:2" ht="18.75" customHeight="1" x14ac:dyDescent="0.25">
      <c r="A1679" s="2">
        <v>1676</v>
      </c>
      <c r="B1679" s="19" t="s">
        <v>4649</v>
      </c>
    </row>
    <row r="1680" spans="1:2" ht="18.75" customHeight="1" x14ac:dyDescent="0.25">
      <c r="A1680" s="2">
        <v>1677</v>
      </c>
      <c r="B1680" s="19" t="s">
        <v>4651</v>
      </c>
    </row>
    <row r="1681" spans="1:2" ht="18.75" customHeight="1" x14ac:dyDescent="0.25">
      <c r="A1681" s="2">
        <v>1678</v>
      </c>
      <c r="B1681" s="19" t="s">
        <v>4652</v>
      </c>
    </row>
    <row r="1682" spans="1:2" ht="18.75" customHeight="1" x14ac:dyDescent="0.25">
      <c r="A1682" s="2">
        <v>1679</v>
      </c>
      <c r="B1682" s="19" t="s">
        <v>4653</v>
      </c>
    </row>
    <row r="1683" spans="1:2" ht="18.75" customHeight="1" x14ac:dyDescent="0.25">
      <c r="A1683" s="2">
        <v>1680</v>
      </c>
      <c r="B1683" s="19" t="s">
        <v>4657</v>
      </c>
    </row>
    <row r="1684" spans="1:2" ht="18.75" customHeight="1" x14ac:dyDescent="0.25">
      <c r="A1684" s="2">
        <v>1681</v>
      </c>
      <c r="B1684" s="19" t="s">
        <v>4659</v>
      </c>
    </row>
    <row r="1685" spans="1:2" ht="18.75" customHeight="1" x14ac:dyDescent="0.25">
      <c r="A1685" s="2">
        <v>1682</v>
      </c>
      <c r="B1685" s="19" t="s">
        <v>4660</v>
      </c>
    </row>
    <row r="1686" spans="1:2" ht="18.75" customHeight="1" x14ac:dyDescent="0.25">
      <c r="A1686" s="2">
        <v>1683</v>
      </c>
      <c r="B1686" s="19" t="s">
        <v>4662</v>
      </c>
    </row>
    <row r="1687" spans="1:2" ht="18.75" customHeight="1" x14ac:dyDescent="0.25">
      <c r="A1687" s="2">
        <v>1684</v>
      </c>
      <c r="B1687" s="19" t="s">
        <v>4663</v>
      </c>
    </row>
    <row r="1688" spans="1:2" ht="18.75" customHeight="1" x14ac:dyDescent="0.25">
      <c r="A1688" s="2">
        <v>1685</v>
      </c>
      <c r="B1688" s="19" t="s">
        <v>4668</v>
      </c>
    </row>
    <row r="1689" spans="1:2" ht="18.75" customHeight="1" x14ac:dyDescent="0.25">
      <c r="A1689" s="2">
        <v>1686</v>
      </c>
      <c r="B1689" s="19" t="s">
        <v>4670</v>
      </c>
    </row>
    <row r="1690" spans="1:2" ht="18.75" customHeight="1" x14ac:dyDescent="0.25">
      <c r="A1690" s="2">
        <v>1687</v>
      </c>
      <c r="B1690" s="19" t="s">
        <v>4671</v>
      </c>
    </row>
    <row r="1691" spans="1:2" ht="18.75" customHeight="1" x14ac:dyDescent="0.25">
      <c r="A1691" s="2">
        <v>1688</v>
      </c>
      <c r="B1691" s="19" t="s">
        <v>4672</v>
      </c>
    </row>
    <row r="1692" spans="1:2" ht="18.75" customHeight="1" x14ac:dyDescent="0.25">
      <c r="A1692" s="2">
        <v>1689</v>
      </c>
      <c r="B1692" s="19" t="s">
        <v>4674</v>
      </c>
    </row>
    <row r="1693" spans="1:2" ht="18.75" customHeight="1" x14ac:dyDescent="0.25">
      <c r="A1693" s="2">
        <v>1690</v>
      </c>
      <c r="B1693" s="19" t="s">
        <v>4676</v>
      </c>
    </row>
    <row r="1694" spans="1:2" ht="18.75" customHeight="1" x14ac:dyDescent="0.25">
      <c r="A1694" s="2">
        <v>1691</v>
      </c>
      <c r="B1694" s="19" t="s">
        <v>4680</v>
      </c>
    </row>
    <row r="1695" spans="1:2" ht="18.75" customHeight="1" x14ac:dyDescent="0.25">
      <c r="A1695" s="2">
        <v>1692</v>
      </c>
      <c r="B1695" s="19" t="s">
        <v>4681</v>
      </c>
    </row>
    <row r="1696" spans="1:2" ht="18.75" customHeight="1" x14ac:dyDescent="0.25">
      <c r="A1696" s="2">
        <v>1693</v>
      </c>
      <c r="B1696" s="19" t="s">
        <v>4683</v>
      </c>
    </row>
    <row r="1697" spans="1:2" ht="18.75" customHeight="1" x14ac:dyDescent="0.25">
      <c r="A1697" s="2">
        <v>1694</v>
      </c>
      <c r="B1697" s="19" t="s">
        <v>4685</v>
      </c>
    </row>
    <row r="1698" spans="1:2" ht="18.75" customHeight="1" x14ac:dyDescent="0.25">
      <c r="A1698" s="2">
        <v>1695</v>
      </c>
      <c r="B1698" s="19" t="s">
        <v>4686</v>
      </c>
    </row>
    <row r="1699" spans="1:2" ht="18.75" customHeight="1" x14ac:dyDescent="0.25">
      <c r="A1699" s="2">
        <v>1696</v>
      </c>
      <c r="B1699" s="19" t="s">
        <v>4687</v>
      </c>
    </row>
    <row r="1700" spans="1:2" ht="18.75" customHeight="1" x14ac:dyDescent="0.25">
      <c r="A1700" s="2">
        <v>1697</v>
      </c>
      <c r="B1700" s="19" t="s">
        <v>4692</v>
      </c>
    </row>
    <row r="1701" spans="1:2" ht="18.75" customHeight="1" x14ac:dyDescent="0.25">
      <c r="A1701" s="2">
        <v>1698</v>
      </c>
      <c r="B1701" s="19" t="s">
        <v>4700</v>
      </c>
    </row>
    <row r="1702" spans="1:2" ht="18.75" customHeight="1" x14ac:dyDescent="0.25">
      <c r="A1702" s="2">
        <v>1699</v>
      </c>
      <c r="B1702" s="19" t="s">
        <v>4714</v>
      </c>
    </row>
    <row r="1703" spans="1:2" ht="18.75" customHeight="1" x14ac:dyDescent="0.25">
      <c r="A1703" s="2">
        <v>1700</v>
      </c>
      <c r="B1703" s="19" t="s">
        <v>4718</v>
      </c>
    </row>
    <row r="1704" spans="1:2" ht="18.75" customHeight="1" x14ac:dyDescent="0.25">
      <c r="A1704" s="2">
        <v>1701</v>
      </c>
      <c r="B1704" s="19" t="s">
        <v>4720</v>
      </c>
    </row>
    <row r="1705" spans="1:2" ht="18.75" customHeight="1" x14ac:dyDescent="0.25">
      <c r="A1705" s="2">
        <v>1702</v>
      </c>
      <c r="B1705" s="109" t="s">
        <v>4725</v>
      </c>
    </row>
    <row r="1706" spans="1:2" ht="18.75" customHeight="1" x14ac:dyDescent="0.25">
      <c r="A1706" s="2">
        <v>1703</v>
      </c>
      <c r="B1706" s="19" t="s">
        <v>4732</v>
      </c>
    </row>
    <row r="1707" spans="1:2" ht="18.75" customHeight="1" x14ac:dyDescent="0.25">
      <c r="A1707" s="2">
        <v>1704</v>
      </c>
      <c r="B1707" s="19" t="s">
        <v>4734</v>
      </c>
    </row>
    <row r="1708" spans="1:2" ht="18.75" customHeight="1" x14ac:dyDescent="0.25">
      <c r="A1708" s="2">
        <v>1705</v>
      </c>
      <c r="B1708" s="19" t="s">
        <v>4736</v>
      </c>
    </row>
    <row r="1709" spans="1:2" ht="18.75" customHeight="1" x14ac:dyDescent="0.25">
      <c r="A1709" s="2">
        <v>1706</v>
      </c>
      <c r="B1709" s="19" t="s">
        <v>4580</v>
      </c>
    </row>
    <row r="1710" spans="1:2" ht="18.75" customHeight="1" x14ac:dyDescent="0.25">
      <c r="A1710" s="2">
        <v>1707</v>
      </c>
      <c r="B1710" s="2" t="s">
        <v>4742</v>
      </c>
    </row>
    <row r="1711" spans="1:2" ht="18.75" customHeight="1" x14ac:dyDescent="0.25">
      <c r="A1711" s="2">
        <v>1708</v>
      </c>
      <c r="B1711" s="2" t="s">
        <v>4743</v>
      </c>
    </row>
    <row r="1712" spans="1:2" ht="18.75" customHeight="1" x14ac:dyDescent="0.25">
      <c r="A1712" s="2">
        <v>1709</v>
      </c>
      <c r="B1712" s="19" t="s">
        <v>4745</v>
      </c>
    </row>
    <row r="1713" spans="1:2" ht="18.75" customHeight="1" x14ac:dyDescent="0.25">
      <c r="A1713" s="2">
        <v>1710</v>
      </c>
      <c r="B1713" s="19" t="s">
        <v>4749</v>
      </c>
    </row>
    <row r="1714" spans="1:2" ht="18.75" customHeight="1" x14ac:dyDescent="0.25">
      <c r="A1714" s="2">
        <v>1711</v>
      </c>
      <c r="B1714" s="19" t="s">
        <v>4750</v>
      </c>
    </row>
    <row r="1715" spans="1:2" ht="18.75" customHeight="1" x14ac:dyDescent="0.25">
      <c r="A1715" s="2">
        <v>1712</v>
      </c>
      <c r="B1715" s="19" t="s">
        <v>4754</v>
      </c>
    </row>
    <row r="1716" spans="1:2" ht="18.75" customHeight="1" x14ac:dyDescent="0.25">
      <c r="A1716" s="2">
        <v>1713</v>
      </c>
      <c r="B1716" s="19" t="s">
        <v>6175</v>
      </c>
    </row>
    <row r="1717" spans="1:2" ht="18.75" customHeight="1" x14ac:dyDescent="0.25">
      <c r="A1717" s="2">
        <v>1714</v>
      </c>
      <c r="B1717" s="19" t="s">
        <v>4760</v>
      </c>
    </row>
    <row r="1718" spans="1:2" ht="18.75" customHeight="1" x14ac:dyDescent="0.25">
      <c r="A1718" s="2">
        <v>1715</v>
      </c>
      <c r="B1718" s="19" t="s">
        <v>4761</v>
      </c>
    </row>
    <row r="1719" spans="1:2" ht="18.75" customHeight="1" x14ac:dyDescent="0.25">
      <c r="A1719" s="2">
        <v>1716</v>
      </c>
      <c r="B1719" s="19" t="s">
        <v>4765</v>
      </c>
    </row>
    <row r="1720" spans="1:2" ht="18.75" customHeight="1" x14ac:dyDescent="0.25">
      <c r="A1720" s="2">
        <v>1717</v>
      </c>
      <c r="B1720" s="19" t="s">
        <v>4767</v>
      </c>
    </row>
    <row r="1721" spans="1:2" ht="18.75" customHeight="1" x14ac:dyDescent="0.25">
      <c r="A1721" s="2">
        <v>1718</v>
      </c>
      <c r="B1721" s="19" t="s">
        <v>4768</v>
      </c>
    </row>
    <row r="1722" spans="1:2" ht="18.75" customHeight="1" x14ac:dyDescent="0.25">
      <c r="A1722" s="2">
        <v>1719</v>
      </c>
      <c r="B1722" s="19" t="s">
        <v>4771</v>
      </c>
    </row>
    <row r="1723" spans="1:2" ht="18.75" customHeight="1" x14ac:dyDescent="0.25">
      <c r="A1723" s="2">
        <v>1720</v>
      </c>
      <c r="B1723" s="109" t="s">
        <v>4774</v>
      </c>
    </row>
    <row r="1724" spans="1:2" ht="18.75" customHeight="1" x14ac:dyDescent="0.25">
      <c r="A1724" s="2">
        <v>1721</v>
      </c>
      <c r="B1724" s="109" t="s">
        <v>4777</v>
      </c>
    </row>
    <row r="1725" spans="1:2" ht="18.75" customHeight="1" x14ac:dyDescent="0.25">
      <c r="A1725" s="2">
        <v>1722</v>
      </c>
      <c r="B1725" s="109" t="s">
        <v>4779</v>
      </c>
    </row>
    <row r="1726" spans="1:2" ht="18.75" customHeight="1" x14ac:dyDescent="0.25">
      <c r="A1726" s="2">
        <v>1723</v>
      </c>
      <c r="B1726" s="109" t="s">
        <v>4783</v>
      </c>
    </row>
    <row r="1727" spans="1:2" ht="18.75" customHeight="1" x14ac:dyDescent="0.25">
      <c r="A1727" s="2">
        <v>1724</v>
      </c>
      <c r="B1727" s="2" t="s">
        <v>4785</v>
      </c>
    </row>
    <row r="1728" spans="1:2" ht="18.75" customHeight="1" x14ac:dyDescent="0.25">
      <c r="A1728" s="2">
        <v>1725</v>
      </c>
      <c r="B1728" s="109" t="s">
        <v>4788</v>
      </c>
    </row>
    <row r="1729" spans="1:2" ht="18.75" customHeight="1" x14ac:dyDescent="0.25">
      <c r="A1729" s="2">
        <v>1726</v>
      </c>
      <c r="B1729" s="2" t="s">
        <v>4789</v>
      </c>
    </row>
    <row r="1730" spans="1:2" ht="18.75" customHeight="1" x14ac:dyDescent="0.25">
      <c r="A1730" s="2">
        <v>1727</v>
      </c>
      <c r="B1730" s="2" t="s">
        <v>4790</v>
      </c>
    </row>
    <row r="1731" spans="1:2" ht="18.75" customHeight="1" x14ac:dyDescent="0.25">
      <c r="A1731" s="2">
        <v>1728</v>
      </c>
      <c r="B1731" s="109" t="s">
        <v>4793</v>
      </c>
    </row>
    <row r="1732" spans="1:2" ht="18.75" customHeight="1" x14ac:dyDescent="0.25">
      <c r="A1732" s="2">
        <v>1729</v>
      </c>
      <c r="B1732" s="109" t="s">
        <v>4802</v>
      </c>
    </row>
    <row r="1733" spans="1:2" ht="18.75" customHeight="1" x14ac:dyDescent="0.25">
      <c r="A1733" s="2">
        <v>1730</v>
      </c>
      <c r="B1733" s="2" t="s">
        <v>4811</v>
      </c>
    </row>
    <row r="1734" spans="1:2" ht="18.75" customHeight="1" x14ac:dyDescent="0.25">
      <c r="A1734" s="2">
        <v>1731</v>
      </c>
      <c r="B1734" s="2" t="s">
        <v>4815</v>
      </c>
    </row>
    <row r="1735" spans="1:2" ht="18.75" customHeight="1" x14ac:dyDescent="0.25">
      <c r="A1735" s="2">
        <v>1732</v>
      </c>
      <c r="B1735" s="2" t="s">
        <v>4819</v>
      </c>
    </row>
    <row r="1736" spans="1:2" ht="18.75" customHeight="1" x14ac:dyDescent="0.25">
      <c r="A1736" s="2">
        <v>1733</v>
      </c>
      <c r="B1736" s="2" t="s">
        <v>4827</v>
      </c>
    </row>
    <row r="1737" spans="1:2" ht="18.75" customHeight="1" x14ac:dyDescent="0.25">
      <c r="A1737" s="2">
        <v>1734</v>
      </c>
      <c r="B1737" s="2" t="s">
        <v>4830</v>
      </c>
    </row>
    <row r="1738" spans="1:2" ht="18.75" customHeight="1" x14ac:dyDescent="0.25">
      <c r="A1738" s="2">
        <v>1735</v>
      </c>
      <c r="B1738" s="2" t="s">
        <v>4833</v>
      </c>
    </row>
    <row r="1739" spans="1:2" ht="18.75" customHeight="1" x14ac:dyDescent="0.25">
      <c r="A1739" s="2">
        <v>1736</v>
      </c>
      <c r="B1739" s="2" t="s">
        <v>4835</v>
      </c>
    </row>
    <row r="1740" spans="1:2" ht="18.75" customHeight="1" x14ac:dyDescent="0.25">
      <c r="A1740" s="2">
        <v>1737</v>
      </c>
      <c r="B1740" s="2" t="s">
        <v>4838</v>
      </c>
    </row>
    <row r="1741" spans="1:2" ht="18.75" customHeight="1" x14ac:dyDescent="0.25">
      <c r="A1741" s="2">
        <v>1738</v>
      </c>
      <c r="B1741" s="2" t="s">
        <v>4841</v>
      </c>
    </row>
    <row r="1742" spans="1:2" ht="18.75" customHeight="1" x14ac:dyDescent="0.25">
      <c r="A1742" s="2">
        <v>1739</v>
      </c>
      <c r="B1742" s="109" t="s">
        <v>4843</v>
      </c>
    </row>
    <row r="1743" spans="1:2" ht="18.75" customHeight="1" x14ac:dyDescent="0.25">
      <c r="A1743" s="2">
        <v>1740</v>
      </c>
      <c r="B1743" s="109" t="s">
        <v>4847</v>
      </c>
    </row>
    <row r="1744" spans="1:2" ht="18.75" customHeight="1" x14ac:dyDescent="0.25">
      <c r="A1744" s="2">
        <v>1741</v>
      </c>
      <c r="B1744" s="109" t="s">
        <v>4849</v>
      </c>
    </row>
    <row r="1745" spans="1:2" ht="18.75" customHeight="1" x14ac:dyDescent="0.25">
      <c r="A1745" s="2">
        <v>1742</v>
      </c>
      <c r="B1745" s="2" t="s">
        <v>4851</v>
      </c>
    </row>
    <row r="1746" spans="1:2" ht="18.75" customHeight="1" x14ac:dyDescent="0.25">
      <c r="A1746" s="2">
        <v>1743</v>
      </c>
      <c r="B1746" s="2" t="s">
        <v>4855</v>
      </c>
    </row>
    <row r="1747" spans="1:2" ht="18.75" customHeight="1" x14ac:dyDescent="0.25">
      <c r="A1747" s="2">
        <v>1744</v>
      </c>
      <c r="B1747" s="2" t="s">
        <v>4859</v>
      </c>
    </row>
    <row r="1748" spans="1:2" ht="18.75" customHeight="1" x14ac:dyDescent="0.25">
      <c r="A1748" s="2">
        <v>1745</v>
      </c>
      <c r="B1748" s="109" t="s">
        <v>6907</v>
      </c>
    </row>
    <row r="1749" spans="1:2" ht="18.75" customHeight="1" x14ac:dyDescent="0.25">
      <c r="A1749" s="2">
        <v>1746</v>
      </c>
      <c r="B1749" s="2" t="s">
        <v>4863</v>
      </c>
    </row>
    <row r="1750" spans="1:2" ht="18.75" customHeight="1" x14ac:dyDescent="0.25">
      <c r="A1750" s="2">
        <v>1747</v>
      </c>
      <c r="B1750" s="2" t="s">
        <v>4866</v>
      </c>
    </row>
    <row r="1751" spans="1:2" ht="18.75" customHeight="1" x14ac:dyDescent="0.25">
      <c r="A1751" s="2">
        <v>1748</v>
      </c>
      <c r="B1751" s="109" t="s">
        <v>4870</v>
      </c>
    </row>
    <row r="1752" spans="1:2" ht="18.75" customHeight="1" x14ac:dyDescent="0.25">
      <c r="A1752" s="2">
        <v>1749</v>
      </c>
      <c r="B1752" s="109" t="s">
        <v>4873</v>
      </c>
    </row>
    <row r="1753" spans="1:2" ht="18.75" customHeight="1" x14ac:dyDescent="0.25">
      <c r="A1753" s="2">
        <v>1750</v>
      </c>
      <c r="B1753" s="2" t="s">
        <v>4879</v>
      </c>
    </row>
    <row r="1754" spans="1:2" ht="18.75" customHeight="1" x14ac:dyDescent="0.25">
      <c r="A1754" s="2">
        <v>1751</v>
      </c>
      <c r="B1754" s="2" t="s">
        <v>4883</v>
      </c>
    </row>
    <row r="1755" spans="1:2" ht="18.75" customHeight="1" x14ac:dyDescent="0.25">
      <c r="A1755" s="2">
        <v>1752</v>
      </c>
      <c r="B1755" s="109" t="s">
        <v>4886</v>
      </c>
    </row>
    <row r="1756" spans="1:2" ht="18.75" customHeight="1" x14ac:dyDescent="0.25">
      <c r="A1756" s="2">
        <v>1753</v>
      </c>
      <c r="B1756" s="109" t="s">
        <v>4891</v>
      </c>
    </row>
    <row r="1757" spans="1:2" ht="18.75" customHeight="1" x14ac:dyDescent="0.25">
      <c r="A1757" s="2">
        <v>1754</v>
      </c>
      <c r="B1757" s="109" t="s">
        <v>4892</v>
      </c>
    </row>
    <row r="1758" spans="1:2" ht="18.75" customHeight="1" x14ac:dyDescent="0.25">
      <c r="A1758" s="2">
        <v>1755</v>
      </c>
      <c r="B1758" s="109" t="s">
        <v>4895</v>
      </c>
    </row>
    <row r="1759" spans="1:2" ht="18.75" customHeight="1" x14ac:dyDescent="0.25">
      <c r="A1759" s="2">
        <v>1756</v>
      </c>
      <c r="B1759" s="109" t="s">
        <v>4898</v>
      </c>
    </row>
    <row r="1760" spans="1:2" ht="18.75" customHeight="1" x14ac:dyDescent="0.25">
      <c r="A1760" s="2">
        <v>1757</v>
      </c>
      <c r="B1760" s="109" t="s">
        <v>4901</v>
      </c>
    </row>
    <row r="1761" spans="1:2" ht="18.75" customHeight="1" x14ac:dyDescent="0.25">
      <c r="A1761" s="2">
        <v>1758</v>
      </c>
      <c r="B1761" s="109" t="s">
        <v>4903</v>
      </c>
    </row>
    <row r="1762" spans="1:2" ht="18.75" customHeight="1" x14ac:dyDescent="0.25">
      <c r="A1762" s="2">
        <v>1759</v>
      </c>
      <c r="B1762" s="109" t="s">
        <v>4905</v>
      </c>
    </row>
    <row r="1763" spans="1:2" ht="18.75" customHeight="1" x14ac:dyDescent="0.25">
      <c r="A1763" s="2">
        <v>1760</v>
      </c>
      <c r="B1763" s="109" t="s">
        <v>4910</v>
      </c>
    </row>
    <row r="1764" spans="1:2" ht="18.75" customHeight="1" x14ac:dyDescent="0.25">
      <c r="A1764" s="2">
        <v>1761</v>
      </c>
      <c r="B1764" s="109" t="s">
        <v>4912</v>
      </c>
    </row>
    <row r="1765" spans="1:2" ht="18.75" customHeight="1" x14ac:dyDescent="0.25">
      <c r="A1765" s="2">
        <v>1762</v>
      </c>
      <c r="B1765" s="109" t="s">
        <v>4918</v>
      </c>
    </row>
    <row r="1766" spans="1:2" ht="18.75" customHeight="1" x14ac:dyDescent="0.25">
      <c r="A1766" s="2">
        <v>1763</v>
      </c>
      <c r="B1766" s="109" t="s">
        <v>4921</v>
      </c>
    </row>
    <row r="1767" spans="1:2" ht="18.75" customHeight="1" x14ac:dyDescent="0.25">
      <c r="A1767" s="2">
        <v>1764</v>
      </c>
      <c r="B1767" s="109" t="s">
        <v>4923</v>
      </c>
    </row>
    <row r="1768" spans="1:2" ht="18.75" customHeight="1" x14ac:dyDescent="0.25">
      <c r="A1768" s="2">
        <v>1765</v>
      </c>
      <c r="B1768" s="2" t="s">
        <v>4924</v>
      </c>
    </row>
    <row r="1769" spans="1:2" ht="18.75" customHeight="1" x14ac:dyDescent="0.25">
      <c r="A1769" s="2">
        <v>1766</v>
      </c>
      <c r="B1769" s="109" t="s">
        <v>4926</v>
      </c>
    </row>
    <row r="1770" spans="1:2" ht="18.75" customHeight="1" x14ac:dyDescent="0.25">
      <c r="A1770" s="2">
        <v>1767</v>
      </c>
      <c r="B1770" s="109" t="s">
        <v>4931</v>
      </c>
    </row>
    <row r="1771" spans="1:2" ht="18.75" customHeight="1" x14ac:dyDescent="0.25">
      <c r="A1771" s="2">
        <v>1768</v>
      </c>
      <c r="B1771" s="109" t="s">
        <v>4933</v>
      </c>
    </row>
    <row r="1772" spans="1:2" ht="18.75" customHeight="1" x14ac:dyDescent="0.25">
      <c r="A1772" s="2">
        <v>1769</v>
      </c>
      <c r="B1772" s="109" t="s">
        <v>4935</v>
      </c>
    </row>
    <row r="1773" spans="1:2" ht="18.75" customHeight="1" x14ac:dyDescent="0.25">
      <c r="A1773" s="2">
        <v>1770</v>
      </c>
      <c r="B1773" s="109" t="s">
        <v>4937</v>
      </c>
    </row>
    <row r="1774" spans="1:2" ht="18.75" customHeight="1" x14ac:dyDescent="0.25">
      <c r="A1774" s="2">
        <v>1771</v>
      </c>
      <c r="B1774" s="109" t="s">
        <v>4939</v>
      </c>
    </row>
    <row r="1775" spans="1:2" ht="18.75" customHeight="1" x14ac:dyDescent="0.25">
      <c r="A1775" s="2">
        <v>1772</v>
      </c>
      <c r="B1775" s="109" t="s">
        <v>4941</v>
      </c>
    </row>
    <row r="1776" spans="1:2" ht="18.75" customHeight="1" x14ac:dyDescent="0.25">
      <c r="A1776" s="2">
        <v>1773</v>
      </c>
      <c r="B1776" s="109" t="s">
        <v>4942</v>
      </c>
    </row>
    <row r="1777" spans="1:2" ht="18.75" customHeight="1" x14ac:dyDescent="0.25">
      <c r="A1777" s="2">
        <v>1774</v>
      </c>
      <c r="B1777" s="109" t="s">
        <v>4944</v>
      </c>
    </row>
    <row r="1778" spans="1:2" ht="18.75" customHeight="1" x14ac:dyDescent="0.25">
      <c r="A1778" s="2">
        <v>1775</v>
      </c>
      <c r="B1778" s="109" t="s">
        <v>4945</v>
      </c>
    </row>
    <row r="1779" spans="1:2" ht="18.75" customHeight="1" x14ac:dyDescent="0.25">
      <c r="A1779" s="2">
        <v>1776</v>
      </c>
      <c r="B1779" s="2" t="s">
        <v>4948</v>
      </c>
    </row>
    <row r="1780" spans="1:2" ht="18.75" customHeight="1" x14ac:dyDescent="0.25">
      <c r="A1780" s="2">
        <v>1777</v>
      </c>
      <c r="B1780" s="109" t="s">
        <v>4951</v>
      </c>
    </row>
    <row r="1781" spans="1:2" ht="18.75" customHeight="1" x14ac:dyDescent="0.25">
      <c r="A1781" s="2">
        <v>1778</v>
      </c>
      <c r="B1781" s="109" t="s">
        <v>4955</v>
      </c>
    </row>
    <row r="1782" spans="1:2" ht="18.75" customHeight="1" x14ac:dyDescent="0.25">
      <c r="A1782" s="2">
        <v>1779</v>
      </c>
      <c r="B1782" s="109" t="s">
        <v>4958</v>
      </c>
    </row>
    <row r="1783" spans="1:2" ht="18.75" customHeight="1" x14ac:dyDescent="0.25">
      <c r="A1783" s="2">
        <v>1780</v>
      </c>
      <c r="B1783" s="109" t="s">
        <v>4993</v>
      </c>
    </row>
    <row r="1784" spans="1:2" ht="18.75" customHeight="1" x14ac:dyDescent="0.25">
      <c r="A1784" s="2">
        <v>1781</v>
      </c>
      <c r="B1784" s="2" t="s">
        <v>5040</v>
      </c>
    </row>
    <row r="1785" spans="1:2" ht="18.75" customHeight="1" x14ac:dyDescent="0.25">
      <c r="A1785" s="2">
        <v>1782</v>
      </c>
      <c r="B1785" s="2" t="s">
        <v>3493</v>
      </c>
    </row>
    <row r="1786" spans="1:2" ht="18.75" customHeight="1" x14ac:dyDescent="0.25">
      <c r="A1786" s="2">
        <v>1783</v>
      </c>
      <c r="B1786" s="2" t="s">
        <v>3163</v>
      </c>
    </row>
    <row r="1787" spans="1:2" ht="18.75" customHeight="1" x14ac:dyDescent="0.25">
      <c r="A1787" s="2">
        <v>1784</v>
      </c>
      <c r="B1787" s="2" t="s">
        <v>5041</v>
      </c>
    </row>
    <row r="1788" spans="1:2" ht="18.75" customHeight="1" x14ac:dyDescent="0.25">
      <c r="A1788" s="2">
        <v>1785</v>
      </c>
      <c r="B1788" s="2" t="s">
        <v>5042</v>
      </c>
    </row>
    <row r="1789" spans="1:2" ht="18.75" customHeight="1" x14ac:dyDescent="0.25">
      <c r="A1789" s="2">
        <v>1786</v>
      </c>
      <c r="B1789" s="2" t="s">
        <v>5043</v>
      </c>
    </row>
    <row r="1790" spans="1:2" ht="18.75" customHeight="1" x14ac:dyDescent="0.25">
      <c r="A1790" s="2">
        <v>1787</v>
      </c>
      <c r="B1790" s="2" t="s">
        <v>5044</v>
      </c>
    </row>
    <row r="1791" spans="1:2" ht="18.75" customHeight="1" x14ac:dyDescent="0.25">
      <c r="A1791" s="2">
        <v>1788</v>
      </c>
      <c r="B1791" s="2" t="s">
        <v>5045</v>
      </c>
    </row>
    <row r="1792" spans="1:2" ht="18.75" customHeight="1" x14ac:dyDescent="0.25">
      <c r="A1792" s="2">
        <v>1789</v>
      </c>
      <c r="B1792" s="2" t="s">
        <v>5046</v>
      </c>
    </row>
    <row r="1793" spans="1:2" ht="18.75" customHeight="1" x14ac:dyDescent="0.25">
      <c r="A1793" s="2">
        <v>1790</v>
      </c>
      <c r="B1793" s="2" t="s">
        <v>5047</v>
      </c>
    </row>
    <row r="1794" spans="1:2" ht="18.75" customHeight="1" x14ac:dyDescent="0.25">
      <c r="A1794" s="2">
        <v>1791</v>
      </c>
      <c r="B1794" s="2" t="s">
        <v>5048</v>
      </c>
    </row>
    <row r="1795" spans="1:2" ht="18.75" customHeight="1" x14ac:dyDescent="0.25">
      <c r="A1795" s="2">
        <v>1792</v>
      </c>
      <c r="B1795" s="2" t="s">
        <v>5049</v>
      </c>
    </row>
    <row r="1796" spans="1:2" ht="18.75" customHeight="1" x14ac:dyDescent="0.25">
      <c r="A1796" s="2">
        <v>1793</v>
      </c>
      <c r="B1796" s="2" t="s">
        <v>5050</v>
      </c>
    </row>
    <row r="1797" spans="1:2" ht="18.75" customHeight="1" x14ac:dyDescent="0.25">
      <c r="A1797" s="2">
        <v>1794</v>
      </c>
      <c r="B1797" s="2" t="s">
        <v>5051</v>
      </c>
    </row>
    <row r="1798" spans="1:2" ht="18.75" customHeight="1" x14ac:dyDescent="0.25">
      <c r="A1798" s="2">
        <v>1795</v>
      </c>
      <c r="B1798" s="2" t="s">
        <v>5052</v>
      </c>
    </row>
    <row r="1799" spans="1:2" ht="18.75" customHeight="1" x14ac:dyDescent="0.25">
      <c r="A1799" s="2">
        <v>1796</v>
      </c>
      <c r="B1799" s="2" t="s">
        <v>5053</v>
      </c>
    </row>
    <row r="1800" spans="1:2" ht="18.75" customHeight="1" x14ac:dyDescent="0.25">
      <c r="A1800" s="2">
        <v>1797</v>
      </c>
      <c r="B1800" s="109" t="s">
        <v>5054</v>
      </c>
    </row>
    <row r="1801" spans="1:2" ht="18.75" customHeight="1" x14ac:dyDescent="0.25">
      <c r="A1801" s="2">
        <v>1798</v>
      </c>
      <c r="B1801" s="2" t="s">
        <v>5055</v>
      </c>
    </row>
    <row r="1802" spans="1:2" ht="18.75" customHeight="1" x14ac:dyDescent="0.25">
      <c r="A1802" s="2">
        <v>1799</v>
      </c>
      <c r="B1802" s="2" t="s">
        <v>5056</v>
      </c>
    </row>
    <row r="1803" spans="1:2" ht="18.75" customHeight="1" x14ac:dyDescent="0.25">
      <c r="A1803" s="2">
        <v>1800</v>
      </c>
      <c r="B1803" s="2" t="s">
        <v>5057</v>
      </c>
    </row>
    <row r="1804" spans="1:2" ht="18.75" customHeight="1" x14ac:dyDescent="0.25">
      <c r="A1804" s="2">
        <v>1801</v>
      </c>
      <c r="B1804" s="2" t="s">
        <v>5058</v>
      </c>
    </row>
    <row r="1805" spans="1:2" ht="18.75" customHeight="1" x14ac:dyDescent="0.25">
      <c r="A1805" s="2">
        <v>1802</v>
      </c>
      <c r="B1805" s="2" t="s">
        <v>5059</v>
      </c>
    </row>
    <row r="1806" spans="1:2" ht="18.75" customHeight="1" x14ac:dyDescent="0.25">
      <c r="A1806" s="2">
        <v>1803</v>
      </c>
      <c r="B1806" s="2" t="s">
        <v>5060</v>
      </c>
    </row>
    <row r="1807" spans="1:2" ht="18.75" customHeight="1" x14ac:dyDescent="0.25">
      <c r="A1807" s="2">
        <v>1804</v>
      </c>
      <c r="B1807" s="2" t="s">
        <v>5141</v>
      </c>
    </row>
    <row r="1808" spans="1:2" ht="18.75" customHeight="1" x14ac:dyDescent="0.25">
      <c r="A1808" s="2">
        <v>1805</v>
      </c>
      <c r="B1808" s="2" t="s">
        <v>5144</v>
      </c>
    </row>
    <row r="1809" spans="1:2" ht="18.75" customHeight="1" x14ac:dyDescent="0.25">
      <c r="A1809" s="2">
        <v>1806</v>
      </c>
      <c r="B1809" s="2" t="s">
        <v>5147</v>
      </c>
    </row>
    <row r="1810" spans="1:2" ht="18.75" customHeight="1" x14ac:dyDescent="0.25">
      <c r="A1810" s="2">
        <v>1807</v>
      </c>
      <c r="B1810" s="2" t="s">
        <v>5149</v>
      </c>
    </row>
    <row r="1811" spans="1:2" ht="18.75" customHeight="1" x14ac:dyDescent="0.25">
      <c r="A1811" s="2">
        <v>1808</v>
      </c>
      <c r="B1811" s="2" t="s">
        <v>5150</v>
      </c>
    </row>
    <row r="1812" spans="1:2" ht="18.75" customHeight="1" x14ac:dyDescent="0.25">
      <c r="A1812" s="2">
        <v>1809</v>
      </c>
      <c r="B1812" s="2" t="s">
        <v>5154</v>
      </c>
    </row>
    <row r="1813" spans="1:2" ht="18.75" customHeight="1" x14ac:dyDescent="0.25">
      <c r="A1813" s="2">
        <v>1810</v>
      </c>
      <c r="B1813" s="109" t="s">
        <v>5155</v>
      </c>
    </row>
    <row r="1814" spans="1:2" ht="18.75" customHeight="1" x14ac:dyDescent="0.25">
      <c r="A1814" s="2">
        <v>1811</v>
      </c>
      <c r="B1814" s="2" t="s">
        <v>5159</v>
      </c>
    </row>
    <row r="1815" spans="1:2" ht="18.75" customHeight="1" x14ac:dyDescent="0.25">
      <c r="A1815" s="2">
        <v>1812</v>
      </c>
      <c r="B1815" s="2" t="s">
        <v>5163</v>
      </c>
    </row>
    <row r="1816" spans="1:2" ht="18.75" customHeight="1" x14ac:dyDescent="0.25">
      <c r="A1816" s="2">
        <v>1813</v>
      </c>
      <c r="B1816" s="2" t="s">
        <v>5165</v>
      </c>
    </row>
    <row r="1817" spans="1:2" ht="18.75" customHeight="1" x14ac:dyDescent="0.25">
      <c r="A1817" s="2">
        <v>1814</v>
      </c>
      <c r="B1817" s="2" t="s">
        <v>5169</v>
      </c>
    </row>
    <row r="1818" spans="1:2" ht="18.75" customHeight="1" x14ac:dyDescent="0.25">
      <c r="A1818" s="2">
        <v>1815</v>
      </c>
      <c r="B1818" s="2" t="s">
        <v>5172</v>
      </c>
    </row>
    <row r="1819" spans="1:2" ht="18.75" customHeight="1" x14ac:dyDescent="0.25">
      <c r="A1819" s="2">
        <v>1816</v>
      </c>
      <c r="B1819" s="2" t="s">
        <v>5176</v>
      </c>
    </row>
    <row r="1820" spans="1:2" ht="18.75" customHeight="1" x14ac:dyDescent="0.25">
      <c r="A1820" s="2">
        <v>1817</v>
      </c>
      <c r="B1820" s="2" t="s">
        <v>5182</v>
      </c>
    </row>
    <row r="1821" spans="1:2" ht="18.75" customHeight="1" x14ac:dyDescent="0.25">
      <c r="A1821" s="2">
        <v>1818</v>
      </c>
      <c r="B1821" s="2" t="s">
        <v>5186</v>
      </c>
    </row>
    <row r="1822" spans="1:2" ht="18.75" customHeight="1" x14ac:dyDescent="0.25">
      <c r="A1822" s="2">
        <v>1819</v>
      </c>
      <c r="B1822" s="2" t="s">
        <v>5189</v>
      </c>
    </row>
    <row r="1823" spans="1:2" ht="18.75" customHeight="1" x14ac:dyDescent="0.25">
      <c r="A1823" s="2">
        <v>1820</v>
      </c>
      <c r="B1823" s="2" t="s">
        <v>5192</v>
      </c>
    </row>
    <row r="1824" spans="1:2" ht="18.75" customHeight="1" x14ac:dyDescent="0.25">
      <c r="A1824" s="2">
        <v>1821</v>
      </c>
      <c r="B1824" s="2" t="s">
        <v>5193</v>
      </c>
    </row>
    <row r="1825" spans="1:2" ht="18.75" customHeight="1" x14ac:dyDescent="0.25">
      <c r="A1825" s="2">
        <v>1822</v>
      </c>
      <c r="B1825" s="2" t="s">
        <v>5196</v>
      </c>
    </row>
    <row r="1826" spans="1:2" ht="18.75" customHeight="1" x14ac:dyDescent="0.25">
      <c r="A1826" s="2">
        <v>1823</v>
      </c>
      <c r="B1826" s="2" t="s">
        <v>5201</v>
      </c>
    </row>
    <row r="1827" spans="1:2" ht="18.75" customHeight="1" x14ac:dyDescent="0.25">
      <c r="A1827" s="2">
        <v>1824</v>
      </c>
      <c r="B1827" s="109" t="s">
        <v>5204</v>
      </c>
    </row>
    <row r="1828" spans="1:2" ht="18.75" customHeight="1" x14ac:dyDescent="0.25">
      <c r="A1828" s="2">
        <v>1825</v>
      </c>
      <c r="B1828" s="2" t="s">
        <v>5208</v>
      </c>
    </row>
    <row r="1829" spans="1:2" ht="18.75" customHeight="1" x14ac:dyDescent="0.25">
      <c r="A1829" s="2">
        <v>1826</v>
      </c>
      <c r="B1829" s="2" t="s">
        <v>5210</v>
      </c>
    </row>
    <row r="1830" spans="1:2" ht="18.75" customHeight="1" x14ac:dyDescent="0.25">
      <c r="A1830" s="2">
        <v>1827</v>
      </c>
      <c r="B1830" s="2" t="s">
        <v>5213</v>
      </c>
    </row>
    <row r="1831" spans="1:2" ht="18.75" customHeight="1" x14ac:dyDescent="0.25">
      <c r="A1831" s="2">
        <v>1828</v>
      </c>
      <c r="B1831" s="2" t="s">
        <v>5221</v>
      </c>
    </row>
    <row r="1832" spans="1:2" ht="18.75" customHeight="1" x14ac:dyDescent="0.25">
      <c r="A1832" s="2">
        <v>1829</v>
      </c>
      <c r="B1832" s="2" t="s">
        <v>5223</v>
      </c>
    </row>
    <row r="1833" spans="1:2" ht="18.75" customHeight="1" x14ac:dyDescent="0.25">
      <c r="A1833" s="2">
        <v>1830</v>
      </c>
      <c r="B1833" s="109" t="s">
        <v>5226</v>
      </c>
    </row>
    <row r="1834" spans="1:2" ht="18.75" customHeight="1" x14ac:dyDescent="0.25">
      <c r="A1834" s="2">
        <v>1831</v>
      </c>
      <c r="B1834" s="2" t="s">
        <v>5230</v>
      </c>
    </row>
    <row r="1835" spans="1:2" ht="18.75" customHeight="1" x14ac:dyDescent="0.25">
      <c r="A1835" s="2">
        <v>1832</v>
      </c>
      <c r="B1835" s="2" t="s">
        <v>5234</v>
      </c>
    </row>
    <row r="1836" spans="1:2" ht="18.75" customHeight="1" x14ac:dyDescent="0.25">
      <c r="A1836" s="2">
        <v>1833</v>
      </c>
      <c r="B1836" s="109" t="s">
        <v>5253</v>
      </c>
    </row>
    <row r="1837" spans="1:2" ht="18.75" customHeight="1" x14ac:dyDescent="0.25">
      <c r="A1837" s="2">
        <v>1834</v>
      </c>
      <c r="B1837" s="109" t="s">
        <v>5255</v>
      </c>
    </row>
    <row r="1838" spans="1:2" ht="18.75" customHeight="1" x14ac:dyDescent="0.25">
      <c r="A1838" s="2">
        <v>1835</v>
      </c>
      <c r="B1838" s="109" t="s">
        <v>5258</v>
      </c>
    </row>
    <row r="1839" spans="1:2" ht="18.75" customHeight="1" x14ac:dyDescent="0.25">
      <c r="A1839" s="2">
        <v>1836</v>
      </c>
      <c r="B1839" s="109" t="s">
        <v>5260</v>
      </c>
    </row>
    <row r="1840" spans="1:2" ht="18.75" customHeight="1" x14ac:dyDescent="0.25">
      <c r="A1840" s="2">
        <v>1837</v>
      </c>
      <c r="B1840" s="2" t="s">
        <v>5266</v>
      </c>
    </row>
    <row r="1841" spans="1:2" ht="18.75" customHeight="1" x14ac:dyDescent="0.25">
      <c r="A1841" s="2">
        <v>1838</v>
      </c>
      <c r="B1841" s="2" t="s">
        <v>5273</v>
      </c>
    </row>
    <row r="1842" spans="1:2" ht="18.75" customHeight="1" x14ac:dyDescent="0.25">
      <c r="A1842" s="2">
        <v>1839</v>
      </c>
      <c r="B1842" s="2" t="s">
        <v>5275</v>
      </c>
    </row>
    <row r="1843" spans="1:2" ht="18.75" customHeight="1" x14ac:dyDescent="0.25">
      <c r="A1843" s="2">
        <v>1840</v>
      </c>
      <c r="B1843" s="2" t="s">
        <v>5277</v>
      </c>
    </row>
    <row r="1844" spans="1:2" ht="18.75" customHeight="1" x14ac:dyDescent="0.25">
      <c r="A1844" s="2">
        <v>1841</v>
      </c>
      <c r="B1844" s="2" t="s">
        <v>5280</v>
      </c>
    </row>
    <row r="1845" spans="1:2" ht="18.75" customHeight="1" x14ac:dyDescent="0.25">
      <c r="A1845" s="2">
        <v>1842</v>
      </c>
      <c r="B1845" s="2" t="s">
        <v>5283</v>
      </c>
    </row>
    <row r="1846" spans="1:2" ht="18.75" customHeight="1" x14ac:dyDescent="0.25">
      <c r="A1846" s="2">
        <v>1843</v>
      </c>
      <c r="B1846" s="2" t="s">
        <v>5287</v>
      </c>
    </row>
    <row r="1847" spans="1:2" ht="18.75" customHeight="1" x14ac:dyDescent="0.25">
      <c r="A1847" s="2">
        <v>1844</v>
      </c>
      <c r="B1847" s="109" t="s">
        <v>5290</v>
      </c>
    </row>
    <row r="1848" spans="1:2" ht="18.75" customHeight="1" x14ac:dyDescent="0.25">
      <c r="A1848" s="2">
        <v>1845</v>
      </c>
      <c r="B1848" s="109" t="s">
        <v>5294</v>
      </c>
    </row>
    <row r="1849" spans="1:2" ht="18.75" customHeight="1" x14ac:dyDescent="0.25">
      <c r="A1849" s="2">
        <v>1846</v>
      </c>
      <c r="B1849" s="2" t="s">
        <v>5300</v>
      </c>
    </row>
    <row r="1850" spans="1:2" ht="18.75" customHeight="1" x14ac:dyDescent="0.25">
      <c r="A1850" s="2">
        <v>1847</v>
      </c>
      <c r="B1850" s="2" t="s">
        <v>5302</v>
      </c>
    </row>
    <row r="1851" spans="1:2" ht="18.75" customHeight="1" x14ac:dyDescent="0.25">
      <c r="A1851" s="2">
        <v>1848</v>
      </c>
      <c r="B1851" s="2" t="s">
        <v>5304</v>
      </c>
    </row>
    <row r="1852" spans="1:2" ht="18.75" customHeight="1" x14ac:dyDescent="0.25">
      <c r="A1852" s="2">
        <v>1849</v>
      </c>
      <c r="B1852" s="2" t="s">
        <v>5306</v>
      </c>
    </row>
    <row r="1853" spans="1:2" ht="18.75" customHeight="1" x14ac:dyDescent="0.25">
      <c r="A1853" s="2">
        <v>1850</v>
      </c>
      <c r="B1853" s="109" t="s">
        <v>5310</v>
      </c>
    </row>
    <row r="1854" spans="1:2" ht="18.75" customHeight="1" x14ac:dyDescent="0.25">
      <c r="A1854" s="2">
        <v>1851</v>
      </c>
      <c r="B1854" s="2" t="s">
        <v>5312</v>
      </c>
    </row>
    <row r="1855" spans="1:2" ht="18.75" customHeight="1" x14ac:dyDescent="0.25">
      <c r="A1855" s="2">
        <v>1852</v>
      </c>
      <c r="B1855" s="2" t="s">
        <v>5315</v>
      </c>
    </row>
    <row r="1856" spans="1:2" ht="18.75" customHeight="1" x14ac:dyDescent="0.25">
      <c r="A1856" s="2">
        <v>1853</v>
      </c>
      <c r="B1856" s="2" t="s">
        <v>5317</v>
      </c>
    </row>
    <row r="1857" spans="1:2" ht="18.75" customHeight="1" x14ac:dyDescent="0.25">
      <c r="A1857" s="2">
        <v>1854</v>
      </c>
      <c r="B1857" s="2" t="s">
        <v>5319</v>
      </c>
    </row>
    <row r="1858" spans="1:2" ht="18.75" customHeight="1" x14ac:dyDescent="0.25">
      <c r="A1858" s="2">
        <v>1855</v>
      </c>
      <c r="B1858" s="2" t="s">
        <v>5322</v>
      </c>
    </row>
    <row r="1859" spans="1:2" ht="18.75" customHeight="1" x14ac:dyDescent="0.25">
      <c r="A1859" s="2">
        <v>1856</v>
      </c>
      <c r="B1859" s="2" t="s">
        <v>5326</v>
      </c>
    </row>
    <row r="1860" spans="1:2" ht="18.75" customHeight="1" x14ac:dyDescent="0.25">
      <c r="A1860" s="2">
        <v>1857</v>
      </c>
      <c r="B1860" s="109" t="s">
        <v>5328</v>
      </c>
    </row>
    <row r="1861" spans="1:2" ht="18.75" customHeight="1" x14ac:dyDescent="0.25">
      <c r="A1861" s="2">
        <v>1858</v>
      </c>
      <c r="B1861" s="109" t="s">
        <v>5331</v>
      </c>
    </row>
    <row r="1862" spans="1:2" ht="18.75" customHeight="1" x14ac:dyDescent="0.25">
      <c r="A1862" s="2">
        <v>1859</v>
      </c>
      <c r="B1862" s="109" t="s">
        <v>5335</v>
      </c>
    </row>
    <row r="1863" spans="1:2" ht="18.75" customHeight="1" x14ac:dyDescent="0.25">
      <c r="A1863" s="2">
        <v>1860</v>
      </c>
      <c r="B1863" s="109" t="s">
        <v>5338</v>
      </c>
    </row>
    <row r="1864" spans="1:2" ht="18.75" customHeight="1" x14ac:dyDescent="0.25">
      <c r="A1864" s="2">
        <v>1861</v>
      </c>
      <c r="B1864" s="109" t="s">
        <v>5345</v>
      </c>
    </row>
    <row r="1865" spans="1:2" ht="18.75" customHeight="1" x14ac:dyDescent="0.25">
      <c r="A1865" s="2">
        <v>1862</v>
      </c>
      <c r="B1865" s="109" t="s">
        <v>5347</v>
      </c>
    </row>
    <row r="1866" spans="1:2" ht="18.75" customHeight="1" x14ac:dyDescent="0.25">
      <c r="A1866" s="2">
        <v>1863</v>
      </c>
      <c r="B1866" s="109" t="s">
        <v>5351</v>
      </c>
    </row>
    <row r="1867" spans="1:2" ht="18.75" customHeight="1" x14ac:dyDescent="0.25">
      <c r="A1867" s="2">
        <v>1864</v>
      </c>
      <c r="B1867" s="109" t="s">
        <v>5353</v>
      </c>
    </row>
    <row r="1868" spans="1:2" ht="18.75" customHeight="1" x14ac:dyDescent="0.25">
      <c r="A1868" s="2">
        <v>1865</v>
      </c>
      <c r="B1868" s="109" t="s">
        <v>5354</v>
      </c>
    </row>
    <row r="1869" spans="1:2" ht="18.75" customHeight="1" x14ac:dyDescent="0.25">
      <c r="A1869" s="2">
        <v>1866</v>
      </c>
      <c r="B1869" s="109" t="s">
        <v>5356</v>
      </c>
    </row>
    <row r="1870" spans="1:2" ht="18.75" customHeight="1" x14ac:dyDescent="0.25">
      <c r="A1870" s="2">
        <v>1867</v>
      </c>
      <c r="B1870" s="109" t="s">
        <v>5359</v>
      </c>
    </row>
    <row r="1871" spans="1:2" ht="18.75" customHeight="1" x14ac:dyDescent="0.25">
      <c r="A1871" s="2">
        <v>1868</v>
      </c>
      <c r="B1871" s="2" t="s">
        <v>5362</v>
      </c>
    </row>
    <row r="1872" spans="1:2" ht="18.75" customHeight="1" x14ac:dyDescent="0.25">
      <c r="A1872" s="2">
        <v>1869</v>
      </c>
      <c r="B1872" s="2" t="s">
        <v>5365</v>
      </c>
    </row>
    <row r="1873" spans="1:2" ht="18.75" customHeight="1" x14ac:dyDescent="0.25">
      <c r="A1873" s="2">
        <v>1870</v>
      </c>
      <c r="B1873" s="2" t="s">
        <v>5369</v>
      </c>
    </row>
    <row r="1874" spans="1:2" ht="18.75" customHeight="1" x14ac:dyDescent="0.25">
      <c r="A1874" s="2">
        <v>1871</v>
      </c>
      <c r="B1874" s="2" t="s">
        <v>5372</v>
      </c>
    </row>
    <row r="1875" spans="1:2" ht="18.75" customHeight="1" x14ac:dyDescent="0.25">
      <c r="A1875" s="2">
        <v>1872</v>
      </c>
      <c r="B1875" s="2" t="s">
        <v>5374</v>
      </c>
    </row>
    <row r="1876" spans="1:2" ht="18.75" customHeight="1" x14ac:dyDescent="0.25">
      <c r="A1876" s="2">
        <v>1873</v>
      </c>
      <c r="B1876" s="109" t="s">
        <v>5376</v>
      </c>
    </row>
    <row r="1877" spans="1:2" ht="18.75" customHeight="1" x14ac:dyDescent="0.25">
      <c r="A1877" s="2">
        <v>1874</v>
      </c>
      <c r="B1877" s="109" t="s">
        <v>5377</v>
      </c>
    </row>
    <row r="1878" spans="1:2" ht="18.75" customHeight="1" x14ac:dyDescent="0.25">
      <c r="A1878" s="2">
        <v>1875</v>
      </c>
      <c r="B1878" s="109" t="s">
        <v>5381</v>
      </c>
    </row>
    <row r="1879" spans="1:2" ht="18.75" customHeight="1" x14ac:dyDescent="0.25">
      <c r="A1879" s="2">
        <v>1876</v>
      </c>
      <c r="B1879" s="109" t="s">
        <v>5382</v>
      </c>
    </row>
    <row r="1880" spans="1:2" ht="18.75" customHeight="1" x14ac:dyDescent="0.25">
      <c r="A1880" s="2">
        <v>1877</v>
      </c>
      <c r="B1880" s="2" t="s">
        <v>5384</v>
      </c>
    </row>
    <row r="1881" spans="1:2" ht="18.75" customHeight="1" x14ac:dyDescent="0.25">
      <c r="A1881" s="2">
        <v>1878</v>
      </c>
      <c r="B1881" s="2" t="s">
        <v>5388</v>
      </c>
    </row>
    <row r="1882" spans="1:2" ht="18.75" customHeight="1" x14ac:dyDescent="0.25">
      <c r="A1882" s="2">
        <v>1879</v>
      </c>
      <c r="B1882" s="2" t="s">
        <v>5391</v>
      </c>
    </row>
    <row r="1883" spans="1:2" ht="18.75" customHeight="1" x14ac:dyDescent="0.25">
      <c r="A1883" s="2">
        <v>1880</v>
      </c>
      <c r="B1883" s="2" t="s">
        <v>5393</v>
      </c>
    </row>
    <row r="1884" spans="1:2" ht="18.75" customHeight="1" x14ac:dyDescent="0.25">
      <c r="A1884" s="2">
        <v>1881</v>
      </c>
      <c r="B1884" s="2" t="s">
        <v>5395</v>
      </c>
    </row>
    <row r="1885" spans="1:2" ht="18.75" customHeight="1" x14ac:dyDescent="0.25">
      <c r="A1885" s="2">
        <v>1882</v>
      </c>
      <c r="B1885" s="2" t="s">
        <v>5399</v>
      </c>
    </row>
    <row r="1886" spans="1:2" ht="18.75" customHeight="1" x14ac:dyDescent="0.25">
      <c r="A1886" s="2">
        <v>1883</v>
      </c>
      <c r="B1886" s="2" t="s">
        <v>5403</v>
      </c>
    </row>
    <row r="1887" spans="1:2" ht="18.75" customHeight="1" x14ac:dyDescent="0.25">
      <c r="A1887" s="2">
        <v>1884</v>
      </c>
      <c r="B1887" s="2" t="s">
        <v>5407</v>
      </c>
    </row>
    <row r="1888" spans="1:2" ht="18.75" customHeight="1" x14ac:dyDescent="0.25">
      <c r="A1888" s="2">
        <v>1885</v>
      </c>
      <c r="B1888" s="109" t="s">
        <v>5412</v>
      </c>
    </row>
    <row r="1889" spans="1:2" ht="18.75" customHeight="1" x14ac:dyDescent="0.25">
      <c r="A1889" s="2">
        <v>1886</v>
      </c>
      <c r="B1889" s="2" t="s">
        <v>5415</v>
      </c>
    </row>
    <row r="1890" spans="1:2" ht="18.75" customHeight="1" x14ac:dyDescent="0.25">
      <c r="A1890" s="2">
        <v>1887</v>
      </c>
      <c r="B1890" s="2" t="s">
        <v>5418</v>
      </c>
    </row>
    <row r="1891" spans="1:2" ht="18.75" customHeight="1" x14ac:dyDescent="0.25">
      <c r="A1891" s="2">
        <v>1888</v>
      </c>
      <c r="B1891" s="109" t="s">
        <v>5421</v>
      </c>
    </row>
    <row r="1892" spans="1:2" ht="18.75" customHeight="1" x14ac:dyDescent="0.25">
      <c r="A1892" s="2">
        <v>1889</v>
      </c>
      <c r="B1892" s="2" t="s">
        <v>5424</v>
      </c>
    </row>
    <row r="1893" spans="1:2" ht="18.75" customHeight="1" x14ac:dyDescent="0.25">
      <c r="A1893" s="2">
        <v>1890</v>
      </c>
      <c r="B1893" s="2" t="s">
        <v>5431</v>
      </c>
    </row>
    <row r="1894" spans="1:2" ht="18.75" customHeight="1" x14ac:dyDescent="0.25">
      <c r="A1894" s="2">
        <v>1891</v>
      </c>
      <c r="B1894" s="2" t="s">
        <v>5434</v>
      </c>
    </row>
    <row r="1895" spans="1:2" ht="18.75" customHeight="1" x14ac:dyDescent="0.25">
      <c r="A1895" s="2">
        <v>1892</v>
      </c>
      <c r="B1895" s="109" t="s">
        <v>5438</v>
      </c>
    </row>
    <row r="1896" spans="1:2" ht="18.75" customHeight="1" x14ac:dyDescent="0.25">
      <c r="A1896" s="2">
        <v>1893</v>
      </c>
      <c r="B1896" s="2" t="s">
        <v>5440</v>
      </c>
    </row>
    <row r="1897" spans="1:2" ht="18.75" customHeight="1" x14ac:dyDescent="0.25">
      <c r="A1897" s="2">
        <v>1894</v>
      </c>
      <c r="B1897" s="2" t="s">
        <v>5443</v>
      </c>
    </row>
    <row r="1898" spans="1:2" ht="18.75" customHeight="1" x14ac:dyDescent="0.25">
      <c r="A1898" s="2">
        <v>1895</v>
      </c>
      <c r="B1898" s="109" t="s">
        <v>5445</v>
      </c>
    </row>
    <row r="1899" spans="1:2" ht="18.75" customHeight="1" x14ac:dyDescent="0.25">
      <c r="A1899" s="2">
        <v>1896</v>
      </c>
      <c r="B1899" s="109" t="s">
        <v>5447</v>
      </c>
    </row>
    <row r="1900" spans="1:2" ht="18.75" customHeight="1" x14ac:dyDescent="0.25">
      <c r="A1900" s="2">
        <v>1897</v>
      </c>
      <c r="B1900" s="2" t="s">
        <v>5450</v>
      </c>
    </row>
    <row r="1901" spans="1:2" ht="18.75" customHeight="1" x14ac:dyDescent="0.25">
      <c r="A1901" s="2">
        <v>1898</v>
      </c>
      <c r="B1901" s="109" t="s">
        <v>5455</v>
      </c>
    </row>
    <row r="1902" spans="1:2" ht="18.75" customHeight="1" x14ac:dyDescent="0.25">
      <c r="A1902" s="2">
        <v>1899</v>
      </c>
      <c r="B1902" s="2" t="s">
        <v>5457</v>
      </c>
    </row>
    <row r="1903" spans="1:2" ht="18.75" customHeight="1" x14ac:dyDescent="0.25">
      <c r="A1903" s="2">
        <v>1900</v>
      </c>
      <c r="B1903" s="2" t="s">
        <v>5460</v>
      </c>
    </row>
    <row r="1904" spans="1:2" ht="18.75" customHeight="1" x14ac:dyDescent="0.25">
      <c r="A1904" s="2">
        <v>1901</v>
      </c>
      <c r="B1904" s="2" t="s">
        <v>5464</v>
      </c>
    </row>
    <row r="1905" spans="1:2" ht="18.75" customHeight="1" x14ac:dyDescent="0.25">
      <c r="A1905" s="2">
        <v>1902</v>
      </c>
      <c r="B1905" s="2" t="s">
        <v>5468</v>
      </c>
    </row>
    <row r="1906" spans="1:2" ht="18.75" customHeight="1" x14ac:dyDescent="0.25">
      <c r="A1906" s="2">
        <v>1903</v>
      </c>
      <c r="B1906" s="2" t="s">
        <v>5474</v>
      </c>
    </row>
    <row r="1907" spans="1:2" ht="18.75" customHeight="1" x14ac:dyDescent="0.25">
      <c r="A1907" s="2">
        <v>1904</v>
      </c>
      <c r="B1907" s="2" t="s">
        <v>5479</v>
      </c>
    </row>
    <row r="1908" spans="1:2" ht="18.75" customHeight="1" x14ac:dyDescent="0.25">
      <c r="A1908" s="2">
        <v>1905</v>
      </c>
      <c r="B1908" s="2" t="s">
        <v>5481</v>
      </c>
    </row>
    <row r="1909" spans="1:2" ht="18.75" customHeight="1" x14ac:dyDescent="0.25">
      <c r="A1909" s="2">
        <v>1906</v>
      </c>
      <c r="B1909" s="2" t="s">
        <v>5484</v>
      </c>
    </row>
    <row r="1910" spans="1:2" ht="18.75" customHeight="1" x14ac:dyDescent="0.25">
      <c r="A1910" s="2">
        <v>1907</v>
      </c>
      <c r="B1910" s="109" t="s">
        <v>6677</v>
      </c>
    </row>
    <row r="1911" spans="1:2" ht="18.75" customHeight="1" x14ac:dyDescent="0.25">
      <c r="A1911" s="2">
        <v>1908</v>
      </c>
      <c r="B1911" s="2" t="s">
        <v>5488</v>
      </c>
    </row>
    <row r="1912" spans="1:2" ht="18.75" customHeight="1" x14ac:dyDescent="0.25">
      <c r="A1912" s="2">
        <v>1909</v>
      </c>
      <c r="B1912" s="2" t="s">
        <v>5493</v>
      </c>
    </row>
    <row r="1913" spans="1:2" ht="18.75" customHeight="1" x14ac:dyDescent="0.25">
      <c r="A1913" s="2">
        <v>1910</v>
      </c>
      <c r="B1913" s="2" t="s">
        <v>5498</v>
      </c>
    </row>
    <row r="1914" spans="1:2" ht="18.75" customHeight="1" x14ac:dyDescent="0.25">
      <c r="A1914" s="2">
        <v>1911</v>
      </c>
      <c r="B1914" s="2" t="s">
        <v>5500</v>
      </c>
    </row>
    <row r="1915" spans="1:2" ht="18.75" customHeight="1" x14ac:dyDescent="0.25">
      <c r="A1915" s="2">
        <v>1912</v>
      </c>
      <c r="B1915" s="80" t="s">
        <v>5506</v>
      </c>
    </row>
    <row r="1916" spans="1:2" ht="18.75" customHeight="1" x14ac:dyDescent="0.25">
      <c r="A1916" s="2">
        <v>1913</v>
      </c>
      <c r="B1916" s="2" t="s">
        <v>5504</v>
      </c>
    </row>
    <row r="1917" spans="1:2" ht="18.75" customHeight="1" x14ac:dyDescent="0.25">
      <c r="A1917" s="2">
        <v>1914</v>
      </c>
      <c r="B1917" s="2" t="s">
        <v>5509</v>
      </c>
    </row>
    <row r="1918" spans="1:2" ht="18.75" customHeight="1" x14ac:dyDescent="0.25">
      <c r="A1918" s="2">
        <v>1915</v>
      </c>
      <c r="B1918" s="2" t="s">
        <v>5512</v>
      </c>
    </row>
    <row r="1919" spans="1:2" ht="18.75" customHeight="1" x14ac:dyDescent="0.25">
      <c r="A1919" s="2">
        <v>1916</v>
      </c>
      <c r="B1919" s="2" t="s">
        <v>5516</v>
      </c>
    </row>
    <row r="1920" spans="1:2" ht="18.75" customHeight="1" x14ac:dyDescent="0.25">
      <c r="A1920" s="2">
        <v>1917</v>
      </c>
      <c r="B1920" s="109" t="s">
        <v>5518</v>
      </c>
    </row>
    <row r="1921" spans="1:2" ht="18.75" customHeight="1" x14ac:dyDescent="0.25">
      <c r="A1921" s="2">
        <v>1918</v>
      </c>
      <c r="B1921" s="2" t="s">
        <v>5524</v>
      </c>
    </row>
    <row r="1922" spans="1:2" ht="18.75" customHeight="1" x14ac:dyDescent="0.25">
      <c r="A1922" s="2">
        <v>1919</v>
      </c>
      <c r="B1922" s="109" t="s">
        <v>5527</v>
      </c>
    </row>
    <row r="1923" spans="1:2" ht="18.75" customHeight="1" x14ac:dyDescent="0.25">
      <c r="A1923" s="2">
        <v>1920</v>
      </c>
      <c r="B1923" s="109" t="s">
        <v>5531</v>
      </c>
    </row>
    <row r="1924" spans="1:2" ht="18.75" customHeight="1" x14ac:dyDescent="0.25">
      <c r="A1924" s="2">
        <v>1921</v>
      </c>
      <c r="B1924" s="109" t="s">
        <v>5534</v>
      </c>
    </row>
    <row r="1925" spans="1:2" ht="18.75" customHeight="1" x14ac:dyDescent="0.25">
      <c r="A1925" s="2">
        <v>1922</v>
      </c>
      <c r="B1925" s="109" t="s">
        <v>5536</v>
      </c>
    </row>
    <row r="1926" spans="1:2" ht="18.75" customHeight="1" x14ac:dyDescent="0.25">
      <c r="A1926" s="2">
        <v>1923</v>
      </c>
      <c r="B1926" s="109" t="s">
        <v>5541</v>
      </c>
    </row>
    <row r="1927" spans="1:2" ht="18.75" customHeight="1" x14ac:dyDescent="0.25">
      <c r="A1927" s="2">
        <v>1924</v>
      </c>
      <c r="B1927" s="109" t="s">
        <v>5544</v>
      </c>
    </row>
    <row r="1928" spans="1:2" ht="18.75" customHeight="1" x14ac:dyDescent="0.25">
      <c r="A1928" s="2">
        <v>1925</v>
      </c>
      <c r="B1928" s="109" t="s">
        <v>5546</v>
      </c>
    </row>
    <row r="1929" spans="1:2" ht="18.75" customHeight="1" x14ac:dyDescent="0.25">
      <c r="A1929" s="2">
        <v>1926</v>
      </c>
      <c r="B1929" s="109" t="s">
        <v>5548</v>
      </c>
    </row>
    <row r="1930" spans="1:2" ht="18.75" customHeight="1" x14ac:dyDescent="0.25">
      <c r="A1930" s="2">
        <v>1927</v>
      </c>
      <c r="B1930" s="109" t="s">
        <v>5552</v>
      </c>
    </row>
    <row r="1931" spans="1:2" ht="18.75" customHeight="1" x14ac:dyDescent="0.25">
      <c r="A1931" s="2">
        <v>1928</v>
      </c>
      <c r="B1931" s="109" t="s">
        <v>5556</v>
      </c>
    </row>
    <row r="1932" spans="1:2" ht="18.75" customHeight="1" x14ac:dyDescent="0.25">
      <c r="A1932" s="2">
        <v>1929</v>
      </c>
      <c r="B1932" s="109" t="s">
        <v>5558</v>
      </c>
    </row>
    <row r="1933" spans="1:2" ht="18.75" customHeight="1" x14ac:dyDescent="0.25">
      <c r="A1933" s="2">
        <v>1930</v>
      </c>
      <c r="B1933" s="109" t="s">
        <v>5560</v>
      </c>
    </row>
    <row r="1934" spans="1:2" ht="18.75" customHeight="1" x14ac:dyDescent="0.25">
      <c r="A1934" s="2">
        <v>1931</v>
      </c>
      <c r="B1934" s="109" t="s">
        <v>5562</v>
      </c>
    </row>
    <row r="1935" spans="1:2" ht="18.75" customHeight="1" x14ac:dyDescent="0.25">
      <c r="A1935" s="2">
        <v>1932</v>
      </c>
      <c r="B1935" s="2" t="s">
        <v>5563</v>
      </c>
    </row>
    <row r="1936" spans="1:2" ht="18.75" customHeight="1" x14ac:dyDescent="0.25">
      <c r="A1936" s="2">
        <v>1933</v>
      </c>
      <c r="B1936" s="2" t="s">
        <v>5565</v>
      </c>
    </row>
    <row r="1937" spans="1:2" ht="18.75" customHeight="1" x14ac:dyDescent="0.25">
      <c r="A1937" s="2">
        <v>1934</v>
      </c>
      <c r="B1937" s="2" t="s">
        <v>5568</v>
      </c>
    </row>
    <row r="1938" spans="1:2" ht="18.75" customHeight="1" x14ac:dyDescent="0.25">
      <c r="A1938" s="2">
        <v>1935</v>
      </c>
      <c r="B1938" s="109" t="s">
        <v>5570</v>
      </c>
    </row>
    <row r="1939" spans="1:2" ht="18.75" customHeight="1" x14ac:dyDescent="0.25">
      <c r="A1939" s="2">
        <v>1936</v>
      </c>
      <c r="B1939" s="2" t="s">
        <v>5573</v>
      </c>
    </row>
    <row r="1940" spans="1:2" ht="18.75" customHeight="1" x14ac:dyDescent="0.25">
      <c r="A1940" s="2">
        <v>1937</v>
      </c>
      <c r="B1940" s="2" t="s">
        <v>5578</v>
      </c>
    </row>
    <row r="1941" spans="1:2" ht="18.75" customHeight="1" x14ac:dyDescent="0.25">
      <c r="A1941" s="2">
        <v>1938</v>
      </c>
      <c r="B1941" s="2" t="s">
        <v>5582</v>
      </c>
    </row>
    <row r="1942" spans="1:2" ht="18.75" customHeight="1" x14ac:dyDescent="0.25">
      <c r="A1942" s="2">
        <v>1939</v>
      </c>
      <c r="B1942" s="2" t="s">
        <v>5585</v>
      </c>
    </row>
    <row r="1943" spans="1:2" ht="18.75" customHeight="1" x14ac:dyDescent="0.25">
      <c r="A1943" s="2">
        <v>1940</v>
      </c>
      <c r="B1943" s="2" t="s">
        <v>5588</v>
      </c>
    </row>
    <row r="1944" spans="1:2" ht="18.75" customHeight="1" x14ac:dyDescent="0.25">
      <c r="A1944" s="2">
        <v>1941</v>
      </c>
      <c r="B1944" s="2" t="s">
        <v>5591</v>
      </c>
    </row>
    <row r="1945" spans="1:2" ht="18.75" customHeight="1" x14ac:dyDescent="0.25">
      <c r="A1945" s="2">
        <v>1942</v>
      </c>
      <c r="B1945" s="2" t="s">
        <v>5596</v>
      </c>
    </row>
    <row r="1946" spans="1:2" ht="18.75" customHeight="1" x14ac:dyDescent="0.25">
      <c r="A1946" s="2">
        <v>1943</v>
      </c>
      <c r="B1946" s="109" t="s">
        <v>5600</v>
      </c>
    </row>
    <row r="1947" spans="1:2" ht="18.75" customHeight="1" x14ac:dyDescent="0.25">
      <c r="A1947" s="2">
        <v>1944</v>
      </c>
      <c r="B1947" s="2" t="s">
        <v>5603</v>
      </c>
    </row>
    <row r="1948" spans="1:2" ht="18.75" customHeight="1" x14ac:dyDescent="0.25">
      <c r="A1948" s="2">
        <v>1945</v>
      </c>
      <c r="B1948" s="109" t="s">
        <v>5605</v>
      </c>
    </row>
    <row r="1949" spans="1:2" ht="18.75" customHeight="1" x14ac:dyDescent="0.25">
      <c r="A1949" s="2">
        <v>1946</v>
      </c>
      <c r="B1949" s="2" t="s">
        <v>5612</v>
      </c>
    </row>
    <row r="1950" spans="1:2" ht="18.75" customHeight="1" x14ac:dyDescent="0.25">
      <c r="A1950" s="2">
        <v>1947</v>
      </c>
      <c r="B1950" s="2" t="s">
        <v>5615</v>
      </c>
    </row>
    <row r="1951" spans="1:2" ht="18.75" customHeight="1" x14ac:dyDescent="0.25">
      <c r="A1951" s="2">
        <v>1948</v>
      </c>
      <c r="B1951" s="109" t="s">
        <v>5621</v>
      </c>
    </row>
    <row r="1952" spans="1:2" ht="18.75" customHeight="1" x14ac:dyDescent="0.25">
      <c r="A1952" s="2">
        <v>1949</v>
      </c>
      <c r="B1952" s="2" t="s">
        <v>5624</v>
      </c>
    </row>
    <row r="1953" spans="1:2" ht="18.75" customHeight="1" x14ac:dyDescent="0.25">
      <c r="A1953" s="2">
        <v>1950</v>
      </c>
      <c r="B1953" s="2" t="s">
        <v>5628</v>
      </c>
    </row>
    <row r="1954" spans="1:2" ht="18.75" customHeight="1" x14ac:dyDescent="0.25">
      <c r="A1954" s="2">
        <v>1951</v>
      </c>
      <c r="B1954" s="109" t="s">
        <v>5635</v>
      </c>
    </row>
    <row r="1955" spans="1:2" ht="18.75" customHeight="1" x14ac:dyDescent="0.25">
      <c r="A1955" s="2">
        <v>1952</v>
      </c>
      <c r="B1955" s="109" t="s">
        <v>5637</v>
      </c>
    </row>
    <row r="1956" spans="1:2" ht="18.75" customHeight="1" x14ac:dyDescent="0.25">
      <c r="A1956" s="2">
        <v>1953</v>
      </c>
      <c r="B1956" s="109" t="s">
        <v>5640</v>
      </c>
    </row>
    <row r="1957" spans="1:2" ht="18.75" customHeight="1" x14ac:dyDescent="0.25">
      <c r="A1957" s="2">
        <v>1954</v>
      </c>
      <c r="B1957" s="109" t="s">
        <v>5642</v>
      </c>
    </row>
    <row r="1958" spans="1:2" ht="18.75" customHeight="1" x14ac:dyDescent="0.25">
      <c r="A1958" s="2">
        <v>1955</v>
      </c>
      <c r="B1958" s="109" t="s">
        <v>5644</v>
      </c>
    </row>
    <row r="1959" spans="1:2" ht="18.75" customHeight="1" x14ac:dyDescent="0.25">
      <c r="A1959" s="2">
        <v>1956</v>
      </c>
      <c r="B1959" s="109" t="s">
        <v>5650</v>
      </c>
    </row>
    <row r="1960" spans="1:2" ht="18.75" customHeight="1" x14ac:dyDescent="0.25">
      <c r="A1960" s="2">
        <v>1957</v>
      </c>
      <c r="B1960" s="109" t="s">
        <v>5654</v>
      </c>
    </row>
    <row r="1961" spans="1:2" ht="18.75" customHeight="1" x14ac:dyDescent="0.25">
      <c r="A1961" s="2">
        <v>1958</v>
      </c>
      <c r="B1961" s="109" t="s">
        <v>5657</v>
      </c>
    </row>
    <row r="1962" spans="1:2" ht="18.75" customHeight="1" x14ac:dyDescent="0.25">
      <c r="A1962" s="2">
        <v>1959</v>
      </c>
      <c r="B1962" s="109" t="s">
        <v>5658</v>
      </c>
    </row>
    <row r="1963" spans="1:2" ht="18.75" customHeight="1" x14ac:dyDescent="0.25">
      <c r="A1963" s="2">
        <v>1960</v>
      </c>
      <c r="B1963" s="109" t="s">
        <v>5663</v>
      </c>
    </row>
    <row r="1964" spans="1:2" ht="18.75" customHeight="1" x14ac:dyDescent="0.25">
      <c r="A1964" s="2">
        <v>1961</v>
      </c>
      <c r="B1964" s="109" t="s">
        <v>5664</v>
      </c>
    </row>
    <row r="1965" spans="1:2" ht="18.75" customHeight="1" x14ac:dyDescent="0.25">
      <c r="A1965" s="2">
        <v>1962</v>
      </c>
      <c r="B1965" s="109" t="s">
        <v>5667</v>
      </c>
    </row>
    <row r="1966" spans="1:2" ht="18.75" customHeight="1" x14ac:dyDescent="0.25">
      <c r="A1966" s="2">
        <v>1963</v>
      </c>
      <c r="B1966" s="109" t="s">
        <v>5672</v>
      </c>
    </row>
    <row r="1967" spans="1:2" ht="18.75" customHeight="1" x14ac:dyDescent="0.25">
      <c r="A1967" s="2">
        <v>1964</v>
      </c>
      <c r="B1967" s="109" t="s">
        <v>5673</v>
      </c>
    </row>
    <row r="1968" spans="1:2" ht="18.75" customHeight="1" x14ac:dyDescent="0.25">
      <c r="A1968" s="2">
        <v>1965</v>
      </c>
      <c r="B1968" s="109" t="s">
        <v>5675</v>
      </c>
    </row>
    <row r="1969" spans="1:2" ht="18.75" customHeight="1" x14ac:dyDescent="0.25">
      <c r="A1969" s="2">
        <v>1966</v>
      </c>
      <c r="B1969" s="109" t="s">
        <v>5677</v>
      </c>
    </row>
    <row r="1970" spans="1:2" ht="18.75" customHeight="1" x14ac:dyDescent="0.25">
      <c r="A1970" s="2">
        <v>1967</v>
      </c>
      <c r="B1970" s="109" t="s">
        <v>5679</v>
      </c>
    </row>
    <row r="1971" spans="1:2" ht="18.75" customHeight="1" x14ac:dyDescent="0.25">
      <c r="A1971" s="2">
        <v>1968</v>
      </c>
      <c r="B1971" s="109" t="s">
        <v>5684</v>
      </c>
    </row>
    <row r="1972" spans="1:2" ht="18.75" customHeight="1" x14ac:dyDescent="0.25">
      <c r="A1972" s="2">
        <v>1969</v>
      </c>
      <c r="B1972" s="109" t="s">
        <v>5689</v>
      </c>
    </row>
    <row r="1973" spans="1:2" ht="18.75" customHeight="1" x14ac:dyDescent="0.25">
      <c r="A1973" s="2">
        <v>1970</v>
      </c>
      <c r="B1973" s="2" t="s">
        <v>5692</v>
      </c>
    </row>
    <row r="1974" spans="1:2" ht="18.75" customHeight="1" x14ac:dyDescent="0.25">
      <c r="A1974" s="2">
        <v>1971</v>
      </c>
      <c r="B1974" s="2" t="s">
        <v>5694</v>
      </c>
    </row>
    <row r="1975" spans="1:2" ht="18.75" customHeight="1" x14ac:dyDescent="0.25">
      <c r="A1975" s="2">
        <v>1972</v>
      </c>
      <c r="B1975" s="2" t="s">
        <v>5695</v>
      </c>
    </row>
    <row r="1976" spans="1:2" ht="18.75" customHeight="1" x14ac:dyDescent="0.25">
      <c r="A1976" s="2">
        <v>1973</v>
      </c>
      <c r="B1976" s="109" t="s">
        <v>5696</v>
      </c>
    </row>
    <row r="1977" spans="1:2" ht="18.75" customHeight="1" x14ac:dyDescent="0.25">
      <c r="A1977" s="2">
        <v>1974</v>
      </c>
      <c r="B1977" s="109" t="s">
        <v>5699</v>
      </c>
    </row>
    <row r="1978" spans="1:2" ht="18.75" customHeight="1" x14ac:dyDescent="0.25">
      <c r="A1978" s="2">
        <v>1975</v>
      </c>
      <c r="B1978" s="2" t="s">
        <v>5703</v>
      </c>
    </row>
    <row r="1979" spans="1:2" ht="18.75" customHeight="1" x14ac:dyDescent="0.25">
      <c r="A1979" s="2">
        <v>1976</v>
      </c>
      <c r="B1979" s="109" t="s">
        <v>5705</v>
      </c>
    </row>
    <row r="1980" spans="1:2" ht="18.75" customHeight="1" x14ac:dyDescent="0.25">
      <c r="A1980" s="2">
        <v>1977</v>
      </c>
      <c r="B1980" s="109" t="s">
        <v>5719</v>
      </c>
    </row>
    <row r="1981" spans="1:2" ht="18.75" customHeight="1" x14ac:dyDescent="0.25">
      <c r="A1981" s="2">
        <v>1978</v>
      </c>
      <c r="B1981" s="2" t="s">
        <v>5730</v>
      </c>
    </row>
    <row r="1982" spans="1:2" ht="18.75" customHeight="1" x14ac:dyDescent="0.25">
      <c r="A1982" s="2">
        <v>1979</v>
      </c>
      <c r="B1982" s="2" t="s">
        <v>5739</v>
      </c>
    </row>
    <row r="1983" spans="1:2" ht="18.75" customHeight="1" x14ac:dyDescent="0.25">
      <c r="A1983" s="2">
        <v>1980</v>
      </c>
      <c r="B1983" s="2" t="s">
        <v>5743</v>
      </c>
    </row>
    <row r="1984" spans="1:2" ht="18.75" customHeight="1" x14ac:dyDescent="0.25">
      <c r="A1984" s="2">
        <v>1981</v>
      </c>
      <c r="B1984" s="2" t="s">
        <v>5747</v>
      </c>
    </row>
    <row r="1985" spans="1:2" ht="18.75" customHeight="1" x14ac:dyDescent="0.25">
      <c r="A1985" s="2">
        <v>1982</v>
      </c>
      <c r="B1985" s="109" t="s">
        <v>5753</v>
      </c>
    </row>
    <row r="1986" spans="1:2" ht="18.75" customHeight="1" x14ac:dyDescent="0.25">
      <c r="A1986" s="2">
        <v>1983</v>
      </c>
      <c r="B1986" s="2" t="s">
        <v>5765</v>
      </c>
    </row>
    <row r="1987" spans="1:2" ht="18.75" customHeight="1" x14ac:dyDescent="0.25">
      <c r="A1987" s="2">
        <v>1984</v>
      </c>
      <c r="B1987" s="2" t="s">
        <v>5767</v>
      </c>
    </row>
    <row r="1988" spans="1:2" ht="18.75" customHeight="1" x14ac:dyDescent="0.25">
      <c r="A1988" s="2">
        <v>1985</v>
      </c>
      <c r="B1988" s="2" t="s">
        <v>5772</v>
      </c>
    </row>
    <row r="1989" spans="1:2" ht="18.75" customHeight="1" x14ac:dyDescent="0.25">
      <c r="A1989" s="2">
        <v>1986</v>
      </c>
      <c r="B1989" s="2" t="s">
        <v>5780</v>
      </c>
    </row>
    <row r="1990" spans="1:2" ht="18.75" customHeight="1" x14ac:dyDescent="0.25">
      <c r="A1990" s="2">
        <v>1987</v>
      </c>
      <c r="B1990" s="2" t="s">
        <v>5784</v>
      </c>
    </row>
    <row r="1991" spans="1:2" ht="18.75" customHeight="1" x14ac:dyDescent="0.25">
      <c r="A1991" s="2">
        <v>1988</v>
      </c>
      <c r="B1991" s="2" t="s">
        <v>5805</v>
      </c>
    </row>
    <row r="1992" spans="1:2" ht="18.75" customHeight="1" x14ac:dyDescent="0.25">
      <c r="A1992" s="2">
        <v>1989</v>
      </c>
      <c r="B1992" s="109" t="s">
        <v>5811</v>
      </c>
    </row>
    <row r="1993" spans="1:2" ht="18.75" customHeight="1" x14ac:dyDescent="0.25">
      <c r="A1993" s="2">
        <v>1990</v>
      </c>
      <c r="B1993" s="109" t="s">
        <v>5813</v>
      </c>
    </row>
    <row r="1994" spans="1:2" ht="18.75" customHeight="1" x14ac:dyDescent="0.25">
      <c r="A1994" s="2">
        <v>1991</v>
      </c>
      <c r="B1994" s="109" t="s">
        <v>5829</v>
      </c>
    </row>
    <row r="1995" spans="1:2" ht="18.75" customHeight="1" x14ac:dyDescent="0.25">
      <c r="A1995" s="2">
        <v>1992</v>
      </c>
      <c r="B1995" s="109" t="s">
        <v>5833</v>
      </c>
    </row>
    <row r="1996" spans="1:2" ht="18.75" customHeight="1" x14ac:dyDescent="0.25">
      <c r="A1996" s="2">
        <v>1993</v>
      </c>
      <c r="B1996" s="20" t="s">
        <v>5844</v>
      </c>
    </row>
    <row r="1997" spans="1:2" ht="18.75" customHeight="1" x14ac:dyDescent="0.25">
      <c r="A1997" s="2">
        <v>1994</v>
      </c>
      <c r="B1997" s="109" t="s">
        <v>5879</v>
      </c>
    </row>
    <row r="1998" spans="1:2" ht="18.75" customHeight="1" x14ac:dyDescent="0.25">
      <c r="A1998" s="2">
        <v>1995</v>
      </c>
      <c r="B1998" s="109" t="s">
        <v>5882</v>
      </c>
    </row>
    <row r="1999" spans="1:2" ht="18.75" customHeight="1" x14ac:dyDescent="0.25">
      <c r="A1999" s="2">
        <v>1996</v>
      </c>
      <c r="B1999" s="109" t="s">
        <v>5885</v>
      </c>
    </row>
    <row r="2000" spans="1:2" ht="18.75" customHeight="1" x14ac:dyDescent="0.25">
      <c r="A2000" s="2">
        <v>1997</v>
      </c>
      <c r="B2000" s="109" t="s">
        <v>5888</v>
      </c>
    </row>
    <row r="2001" spans="1:2" ht="18.75" customHeight="1" x14ac:dyDescent="0.25">
      <c r="A2001" s="2">
        <v>1998</v>
      </c>
      <c r="B2001" s="109" t="s">
        <v>5891</v>
      </c>
    </row>
    <row r="2002" spans="1:2" ht="18.75" customHeight="1" x14ac:dyDescent="0.25">
      <c r="A2002" s="2">
        <v>1999</v>
      </c>
      <c r="B2002" s="109" t="s">
        <v>7313</v>
      </c>
    </row>
    <row r="2003" spans="1:2" s="133" customFormat="1" ht="18.75" customHeight="1" x14ac:dyDescent="0.25">
      <c r="A2003" s="133">
        <v>2000</v>
      </c>
      <c r="B2003" s="134" t="s">
        <v>4670</v>
      </c>
    </row>
    <row r="2004" spans="1:2" ht="18.75" customHeight="1" x14ac:dyDescent="0.25">
      <c r="A2004" s="2">
        <v>2001</v>
      </c>
      <c r="B2004" s="109" t="s">
        <v>5926</v>
      </c>
    </row>
    <row r="2005" spans="1:2" ht="18.75" customHeight="1" x14ac:dyDescent="0.25">
      <c r="A2005" s="2">
        <v>2002</v>
      </c>
      <c r="B2005" s="109" t="s">
        <v>5930</v>
      </c>
    </row>
    <row r="2006" spans="1:2" ht="18.75" customHeight="1" x14ac:dyDescent="0.25">
      <c r="A2006" s="2">
        <v>2003</v>
      </c>
      <c r="B2006" s="109" t="s">
        <v>5936</v>
      </c>
    </row>
    <row r="2007" spans="1:2" ht="18.75" customHeight="1" x14ac:dyDescent="0.25">
      <c r="A2007" s="2">
        <v>2004</v>
      </c>
      <c r="B2007" s="109" t="s">
        <v>5967</v>
      </c>
    </row>
    <row r="2008" spans="1:2" ht="18.75" customHeight="1" x14ac:dyDescent="0.25">
      <c r="A2008" s="2">
        <v>2005</v>
      </c>
      <c r="B2008" s="109" t="s">
        <v>5975</v>
      </c>
    </row>
    <row r="2009" spans="1:2" ht="18.75" customHeight="1" x14ac:dyDescent="0.25">
      <c r="A2009" s="2">
        <v>2006</v>
      </c>
      <c r="B2009" s="109" t="s">
        <v>5997</v>
      </c>
    </row>
    <row r="2010" spans="1:2" ht="18.75" customHeight="1" x14ac:dyDescent="0.25">
      <c r="A2010" s="2">
        <v>2007</v>
      </c>
      <c r="B2010" s="109" t="s">
        <v>5999</v>
      </c>
    </row>
    <row r="2011" spans="1:2" ht="18.75" customHeight="1" x14ac:dyDescent="0.25">
      <c r="A2011" s="2">
        <v>2008</v>
      </c>
      <c r="B2011" s="109" t="s">
        <v>6002</v>
      </c>
    </row>
    <row r="2012" spans="1:2" ht="18.75" customHeight="1" x14ac:dyDescent="0.25">
      <c r="A2012" s="2">
        <v>2009</v>
      </c>
      <c r="B2012" s="109" t="s">
        <v>6003</v>
      </c>
    </row>
    <row r="2013" spans="1:2" ht="18.75" customHeight="1" x14ac:dyDescent="0.25">
      <c r="A2013" s="2">
        <v>2010</v>
      </c>
      <c r="B2013" s="109" t="s">
        <v>6007</v>
      </c>
    </row>
    <row r="2014" spans="1:2" ht="18.75" customHeight="1" x14ac:dyDescent="0.25">
      <c r="A2014" s="2">
        <v>2011</v>
      </c>
      <c r="B2014" s="109" t="s">
        <v>6011</v>
      </c>
    </row>
    <row r="2015" spans="1:2" ht="18.75" customHeight="1" x14ac:dyDescent="0.25">
      <c r="A2015" s="2">
        <v>2012</v>
      </c>
      <c r="B2015" s="109" t="s">
        <v>6012</v>
      </c>
    </row>
    <row r="2016" spans="1:2" ht="18.75" customHeight="1" x14ac:dyDescent="0.25">
      <c r="A2016" s="2">
        <v>2013</v>
      </c>
      <c r="B2016" s="109" t="s">
        <v>6013</v>
      </c>
    </row>
    <row r="2017" spans="1:2" ht="18.75" customHeight="1" x14ac:dyDescent="0.25">
      <c r="A2017" s="2">
        <v>2014</v>
      </c>
      <c r="B2017" s="109" t="s">
        <v>6021</v>
      </c>
    </row>
    <row r="2018" spans="1:2" ht="18.75" customHeight="1" x14ac:dyDescent="0.25">
      <c r="A2018" s="2">
        <v>2015</v>
      </c>
      <c r="B2018" s="109" t="s">
        <v>6022</v>
      </c>
    </row>
    <row r="2019" spans="1:2" ht="18.75" customHeight="1" x14ac:dyDescent="0.25">
      <c r="A2019" s="2">
        <v>2016</v>
      </c>
      <c r="B2019" s="2" t="s">
        <v>6029</v>
      </c>
    </row>
    <row r="2020" spans="1:2" ht="18.75" customHeight="1" x14ac:dyDescent="0.25">
      <c r="A2020" s="2">
        <v>2017</v>
      </c>
      <c r="B2020" s="2" t="s">
        <v>6030</v>
      </c>
    </row>
    <row r="2021" spans="1:2" ht="18.75" customHeight="1" x14ac:dyDescent="0.25">
      <c r="A2021" s="2">
        <v>2018</v>
      </c>
      <c r="B2021" s="2" t="s">
        <v>6031</v>
      </c>
    </row>
    <row r="2022" spans="1:2" ht="18.75" customHeight="1" x14ac:dyDescent="0.25">
      <c r="A2022" s="2">
        <v>2019</v>
      </c>
      <c r="B2022" s="109" t="s">
        <v>6035</v>
      </c>
    </row>
    <row r="2023" spans="1:2" ht="18.75" customHeight="1" x14ac:dyDescent="0.25">
      <c r="A2023" s="2">
        <v>2020</v>
      </c>
      <c r="B2023" s="109" t="s">
        <v>6037</v>
      </c>
    </row>
    <row r="2024" spans="1:2" ht="18.75" customHeight="1" x14ac:dyDescent="0.25">
      <c r="A2024" s="2">
        <v>2021</v>
      </c>
      <c r="B2024" s="109" t="s">
        <v>6038</v>
      </c>
    </row>
    <row r="2025" spans="1:2" ht="18.75" customHeight="1" x14ac:dyDescent="0.25">
      <c r="A2025" s="2">
        <v>2022</v>
      </c>
      <c r="B2025" s="109" t="s">
        <v>6042</v>
      </c>
    </row>
    <row r="2026" spans="1:2" ht="18.75" customHeight="1" x14ac:dyDescent="0.25">
      <c r="A2026" s="2">
        <v>2023</v>
      </c>
      <c r="B2026" s="109" t="s">
        <v>6044</v>
      </c>
    </row>
    <row r="2027" spans="1:2" ht="18.75" customHeight="1" x14ac:dyDescent="0.25">
      <c r="A2027" s="2">
        <v>2024</v>
      </c>
      <c r="B2027" s="109" t="s">
        <v>6046</v>
      </c>
    </row>
    <row r="2028" spans="1:2" ht="18.75" customHeight="1" x14ac:dyDescent="0.25">
      <c r="A2028" s="2">
        <v>2025</v>
      </c>
      <c r="B2028" s="109" t="s">
        <v>6049</v>
      </c>
    </row>
    <row r="2029" spans="1:2" ht="18.75" customHeight="1" x14ac:dyDescent="0.25">
      <c r="A2029" s="2">
        <v>2026</v>
      </c>
      <c r="B2029" s="109" t="s">
        <v>6053</v>
      </c>
    </row>
    <row r="2030" spans="1:2" ht="18.75" customHeight="1" x14ac:dyDescent="0.25">
      <c r="A2030" s="2">
        <v>2027</v>
      </c>
      <c r="B2030" s="109" t="s">
        <v>6055</v>
      </c>
    </row>
    <row r="2031" spans="1:2" ht="18.75" customHeight="1" x14ac:dyDescent="0.25">
      <c r="A2031" s="2">
        <v>2028</v>
      </c>
      <c r="B2031" s="109" t="s">
        <v>6061</v>
      </c>
    </row>
    <row r="2032" spans="1:2" ht="18.75" customHeight="1" x14ac:dyDescent="0.25">
      <c r="A2032" s="2">
        <v>2029</v>
      </c>
      <c r="B2032" s="109" t="s">
        <v>6062</v>
      </c>
    </row>
    <row r="2033" spans="1:2" ht="18.75" customHeight="1" x14ac:dyDescent="0.25">
      <c r="A2033" s="2">
        <v>2030</v>
      </c>
      <c r="B2033" s="109" t="s">
        <v>6063</v>
      </c>
    </row>
    <row r="2034" spans="1:2" ht="18.75" customHeight="1" x14ac:dyDescent="0.25">
      <c r="A2034" s="2">
        <v>2031</v>
      </c>
      <c r="B2034" s="2" t="s">
        <v>6076</v>
      </c>
    </row>
    <row r="2035" spans="1:2" ht="18.75" customHeight="1" x14ac:dyDescent="0.25">
      <c r="A2035" s="2">
        <v>2032</v>
      </c>
      <c r="B2035" s="2" t="s">
        <v>6077</v>
      </c>
    </row>
    <row r="2036" spans="1:2" ht="18.75" customHeight="1" x14ac:dyDescent="0.25">
      <c r="A2036" s="2">
        <v>2033</v>
      </c>
      <c r="B2036" s="2" t="s">
        <v>6078</v>
      </c>
    </row>
    <row r="2037" spans="1:2" ht="18.75" customHeight="1" x14ac:dyDescent="0.25">
      <c r="A2037" s="2">
        <v>2034</v>
      </c>
      <c r="B2037" s="109" t="s">
        <v>6080</v>
      </c>
    </row>
    <row r="2038" spans="1:2" ht="18.75" customHeight="1" x14ac:dyDescent="0.25">
      <c r="A2038" s="2">
        <v>2035</v>
      </c>
      <c r="B2038" s="109" t="s">
        <v>6081</v>
      </c>
    </row>
    <row r="2039" spans="1:2" ht="18.75" customHeight="1" x14ac:dyDescent="0.25">
      <c r="A2039" s="2">
        <v>2036</v>
      </c>
      <c r="B2039" s="2" t="s">
        <v>6082</v>
      </c>
    </row>
    <row r="2040" spans="1:2" ht="18.75" customHeight="1" x14ac:dyDescent="0.25">
      <c r="A2040" s="2">
        <v>2037</v>
      </c>
      <c r="B2040" s="2" t="s">
        <v>7371</v>
      </c>
    </row>
    <row r="2041" spans="1:2" ht="18.75" customHeight="1" x14ac:dyDescent="0.25">
      <c r="A2041" s="2">
        <v>2038</v>
      </c>
      <c r="B2041" s="2" t="s">
        <v>6084</v>
      </c>
    </row>
    <row r="2042" spans="1:2" ht="18.75" customHeight="1" x14ac:dyDescent="0.25">
      <c r="A2042" s="2">
        <v>2039</v>
      </c>
      <c r="B2042" s="2" t="s">
        <v>6085</v>
      </c>
    </row>
    <row r="2043" spans="1:2" ht="18.75" customHeight="1" x14ac:dyDescent="0.25">
      <c r="A2043" s="2">
        <v>2040</v>
      </c>
      <c r="B2043" s="2" t="s">
        <v>6087</v>
      </c>
    </row>
    <row r="2044" spans="1:2" ht="18.75" customHeight="1" x14ac:dyDescent="0.25">
      <c r="A2044" s="2">
        <v>2041</v>
      </c>
      <c r="B2044" s="2" t="s">
        <v>7371</v>
      </c>
    </row>
    <row r="2045" spans="1:2" ht="18.75" customHeight="1" x14ac:dyDescent="0.25">
      <c r="A2045" s="2">
        <v>2042</v>
      </c>
      <c r="B2045" s="2" t="s">
        <v>6088</v>
      </c>
    </row>
    <row r="2046" spans="1:2" ht="18.75" customHeight="1" x14ac:dyDescent="0.25">
      <c r="A2046" s="2">
        <v>2043</v>
      </c>
      <c r="B2046" s="20" t="s">
        <v>6089</v>
      </c>
    </row>
    <row r="2047" spans="1:2" ht="18.75" customHeight="1" x14ac:dyDescent="0.25">
      <c r="A2047" s="2">
        <v>2044</v>
      </c>
      <c r="B2047" s="109" t="s">
        <v>7371</v>
      </c>
    </row>
    <row r="2048" spans="1:2" ht="18.75" customHeight="1" x14ac:dyDescent="0.25">
      <c r="A2048" s="2">
        <v>2045</v>
      </c>
      <c r="B2048" s="2" t="s">
        <v>6095</v>
      </c>
    </row>
    <row r="2049" spans="1:2" ht="18.75" customHeight="1" x14ac:dyDescent="0.25">
      <c r="A2049" s="2">
        <v>2046</v>
      </c>
      <c r="B2049" s="2" t="s">
        <v>6096</v>
      </c>
    </row>
    <row r="2050" spans="1:2" ht="18.75" customHeight="1" x14ac:dyDescent="0.25">
      <c r="A2050" s="2">
        <v>2047</v>
      </c>
      <c r="B2050" s="2" t="s">
        <v>6099</v>
      </c>
    </row>
    <row r="2051" spans="1:2" ht="18.75" customHeight="1" x14ac:dyDescent="0.25">
      <c r="A2051" s="2">
        <v>2048</v>
      </c>
      <c r="B2051" s="2" t="s">
        <v>6100</v>
      </c>
    </row>
    <row r="2052" spans="1:2" ht="18.75" customHeight="1" x14ac:dyDescent="0.25">
      <c r="A2052" s="2">
        <v>2049</v>
      </c>
      <c r="B2052" s="109" t="s">
        <v>6103</v>
      </c>
    </row>
    <row r="2053" spans="1:2" ht="18.75" customHeight="1" x14ac:dyDescent="0.25">
      <c r="A2053" s="2">
        <v>2050</v>
      </c>
      <c r="B2053" s="109" t="s">
        <v>6116</v>
      </c>
    </row>
    <row r="2054" spans="1:2" ht="18.75" customHeight="1" x14ac:dyDescent="0.25">
      <c r="A2054" s="2">
        <v>2051</v>
      </c>
      <c r="B2054" s="109" t="s">
        <v>6117</v>
      </c>
    </row>
    <row r="2055" spans="1:2" ht="18.75" customHeight="1" x14ac:dyDescent="0.25">
      <c r="A2055" s="2">
        <v>2052</v>
      </c>
      <c r="B2055" s="109" t="s">
        <v>6118</v>
      </c>
    </row>
    <row r="2056" spans="1:2" ht="18.75" customHeight="1" x14ac:dyDescent="0.25">
      <c r="A2056" s="2">
        <v>2053</v>
      </c>
      <c r="B2056" s="2" t="s">
        <v>6119</v>
      </c>
    </row>
    <row r="2057" spans="1:2" ht="18.75" customHeight="1" x14ac:dyDescent="0.25">
      <c r="A2057" s="2">
        <v>2054</v>
      </c>
      <c r="B2057" s="109" t="s">
        <v>6120</v>
      </c>
    </row>
    <row r="2058" spans="1:2" ht="18.75" customHeight="1" x14ac:dyDescent="0.25">
      <c r="A2058" s="2">
        <v>2055</v>
      </c>
      <c r="B2058" s="109" t="s">
        <v>6121</v>
      </c>
    </row>
    <row r="2059" spans="1:2" ht="18.75" customHeight="1" x14ac:dyDescent="0.25">
      <c r="A2059" s="2">
        <v>2056</v>
      </c>
      <c r="B2059" s="109" t="s">
        <v>6127</v>
      </c>
    </row>
    <row r="2060" spans="1:2" ht="18.75" customHeight="1" x14ac:dyDescent="0.25">
      <c r="A2060" s="2">
        <v>2057</v>
      </c>
      <c r="B2060" s="109" t="s">
        <v>6129</v>
      </c>
    </row>
    <row r="2061" spans="1:2" ht="18.75" customHeight="1" x14ac:dyDescent="0.25">
      <c r="A2061" s="2">
        <v>2058</v>
      </c>
      <c r="B2061" s="109" t="s">
        <v>6131</v>
      </c>
    </row>
    <row r="2062" spans="1:2" ht="18.75" customHeight="1" x14ac:dyDescent="0.25">
      <c r="A2062" s="2">
        <v>2059</v>
      </c>
      <c r="B2062" s="109" t="s">
        <v>6133</v>
      </c>
    </row>
    <row r="2063" spans="1:2" ht="18.75" customHeight="1" x14ac:dyDescent="0.25">
      <c r="A2063" s="2">
        <v>2060</v>
      </c>
      <c r="B2063" s="109" t="s">
        <v>6135</v>
      </c>
    </row>
    <row r="2064" spans="1:2" ht="18.75" customHeight="1" x14ac:dyDescent="0.25">
      <c r="A2064" s="2">
        <v>2061</v>
      </c>
      <c r="B2064" s="109" t="s">
        <v>6139</v>
      </c>
    </row>
    <row r="2065" spans="1:2" ht="18.75" customHeight="1" x14ac:dyDescent="0.25">
      <c r="A2065" s="2">
        <v>2062</v>
      </c>
      <c r="B2065" s="2" t="s">
        <v>6141</v>
      </c>
    </row>
    <row r="2066" spans="1:2" ht="18.75" customHeight="1" x14ac:dyDescent="0.25">
      <c r="A2066" s="2">
        <v>2063</v>
      </c>
      <c r="B2066" s="2" t="s">
        <v>6142</v>
      </c>
    </row>
    <row r="2067" spans="1:2" ht="18.75" customHeight="1" x14ac:dyDescent="0.25">
      <c r="A2067" s="2">
        <v>2064</v>
      </c>
      <c r="B2067" s="2" t="s">
        <v>6144</v>
      </c>
    </row>
    <row r="2068" spans="1:2" ht="18.75" customHeight="1" x14ac:dyDescent="0.25">
      <c r="A2068" s="2">
        <v>2065</v>
      </c>
      <c r="B2068" s="109" t="s">
        <v>6147</v>
      </c>
    </row>
    <row r="2069" spans="1:2" ht="18.75" customHeight="1" x14ac:dyDescent="0.25">
      <c r="A2069" s="2">
        <v>2066</v>
      </c>
      <c r="B2069" s="109" t="s">
        <v>6149</v>
      </c>
    </row>
    <row r="2070" spans="1:2" ht="18.75" customHeight="1" x14ac:dyDescent="0.25">
      <c r="A2070" s="2">
        <v>2067</v>
      </c>
      <c r="B2070" s="109" t="s">
        <v>6150</v>
      </c>
    </row>
    <row r="2071" spans="1:2" ht="18.75" customHeight="1" x14ac:dyDescent="0.25">
      <c r="A2071" s="2">
        <v>2068</v>
      </c>
      <c r="B2071" s="2" t="s">
        <v>6165</v>
      </c>
    </row>
    <row r="2072" spans="1:2" ht="18.75" customHeight="1" x14ac:dyDescent="0.25">
      <c r="A2072" s="2">
        <v>2069</v>
      </c>
      <c r="B2072" s="2" t="s">
        <v>6168</v>
      </c>
    </row>
    <row r="2073" spans="1:2" ht="18.75" customHeight="1" x14ac:dyDescent="0.25">
      <c r="A2073" s="2">
        <v>2070</v>
      </c>
      <c r="B2073" s="2" t="s">
        <v>6172</v>
      </c>
    </row>
    <row r="2074" spans="1:2" ht="18.75" customHeight="1" x14ac:dyDescent="0.25">
      <c r="A2074" s="2">
        <v>2071</v>
      </c>
      <c r="B2074" s="2" t="s">
        <v>6176</v>
      </c>
    </row>
    <row r="2075" spans="1:2" ht="18.75" customHeight="1" x14ac:dyDescent="0.25">
      <c r="A2075" s="2">
        <v>2072</v>
      </c>
      <c r="B2075" s="2" t="s">
        <v>6179</v>
      </c>
    </row>
    <row r="2076" spans="1:2" ht="18.75" customHeight="1" x14ac:dyDescent="0.25">
      <c r="A2076" s="2">
        <v>2073</v>
      </c>
      <c r="B2076" s="2" t="s">
        <v>6182</v>
      </c>
    </row>
    <row r="2077" spans="1:2" ht="18.75" customHeight="1" x14ac:dyDescent="0.25">
      <c r="A2077" s="2">
        <v>2074</v>
      </c>
      <c r="B2077" s="109" t="s">
        <v>6187</v>
      </c>
    </row>
    <row r="2078" spans="1:2" ht="18.75" customHeight="1" x14ac:dyDescent="0.25">
      <c r="A2078" s="2">
        <v>2075</v>
      </c>
      <c r="B2078" s="109" t="s">
        <v>6189</v>
      </c>
    </row>
    <row r="2079" spans="1:2" ht="18.75" customHeight="1" x14ac:dyDescent="0.25">
      <c r="A2079" s="2">
        <v>2076</v>
      </c>
      <c r="B2079" s="20" t="s">
        <v>6190</v>
      </c>
    </row>
    <row r="2080" spans="1:2" ht="18.75" customHeight="1" x14ac:dyDescent="0.25">
      <c r="A2080" s="2">
        <v>2077</v>
      </c>
      <c r="B2080" s="109" t="s">
        <v>7371</v>
      </c>
    </row>
    <row r="2081" spans="1:2" ht="18.75" customHeight="1" x14ac:dyDescent="0.25">
      <c r="A2081" s="2">
        <v>2078</v>
      </c>
      <c r="B2081" s="109" t="s">
        <v>6197</v>
      </c>
    </row>
    <row r="2082" spans="1:2" ht="18.75" customHeight="1" x14ac:dyDescent="0.25">
      <c r="A2082" s="2">
        <v>2079</v>
      </c>
      <c r="B2082" s="109" t="s">
        <v>6199</v>
      </c>
    </row>
    <row r="2083" spans="1:2" ht="18.75" customHeight="1" x14ac:dyDescent="0.25">
      <c r="A2083" s="2">
        <v>2080</v>
      </c>
      <c r="B2083" s="109" t="s">
        <v>6202</v>
      </c>
    </row>
    <row r="2084" spans="1:2" ht="18.75" customHeight="1" x14ac:dyDescent="0.25">
      <c r="A2084" s="2">
        <v>2081</v>
      </c>
      <c r="B2084" s="109" t="s">
        <v>6203</v>
      </c>
    </row>
    <row r="2085" spans="1:2" ht="18.75" customHeight="1" x14ac:dyDescent="0.25">
      <c r="A2085" s="2">
        <v>2082</v>
      </c>
      <c r="B2085" s="109" t="s">
        <v>6208</v>
      </c>
    </row>
    <row r="2086" spans="1:2" ht="18.75" customHeight="1" x14ac:dyDescent="0.25">
      <c r="A2086" s="2">
        <v>2083</v>
      </c>
      <c r="B2086" s="2" t="s">
        <v>6278</v>
      </c>
    </row>
    <row r="2087" spans="1:2" ht="18.75" customHeight="1" x14ac:dyDescent="0.25">
      <c r="A2087" s="2">
        <v>2084</v>
      </c>
      <c r="B2087" s="2" t="s">
        <v>6285</v>
      </c>
    </row>
    <row r="2088" spans="1:2" ht="18.75" customHeight="1" x14ac:dyDescent="0.25">
      <c r="A2088" s="2">
        <v>2085</v>
      </c>
      <c r="B2088" s="2" t="s">
        <v>6288</v>
      </c>
    </row>
    <row r="2089" spans="1:2" ht="18.75" customHeight="1" x14ac:dyDescent="0.25">
      <c r="A2089" s="2">
        <v>2086</v>
      </c>
      <c r="B2089" s="2" t="s">
        <v>6289</v>
      </c>
    </row>
    <row r="2090" spans="1:2" ht="18.75" customHeight="1" x14ac:dyDescent="0.25">
      <c r="A2090" s="2">
        <v>2087</v>
      </c>
      <c r="B2090" s="20" t="s">
        <v>6294</v>
      </c>
    </row>
    <row r="2091" spans="1:2" ht="18.75" customHeight="1" x14ac:dyDescent="0.25">
      <c r="A2091" s="2">
        <v>2088</v>
      </c>
      <c r="B2091" s="20" t="s">
        <v>6296</v>
      </c>
    </row>
    <row r="2092" spans="1:2" ht="18.75" customHeight="1" x14ac:dyDescent="0.25">
      <c r="A2092" s="2">
        <v>2089</v>
      </c>
      <c r="B2092" s="109" t="s">
        <v>6299</v>
      </c>
    </row>
    <row r="2093" spans="1:2" ht="18.75" customHeight="1" x14ac:dyDescent="0.25">
      <c r="A2093" s="2">
        <v>2090</v>
      </c>
      <c r="B2093" s="109" t="s">
        <v>6302</v>
      </c>
    </row>
    <row r="2094" spans="1:2" ht="18.75" customHeight="1" x14ac:dyDescent="0.25">
      <c r="A2094" s="2">
        <v>2091</v>
      </c>
      <c r="B2094" s="109" t="s">
        <v>6304</v>
      </c>
    </row>
    <row r="2095" spans="1:2" ht="18.75" customHeight="1" x14ac:dyDescent="0.25">
      <c r="A2095" s="2">
        <v>2092</v>
      </c>
      <c r="B2095" s="109" t="s">
        <v>6306</v>
      </c>
    </row>
    <row r="2096" spans="1:2" ht="18.75" customHeight="1" x14ac:dyDescent="0.25">
      <c r="A2096" s="2">
        <v>2093</v>
      </c>
      <c r="B2096" s="109" t="s">
        <v>6309</v>
      </c>
    </row>
    <row r="2097" spans="1:2" ht="18.75" customHeight="1" x14ac:dyDescent="0.25">
      <c r="A2097" s="2">
        <v>2094</v>
      </c>
      <c r="B2097" s="109" t="s">
        <v>6311</v>
      </c>
    </row>
    <row r="2098" spans="1:2" ht="18.75" customHeight="1" x14ac:dyDescent="0.25">
      <c r="A2098" s="2">
        <v>2095</v>
      </c>
      <c r="B2098" s="2" t="s">
        <v>6315</v>
      </c>
    </row>
    <row r="2099" spans="1:2" ht="18.75" customHeight="1" x14ac:dyDescent="0.25">
      <c r="A2099" s="2">
        <v>2096</v>
      </c>
      <c r="B2099" s="109" t="s">
        <v>6318</v>
      </c>
    </row>
    <row r="2100" spans="1:2" ht="18.75" customHeight="1" x14ac:dyDescent="0.25">
      <c r="A2100" s="2">
        <v>2097</v>
      </c>
      <c r="B2100" s="2" t="s">
        <v>6320</v>
      </c>
    </row>
    <row r="2101" spans="1:2" ht="18.75" customHeight="1" x14ac:dyDescent="0.25">
      <c r="A2101" s="2">
        <v>2098</v>
      </c>
      <c r="B2101" s="109" t="s">
        <v>4941</v>
      </c>
    </row>
    <row r="2102" spans="1:2" ht="18.75" customHeight="1" x14ac:dyDescent="0.25">
      <c r="A2102" s="2">
        <v>2099</v>
      </c>
      <c r="B2102" s="2" t="s">
        <v>6333</v>
      </c>
    </row>
    <row r="2103" spans="1:2" ht="18.75" customHeight="1" x14ac:dyDescent="0.25">
      <c r="A2103" s="2">
        <v>2100</v>
      </c>
      <c r="B2103" s="109" t="s">
        <v>6608</v>
      </c>
    </row>
    <row r="2104" spans="1:2" ht="18.75" customHeight="1" x14ac:dyDescent="0.25">
      <c r="A2104" s="2">
        <v>2101</v>
      </c>
      <c r="B2104" s="109" t="s">
        <v>6338</v>
      </c>
    </row>
    <row r="2105" spans="1:2" ht="18.75" customHeight="1" x14ac:dyDescent="0.25">
      <c r="A2105" s="2">
        <v>2102</v>
      </c>
      <c r="B2105" s="109" t="s">
        <v>6340</v>
      </c>
    </row>
    <row r="2106" spans="1:2" ht="18.75" customHeight="1" x14ac:dyDescent="0.25">
      <c r="A2106" s="2">
        <v>2103</v>
      </c>
      <c r="B2106" s="109" t="s">
        <v>6342</v>
      </c>
    </row>
    <row r="2107" spans="1:2" ht="18.75" customHeight="1" x14ac:dyDescent="0.25">
      <c r="A2107" s="2">
        <v>2104</v>
      </c>
      <c r="B2107" s="109" t="s">
        <v>6346</v>
      </c>
    </row>
    <row r="2108" spans="1:2" ht="18.75" customHeight="1" x14ac:dyDescent="0.25">
      <c r="A2108" s="2">
        <v>2105</v>
      </c>
      <c r="B2108" s="109" t="s">
        <v>6347</v>
      </c>
    </row>
    <row r="2109" spans="1:2" ht="18.75" customHeight="1" x14ac:dyDescent="0.25">
      <c r="A2109" s="2">
        <v>2106</v>
      </c>
      <c r="B2109" s="109" t="s">
        <v>6349</v>
      </c>
    </row>
    <row r="2110" spans="1:2" ht="18.75" customHeight="1" x14ac:dyDescent="0.25">
      <c r="A2110" s="2">
        <v>2107</v>
      </c>
      <c r="B2110" s="109" t="s">
        <v>6353</v>
      </c>
    </row>
    <row r="2111" spans="1:2" ht="18.75" customHeight="1" x14ac:dyDescent="0.25">
      <c r="A2111" s="2">
        <v>2108</v>
      </c>
      <c r="B2111" s="109" t="s">
        <v>6354</v>
      </c>
    </row>
    <row r="2112" spans="1:2" ht="18.75" customHeight="1" x14ac:dyDescent="0.25">
      <c r="A2112" s="2">
        <v>2109</v>
      </c>
      <c r="B2112" s="109" t="s">
        <v>6357</v>
      </c>
    </row>
    <row r="2113" spans="1:2" ht="18.75" customHeight="1" x14ac:dyDescent="0.25">
      <c r="A2113" s="2">
        <v>2110</v>
      </c>
      <c r="B2113" s="109" t="s">
        <v>6361</v>
      </c>
    </row>
    <row r="2114" spans="1:2" ht="18.75" customHeight="1" x14ac:dyDescent="0.25">
      <c r="A2114" s="2">
        <v>2111</v>
      </c>
      <c r="B2114" s="109" t="s">
        <v>6364</v>
      </c>
    </row>
    <row r="2115" spans="1:2" ht="18.75" customHeight="1" x14ac:dyDescent="0.25">
      <c r="A2115" s="2">
        <v>2112</v>
      </c>
      <c r="B2115" s="109" t="s">
        <v>6365</v>
      </c>
    </row>
    <row r="2116" spans="1:2" ht="18.75" customHeight="1" x14ac:dyDescent="0.25">
      <c r="A2116" s="2">
        <v>2113</v>
      </c>
      <c r="B2116" s="109" t="s">
        <v>6370</v>
      </c>
    </row>
    <row r="2117" spans="1:2" ht="18.75" customHeight="1" x14ac:dyDescent="0.25">
      <c r="A2117" s="2">
        <v>2114</v>
      </c>
      <c r="B2117" s="109" t="s">
        <v>6372</v>
      </c>
    </row>
    <row r="2118" spans="1:2" ht="18.75" customHeight="1" x14ac:dyDescent="0.25">
      <c r="A2118" s="2">
        <v>2115</v>
      </c>
      <c r="B2118" s="109" t="s">
        <v>6375</v>
      </c>
    </row>
    <row r="2119" spans="1:2" ht="18.75" customHeight="1" x14ac:dyDescent="0.25">
      <c r="A2119" s="2">
        <v>2116</v>
      </c>
      <c r="B2119" s="109" t="s">
        <v>6376</v>
      </c>
    </row>
    <row r="2120" spans="1:2" ht="18.75" customHeight="1" x14ac:dyDescent="0.25">
      <c r="A2120" s="2">
        <v>2117</v>
      </c>
      <c r="B2120" s="109" t="s">
        <v>6378</v>
      </c>
    </row>
    <row r="2121" spans="1:2" ht="18.75" customHeight="1" x14ac:dyDescent="0.25">
      <c r="A2121" s="2">
        <v>2118</v>
      </c>
      <c r="B2121" s="109" t="s">
        <v>6382</v>
      </c>
    </row>
    <row r="2122" spans="1:2" ht="18.75" customHeight="1" x14ac:dyDescent="0.25">
      <c r="A2122" s="2">
        <v>2119</v>
      </c>
      <c r="B2122" s="109" t="s">
        <v>6384</v>
      </c>
    </row>
    <row r="2123" spans="1:2" ht="18.75" customHeight="1" x14ac:dyDescent="0.25">
      <c r="A2123" s="2">
        <v>2120</v>
      </c>
      <c r="B2123" s="109" t="s">
        <v>6387</v>
      </c>
    </row>
    <row r="2124" spans="1:2" ht="18.75" customHeight="1" x14ac:dyDescent="0.25">
      <c r="A2124" s="2">
        <v>2121</v>
      </c>
      <c r="B2124" s="109" t="s">
        <v>6392</v>
      </c>
    </row>
    <row r="2125" spans="1:2" ht="18.75" customHeight="1" x14ac:dyDescent="0.25">
      <c r="A2125" s="2">
        <v>2122</v>
      </c>
      <c r="B2125" s="109" t="s">
        <v>6396</v>
      </c>
    </row>
    <row r="2126" spans="1:2" ht="18.75" customHeight="1" x14ac:dyDescent="0.25">
      <c r="A2126" s="2">
        <v>2123</v>
      </c>
      <c r="B2126" s="109" t="s">
        <v>6398</v>
      </c>
    </row>
    <row r="2127" spans="1:2" ht="18.75" customHeight="1" x14ac:dyDescent="0.25">
      <c r="A2127" s="2">
        <v>2124</v>
      </c>
      <c r="B2127" s="109" t="s">
        <v>6403</v>
      </c>
    </row>
    <row r="2128" spans="1:2" ht="18.75" customHeight="1" x14ac:dyDescent="0.25">
      <c r="A2128" s="2">
        <v>2125</v>
      </c>
      <c r="B2128" s="109" t="s">
        <v>6405</v>
      </c>
    </row>
    <row r="2129" spans="1:2" ht="18.75" customHeight="1" x14ac:dyDescent="0.25">
      <c r="A2129" s="2">
        <v>2126</v>
      </c>
      <c r="B2129" s="109" t="s">
        <v>6408</v>
      </c>
    </row>
    <row r="2130" spans="1:2" ht="18.75" customHeight="1" x14ac:dyDescent="0.25">
      <c r="A2130" s="2">
        <v>2127</v>
      </c>
      <c r="B2130" s="109" t="s">
        <v>6410</v>
      </c>
    </row>
    <row r="2131" spans="1:2" ht="18.75" customHeight="1" x14ac:dyDescent="0.25">
      <c r="A2131" s="2">
        <v>2128</v>
      </c>
      <c r="B2131" s="109" t="s">
        <v>6414</v>
      </c>
    </row>
    <row r="2132" spans="1:2" ht="18.75" customHeight="1" x14ac:dyDescent="0.25">
      <c r="A2132" s="2">
        <v>2129</v>
      </c>
      <c r="B2132" s="109" t="s">
        <v>6417</v>
      </c>
    </row>
    <row r="2133" spans="1:2" ht="18.75" customHeight="1" x14ac:dyDescent="0.25">
      <c r="A2133" s="2">
        <v>2130</v>
      </c>
      <c r="B2133" s="109" t="s">
        <v>6420</v>
      </c>
    </row>
    <row r="2134" spans="1:2" ht="18.75" customHeight="1" x14ac:dyDescent="0.25">
      <c r="A2134" s="2">
        <v>2131</v>
      </c>
      <c r="B2134" s="109" t="s">
        <v>6422</v>
      </c>
    </row>
    <row r="2135" spans="1:2" ht="18.75" customHeight="1" x14ac:dyDescent="0.25">
      <c r="A2135" s="2">
        <v>2132</v>
      </c>
      <c r="B2135" s="109" t="s">
        <v>6425</v>
      </c>
    </row>
    <row r="2136" spans="1:2" ht="18.75" customHeight="1" x14ac:dyDescent="0.25">
      <c r="A2136" s="2">
        <v>2133</v>
      </c>
      <c r="B2136" s="109" t="s">
        <v>6427</v>
      </c>
    </row>
    <row r="2137" spans="1:2" ht="18.75" customHeight="1" x14ac:dyDescent="0.25">
      <c r="A2137" s="2">
        <v>2134</v>
      </c>
      <c r="B2137" s="109" t="s">
        <v>6431</v>
      </c>
    </row>
    <row r="2138" spans="1:2" ht="18.75" customHeight="1" x14ac:dyDescent="0.25">
      <c r="A2138" s="2">
        <v>2135</v>
      </c>
      <c r="B2138" s="109" t="s">
        <v>6432</v>
      </c>
    </row>
    <row r="2139" spans="1:2" ht="18.75" customHeight="1" x14ac:dyDescent="0.25">
      <c r="A2139" s="2">
        <v>2136</v>
      </c>
      <c r="B2139" s="109" t="s">
        <v>6435</v>
      </c>
    </row>
    <row r="2140" spans="1:2" ht="18.75" customHeight="1" x14ac:dyDescent="0.25">
      <c r="A2140" s="2">
        <v>2137</v>
      </c>
      <c r="B2140" s="109" t="s">
        <v>6443</v>
      </c>
    </row>
    <row r="2141" spans="1:2" ht="18.75" customHeight="1" x14ac:dyDescent="0.25">
      <c r="A2141" s="2">
        <v>2138</v>
      </c>
      <c r="B2141" s="109" t="s">
        <v>6445</v>
      </c>
    </row>
    <row r="2142" spans="1:2" ht="18.75" customHeight="1" x14ac:dyDescent="0.25">
      <c r="A2142" s="2">
        <v>2139</v>
      </c>
      <c r="B2142" s="109" t="s">
        <v>6447</v>
      </c>
    </row>
    <row r="2143" spans="1:2" ht="18.75" customHeight="1" x14ac:dyDescent="0.25">
      <c r="A2143" s="2">
        <v>2140</v>
      </c>
      <c r="B2143" s="109" t="s">
        <v>6448</v>
      </c>
    </row>
    <row r="2144" spans="1:2" ht="18.75" customHeight="1" x14ac:dyDescent="0.25">
      <c r="A2144" s="2">
        <v>2141</v>
      </c>
      <c r="B2144" s="109" t="s">
        <v>6453</v>
      </c>
    </row>
    <row r="2145" spans="1:2" ht="18.75" customHeight="1" x14ac:dyDescent="0.25">
      <c r="A2145" s="2">
        <v>2142</v>
      </c>
      <c r="B2145" s="109" t="s">
        <v>6457</v>
      </c>
    </row>
    <row r="2146" spans="1:2" ht="18.75" customHeight="1" x14ac:dyDescent="0.25">
      <c r="A2146" s="2">
        <v>2143</v>
      </c>
      <c r="B2146" s="109" t="s">
        <v>6459</v>
      </c>
    </row>
    <row r="2147" spans="1:2" ht="18.75" customHeight="1" x14ac:dyDescent="0.25">
      <c r="A2147" s="2">
        <v>2144</v>
      </c>
      <c r="B2147" s="109" t="s">
        <v>6460</v>
      </c>
    </row>
    <row r="2148" spans="1:2" ht="18.75" customHeight="1" x14ac:dyDescent="0.25">
      <c r="A2148" s="2">
        <v>2145</v>
      </c>
      <c r="B2148" s="109" t="s">
        <v>6464</v>
      </c>
    </row>
    <row r="2149" spans="1:2" ht="18.75" customHeight="1" x14ac:dyDescent="0.25">
      <c r="A2149" s="2">
        <v>2146</v>
      </c>
      <c r="B2149" s="109" t="s">
        <v>6473</v>
      </c>
    </row>
    <row r="2150" spans="1:2" ht="18.75" customHeight="1" x14ac:dyDescent="0.25">
      <c r="A2150" s="2">
        <v>2147</v>
      </c>
      <c r="B2150" s="109" t="s">
        <v>6474</v>
      </c>
    </row>
    <row r="2151" spans="1:2" ht="18.75" customHeight="1" x14ac:dyDescent="0.25">
      <c r="A2151" s="2">
        <v>2148</v>
      </c>
      <c r="B2151" s="109" t="s">
        <v>6485</v>
      </c>
    </row>
    <row r="2152" spans="1:2" ht="18.75" customHeight="1" x14ac:dyDescent="0.25">
      <c r="A2152" s="2">
        <v>2149</v>
      </c>
      <c r="B2152" s="109" t="s">
        <v>6489</v>
      </c>
    </row>
    <row r="2153" spans="1:2" ht="18.75" customHeight="1" x14ac:dyDescent="0.25">
      <c r="A2153" s="2">
        <v>2150</v>
      </c>
      <c r="B2153" s="109" t="s">
        <v>6492</v>
      </c>
    </row>
    <row r="2154" spans="1:2" ht="18.75" customHeight="1" x14ac:dyDescent="0.25">
      <c r="A2154" s="2">
        <v>2151</v>
      </c>
      <c r="B2154" s="109" t="s">
        <v>6494</v>
      </c>
    </row>
    <row r="2155" spans="1:2" ht="18.75" customHeight="1" x14ac:dyDescent="0.25">
      <c r="A2155" s="2">
        <v>2152</v>
      </c>
      <c r="B2155" s="109" t="s">
        <v>6497</v>
      </c>
    </row>
    <row r="2156" spans="1:2" ht="18.75" customHeight="1" x14ac:dyDescent="0.25">
      <c r="A2156" s="2">
        <v>2153</v>
      </c>
      <c r="B2156" s="109" t="s">
        <v>6500</v>
      </c>
    </row>
    <row r="2157" spans="1:2" ht="18.75" customHeight="1" x14ac:dyDescent="0.25">
      <c r="A2157" s="2">
        <v>2154</v>
      </c>
      <c r="B2157" s="109" t="s">
        <v>6501</v>
      </c>
    </row>
    <row r="2158" spans="1:2" ht="18.75" customHeight="1" x14ac:dyDescent="0.25">
      <c r="A2158" s="2">
        <v>2155</v>
      </c>
      <c r="B2158" s="109" t="s">
        <v>6507</v>
      </c>
    </row>
    <row r="2159" spans="1:2" ht="18.75" customHeight="1" x14ac:dyDescent="0.25">
      <c r="A2159" s="2">
        <v>2156</v>
      </c>
      <c r="B2159" s="109" t="s">
        <v>6509</v>
      </c>
    </row>
    <row r="2160" spans="1:2" ht="18.75" customHeight="1" x14ac:dyDescent="0.25">
      <c r="A2160" s="2">
        <v>2157</v>
      </c>
      <c r="B2160" s="109" t="s">
        <v>6566</v>
      </c>
    </row>
    <row r="2161" spans="1:2" ht="18.75" customHeight="1" x14ac:dyDescent="0.25">
      <c r="A2161" s="2">
        <v>2158</v>
      </c>
      <c r="B2161" s="2" t="s">
        <v>6571</v>
      </c>
    </row>
    <row r="2162" spans="1:2" ht="18.75" customHeight="1" x14ac:dyDescent="0.25">
      <c r="A2162" s="2">
        <v>2159</v>
      </c>
      <c r="B2162" s="109" t="s">
        <v>6572</v>
      </c>
    </row>
    <row r="2163" spans="1:2" ht="18.75" customHeight="1" x14ac:dyDescent="0.25">
      <c r="A2163" s="2">
        <v>2160</v>
      </c>
      <c r="B2163" s="2" t="s">
        <v>6575</v>
      </c>
    </row>
    <row r="2164" spans="1:2" ht="18.75" customHeight="1" x14ac:dyDescent="0.25">
      <c r="A2164" s="2">
        <v>2161</v>
      </c>
      <c r="B2164" s="109" t="s">
        <v>6578</v>
      </c>
    </row>
    <row r="2165" spans="1:2" ht="18.75" customHeight="1" x14ac:dyDescent="0.25">
      <c r="A2165" s="2">
        <v>2162</v>
      </c>
      <c r="B2165" s="109" t="s">
        <v>6581</v>
      </c>
    </row>
    <row r="2166" spans="1:2" ht="18.75" customHeight="1" x14ac:dyDescent="0.25">
      <c r="A2166" s="117">
        <v>2163</v>
      </c>
      <c r="B2166" s="109" t="s">
        <v>2243</v>
      </c>
    </row>
    <row r="2167" spans="1:2" ht="18.75" customHeight="1" x14ac:dyDescent="0.25">
      <c r="A2167" s="2">
        <v>2164</v>
      </c>
      <c r="B2167" s="2" t="s">
        <v>6596</v>
      </c>
    </row>
    <row r="2168" spans="1:2" ht="18.75" customHeight="1" x14ac:dyDescent="0.25">
      <c r="A2168" s="2">
        <v>2165</v>
      </c>
      <c r="B2168" s="109" t="s">
        <v>6599</v>
      </c>
    </row>
    <row r="2169" spans="1:2" ht="18.75" customHeight="1" x14ac:dyDescent="0.25">
      <c r="A2169" s="2">
        <v>2166</v>
      </c>
      <c r="B2169" s="109" t="s">
        <v>6600</v>
      </c>
    </row>
    <row r="2170" spans="1:2" ht="18.75" customHeight="1" x14ac:dyDescent="0.25">
      <c r="A2170" s="2">
        <v>2167</v>
      </c>
      <c r="B2170" s="109" t="s">
        <v>6601</v>
      </c>
    </row>
    <row r="2171" spans="1:2" ht="18.75" customHeight="1" x14ac:dyDescent="0.25">
      <c r="A2171" s="2">
        <v>2168</v>
      </c>
      <c r="B2171" s="109" t="s">
        <v>6603</v>
      </c>
    </row>
    <row r="2172" spans="1:2" ht="18.75" customHeight="1" x14ac:dyDescent="0.25">
      <c r="A2172" s="2">
        <v>2169</v>
      </c>
      <c r="B2172" s="109" t="s">
        <v>6829</v>
      </c>
    </row>
    <row r="2173" spans="1:2" ht="18.75" customHeight="1" x14ac:dyDescent="0.25">
      <c r="A2173" s="2">
        <v>2170</v>
      </c>
      <c r="B2173" s="109" t="s">
        <v>6606</v>
      </c>
    </row>
    <row r="2174" spans="1:2" ht="18.75" customHeight="1" x14ac:dyDescent="0.25">
      <c r="A2174" s="2">
        <v>2171</v>
      </c>
      <c r="B2174" s="109" t="s">
        <v>6608</v>
      </c>
    </row>
    <row r="2175" spans="1:2" ht="18.75" customHeight="1" x14ac:dyDescent="0.25">
      <c r="A2175" s="2">
        <v>2172</v>
      </c>
      <c r="B2175" s="109" t="s">
        <v>6612</v>
      </c>
    </row>
    <row r="2176" spans="1:2" ht="18.75" customHeight="1" x14ac:dyDescent="0.25">
      <c r="A2176" s="2">
        <v>2173</v>
      </c>
      <c r="B2176" s="109" t="s">
        <v>6616</v>
      </c>
    </row>
    <row r="2177" spans="1:2" ht="18.75" customHeight="1" x14ac:dyDescent="0.25">
      <c r="A2177" s="2">
        <v>2174</v>
      </c>
      <c r="B2177" s="109" t="s">
        <v>6828</v>
      </c>
    </row>
    <row r="2178" spans="1:2" ht="18.75" customHeight="1" x14ac:dyDescent="0.25">
      <c r="A2178" s="2">
        <v>2175</v>
      </c>
      <c r="B2178" s="109" t="s">
        <v>6619</v>
      </c>
    </row>
    <row r="2179" spans="1:2" ht="18.75" customHeight="1" x14ac:dyDescent="0.25">
      <c r="A2179" s="2">
        <v>2176</v>
      </c>
      <c r="B2179" s="109" t="s">
        <v>6623</v>
      </c>
    </row>
    <row r="2180" spans="1:2" ht="18.75" customHeight="1" x14ac:dyDescent="0.25">
      <c r="A2180" s="2">
        <v>2177</v>
      </c>
      <c r="B2180" s="109" t="s">
        <v>6628</v>
      </c>
    </row>
    <row r="2181" spans="1:2" ht="18.75" customHeight="1" x14ac:dyDescent="0.25">
      <c r="A2181" s="2">
        <v>2178</v>
      </c>
      <c r="B2181" s="109" t="s">
        <v>6638</v>
      </c>
    </row>
    <row r="2182" spans="1:2" ht="18.75" customHeight="1" x14ac:dyDescent="0.25">
      <c r="A2182" s="2">
        <v>2179</v>
      </c>
      <c r="B2182" s="109" t="s">
        <v>6641</v>
      </c>
    </row>
    <row r="2183" spans="1:2" ht="18.75" customHeight="1" x14ac:dyDescent="0.25">
      <c r="A2183" s="2">
        <v>2180</v>
      </c>
      <c r="B2183" s="109" t="s">
        <v>6646</v>
      </c>
    </row>
    <row r="2184" spans="1:2" ht="18.75" customHeight="1" x14ac:dyDescent="0.25">
      <c r="A2184" s="2">
        <v>2181</v>
      </c>
      <c r="B2184" s="109" t="s">
        <v>6648</v>
      </c>
    </row>
    <row r="2185" spans="1:2" ht="18.75" customHeight="1" x14ac:dyDescent="0.25">
      <c r="A2185" s="2">
        <v>2182</v>
      </c>
      <c r="B2185" s="109" t="s">
        <v>6656</v>
      </c>
    </row>
    <row r="2186" spans="1:2" ht="18.75" customHeight="1" x14ac:dyDescent="0.25">
      <c r="A2186" s="2">
        <v>2183</v>
      </c>
      <c r="B2186" s="109" t="s">
        <v>6657</v>
      </c>
    </row>
    <row r="2187" spans="1:2" ht="18.75" customHeight="1" x14ac:dyDescent="0.25">
      <c r="A2187" s="2">
        <v>2184</v>
      </c>
      <c r="B2187" s="109" t="s">
        <v>6662</v>
      </c>
    </row>
    <row r="2188" spans="1:2" ht="18.75" customHeight="1" x14ac:dyDescent="0.25">
      <c r="A2188" s="2">
        <v>2185</v>
      </c>
      <c r="B2188" s="109" t="s">
        <v>6665</v>
      </c>
    </row>
    <row r="2189" spans="1:2" ht="18.75" customHeight="1" x14ac:dyDescent="0.25">
      <c r="A2189" s="2">
        <v>2186</v>
      </c>
      <c r="B2189" s="109" t="s">
        <v>6668</v>
      </c>
    </row>
    <row r="2190" spans="1:2" ht="18.75" customHeight="1" x14ac:dyDescent="0.25">
      <c r="A2190" s="2">
        <v>2187</v>
      </c>
      <c r="B2190" s="109" t="s">
        <v>6671</v>
      </c>
    </row>
    <row r="2191" spans="1:2" ht="18.75" customHeight="1" x14ac:dyDescent="0.25">
      <c r="A2191" s="2">
        <v>2188</v>
      </c>
      <c r="B2191" s="109" t="s">
        <v>6675</v>
      </c>
    </row>
    <row r="2192" spans="1:2" ht="18.75" customHeight="1" x14ac:dyDescent="0.25">
      <c r="A2192" s="2">
        <v>2189</v>
      </c>
      <c r="B2192" s="109" t="s">
        <v>6678</v>
      </c>
    </row>
    <row r="2193" spans="1:2" ht="18.75" customHeight="1" x14ac:dyDescent="0.25">
      <c r="A2193" s="2">
        <v>2190</v>
      </c>
      <c r="B2193" s="109" t="s">
        <v>6683</v>
      </c>
    </row>
    <row r="2194" spans="1:2" ht="18.75" customHeight="1" x14ac:dyDescent="0.25">
      <c r="A2194" s="2">
        <v>2191</v>
      </c>
      <c r="B2194" s="109" t="s">
        <v>6684</v>
      </c>
    </row>
    <row r="2195" spans="1:2" ht="18.75" customHeight="1" x14ac:dyDescent="0.25">
      <c r="A2195" s="2">
        <v>2192</v>
      </c>
      <c r="B2195" s="109" t="s">
        <v>6686</v>
      </c>
    </row>
    <row r="2196" spans="1:2" ht="18.75" customHeight="1" x14ac:dyDescent="0.25">
      <c r="A2196" s="2">
        <v>2193</v>
      </c>
      <c r="B2196" s="109" t="s">
        <v>6689</v>
      </c>
    </row>
    <row r="2197" spans="1:2" ht="18.75" customHeight="1" x14ac:dyDescent="0.25">
      <c r="A2197" s="2">
        <v>2194</v>
      </c>
      <c r="B2197" s="109" t="s">
        <v>6692</v>
      </c>
    </row>
    <row r="2198" spans="1:2" ht="18.75" customHeight="1" x14ac:dyDescent="0.25">
      <c r="A2198" s="2">
        <v>2195</v>
      </c>
      <c r="B2198" s="109" t="s">
        <v>6694</v>
      </c>
    </row>
    <row r="2199" spans="1:2" ht="18.75" customHeight="1" x14ac:dyDescent="0.25">
      <c r="A2199" s="2">
        <v>2196</v>
      </c>
      <c r="B2199" s="109" t="s">
        <v>6696</v>
      </c>
    </row>
    <row r="2200" spans="1:2" ht="18.75" customHeight="1" x14ac:dyDescent="0.25">
      <c r="A2200" s="2">
        <v>2197</v>
      </c>
      <c r="B2200" s="109" t="s">
        <v>6698</v>
      </c>
    </row>
    <row r="2201" spans="1:2" ht="18.75" customHeight="1" x14ac:dyDescent="0.25">
      <c r="A2201" s="2">
        <v>2198</v>
      </c>
      <c r="B2201" s="109" t="s">
        <v>6700</v>
      </c>
    </row>
    <row r="2202" spans="1:2" ht="18.75" customHeight="1" x14ac:dyDescent="0.25">
      <c r="A2202" s="2">
        <v>2199</v>
      </c>
      <c r="B2202" s="109" t="s">
        <v>6702</v>
      </c>
    </row>
    <row r="2203" spans="1:2" ht="18.75" customHeight="1" x14ac:dyDescent="0.25">
      <c r="A2203" s="2">
        <v>2200</v>
      </c>
      <c r="B2203" s="109" t="s">
        <v>6706</v>
      </c>
    </row>
    <row r="2204" spans="1:2" ht="18.75" customHeight="1" x14ac:dyDescent="0.25">
      <c r="A2204" s="2">
        <v>2201</v>
      </c>
      <c r="B2204" s="109" t="s">
        <v>6708</v>
      </c>
    </row>
    <row r="2205" spans="1:2" ht="18.75" customHeight="1" x14ac:dyDescent="0.25">
      <c r="A2205" s="2">
        <v>2202</v>
      </c>
      <c r="B2205" s="109" t="s">
        <v>6711</v>
      </c>
    </row>
    <row r="2206" spans="1:2" ht="18.75" customHeight="1" x14ac:dyDescent="0.25">
      <c r="A2206" s="2">
        <v>2203</v>
      </c>
      <c r="B2206" s="109" t="s">
        <v>6715</v>
      </c>
    </row>
    <row r="2207" spans="1:2" ht="18.75" customHeight="1" x14ac:dyDescent="0.25">
      <c r="A2207" s="2">
        <v>2204</v>
      </c>
      <c r="B2207" s="109" t="s">
        <v>6719</v>
      </c>
    </row>
    <row r="2208" spans="1:2" ht="18.75" customHeight="1" x14ac:dyDescent="0.25">
      <c r="A2208" s="2">
        <v>2205</v>
      </c>
      <c r="B2208" s="2" t="s">
        <v>6722</v>
      </c>
    </row>
    <row r="2209" spans="1:2" ht="18.75" customHeight="1" x14ac:dyDescent="0.25">
      <c r="A2209" s="2">
        <v>2206</v>
      </c>
      <c r="B2209" s="109" t="s">
        <v>6725</v>
      </c>
    </row>
    <row r="2210" spans="1:2" ht="18.75" customHeight="1" x14ac:dyDescent="0.25">
      <c r="A2210" s="2">
        <v>2207</v>
      </c>
      <c r="B2210" s="109" t="s">
        <v>6728</v>
      </c>
    </row>
    <row r="2211" spans="1:2" ht="18.75" customHeight="1" x14ac:dyDescent="0.25">
      <c r="A2211" s="2">
        <v>2208</v>
      </c>
      <c r="B2211" s="109" t="s">
        <v>6730</v>
      </c>
    </row>
    <row r="2212" spans="1:2" ht="18.75" customHeight="1" x14ac:dyDescent="0.25">
      <c r="A2212" s="2">
        <v>2209</v>
      </c>
      <c r="B2212" s="109" t="s">
        <v>6734</v>
      </c>
    </row>
    <row r="2213" spans="1:2" ht="18.75" customHeight="1" x14ac:dyDescent="0.25">
      <c r="A2213" s="2">
        <v>2210</v>
      </c>
      <c r="B2213" s="2" t="s">
        <v>6738</v>
      </c>
    </row>
    <row r="2214" spans="1:2" ht="18.75" customHeight="1" x14ac:dyDescent="0.25">
      <c r="A2214" s="2">
        <v>2211</v>
      </c>
      <c r="B2214" s="109" t="s">
        <v>6740</v>
      </c>
    </row>
    <row r="2215" spans="1:2" ht="18.75" customHeight="1" x14ac:dyDescent="0.25">
      <c r="A2215" s="2">
        <v>2212</v>
      </c>
      <c r="B2215" s="109" t="s">
        <v>6742</v>
      </c>
    </row>
    <row r="2216" spans="1:2" ht="18.75" customHeight="1" x14ac:dyDescent="0.25">
      <c r="A2216" s="2">
        <v>2213</v>
      </c>
      <c r="B2216" s="109" t="s">
        <v>6744</v>
      </c>
    </row>
    <row r="2217" spans="1:2" ht="18.75" customHeight="1" x14ac:dyDescent="0.25">
      <c r="A2217" s="2">
        <v>2214</v>
      </c>
      <c r="B2217" s="109" t="s">
        <v>6746</v>
      </c>
    </row>
    <row r="2218" spans="1:2" ht="18.75" customHeight="1" x14ac:dyDescent="0.25">
      <c r="A2218" s="2">
        <v>2215</v>
      </c>
      <c r="B2218" s="109" t="s">
        <v>6749</v>
      </c>
    </row>
    <row r="2219" spans="1:2" ht="18.75" customHeight="1" x14ac:dyDescent="0.25">
      <c r="A2219" s="2">
        <v>2216</v>
      </c>
      <c r="B2219" s="109" t="s">
        <v>6754</v>
      </c>
    </row>
    <row r="2220" spans="1:2" ht="18.75" customHeight="1" x14ac:dyDescent="0.25">
      <c r="A2220" s="2">
        <v>2217</v>
      </c>
      <c r="B2220" s="109" t="s">
        <v>6759</v>
      </c>
    </row>
    <row r="2221" spans="1:2" ht="18.75" customHeight="1" x14ac:dyDescent="0.25">
      <c r="A2221" s="2">
        <v>2218</v>
      </c>
      <c r="B2221" s="109" t="s">
        <v>6765</v>
      </c>
    </row>
    <row r="2222" spans="1:2" ht="18.75" customHeight="1" x14ac:dyDescent="0.25">
      <c r="A2222" s="2">
        <v>2219</v>
      </c>
      <c r="B2222" s="109" t="s">
        <v>6768</v>
      </c>
    </row>
    <row r="2223" spans="1:2" ht="18.75" customHeight="1" x14ac:dyDescent="0.25">
      <c r="A2223" s="2">
        <v>2220</v>
      </c>
      <c r="B2223" s="109" t="s">
        <v>6772</v>
      </c>
    </row>
    <row r="2224" spans="1:2" ht="18.75" customHeight="1" x14ac:dyDescent="0.25">
      <c r="A2224" s="2">
        <v>2221</v>
      </c>
      <c r="B2224" s="109" t="s">
        <v>6773</v>
      </c>
    </row>
    <row r="2225" spans="1:2" ht="18.75" customHeight="1" x14ac:dyDescent="0.25">
      <c r="A2225" s="2">
        <v>2222</v>
      </c>
      <c r="B2225" s="109" t="s">
        <v>6777</v>
      </c>
    </row>
    <row r="2226" spans="1:2" ht="18.75" customHeight="1" x14ac:dyDescent="0.25">
      <c r="A2226" s="2">
        <v>2223</v>
      </c>
      <c r="B2226" s="2" t="s">
        <v>6779</v>
      </c>
    </row>
    <row r="2227" spans="1:2" ht="18.75" customHeight="1" x14ac:dyDescent="0.25">
      <c r="A2227" s="2">
        <v>2224</v>
      </c>
      <c r="B2227" s="109" t="s">
        <v>6760</v>
      </c>
    </row>
    <row r="2228" spans="1:2" ht="18.75" customHeight="1" x14ac:dyDescent="0.25">
      <c r="A2228" s="2">
        <v>2225</v>
      </c>
      <c r="B2228" s="2" t="s">
        <v>6782</v>
      </c>
    </row>
    <row r="2229" spans="1:2" ht="18.75" customHeight="1" x14ac:dyDescent="0.25">
      <c r="A2229" s="2">
        <v>2226</v>
      </c>
      <c r="B2229" s="109" t="s">
        <v>6784</v>
      </c>
    </row>
    <row r="2230" spans="1:2" ht="18.75" customHeight="1" x14ac:dyDescent="0.25">
      <c r="A2230" s="2">
        <v>2227</v>
      </c>
      <c r="B2230" s="109" t="s">
        <v>6786</v>
      </c>
    </row>
    <row r="2231" spans="1:2" ht="18.75" customHeight="1" x14ac:dyDescent="0.25">
      <c r="A2231" s="2">
        <v>2228</v>
      </c>
      <c r="B2231" s="109" t="s">
        <v>6791</v>
      </c>
    </row>
    <row r="2232" spans="1:2" ht="18.75" customHeight="1" x14ac:dyDescent="0.25">
      <c r="A2232" s="2">
        <v>2229</v>
      </c>
      <c r="B2232" s="109" t="s">
        <v>6793</v>
      </c>
    </row>
    <row r="2233" spans="1:2" ht="18.75" customHeight="1" x14ac:dyDescent="0.25">
      <c r="A2233" s="2">
        <v>2230</v>
      </c>
      <c r="B2233" s="2" t="s">
        <v>6798</v>
      </c>
    </row>
    <row r="2234" spans="1:2" ht="18.75" customHeight="1" x14ac:dyDescent="0.25">
      <c r="A2234" s="2">
        <v>2231</v>
      </c>
      <c r="B2234" s="2" t="s">
        <v>6802</v>
      </c>
    </row>
    <row r="2235" spans="1:2" ht="18.75" customHeight="1" x14ac:dyDescent="0.25">
      <c r="A2235" s="2">
        <v>2232</v>
      </c>
      <c r="B2235" s="2" t="s">
        <v>6805</v>
      </c>
    </row>
    <row r="2236" spans="1:2" ht="18.75" customHeight="1" x14ac:dyDescent="0.25">
      <c r="A2236" s="2">
        <v>2233</v>
      </c>
      <c r="B2236" s="2" t="s">
        <v>6810</v>
      </c>
    </row>
    <row r="2237" spans="1:2" ht="18.75" customHeight="1" x14ac:dyDescent="0.25">
      <c r="A2237" s="2">
        <v>2234</v>
      </c>
      <c r="B2237" s="2" t="s">
        <v>6814</v>
      </c>
    </row>
    <row r="2238" spans="1:2" ht="18.75" customHeight="1" x14ac:dyDescent="0.25">
      <c r="A2238" s="2">
        <v>2235</v>
      </c>
      <c r="B2238" s="109" t="s">
        <v>6820</v>
      </c>
    </row>
    <row r="2239" spans="1:2" ht="18.75" customHeight="1" x14ac:dyDescent="0.25">
      <c r="A2239" s="2">
        <v>2236</v>
      </c>
      <c r="B2239" s="109" t="s">
        <v>6823</v>
      </c>
    </row>
    <row r="2240" spans="1:2" ht="18.75" customHeight="1" x14ac:dyDescent="0.25">
      <c r="A2240" s="2">
        <v>2237</v>
      </c>
      <c r="B2240" s="109" t="s">
        <v>6825</v>
      </c>
    </row>
    <row r="2241" spans="1:2" ht="18.75" customHeight="1" x14ac:dyDescent="0.25">
      <c r="A2241" s="2">
        <v>2238</v>
      </c>
      <c r="B2241" s="109" t="s">
        <v>6830</v>
      </c>
    </row>
    <row r="2242" spans="1:2" ht="18.75" customHeight="1" x14ac:dyDescent="0.25">
      <c r="A2242" s="2">
        <v>2239</v>
      </c>
      <c r="B2242" s="109" t="s">
        <v>6832</v>
      </c>
    </row>
    <row r="2243" spans="1:2" ht="18.75" customHeight="1" x14ac:dyDescent="0.25">
      <c r="A2243" s="2">
        <v>2240</v>
      </c>
      <c r="B2243" s="2" t="s">
        <v>6835</v>
      </c>
    </row>
    <row r="2244" spans="1:2" ht="18.75" customHeight="1" x14ac:dyDescent="0.25">
      <c r="A2244" s="2">
        <v>2241</v>
      </c>
      <c r="B2244" s="2" t="s">
        <v>6836</v>
      </c>
    </row>
    <row r="2245" spans="1:2" ht="18.75" customHeight="1" x14ac:dyDescent="0.25">
      <c r="A2245" s="2">
        <v>2242</v>
      </c>
      <c r="B2245" s="2" t="s">
        <v>6840</v>
      </c>
    </row>
    <row r="2246" spans="1:2" ht="18.75" customHeight="1" x14ac:dyDescent="0.25">
      <c r="A2246" s="2">
        <v>2243</v>
      </c>
      <c r="B2246" s="2" t="s">
        <v>6841</v>
      </c>
    </row>
    <row r="2247" spans="1:2" ht="18.75" customHeight="1" x14ac:dyDescent="0.25">
      <c r="A2247" s="2">
        <v>2244</v>
      </c>
      <c r="B2247" s="2" t="s">
        <v>6845</v>
      </c>
    </row>
    <row r="2248" spans="1:2" ht="18.75" customHeight="1" x14ac:dyDescent="0.25">
      <c r="A2248" s="2">
        <v>2245</v>
      </c>
      <c r="B2248" s="109" t="s">
        <v>6848</v>
      </c>
    </row>
    <row r="2249" spans="1:2" ht="18.75" customHeight="1" x14ac:dyDescent="0.25">
      <c r="A2249" s="2">
        <v>2246</v>
      </c>
      <c r="B2249" s="109" t="s">
        <v>6850</v>
      </c>
    </row>
    <row r="2250" spans="1:2" ht="18.75" customHeight="1" x14ac:dyDescent="0.25">
      <c r="A2250" s="2">
        <v>2247</v>
      </c>
      <c r="B2250" s="109" t="s">
        <v>6853</v>
      </c>
    </row>
    <row r="2251" spans="1:2" ht="18.75" customHeight="1" x14ac:dyDescent="0.25">
      <c r="A2251" s="2">
        <v>2248</v>
      </c>
      <c r="B2251" s="109" t="s">
        <v>6855</v>
      </c>
    </row>
    <row r="2252" spans="1:2" ht="18.75" customHeight="1" x14ac:dyDescent="0.25">
      <c r="A2252" s="2">
        <v>2249</v>
      </c>
      <c r="B2252" s="20" t="s">
        <v>6856</v>
      </c>
    </row>
    <row r="2253" spans="1:2" ht="18.75" customHeight="1" x14ac:dyDescent="0.25">
      <c r="A2253" s="2">
        <v>2250</v>
      </c>
      <c r="B2253" s="109" t="s">
        <v>6859</v>
      </c>
    </row>
    <row r="2254" spans="1:2" ht="18.75" customHeight="1" x14ac:dyDescent="0.25">
      <c r="A2254" s="2">
        <v>2251</v>
      </c>
      <c r="B2254" s="109" t="s">
        <v>6861</v>
      </c>
    </row>
    <row r="2255" spans="1:2" ht="18.75" customHeight="1" x14ac:dyDescent="0.25">
      <c r="A2255" s="2">
        <v>2252</v>
      </c>
      <c r="B2255" s="2" t="s">
        <v>6862</v>
      </c>
    </row>
    <row r="2256" spans="1:2" ht="18.75" customHeight="1" x14ac:dyDescent="0.25">
      <c r="A2256" s="2">
        <v>2253</v>
      </c>
      <c r="B2256" s="109" t="s">
        <v>6866</v>
      </c>
    </row>
    <row r="2257" spans="1:2" ht="18.75" customHeight="1" x14ac:dyDescent="0.25">
      <c r="A2257" s="2">
        <v>2254</v>
      </c>
      <c r="B2257" s="2" t="s">
        <v>6871</v>
      </c>
    </row>
    <row r="2258" spans="1:2" ht="18.75" customHeight="1" x14ac:dyDescent="0.25">
      <c r="A2258" s="2">
        <v>2255</v>
      </c>
      <c r="B2258" s="109" t="s">
        <v>6875</v>
      </c>
    </row>
    <row r="2259" spans="1:2" ht="18.75" customHeight="1" x14ac:dyDescent="0.25">
      <c r="A2259" s="2">
        <v>2256</v>
      </c>
      <c r="B2259" s="109" t="s">
        <v>6913</v>
      </c>
    </row>
    <row r="2260" spans="1:2" ht="18.75" customHeight="1" x14ac:dyDescent="0.25">
      <c r="A2260" s="2">
        <v>2257</v>
      </c>
      <c r="B2260" s="109" t="s">
        <v>6917</v>
      </c>
    </row>
    <row r="2261" spans="1:2" ht="18.75" customHeight="1" x14ac:dyDescent="0.25">
      <c r="A2261" s="2">
        <v>2258</v>
      </c>
      <c r="B2261" s="109" t="s">
        <v>6920</v>
      </c>
    </row>
    <row r="2262" spans="1:2" ht="18.75" customHeight="1" x14ac:dyDescent="0.25">
      <c r="A2262" s="2">
        <v>2259</v>
      </c>
      <c r="B2262" s="109" t="s">
        <v>6923</v>
      </c>
    </row>
    <row r="2263" spans="1:2" ht="18.75" customHeight="1" x14ac:dyDescent="0.25">
      <c r="A2263" s="2">
        <v>2260</v>
      </c>
      <c r="B2263" s="109" t="s">
        <v>6926</v>
      </c>
    </row>
    <row r="2264" spans="1:2" ht="18.75" customHeight="1" x14ac:dyDescent="0.25">
      <c r="A2264" s="2">
        <v>2261</v>
      </c>
      <c r="B2264" s="109" t="s">
        <v>6929</v>
      </c>
    </row>
    <row r="2265" spans="1:2" ht="18.75" customHeight="1" x14ac:dyDescent="0.25">
      <c r="A2265" s="2">
        <v>2262</v>
      </c>
      <c r="B2265" s="109" t="s">
        <v>6930</v>
      </c>
    </row>
    <row r="2266" spans="1:2" ht="18.75" customHeight="1" x14ac:dyDescent="0.25">
      <c r="A2266" s="2">
        <v>2263</v>
      </c>
      <c r="B2266" s="109" t="s">
        <v>6933</v>
      </c>
    </row>
    <row r="2267" spans="1:2" ht="18.75" customHeight="1" x14ac:dyDescent="0.25">
      <c r="A2267" s="2">
        <v>2264</v>
      </c>
      <c r="B2267" s="109" t="s">
        <v>6935</v>
      </c>
    </row>
    <row r="2268" spans="1:2" ht="18.75" customHeight="1" x14ac:dyDescent="0.25">
      <c r="A2268" s="2">
        <v>2265</v>
      </c>
      <c r="B2268" s="109" t="s">
        <v>6035</v>
      </c>
    </row>
    <row r="2269" spans="1:2" ht="18.75" customHeight="1" x14ac:dyDescent="0.25">
      <c r="A2269" s="2">
        <v>2266</v>
      </c>
      <c r="B2269" s="109" t="s">
        <v>2974</v>
      </c>
    </row>
    <row r="2270" spans="1:2" ht="18.75" customHeight="1" x14ac:dyDescent="0.25">
      <c r="A2270" s="2">
        <v>2267</v>
      </c>
      <c r="B2270" s="109" t="s">
        <v>6938</v>
      </c>
    </row>
    <row r="2271" spans="1:2" ht="18.75" customHeight="1" x14ac:dyDescent="0.25">
      <c r="A2271" s="2">
        <v>2268</v>
      </c>
      <c r="B2271" s="109" t="s">
        <v>6942</v>
      </c>
    </row>
    <row r="2272" spans="1:2" ht="18.75" customHeight="1" x14ac:dyDescent="0.25">
      <c r="A2272" s="2">
        <v>2269</v>
      </c>
      <c r="B2272" s="109" t="s">
        <v>6944</v>
      </c>
    </row>
    <row r="2273" spans="1:2" ht="18.75" customHeight="1" x14ac:dyDescent="0.25">
      <c r="A2273" s="2">
        <v>2270</v>
      </c>
      <c r="B2273" s="109" t="s">
        <v>6945</v>
      </c>
    </row>
    <row r="2274" spans="1:2" ht="18.75" customHeight="1" x14ac:dyDescent="0.25">
      <c r="A2274" s="2">
        <v>2271</v>
      </c>
      <c r="B2274" s="109" t="s">
        <v>6948</v>
      </c>
    </row>
    <row r="2275" spans="1:2" ht="18.75" customHeight="1" x14ac:dyDescent="0.25">
      <c r="A2275" s="2">
        <v>2272</v>
      </c>
      <c r="B2275" s="109" t="s">
        <v>6949</v>
      </c>
    </row>
    <row r="2276" spans="1:2" ht="18.75" customHeight="1" x14ac:dyDescent="0.25">
      <c r="A2276" s="2">
        <v>2273</v>
      </c>
      <c r="B2276" s="109" t="s">
        <v>6951</v>
      </c>
    </row>
    <row r="2277" spans="1:2" ht="18.75" customHeight="1" x14ac:dyDescent="0.25">
      <c r="A2277" s="2">
        <v>2274</v>
      </c>
      <c r="B2277" s="109" t="s">
        <v>2988</v>
      </c>
    </row>
    <row r="2278" spans="1:2" ht="18.75" customHeight="1" x14ac:dyDescent="0.25">
      <c r="A2278" s="2">
        <v>2275</v>
      </c>
      <c r="B2278" s="109" t="s">
        <v>6954</v>
      </c>
    </row>
    <row r="2279" spans="1:2" ht="18.75" customHeight="1" x14ac:dyDescent="0.25">
      <c r="A2279" s="2">
        <v>2276</v>
      </c>
      <c r="B2279" s="109" t="s">
        <v>6955</v>
      </c>
    </row>
    <row r="2280" spans="1:2" ht="18.75" customHeight="1" x14ac:dyDescent="0.25">
      <c r="A2280" s="2">
        <v>2277</v>
      </c>
      <c r="B2280" s="109" t="s">
        <v>6957</v>
      </c>
    </row>
    <row r="2281" spans="1:2" ht="18.75" customHeight="1" x14ac:dyDescent="0.25">
      <c r="A2281" s="2">
        <v>2278</v>
      </c>
      <c r="B2281" s="119" t="s">
        <v>7371</v>
      </c>
    </row>
    <row r="2282" spans="1:2" ht="18.75" customHeight="1" x14ac:dyDescent="0.25">
      <c r="A2282" s="2">
        <v>2279</v>
      </c>
      <c r="B2282" s="119" t="s">
        <v>6968</v>
      </c>
    </row>
    <row r="2283" spans="1:2" ht="18.75" customHeight="1" x14ac:dyDescent="0.25">
      <c r="A2283" s="2">
        <v>2280</v>
      </c>
      <c r="B2283" t="s">
        <v>6972</v>
      </c>
    </row>
    <row r="2284" spans="1:2" ht="18.75" customHeight="1" x14ac:dyDescent="0.25">
      <c r="A2284" s="2">
        <v>2281</v>
      </c>
      <c r="B2284" s="2" t="s">
        <v>6975</v>
      </c>
    </row>
    <row r="2285" spans="1:2" ht="18.75" customHeight="1" x14ac:dyDescent="0.25">
      <c r="A2285" s="2">
        <v>2282</v>
      </c>
      <c r="B2285" t="s">
        <v>6977</v>
      </c>
    </row>
    <row r="2286" spans="1:2" ht="18.75" customHeight="1" x14ac:dyDescent="0.25">
      <c r="A2286" s="2">
        <v>2283</v>
      </c>
      <c r="B2286" s="2" t="s">
        <v>6982</v>
      </c>
    </row>
    <row r="2287" spans="1:2" ht="18.75" customHeight="1" x14ac:dyDescent="0.25">
      <c r="A2287" s="2">
        <v>2284</v>
      </c>
      <c r="B2287" s="2" t="s">
        <v>6985</v>
      </c>
    </row>
    <row r="2288" spans="1:2" ht="18.75" customHeight="1" x14ac:dyDescent="0.25">
      <c r="A2288" s="2">
        <v>2285</v>
      </c>
      <c r="B2288" t="s">
        <v>6990</v>
      </c>
    </row>
    <row r="2289" spans="1:2" ht="18.75" customHeight="1" x14ac:dyDescent="0.25">
      <c r="A2289" s="2">
        <v>2286</v>
      </c>
      <c r="B2289" s="2" t="s">
        <v>7007</v>
      </c>
    </row>
    <row r="2290" spans="1:2" ht="18.75" customHeight="1" x14ac:dyDescent="0.25">
      <c r="A2290" s="2">
        <v>2287</v>
      </c>
      <c r="B2290" s="20" t="s">
        <v>7019</v>
      </c>
    </row>
    <row r="2291" spans="1:2" ht="18.75" customHeight="1" x14ac:dyDescent="0.25">
      <c r="A2291" s="2">
        <v>2288</v>
      </c>
      <c r="B2291" s="2" t="s">
        <v>7024</v>
      </c>
    </row>
    <row r="2292" spans="1:2" ht="18.75" customHeight="1" x14ac:dyDescent="0.25">
      <c r="A2292" s="2">
        <v>2289</v>
      </c>
      <c r="B2292" s="2" t="s">
        <v>7026</v>
      </c>
    </row>
    <row r="2293" spans="1:2" ht="18.75" customHeight="1" x14ac:dyDescent="0.25">
      <c r="A2293" s="2">
        <v>2290</v>
      </c>
      <c r="B2293" s="109" t="s">
        <v>7027</v>
      </c>
    </row>
    <row r="2294" spans="1:2" ht="18.75" customHeight="1" x14ac:dyDescent="0.25">
      <c r="A2294" s="2">
        <v>2291</v>
      </c>
      <c r="B2294" s="109" t="s">
        <v>7934</v>
      </c>
    </row>
    <row r="2295" spans="1:2" ht="18.75" customHeight="1" x14ac:dyDescent="0.25">
      <c r="A2295" s="2">
        <v>2292</v>
      </c>
      <c r="B2295" s="2" t="s">
        <v>7032</v>
      </c>
    </row>
    <row r="2296" spans="1:2" ht="18.75" customHeight="1" x14ac:dyDescent="0.25">
      <c r="A2296" s="2">
        <v>2293</v>
      </c>
      <c r="B2296" s="2" t="s">
        <v>7033</v>
      </c>
    </row>
    <row r="2297" spans="1:2" ht="18.75" customHeight="1" x14ac:dyDescent="0.25">
      <c r="A2297" s="2">
        <v>2294</v>
      </c>
      <c r="B2297" s="2" t="s">
        <v>7038</v>
      </c>
    </row>
    <row r="2298" spans="1:2" ht="18.75" customHeight="1" x14ac:dyDescent="0.25">
      <c r="A2298" s="2">
        <v>2295</v>
      </c>
      <c r="B2298" s="2" t="s">
        <v>7035</v>
      </c>
    </row>
    <row r="2299" spans="1:2" ht="18.75" customHeight="1" x14ac:dyDescent="0.25">
      <c r="A2299" s="2">
        <v>2296</v>
      </c>
      <c r="B2299" s="20" t="s">
        <v>7040</v>
      </c>
    </row>
    <row r="2300" spans="1:2" ht="18.75" customHeight="1" x14ac:dyDescent="0.25">
      <c r="A2300" s="2">
        <v>2297</v>
      </c>
      <c r="B2300" t="s">
        <v>7043</v>
      </c>
    </row>
    <row r="2301" spans="1:2" ht="18.75" customHeight="1" x14ac:dyDescent="0.25">
      <c r="A2301" s="2">
        <v>2298</v>
      </c>
      <c r="B2301" t="s">
        <v>7049</v>
      </c>
    </row>
    <row r="2302" spans="1:2" ht="18.75" customHeight="1" x14ac:dyDescent="0.25">
      <c r="A2302" s="2">
        <v>2299</v>
      </c>
      <c r="B2302" s="2" t="s">
        <v>7063</v>
      </c>
    </row>
    <row r="2303" spans="1:2" ht="18.75" customHeight="1" x14ac:dyDescent="0.25">
      <c r="A2303" s="2">
        <v>2300</v>
      </c>
      <c r="B2303" s="109" t="s">
        <v>7065</v>
      </c>
    </row>
    <row r="2304" spans="1:2" ht="18.75" customHeight="1" x14ac:dyDescent="0.25">
      <c r="A2304" s="2">
        <v>2301</v>
      </c>
      <c r="B2304" s="20" t="s">
        <v>7068</v>
      </c>
    </row>
    <row r="2305" spans="1:2" ht="18.75" customHeight="1" x14ac:dyDescent="0.25">
      <c r="A2305" s="2">
        <v>2302</v>
      </c>
      <c r="B2305" s="2" t="s">
        <v>7073</v>
      </c>
    </row>
    <row r="2306" spans="1:2" ht="18.75" customHeight="1" x14ac:dyDescent="0.25">
      <c r="A2306" s="2">
        <v>2303</v>
      </c>
      <c r="B2306" s="2" t="s">
        <v>7078</v>
      </c>
    </row>
    <row r="2307" spans="1:2" ht="18.75" customHeight="1" x14ac:dyDescent="0.25">
      <c r="A2307" s="2">
        <v>2304</v>
      </c>
      <c r="B2307" s="2" t="s">
        <v>7079</v>
      </c>
    </row>
    <row r="2308" spans="1:2" ht="18.75" customHeight="1" x14ac:dyDescent="0.25">
      <c r="A2308" s="2">
        <v>2305</v>
      </c>
      <c r="B2308" s="2" t="s">
        <v>7083</v>
      </c>
    </row>
    <row r="2309" spans="1:2" ht="18.75" customHeight="1" x14ac:dyDescent="0.25">
      <c r="A2309" s="2">
        <v>2306</v>
      </c>
      <c r="B2309" s="2" t="s">
        <v>7087</v>
      </c>
    </row>
    <row r="2310" spans="1:2" ht="18.75" customHeight="1" x14ac:dyDescent="0.25">
      <c r="A2310" s="2">
        <v>2307</v>
      </c>
      <c r="B2310" s="2" t="s">
        <v>7090</v>
      </c>
    </row>
    <row r="2311" spans="1:2" ht="18.75" customHeight="1" x14ac:dyDescent="0.25">
      <c r="A2311" s="2">
        <v>2308</v>
      </c>
      <c r="B2311" s="2" t="s">
        <v>7094</v>
      </c>
    </row>
    <row r="2312" spans="1:2" ht="18.75" customHeight="1" x14ac:dyDescent="0.25">
      <c r="A2312" s="2">
        <v>2309</v>
      </c>
      <c r="B2312" s="2" t="s">
        <v>7099</v>
      </c>
    </row>
    <row r="2313" spans="1:2" ht="18.75" customHeight="1" x14ac:dyDescent="0.25">
      <c r="A2313" s="2">
        <v>2310</v>
      </c>
      <c r="B2313" s="2" t="s">
        <v>7101</v>
      </c>
    </row>
    <row r="2314" spans="1:2" ht="18.75" customHeight="1" x14ac:dyDescent="0.25">
      <c r="A2314" s="2">
        <v>2311</v>
      </c>
      <c r="B2314" s="2" t="s">
        <v>7105</v>
      </c>
    </row>
    <row r="2315" spans="1:2" ht="18.75" customHeight="1" x14ac:dyDescent="0.25">
      <c r="A2315" s="2">
        <v>2312</v>
      </c>
      <c r="B2315" s="2" t="s">
        <v>7109</v>
      </c>
    </row>
    <row r="2316" spans="1:2" ht="18.75" customHeight="1" x14ac:dyDescent="0.25">
      <c r="A2316" s="2">
        <v>2313</v>
      </c>
      <c r="B2316" s="109" t="s">
        <v>7112</v>
      </c>
    </row>
    <row r="2317" spans="1:2" ht="18.75" customHeight="1" x14ac:dyDescent="0.25">
      <c r="A2317" s="2">
        <v>2314</v>
      </c>
      <c r="B2317" s="2" t="s">
        <v>7113</v>
      </c>
    </row>
    <row r="2318" spans="1:2" ht="18.75" customHeight="1" x14ac:dyDescent="0.25">
      <c r="A2318" s="2">
        <v>2315</v>
      </c>
      <c r="B2318" s="2" t="s">
        <v>7118</v>
      </c>
    </row>
    <row r="2319" spans="1:2" ht="18.75" customHeight="1" x14ac:dyDescent="0.25">
      <c r="A2319" s="2">
        <v>2316</v>
      </c>
      <c r="B2319" s="2" t="s">
        <v>7120</v>
      </c>
    </row>
    <row r="2320" spans="1:2" ht="18.75" customHeight="1" x14ac:dyDescent="0.25">
      <c r="A2320" s="2">
        <v>2317</v>
      </c>
      <c r="B2320" s="2" t="s">
        <v>7124</v>
      </c>
    </row>
    <row r="2321" spans="1:2" ht="18.75" customHeight="1" x14ac:dyDescent="0.25">
      <c r="A2321" s="2">
        <v>2318</v>
      </c>
      <c r="B2321" s="2" t="s">
        <v>7129</v>
      </c>
    </row>
    <row r="2322" spans="1:2" ht="18.75" customHeight="1" x14ac:dyDescent="0.25">
      <c r="A2322" s="2">
        <v>2319</v>
      </c>
      <c r="B2322" s="2" t="s">
        <v>7133</v>
      </c>
    </row>
    <row r="2323" spans="1:2" ht="18.75" customHeight="1" x14ac:dyDescent="0.25">
      <c r="A2323" s="2">
        <v>2320</v>
      </c>
      <c r="B2323" s="2" t="s">
        <v>7134</v>
      </c>
    </row>
    <row r="2324" spans="1:2" ht="18.75" customHeight="1" x14ac:dyDescent="0.25">
      <c r="A2324" s="2">
        <v>2321</v>
      </c>
      <c r="B2324" s="109" t="s">
        <v>7137</v>
      </c>
    </row>
    <row r="2325" spans="1:2" ht="18.75" customHeight="1" x14ac:dyDescent="0.25">
      <c r="A2325" s="2">
        <v>2322</v>
      </c>
      <c r="B2325" s="109" t="s">
        <v>7141</v>
      </c>
    </row>
    <row r="2326" spans="1:2" ht="18.75" customHeight="1" x14ac:dyDescent="0.25">
      <c r="A2326" s="2">
        <v>2323</v>
      </c>
      <c r="B2326" s="109" t="s">
        <v>7142</v>
      </c>
    </row>
    <row r="2327" spans="1:2" ht="18.75" customHeight="1" x14ac:dyDescent="0.25">
      <c r="A2327" s="2">
        <v>2324</v>
      </c>
      <c r="B2327" s="2" t="s">
        <v>7149</v>
      </c>
    </row>
    <row r="2328" spans="1:2" ht="18.75" customHeight="1" x14ac:dyDescent="0.25">
      <c r="A2328" s="2">
        <v>2325</v>
      </c>
      <c r="B2328" s="2" t="s">
        <v>7151</v>
      </c>
    </row>
    <row r="2329" spans="1:2" ht="18.75" customHeight="1" x14ac:dyDescent="0.25">
      <c r="A2329" s="2">
        <v>2326</v>
      </c>
      <c r="B2329" s="2" t="s">
        <v>7158</v>
      </c>
    </row>
    <row r="2330" spans="1:2" ht="18.75" customHeight="1" x14ac:dyDescent="0.25">
      <c r="A2330" s="2">
        <v>2327</v>
      </c>
      <c r="B2330" s="109" t="s">
        <v>7162</v>
      </c>
    </row>
    <row r="2331" spans="1:2" ht="18.75" customHeight="1" x14ac:dyDescent="0.25">
      <c r="A2331" s="2">
        <v>2328</v>
      </c>
      <c r="B2331" s="2" t="s">
        <v>7169</v>
      </c>
    </row>
    <row r="2332" spans="1:2" ht="18.75" customHeight="1" x14ac:dyDescent="0.25">
      <c r="A2332" s="2">
        <v>2329</v>
      </c>
      <c r="B2332" s="2" t="s">
        <v>7172</v>
      </c>
    </row>
    <row r="2333" spans="1:2" ht="18.75" customHeight="1" x14ac:dyDescent="0.25">
      <c r="A2333" s="2">
        <v>2330</v>
      </c>
      <c r="B2333" s="2" t="s">
        <v>7178</v>
      </c>
    </row>
    <row r="2334" spans="1:2" ht="18.75" customHeight="1" x14ac:dyDescent="0.25">
      <c r="A2334" s="2">
        <v>2331</v>
      </c>
      <c r="B2334" s="2" t="s">
        <v>7183</v>
      </c>
    </row>
    <row r="2335" spans="1:2" ht="18.75" customHeight="1" x14ac:dyDescent="0.25">
      <c r="A2335" s="2">
        <v>2332</v>
      </c>
      <c r="B2335" s="2" t="s">
        <v>7188</v>
      </c>
    </row>
    <row r="2336" spans="1:2" ht="18.75" customHeight="1" x14ac:dyDescent="0.25">
      <c r="A2336" s="2">
        <v>2333</v>
      </c>
      <c r="B2336" s="2" t="s">
        <v>7191</v>
      </c>
    </row>
    <row r="2337" spans="1:2" ht="18.75" customHeight="1" x14ac:dyDescent="0.25">
      <c r="A2337" s="2">
        <v>2334</v>
      </c>
      <c r="B2337" s="2" t="s">
        <v>7193</v>
      </c>
    </row>
    <row r="2338" spans="1:2" ht="18.75" customHeight="1" x14ac:dyDescent="0.25">
      <c r="A2338" s="2">
        <v>2335</v>
      </c>
      <c r="B2338" s="2" t="s">
        <v>7198</v>
      </c>
    </row>
    <row r="2339" spans="1:2" ht="18.75" customHeight="1" x14ac:dyDescent="0.25">
      <c r="A2339" s="2">
        <v>2336</v>
      </c>
      <c r="B2339" s="2" t="s">
        <v>7203</v>
      </c>
    </row>
    <row r="2340" spans="1:2" ht="18.75" customHeight="1" x14ac:dyDescent="0.25">
      <c r="A2340" s="2">
        <v>2337</v>
      </c>
      <c r="B2340" s="20" t="s">
        <v>7210</v>
      </c>
    </row>
    <row r="2341" spans="1:2" ht="18.75" customHeight="1" x14ac:dyDescent="0.25">
      <c r="A2341" s="2">
        <v>2338</v>
      </c>
      <c r="B2341" s="2" t="s">
        <v>7212</v>
      </c>
    </row>
    <row r="2342" spans="1:2" ht="18.75" customHeight="1" x14ac:dyDescent="0.25">
      <c r="A2342" s="2">
        <v>2339</v>
      </c>
      <c r="B2342" s="2" t="s">
        <v>7214</v>
      </c>
    </row>
    <row r="2343" spans="1:2" ht="18.75" customHeight="1" x14ac:dyDescent="0.25">
      <c r="A2343" s="2">
        <v>2340</v>
      </c>
      <c r="B2343" s="2" t="s">
        <v>7218</v>
      </c>
    </row>
    <row r="2344" spans="1:2" ht="18.75" customHeight="1" x14ac:dyDescent="0.25">
      <c r="A2344" s="2">
        <v>2341</v>
      </c>
      <c r="B2344" s="109" t="s">
        <v>7224</v>
      </c>
    </row>
    <row r="2345" spans="1:2" ht="18.75" customHeight="1" x14ac:dyDescent="0.25">
      <c r="A2345" s="2">
        <v>2342</v>
      </c>
      <c r="B2345" s="2" t="s">
        <v>7231</v>
      </c>
    </row>
    <row r="2346" spans="1:2" ht="18.75" customHeight="1" x14ac:dyDescent="0.25">
      <c r="A2346" s="2">
        <v>2343</v>
      </c>
      <c r="B2346" s="2" t="s">
        <v>7230</v>
      </c>
    </row>
    <row r="2347" spans="1:2" ht="18.75" customHeight="1" x14ac:dyDescent="0.25">
      <c r="A2347" s="2">
        <v>2344</v>
      </c>
      <c r="B2347" s="2" t="s">
        <v>7236</v>
      </c>
    </row>
    <row r="2348" spans="1:2" ht="18.75" customHeight="1" x14ac:dyDescent="0.25">
      <c r="A2348" s="2">
        <v>2345</v>
      </c>
      <c r="B2348" s="2" t="s">
        <v>7238</v>
      </c>
    </row>
    <row r="2349" spans="1:2" ht="18.75" customHeight="1" x14ac:dyDescent="0.25">
      <c r="A2349" s="2">
        <v>2346</v>
      </c>
      <c r="B2349" s="2" t="s">
        <v>7244</v>
      </c>
    </row>
    <row r="2350" spans="1:2" ht="18.75" customHeight="1" x14ac:dyDescent="0.25">
      <c r="A2350" s="2">
        <v>2347</v>
      </c>
      <c r="B2350" s="2" t="s">
        <v>7248</v>
      </c>
    </row>
    <row r="2351" spans="1:2" ht="18.75" customHeight="1" x14ac:dyDescent="0.25">
      <c r="A2351" s="2">
        <v>2348</v>
      </c>
      <c r="B2351" s="2" t="s">
        <v>7250</v>
      </c>
    </row>
    <row r="2352" spans="1:2" ht="18.75" customHeight="1" x14ac:dyDescent="0.25">
      <c r="A2352" s="2">
        <v>2349</v>
      </c>
      <c r="B2352" s="2" t="s">
        <v>7252</v>
      </c>
    </row>
    <row r="2353" spans="1:2" ht="18.75" customHeight="1" x14ac:dyDescent="0.25">
      <c r="A2353" s="2">
        <v>2350</v>
      </c>
      <c r="B2353" s="2" t="s">
        <v>7255</v>
      </c>
    </row>
    <row r="2354" spans="1:2" ht="18.75" customHeight="1" x14ac:dyDescent="0.25">
      <c r="A2354" s="2">
        <v>2351</v>
      </c>
      <c r="B2354" s="2" t="s">
        <v>7260</v>
      </c>
    </row>
    <row r="2355" spans="1:2" ht="18.75" customHeight="1" x14ac:dyDescent="0.25">
      <c r="A2355" s="2">
        <v>2352</v>
      </c>
      <c r="B2355" s="2" t="s">
        <v>7262</v>
      </c>
    </row>
    <row r="2356" spans="1:2" ht="18.75" customHeight="1" x14ac:dyDescent="0.25">
      <c r="A2356" s="2">
        <v>2353</v>
      </c>
      <c r="B2356" s="109" t="s">
        <v>7265</v>
      </c>
    </row>
    <row r="2357" spans="1:2" ht="18.75" customHeight="1" x14ac:dyDescent="0.25">
      <c r="A2357" s="2">
        <v>2354</v>
      </c>
      <c r="B2357" s="2" t="s">
        <v>7267</v>
      </c>
    </row>
    <row r="2358" spans="1:2" ht="18.75" customHeight="1" x14ac:dyDescent="0.25">
      <c r="A2358" s="2">
        <v>2355</v>
      </c>
      <c r="B2358" s="2" t="s">
        <v>7271</v>
      </c>
    </row>
    <row r="2359" spans="1:2" ht="18.75" customHeight="1" x14ac:dyDescent="0.25">
      <c r="A2359" s="2">
        <v>2356</v>
      </c>
      <c r="B2359" s="2" t="s">
        <v>7274</v>
      </c>
    </row>
    <row r="2360" spans="1:2" ht="18.75" customHeight="1" x14ac:dyDescent="0.25">
      <c r="A2360" s="2">
        <v>2357</v>
      </c>
      <c r="B2360" s="2" t="s">
        <v>7278</v>
      </c>
    </row>
    <row r="2361" spans="1:2" ht="18.75" customHeight="1" x14ac:dyDescent="0.25">
      <c r="A2361" s="2">
        <v>2358</v>
      </c>
      <c r="B2361" s="2" t="s">
        <v>7282</v>
      </c>
    </row>
    <row r="2362" spans="1:2" ht="18.75" customHeight="1" x14ac:dyDescent="0.25">
      <c r="A2362" s="2">
        <v>2359</v>
      </c>
      <c r="B2362" s="2" t="s">
        <v>7284</v>
      </c>
    </row>
    <row r="2363" spans="1:2" ht="18.75" customHeight="1" x14ac:dyDescent="0.25">
      <c r="A2363" s="2">
        <v>2360</v>
      </c>
      <c r="B2363" s="2" t="s">
        <v>7291</v>
      </c>
    </row>
    <row r="2364" spans="1:2" ht="18.75" customHeight="1" x14ac:dyDescent="0.25">
      <c r="A2364" s="2">
        <v>2361</v>
      </c>
      <c r="B2364" s="2" t="s">
        <v>7294</v>
      </c>
    </row>
    <row r="2365" spans="1:2" ht="18.75" customHeight="1" x14ac:dyDescent="0.25">
      <c r="A2365" s="2">
        <v>2362</v>
      </c>
      <c r="B2365" s="2" t="s">
        <v>7295</v>
      </c>
    </row>
    <row r="2366" spans="1:2" ht="18.75" customHeight="1" x14ac:dyDescent="0.25">
      <c r="A2366" s="2">
        <v>2363</v>
      </c>
      <c r="B2366" s="2" t="s">
        <v>7296</v>
      </c>
    </row>
    <row r="2367" spans="1:2" ht="18.75" customHeight="1" x14ac:dyDescent="0.25">
      <c r="A2367" s="2">
        <v>2364</v>
      </c>
      <c r="B2367" s="2" t="s">
        <v>7300</v>
      </c>
    </row>
    <row r="2368" spans="1:2" ht="18.75" customHeight="1" x14ac:dyDescent="0.25">
      <c r="A2368" s="2">
        <v>2365</v>
      </c>
      <c r="B2368" s="109" t="s">
        <v>7302</v>
      </c>
    </row>
    <row r="2369" spans="1:2" ht="18.75" customHeight="1" x14ac:dyDescent="0.25">
      <c r="A2369" s="2">
        <v>2366</v>
      </c>
      <c r="B2369" s="2" t="s">
        <v>7304</v>
      </c>
    </row>
    <row r="2370" spans="1:2" ht="18.75" customHeight="1" x14ac:dyDescent="0.25">
      <c r="A2370" s="2">
        <v>2367</v>
      </c>
      <c r="B2370" s="2" t="s">
        <v>7307</v>
      </c>
    </row>
    <row r="2371" spans="1:2" ht="18.75" customHeight="1" x14ac:dyDescent="0.25">
      <c r="A2371" s="2">
        <v>2368</v>
      </c>
      <c r="B2371" s="2" t="s">
        <v>7314</v>
      </c>
    </row>
    <row r="2372" spans="1:2" ht="18.75" customHeight="1" x14ac:dyDescent="0.25">
      <c r="A2372" s="2">
        <v>2369</v>
      </c>
      <c r="B2372" s="2" t="s">
        <v>7316</v>
      </c>
    </row>
    <row r="2373" spans="1:2" ht="18.75" customHeight="1" x14ac:dyDescent="0.25">
      <c r="A2373" s="2">
        <v>2370</v>
      </c>
      <c r="B2373" s="2" t="s">
        <v>7319</v>
      </c>
    </row>
    <row r="2374" spans="1:2" ht="18.75" customHeight="1" x14ac:dyDescent="0.25">
      <c r="A2374" s="2">
        <v>2371</v>
      </c>
      <c r="B2374" s="2" t="s">
        <v>7323</v>
      </c>
    </row>
    <row r="2375" spans="1:2" ht="18.75" customHeight="1" x14ac:dyDescent="0.25">
      <c r="A2375" s="2">
        <v>2372</v>
      </c>
      <c r="B2375" s="2" t="s">
        <v>7326</v>
      </c>
    </row>
    <row r="2376" spans="1:2" ht="18.75" customHeight="1" x14ac:dyDescent="0.25">
      <c r="A2376" s="2">
        <v>2373</v>
      </c>
      <c r="B2376" s="2" t="s">
        <v>7329</v>
      </c>
    </row>
    <row r="2377" spans="1:2" ht="18.75" customHeight="1" x14ac:dyDescent="0.25">
      <c r="A2377" s="2">
        <v>2374</v>
      </c>
      <c r="B2377" s="2" t="s">
        <v>5753</v>
      </c>
    </row>
    <row r="2378" spans="1:2" ht="18.75" customHeight="1" x14ac:dyDescent="0.25">
      <c r="A2378" s="2">
        <v>2375</v>
      </c>
      <c r="B2378" s="2" t="s">
        <v>7338</v>
      </c>
    </row>
    <row r="2379" spans="1:2" ht="18.75" customHeight="1" x14ac:dyDescent="0.25">
      <c r="A2379" s="2">
        <v>2376</v>
      </c>
      <c r="B2379" s="2" t="s">
        <v>7340</v>
      </c>
    </row>
    <row r="2380" spans="1:2" ht="18.75" customHeight="1" x14ac:dyDescent="0.25">
      <c r="A2380" s="2">
        <v>2377</v>
      </c>
      <c r="B2380" s="2" t="s">
        <v>7342</v>
      </c>
    </row>
    <row r="2381" spans="1:2" ht="18.75" customHeight="1" x14ac:dyDescent="0.25">
      <c r="A2381" s="2">
        <v>2378</v>
      </c>
      <c r="B2381" s="2" t="s">
        <v>7344</v>
      </c>
    </row>
    <row r="2382" spans="1:2" ht="18.75" customHeight="1" x14ac:dyDescent="0.25">
      <c r="A2382" s="2">
        <v>2379</v>
      </c>
      <c r="B2382" s="2" t="s">
        <v>7346</v>
      </c>
    </row>
    <row r="2383" spans="1:2" ht="18.75" customHeight="1" x14ac:dyDescent="0.25">
      <c r="A2383" s="2">
        <v>2380</v>
      </c>
      <c r="B2383" s="2" t="s">
        <v>7348</v>
      </c>
    </row>
    <row r="2384" spans="1:2" ht="18.75" customHeight="1" x14ac:dyDescent="0.25">
      <c r="A2384" s="2">
        <v>2381</v>
      </c>
      <c r="B2384" s="2" t="s">
        <v>7350</v>
      </c>
    </row>
    <row r="2385" spans="1:2" ht="18.75" customHeight="1" x14ac:dyDescent="0.25">
      <c r="A2385" s="2">
        <v>2382</v>
      </c>
      <c r="B2385" s="2" t="s">
        <v>7352</v>
      </c>
    </row>
    <row r="2386" spans="1:2" ht="18.75" customHeight="1" x14ac:dyDescent="0.25">
      <c r="A2386" s="2">
        <v>2383</v>
      </c>
      <c r="B2386" s="2" t="s">
        <v>7354</v>
      </c>
    </row>
    <row r="2387" spans="1:2" ht="18.75" customHeight="1" x14ac:dyDescent="0.25">
      <c r="A2387" s="2">
        <v>2384</v>
      </c>
      <c r="B2387" s="2" t="s">
        <v>7356</v>
      </c>
    </row>
    <row r="2388" spans="1:2" ht="18.75" customHeight="1" x14ac:dyDescent="0.25">
      <c r="A2388" s="2">
        <v>2385</v>
      </c>
      <c r="B2388" s="2" t="s">
        <v>7358</v>
      </c>
    </row>
    <row r="2389" spans="1:2" ht="18.75" customHeight="1" x14ac:dyDescent="0.25">
      <c r="A2389" s="2">
        <v>2386</v>
      </c>
      <c r="B2389" s="2" t="s">
        <v>7361</v>
      </c>
    </row>
    <row r="2390" spans="1:2" ht="18.75" customHeight="1" x14ac:dyDescent="0.25">
      <c r="A2390" s="2">
        <v>2387</v>
      </c>
      <c r="B2390" s="2" t="s">
        <v>7363</v>
      </c>
    </row>
    <row r="2391" spans="1:2" ht="18.75" customHeight="1" x14ac:dyDescent="0.25">
      <c r="A2391" s="2">
        <v>2388</v>
      </c>
      <c r="B2391" s="2" t="s">
        <v>7365</v>
      </c>
    </row>
    <row r="2392" spans="1:2" ht="18.75" customHeight="1" x14ac:dyDescent="0.25">
      <c r="A2392" s="2">
        <v>2389</v>
      </c>
      <c r="B2392" s="2" t="s">
        <v>7367</v>
      </c>
    </row>
    <row r="2393" spans="1:2" ht="18.75" customHeight="1" x14ac:dyDescent="0.25">
      <c r="A2393" s="2">
        <v>2390</v>
      </c>
      <c r="B2393" s="2" t="s">
        <v>7373</v>
      </c>
    </row>
    <row r="2394" spans="1:2" ht="18.75" customHeight="1" x14ac:dyDescent="0.25">
      <c r="A2394" s="2">
        <v>2391</v>
      </c>
      <c r="B2394" s="2" t="s">
        <v>7377</v>
      </c>
    </row>
    <row r="2395" spans="1:2" ht="18.75" customHeight="1" x14ac:dyDescent="0.25">
      <c r="A2395" s="2">
        <v>2392</v>
      </c>
      <c r="B2395" s="2" t="s">
        <v>7379</v>
      </c>
    </row>
    <row r="2396" spans="1:2" ht="18.75" customHeight="1" x14ac:dyDescent="0.25">
      <c r="A2396" s="2">
        <v>2393</v>
      </c>
      <c r="B2396" s="2" t="s">
        <v>7380</v>
      </c>
    </row>
    <row r="2397" spans="1:2" ht="18.75" customHeight="1" x14ac:dyDescent="0.25">
      <c r="A2397" s="2">
        <v>2394</v>
      </c>
      <c r="B2397" s="2" t="s">
        <v>7388</v>
      </c>
    </row>
    <row r="2398" spans="1:2" ht="18.75" customHeight="1" x14ac:dyDescent="0.25">
      <c r="A2398" s="2">
        <v>2395</v>
      </c>
      <c r="B2398" s="2" t="s">
        <v>7391</v>
      </c>
    </row>
    <row r="2399" spans="1:2" ht="18.75" customHeight="1" x14ac:dyDescent="0.25">
      <c r="A2399" s="2">
        <v>2396</v>
      </c>
      <c r="B2399" s="2" t="s">
        <v>7395</v>
      </c>
    </row>
    <row r="2400" spans="1:2" ht="18.75" customHeight="1" x14ac:dyDescent="0.25">
      <c r="A2400" s="2">
        <v>2397</v>
      </c>
      <c r="B2400" s="2" t="s">
        <v>7397</v>
      </c>
    </row>
    <row r="2401" spans="1:2" ht="18.75" customHeight="1" x14ac:dyDescent="0.25">
      <c r="A2401" s="2">
        <v>2398</v>
      </c>
      <c r="B2401" s="2" t="s">
        <v>7400</v>
      </c>
    </row>
    <row r="2402" spans="1:2" ht="18.75" customHeight="1" x14ac:dyDescent="0.25">
      <c r="A2402" s="2">
        <v>2399</v>
      </c>
      <c r="B2402" s="2" t="s">
        <v>7402</v>
      </c>
    </row>
    <row r="2403" spans="1:2" ht="18.75" customHeight="1" x14ac:dyDescent="0.25">
      <c r="A2403" s="2">
        <v>2400</v>
      </c>
      <c r="B2403" s="2" t="s">
        <v>7404</v>
      </c>
    </row>
    <row r="2404" spans="1:2" ht="18.75" customHeight="1" x14ac:dyDescent="0.25">
      <c r="A2404" s="2">
        <v>2401</v>
      </c>
      <c r="B2404" s="2" t="s">
        <v>7406</v>
      </c>
    </row>
    <row r="2405" spans="1:2" ht="18.75" customHeight="1" x14ac:dyDescent="0.25">
      <c r="A2405" s="2">
        <v>2402</v>
      </c>
      <c r="B2405" s="2" t="s">
        <v>7408</v>
      </c>
    </row>
    <row r="2406" spans="1:2" ht="18.75" customHeight="1" x14ac:dyDescent="0.25">
      <c r="A2406" s="2">
        <v>2403</v>
      </c>
      <c r="B2406" s="2" t="s">
        <v>7411</v>
      </c>
    </row>
    <row r="2407" spans="1:2" ht="18.75" customHeight="1" x14ac:dyDescent="0.25">
      <c r="A2407" s="2">
        <v>2404</v>
      </c>
      <c r="B2407" s="2" t="s">
        <v>7416</v>
      </c>
    </row>
    <row r="2408" spans="1:2" ht="18.75" customHeight="1" x14ac:dyDescent="0.25">
      <c r="A2408" s="2">
        <v>2405</v>
      </c>
      <c r="B2408" s="2" t="s">
        <v>7417</v>
      </c>
    </row>
    <row r="2409" spans="1:2" ht="18.75" customHeight="1" x14ac:dyDescent="0.25">
      <c r="A2409" s="2">
        <v>2406</v>
      </c>
      <c r="B2409" s="2" t="s">
        <v>7420</v>
      </c>
    </row>
    <row r="2410" spans="1:2" ht="18.75" customHeight="1" x14ac:dyDescent="0.25">
      <c r="A2410" s="2">
        <v>2407</v>
      </c>
      <c r="B2410" s="2" t="s">
        <v>7422</v>
      </c>
    </row>
    <row r="2411" spans="1:2" ht="18.75" customHeight="1" x14ac:dyDescent="0.25">
      <c r="A2411" s="2">
        <v>2408</v>
      </c>
      <c r="B2411" s="2" t="s">
        <v>7426</v>
      </c>
    </row>
    <row r="2412" spans="1:2" ht="18.75" customHeight="1" x14ac:dyDescent="0.25">
      <c r="A2412" s="2">
        <v>2409</v>
      </c>
      <c r="B2412" s="2" t="s">
        <v>7431</v>
      </c>
    </row>
    <row r="2413" spans="1:2" ht="18.75" customHeight="1" x14ac:dyDescent="0.25">
      <c r="A2413" s="2">
        <v>2410</v>
      </c>
      <c r="B2413" s="109" t="s">
        <v>7432</v>
      </c>
    </row>
    <row r="2414" spans="1:2" ht="18.75" customHeight="1" x14ac:dyDescent="0.25">
      <c r="A2414" s="2">
        <v>2411</v>
      </c>
      <c r="B2414" s="2" t="s">
        <v>7434</v>
      </c>
    </row>
    <row r="2415" spans="1:2" ht="18.75" customHeight="1" x14ac:dyDescent="0.25">
      <c r="A2415" s="2">
        <v>2412</v>
      </c>
      <c r="B2415" s="109" t="s">
        <v>7436</v>
      </c>
    </row>
    <row r="2416" spans="1:2" ht="18.75" customHeight="1" x14ac:dyDescent="0.25">
      <c r="A2416" s="2">
        <v>2413</v>
      </c>
      <c r="B2416" s="2" t="s">
        <v>7439</v>
      </c>
    </row>
    <row r="2417" spans="1:2" ht="18.75" customHeight="1" x14ac:dyDescent="0.25">
      <c r="A2417" s="2">
        <v>2414</v>
      </c>
      <c r="B2417" s="80" t="s">
        <v>7442</v>
      </c>
    </row>
    <row r="2418" spans="1:2" ht="18.75" customHeight="1" x14ac:dyDescent="0.25">
      <c r="A2418" s="2">
        <v>2415</v>
      </c>
      <c r="B2418" s="2" t="s">
        <v>7449</v>
      </c>
    </row>
    <row r="2419" spans="1:2" ht="18.75" customHeight="1" x14ac:dyDescent="0.25">
      <c r="A2419" s="2">
        <v>2416</v>
      </c>
      <c r="B2419" s="2" t="s">
        <v>7452</v>
      </c>
    </row>
    <row r="2420" spans="1:2" ht="18.75" customHeight="1" x14ac:dyDescent="0.25">
      <c r="A2420" s="2">
        <v>2417</v>
      </c>
      <c r="B2420" s="2" t="s">
        <v>7455</v>
      </c>
    </row>
    <row r="2421" spans="1:2" ht="18.75" customHeight="1" x14ac:dyDescent="0.25">
      <c r="A2421" s="2">
        <v>2418</v>
      </c>
      <c r="B2421" s="2" t="s">
        <v>7461</v>
      </c>
    </row>
    <row r="2422" spans="1:2" ht="18.75" customHeight="1" x14ac:dyDescent="0.25">
      <c r="A2422" s="2">
        <v>2419</v>
      </c>
      <c r="B2422" s="2" t="s">
        <v>7464</v>
      </c>
    </row>
    <row r="2423" spans="1:2" ht="18.75" customHeight="1" x14ac:dyDescent="0.25">
      <c r="A2423" s="2">
        <v>2420</v>
      </c>
      <c r="B2423" s="132" t="s">
        <v>7466</v>
      </c>
    </row>
    <row r="2424" spans="1:2" ht="18.75" customHeight="1" x14ac:dyDescent="0.25">
      <c r="A2424" s="2">
        <v>2421</v>
      </c>
      <c r="B2424" s="132" t="s">
        <v>7468</v>
      </c>
    </row>
    <row r="2425" spans="1:2" ht="18.75" customHeight="1" x14ac:dyDescent="0.25">
      <c r="A2425" s="2">
        <v>2422</v>
      </c>
      <c r="B2425" s="132" t="s">
        <v>7470</v>
      </c>
    </row>
    <row r="2426" spans="1:2" ht="18.75" customHeight="1" x14ac:dyDescent="0.25">
      <c r="A2426" s="2">
        <v>2423</v>
      </c>
      <c r="B2426" s="132" t="s">
        <v>7472</v>
      </c>
    </row>
    <row r="2427" spans="1:2" ht="18.75" customHeight="1" x14ac:dyDescent="0.25">
      <c r="A2427" s="2">
        <v>2424</v>
      </c>
      <c r="B2427" s="132" t="s">
        <v>7474</v>
      </c>
    </row>
    <row r="2428" spans="1:2" ht="18.75" customHeight="1" x14ac:dyDescent="0.25">
      <c r="A2428" s="2">
        <v>2425</v>
      </c>
      <c r="B2428" s="20" t="s">
        <v>7479</v>
      </c>
    </row>
    <row r="2429" spans="1:2" ht="18.75" customHeight="1" x14ac:dyDescent="0.25">
      <c r="A2429" s="2">
        <v>2426</v>
      </c>
      <c r="B2429" s="2" t="s">
        <v>7486</v>
      </c>
    </row>
    <row r="2430" spans="1:2" ht="18.75" customHeight="1" x14ac:dyDescent="0.25">
      <c r="A2430" s="2">
        <v>2427</v>
      </c>
      <c r="B2430" s="2" t="s">
        <v>7488</v>
      </c>
    </row>
    <row r="2431" spans="1:2" ht="18.75" customHeight="1" x14ac:dyDescent="0.25">
      <c r="A2431" s="2">
        <v>2428</v>
      </c>
      <c r="B2431" s="2" t="s">
        <v>6117</v>
      </c>
    </row>
    <row r="2432" spans="1:2" ht="18.75" customHeight="1" x14ac:dyDescent="0.25">
      <c r="A2432" s="2">
        <v>2429</v>
      </c>
      <c r="B2432" s="20" t="s">
        <v>7493</v>
      </c>
    </row>
    <row r="2433" spans="1:2" ht="18.75" customHeight="1" x14ac:dyDescent="0.25">
      <c r="A2433" s="2">
        <v>2430</v>
      </c>
      <c r="B2433" s="2" t="s">
        <v>7499</v>
      </c>
    </row>
    <row r="2434" spans="1:2" ht="18.75" customHeight="1" x14ac:dyDescent="0.25">
      <c r="A2434" s="2">
        <v>2431</v>
      </c>
      <c r="B2434" s="2" t="s">
        <v>7501</v>
      </c>
    </row>
    <row r="2435" spans="1:2" ht="18.75" customHeight="1" x14ac:dyDescent="0.25">
      <c r="A2435" s="2">
        <v>2432</v>
      </c>
      <c r="B2435" s="2" t="s">
        <v>7503</v>
      </c>
    </row>
    <row r="2436" spans="1:2" ht="18.75" customHeight="1" x14ac:dyDescent="0.25">
      <c r="A2436" s="2">
        <v>2433</v>
      </c>
      <c r="B2436" s="2" t="s">
        <v>7505</v>
      </c>
    </row>
    <row r="2437" spans="1:2" ht="18.75" customHeight="1" x14ac:dyDescent="0.25">
      <c r="A2437" s="2">
        <v>2434</v>
      </c>
      <c r="B2437" s="2" t="s">
        <v>7506</v>
      </c>
    </row>
    <row r="2438" spans="1:2" ht="18.75" customHeight="1" x14ac:dyDescent="0.25">
      <c r="A2438" s="2">
        <v>2435</v>
      </c>
      <c r="B2438" s="2" t="s">
        <v>7509</v>
      </c>
    </row>
    <row r="2439" spans="1:2" ht="18.75" customHeight="1" x14ac:dyDescent="0.25">
      <c r="A2439" s="2">
        <v>2436</v>
      </c>
      <c r="B2439" s="2" t="s">
        <v>7516</v>
      </c>
    </row>
    <row r="2440" spans="1:2" ht="18.75" customHeight="1" x14ac:dyDescent="0.25">
      <c r="A2440" s="2">
        <v>2437</v>
      </c>
      <c r="B2440" s="2" t="s">
        <v>7520</v>
      </c>
    </row>
    <row r="2441" spans="1:2" ht="18.75" customHeight="1" x14ac:dyDescent="0.25">
      <c r="A2441" s="2">
        <v>2438</v>
      </c>
      <c r="B2441" s="2" t="s">
        <v>7529</v>
      </c>
    </row>
    <row r="2442" spans="1:2" ht="18.75" customHeight="1" x14ac:dyDescent="0.25">
      <c r="A2442" s="2">
        <v>2439</v>
      </c>
      <c r="B2442" s="2" t="s">
        <v>7535</v>
      </c>
    </row>
    <row r="2443" spans="1:2" ht="18.75" customHeight="1" x14ac:dyDescent="0.25">
      <c r="A2443" s="2">
        <v>2440</v>
      </c>
      <c r="B2443" s="2" t="s">
        <v>7537</v>
      </c>
    </row>
    <row r="2444" spans="1:2" ht="18.75" customHeight="1" x14ac:dyDescent="0.25">
      <c r="A2444" s="2">
        <v>2441</v>
      </c>
      <c r="B2444" s="2" t="s">
        <v>7540</v>
      </c>
    </row>
    <row r="2445" spans="1:2" ht="18.75" customHeight="1" x14ac:dyDescent="0.25">
      <c r="A2445" s="2">
        <v>2442</v>
      </c>
      <c r="B2445" s="2" t="s">
        <v>7544</v>
      </c>
    </row>
    <row r="2446" spans="1:2" ht="18.75" customHeight="1" x14ac:dyDescent="0.25">
      <c r="A2446" s="2">
        <v>2443</v>
      </c>
      <c r="B2446" s="2" t="s">
        <v>7545</v>
      </c>
    </row>
    <row r="2447" spans="1:2" ht="18.75" customHeight="1" x14ac:dyDescent="0.25">
      <c r="A2447" s="2">
        <v>2444</v>
      </c>
      <c r="B2447" s="2" t="s">
        <v>7551</v>
      </c>
    </row>
    <row r="2448" spans="1:2" ht="18.75" customHeight="1" x14ac:dyDescent="0.25">
      <c r="A2448" s="2">
        <v>2445</v>
      </c>
      <c r="B2448" s="2" t="s">
        <v>7552</v>
      </c>
    </row>
    <row r="2449" spans="1:4" ht="18.75" customHeight="1" x14ac:dyDescent="0.25">
      <c r="A2449" s="2">
        <v>2446</v>
      </c>
      <c r="B2449" s="109" t="s">
        <v>7555</v>
      </c>
      <c r="C2449" s="2" t="s">
        <v>7556</v>
      </c>
      <c r="D2449" s="2" t="s">
        <v>7557</v>
      </c>
    </row>
    <row r="2450" spans="1:4" ht="18.75" customHeight="1" x14ac:dyDescent="0.25">
      <c r="A2450" s="2">
        <v>2447</v>
      </c>
      <c r="B2450" s="109" t="s">
        <v>7556</v>
      </c>
    </row>
    <row r="2451" spans="1:4" ht="18.75" customHeight="1" x14ac:dyDescent="0.25">
      <c r="A2451" s="2">
        <v>2448</v>
      </c>
      <c r="B2451" s="2" t="s">
        <v>7557</v>
      </c>
    </row>
    <row r="2452" spans="1:4" ht="18.75" customHeight="1" x14ac:dyDescent="0.25">
      <c r="A2452" s="2">
        <v>2449</v>
      </c>
      <c r="B2452" s="2" t="s">
        <v>7561</v>
      </c>
    </row>
    <row r="2453" spans="1:4" ht="18.75" customHeight="1" x14ac:dyDescent="0.25">
      <c r="A2453" s="2">
        <v>2450</v>
      </c>
      <c r="B2453" s="2" t="s">
        <v>7562</v>
      </c>
    </row>
    <row r="2454" spans="1:4" ht="18.75" customHeight="1" x14ac:dyDescent="0.25">
      <c r="A2454" s="2">
        <v>2451</v>
      </c>
      <c r="B2454" s="2" t="s">
        <v>7567</v>
      </c>
    </row>
    <row r="2455" spans="1:4" ht="18.75" customHeight="1" x14ac:dyDescent="0.25">
      <c r="A2455" s="2">
        <v>2452</v>
      </c>
      <c r="B2455" s="2" t="s">
        <v>7568</v>
      </c>
    </row>
    <row r="2456" spans="1:4" ht="18.75" customHeight="1" x14ac:dyDescent="0.25">
      <c r="A2456" s="2">
        <v>2453</v>
      </c>
      <c r="B2456" s="2" t="s">
        <v>7574</v>
      </c>
    </row>
    <row r="2457" spans="1:4" ht="18.75" customHeight="1" x14ac:dyDescent="0.25">
      <c r="A2457" s="2">
        <v>2454</v>
      </c>
      <c r="B2457" s="2" t="s">
        <v>7579</v>
      </c>
    </row>
    <row r="2458" spans="1:4" ht="18.75" customHeight="1" x14ac:dyDescent="0.25">
      <c r="A2458" s="2">
        <v>2455</v>
      </c>
      <c r="B2458" s="2" t="s">
        <v>7583</v>
      </c>
    </row>
    <row r="2459" spans="1:4" ht="18.75" customHeight="1" x14ac:dyDescent="0.25">
      <c r="A2459" s="2">
        <v>2456</v>
      </c>
      <c r="B2459" s="2" t="s">
        <v>7584</v>
      </c>
    </row>
    <row r="2460" spans="1:4" ht="18.75" customHeight="1" x14ac:dyDescent="0.25">
      <c r="A2460" s="2">
        <v>2457</v>
      </c>
      <c r="B2460" s="2" t="s">
        <v>7587</v>
      </c>
    </row>
    <row r="2461" spans="1:4" ht="18.75" customHeight="1" x14ac:dyDescent="0.25">
      <c r="A2461" s="2">
        <v>2458</v>
      </c>
      <c r="B2461" s="2" t="s">
        <v>7596</v>
      </c>
    </row>
    <row r="2462" spans="1:4" ht="18.75" customHeight="1" x14ac:dyDescent="0.25">
      <c r="A2462" s="2">
        <v>2459</v>
      </c>
      <c r="B2462" s="2" t="s">
        <v>7600</v>
      </c>
    </row>
    <row r="2463" spans="1:4" ht="18.75" customHeight="1" x14ac:dyDescent="0.25">
      <c r="A2463" s="2">
        <v>2460</v>
      </c>
      <c r="B2463" s="2" t="s">
        <v>7603</v>
      </c>
    </row>
    <row r="2464" spans="1:4" ht="18.75" customHeight="1" x14ac:dyDescent="0.25">
      <c r="A2464" s="2">
        <v>2461</v>
      </c>
      <c r="B2464" s="109" t="s">
        <v>7609</v>
      </c>
    </row>
    <row r="2465" spans="1:2" ht="18.75" customHeight="1" x14ac:dyDescent="0.25">
      <c r="A2465" s="2">
        <v>2462</v>
      </c>
      <c r="B2465" s="109" t="s">
        <v>7610</v>
      </c>
    </row>
    <row r="2466" spans="1:2" ht="18.75" customHeight="1" x14ac:dyDescent="0.25">
      <c r="A2466" s="2">
        <v>2463</v>
      </c>
      <c r="B2466" s="109" t="s">
        <v>7618</v>
      </c>
    </row>
    <row r="2467" spans="1:2" ht="18.75" customHeight="1" x14ac:dyDescent="0.25">
      <c r="A2467" s="2">
        <v>2464</v>
      </c>
      <c r="B2467" s="109" t="s">
        <v>7619</v>
      </c>
    </row>
    <row r="2468" spans="1:2" ht="18.75" customHeight="1" x14ac:dyDescent="0.25">
      <c r="A2468" s="2">
        <v>2465</v>
      </c>
      <c r="B2468" s="109" t="s">
        <v>7620</v>
      </c>
    </row>
    <row r="2469" spans="1:2" ht="18.75" customHeight="1" x14ac:dyDescent="0.25">
      <c r="A2469" s="2">
        <v>2466</v>
      </c>
      <c r="B2469" s="2" t="s">
        <v>7621</v>
      </c>
    </row>
    <row r="2470" spans="1:2" ht="18.75" customHeight="1" x14ac:dyDescent="0.25">
      <c r="A2470" s="2">
        <v>2467</v>
      </c>
      <c r="B2470" s="2" t="s">
        <v>7624</v>
      </c>
    </row>
    <row r="2471" spans="1:2" ht="18.75" customHeight="1" x14ac:dyDescent="0.25">
      <c r="A2471" s="2">
        <v>2468</v>
      </c>
      <c r="B2471" s="2" t="s">
        <v>7624</v>
      </c>
    </row>
    <row r="2472" spans="1:2" ht="18.75" customHeight="1" x14ac:dyDescent="0.25">
      <c r="A2472" s="2">
        <v>2469</v>
      </c>
      <c r="B2472" s="110" t="s">
        <v>7628</v>
      </c>
    </row>
    <row r="2473" spans="1:2" ht="18.75" customHeight="1" x14ac:dyDescent="0.25">
      <c r="A2473" s="2">
        <v>2470</v>
      </c>
      <c r="B2473" s="2" t="s">
        <v>7632</v>
      </c>
    </row>
    <row r="2474" spans="1:2" ht="18.75" customHeight="1" x14ac:dyDescent="0.25">
      <c r="A2474" s="2">
        <v>2471</v>
      </c>
      <c r="B2474" s="2" t="s">
        <v>7637</v>
      </c>
    </row>
    <row r="2475" spans="1:2" ht="18.75" customHeight="1" x14ac:dyDescent="0.25">
      <c r="A2475" s="2">
        <v>2472</v>
      </c>
      <c r="B2475" s="2" t="s">
        <v>7641</v>
      </c>
    </row>
    <row r="2476" spans="1:2" ht="18.75" customHeight="1" x14ac:dyDescent="0.25">
      <c r="A2476" s="2">
        <v>2473</v>
      </c>
      <c r="B2476" s="109" t="s">
        <v>7644</v>
      </c>
    </row>
    <row r="2477" spans="1:2" ht="18.75" customHeight="1" x14ac:dyDescent="0.25">
      <c r="A2477" s="2">
        <v>2474</v>
      </c>
      <c r="B2477" s="2" t="s">
        <v>7649</v>
      </c>
    </row>
    <row r="2478" spans="1:2" ht="18.75" customHeight="1" x14ac:dyDescent="0.25">
      <c r="A2478" s="2">
        <v>2475</v>
      </c>
      <c r="B2478" s="2" t="s">
        <v>7653</v>
      </c>
    </row>
    <row r="2479" spans="1:2" ht="18.75" customHeight="1" x14ac:dyDescent="0.25">
      <c r="A2479" s="2">
        <v>2476</v>
      </c>
      <c r="B2479" s="2" t="s">
        <v>7658</v>
      </c>
    </row>
    <row r="2480" spans="1:2" ht="18.75" customHeight="1" x14ac:dyDescent="0.25">
      <c r="A2480" s="2">
        <v>2477</v>
      </c>
      <c r="B2480" s="2" t="s">
        <v>7662</v>
      </c>
    </row>
    <row r="2481" spans="1:2" ht="18.75" customHeight="1" x14ac:dyDescent="0.25">
      <c r="A2481" s="2">
        <v>2478</v>
      </c>
      <c r="B2481" s="2" t="s">
        <v>7664</v>
      </c>
    </row>
    <row r="2482" spans="1:2" ht="18.75" customHeight="1" x14ac:dyDescent="0.25">
      <c r="A2482" s="2">
        <v>2479</v>
      </c>
      <c r="B2482" s="2" t="s">
        <v>7670</v>
      </c>
    </row>
    <row r="2483" spans="1:2" ht="18.75" customHeight="1" x14ac:dyDescent="0.25">
      <c r="A2483" s="2">
        <v>2480</v>
      </c>
      <c r="B2483" s="2" t="s">
        <v>7673</v>
      </c>
    </row>
    <row r="2484" spans="1:2" ht="18.75" customHeight="1" x14ac:dyDescent="0.25">
      <c r="A2484" s="2">
        <v>2481</v>
      </c>
      <c r="B2484" s="109" t="s">
        <v>7678</v>
      </c>
    </row>
    <row r="2485" spans="1:2" ht="18.75" customHeight="1" x14ac:dyDescent="0.25">
      <c r="A2485" s="2">
        <v>2482</v>
      </c>
      <c r="B2485" s="2" t="s">
        <v>7680</v>
      </c>
    </row>
    <row r="2486" spans="1:2" ht="18.75" customHeight="1" x14ac:dyDescent="0.25">
      <c r="A2486" s="2">
        <v>2483</v>
      </c>
      <c r="B2486" s="2" t="s">
        <v>7683</v>
      </c>
    </row>
    <row r="2487" spans="1:2" ht="18.75" customHeight="1" x14ac:dyDescent="0.25">
      <c r="A2487" s="2">
        <v>2484</v>
      </c>
      <c r="B2487" s="2" t="s">
        <v>7684</v>
      </c>
    </row>
    <row r="2488" spans="1:2" ht="18.75" customHeight="1" x14ac:dyDescent="0.25">
      <c r="A2488" s="2">
        <v>2485</v>
      </c>
      <c r="B2488" s="2" t="s">
        <v>7688</v>
      </c>
    </row>
    <row r="2489" spans="1:2" ht="18.75" customHeight="1" x14ac:dyDescent="0.25">
      <c r="A2489" s="2">
        <v>2486</v>
      </c>
      <c r="B2489" s="2" t="s">
        <v>7690</v>
      </c>
    </row>
    <row r="2490" spans="1:2" ht="18.75" customHeight="1" x14ac:dyDescent="0.25">
      <c r="A2490" s="2">
        <v>2487</v>
      </c>
      <c r="B2490" s="2" t="s">
        <v>7693</v>
      </c>
    </row>
    <row r="2491" spans="1:2" ht="18.75" customHeight="1" x14ac:dyDescent="0.25">
      <c r="A2491" s="2">
        <v>2488</v>
      </c>
      <c r="B2491" s="2" t="s">
        <v>7695</v>
      </c>
    </row>
    <row r="2492" spans="1:2" ht="18.75" customHeight="1" x14ac:dyDescent="0.25">
      <c r="A2492" s="2">
        <v>2489</v>
      </c>
      <c r="B2492" s="2" t="s">
        <v>7701</v>
      </c>
    </row>
    <row r="2493" spans="1:2" ht="18.75" customHeight="1" x14ac:dyDescent="0.25">
      <c r="A2493" s="2">
        <v>2490</v>
      </c>
      <c r="B2493" s="2" t="s">
        <v>7706</v>
      </c>
    </row>
    <row r="2494" spans="1:2" ht="18.75" customHeight="1" x14ac:dyDescent="0.25">
      <c r="A2494" s="2">
        <v>2491</v>
      </c>
      <c r="B2494" s="2" t="s">
        <v>7709</v>
      </c>
    </row>
    <row r="2495" spans="1:2" ht="18.75" customHeight="1" x14ac:dyDescent="0.25">
      <c r="A2495" s="2">
        <v>2492</v>
      </c>
      <c r="B2495" s="2" t="s">
        <v>7714</v>
      </c>
    </row>
    <row r="2496" spans="1:2" ht="18.75" customHeight="1" x14ac:dyDescent="0.25">
      <c r="A2496" s="2">
        <v>2493</v>
      </c>
      <c r="B2496" s="2" t="s">
        <v>7720</v>
      </c>
    </row>
    <row r="2497" spans="1:2" ht="18.75" customHeight="1" x14ac:dyDescent="0.25">
      <c r="A2497" s="2">
        <v>2494</v>
      </c>
      <c r="B2497" s="2" t="s">
        <v>7721</v>
      </c>
    </row>
    <row r="2498" spans="1:2" ht="18.75" customHeight="1" x14ac:dyDescent="0.25">
      <c r="A2498" s="2">
        <v>2495</v>
      </c>
      <c r="B2498" s="2" t="s">
        <v>7726</v>
      </c>
    </row>
    <row r="2499" spans="1:2" ht="18.75" customHeight="1" x14ac:dyDescent="0.25">
      <c r="A2499" s="2">
        <v>2496</v>
      </c>
      <c r="B2499" s="2" t="s">
        <v>7731</v>
      </c>
    </row>
    <row r="2500" spans="1:2" ht="18.75" customHeight="1" x14ac:dyDescent="0.25">
      <c r="A2500" s="2">
        <v>2497</v>
      </c>
      <c r="B2500" s="2" t="s">
        <v>7735</v>
      </c>
    </row>
    <row r="2501" spans="1:2" ht="18.75" customHeight="1" x14ac:dyDescent="0.25">
      <c r="A2501" s="2">
        <v>2498</v>
      </c>
      <c r="B2501" s="2" t="s">
        <v>7739</v>
      </c>
    </row>
    <row r="2502" spans="1:2" ht="18.75" customHeight="1" x14ac:dyDescent="0.25">
      <c r="A2502" s="2">
        <v>2499</v>
      </c>
      <c r="B2502" s="2" t="s">
        <v>7741</v>
      </c>
    </row>
    <row r="2503" spans="1:2" ht="18.75" customHeight="1" x14ac:dyDescent="0.25">
      <c r="A2503" s="2">
        <v>2500</v>
      </c>
      <c r="B2503" s="2" t="s">
        <v>7744</v>
      </c>
    </row>
    <row r="2504" spans="1:2" ht="18.75" customHeight="1" x14ac:dyDescent="0.25">
      <c r="A2504" s="2">
        <v>2501</v>
      </c>
      <c r="B2504" s="2" t="s">
        <v>7750</v>
      </c>
    </row>
    <row r="2505" spans="1:2" ht="18.75" customHeight="1" x14ac:dyDescent="0.25">
      <c r="A2505" s="2">
        <v>2502</v>
      </c>
      <c r="B2505" s="2" t="s">
        <v>7754</v>
      </c>
    </row>
    <row r="2506" spans="1:2" ht="18.75" customHeight="1" x14ac:dyDescent="0.25">
      <c r="A2506" s="2">
        <v>2503</v>
      </c>
      <c r="B2506" s="2" t="s">
        <v>7758</v>
      </c>
    </row>
    <row r="2507" spans="1:2" ht="18.75" customHeight="1" x14ac:dyDescent="0.25">
      <c r="A2507" s="2">
        <v>2504</v>
      </c>
      <c r="B2507" s="2" t="s">
        <v>7761</v>
      </c>
    </row>
    <row r="2508" spans="1:2" ht="18.75" customHeight="1" x14ac:dyDescent="0.25">
      <c r="A2508" s="2">
        <v>2505</v>
      </c>
      <c r="B2508" s="2" t="s">
        <v>7762</v>
      </c>
    </row>
    <row r="2509" spans="1:2" ht="18.75" customHeight="1" x14ac:dyDescent="0.25">
      <c r="A2509" s="2">
        <v>2506</v>
      </c>
      <c r="B2509" s="2" t="s">
        <v>7763</v>
      </c>
    </row>
    <row r="2510" spans="1:2" ht="18.75" customHeight="1" x14ac:dyDescent="0.25">
      <c r="A2510" s="2">
        <v>2507</v>
      </c>
      <c r="B2510" s="2" t="s">
        <v>7766</v>
      </c>
    </row>
    <row r="2511" spans="1:2" ht="18.75" customHeight="1" x14ac:dyDescent="0.25">
      <c r="A2511" s="2">
        <v>2508</v>
      </c>
      <c r="B2511" s="2" t="s">
        <v>7769</v>
      </c>
    </row>
    <row r="2512" spans="1:2" ht="18.75" customHeight="1" x14ac:dyDescent="0.25">
      <c r="A2512" s="2">
        <v>2509</v>
      </c>
      <c r="B2512" s="2" t="s">
        <v>7773</v>
      </c>
    </row>
    <row r="2513" spans="1:2" ht="18.75" customHeight="1" x14ac:dyDescent="0.25">
      <c r="A2513" s="2">
        <v>2510</v>
      </c>
      <c r="B2513" s="2" t="s">
        <v>7776</v>
      </c>
    </row>
    <row r="2514" spans="1:2" ht="18.75" customHeight="1" x14ac:dyDescent="0.25">
      <c r="A2514" s="2">
        <v>2511</v>
      </c>
      <c r="B2514" s="2" t="s">
        <v>7780</v>
      </c>
    </row>
    <row r="2515" spans="1:2" ht="18.75" customHeight="1" x14ac:dyDescent="0.25">
      <c r="A2515" s="2">
        <v>2512</v>
      </c>
      <c r="B2515" s="109" t="s">
        <v>7784</v>
      </c>
    </row>
    <row r="2516" spans="1:2" ht="18.75" customHeight="1" x14ac:dyDescent="0.25">
      <c r="A2516" s="2">
        <v>2513</v>
      </c>
      <c r="B2516" s="2" t="s">
        <v>7788</v>
      </c>
    </row>
    <row r="2517" spans="1:2" ht="18.75" customHeight="1" x14ac:dyDescent="0.25">
      <c r="A2517" s="2">
        <v>2514</v>
      </c>
      <c r="B2517" s="2" t="s">
        <v>7791</v>
      </c>
    </row>
    <row r="2518" spans="1:2" ht="18.75" customHeight="1" x14ac:dyDescent="0.25">
      <c r="A2518" s="2">
        <v>2515</v>
      </c>
      <c r="B2518" s="2" t="s">
        <v>7801</v>
      </c>
    </row>
    <row r="2519" spans="1:2" ht="18.75" customHeight="1" x14ac:dyDescent="0.25">
      <c r="A2519" s="2">
        <v>2516</v>
      </c>
      <c r="B2519" s="2" t="s">
        <v>7802</v>
      </c>
    </row>
    <row r="2520" spans="1:2" ht="18.75" customHeight="1" x14ac:dyDescent="0.25">
      <c r="A2520" s="2">
        <v>2517</v>
      </c>
      <c r="B2520" s="2" t="s">
        <v>4940</v>
      </c>
    </row>
    <row r="2521" spans="1:2" ht="18.75" customHeight="1" x14ac:dyDescent="0.25">
      <c r="A2521" s="2">
        <v>2518</v>
      </c>
      <c r="B2521" s="2" t="s">
        <v>4614</v>
      </c>
    </row>
    <row r="2522" spans="1:2" ht="18.75" customHeight="1" x14ac:dyDescent="0.25">
      <c r="A2522" s="2">
        <v>2519</v>
      </c>
      <c r="B2522" s="2" t="s">
        <v>7805</v>
      </c>
    </row>
    <row r="2523" spans="1:2" ht="18.75" customHeight="1" x14ac:dyDescent="0.25">
      <c r="A2523" s="2">
        <v>2520</v>
      </c>
      <c r="B2523" s="2" t="s">
        <v>7809</v>
      </c>
    </row>
    <row r="2524" spans="1:2" ht="18.75" customHeight="1" x14ac:dyDescent="0.25">
      <c r="A2524" s="2">
        <v>2521</v>
      </c>
      <c r="B2524" s="2" t="s">
        <v>7395</v>
      </c>
    </row>
    <row r="2525" spans="1:2" ht="18.75" customHeight="1" x14ac:dyDescent="0.25">
      <c r="A2525" s="2">
        <v>2522</v>
      </c>
      <c r="B2525" s="2" t="s">
        <v>7813</v>
      </c>
    </row>
    <row r="2526" spans="1:2" ht="18.75" customHeight="1" x14ac:dyDescent="0.25">
      <c r="A2526" s="2">
        <v>2523</v>
      </c>
      <c r="B2526" s="2" t="s">
        <v>7822</v>
      </c>
    </row>
    <row r="2527" spans="1:2" ht="18.75" customHeight="1" x14ac:dyDescent="0.25">
      <c r="A2527" s="2">
        <v>2524</v>
      </c>
      <c r="B2527" s="2" t="s">
        <v>7825</v>
      </c>
    </row>
    <row r="2528" spans="1:2" ht="18.75" customHeight="1" x14ac:dyDescent="0.25">
      <c r="A2528" s="2">
        <v>2525</v>
      </c>
      <c r="B2528" s="2" t="s">
        <v>7831</v>
      </c>
    </row>
    <row r="2529" spans="1:2" ht="18.75" customHeight="1" x14ac:dyDescent="0.25">
      <c r="A2529" s="2">
        <v>2526</v>
      </c>
      <c r="B2529" s="2" t="s">
        <v>7832</v>
      </c>
    </row>
    <row r="2530" spans="1:2" ht="18.75" customHeight="1" x14ac:dyDescent="0.25">
      <c r="A2530" s="2">
        <v>2527</v>
      </c>
      <c r="B2530" s="2" t="s">
        <v>7836</v>
      </c>
    </row>
    <row r="2531" spans="1:2" ht="18.75" customHeight="1" x14ac:dyDescent="0.25">
      <c r="A2531" s="2">
        <v>2528</v>
      </c>
      <c r="B2531" s="2" t="s">
        <v>7839</v>
      </c>
    </row>
    <row r="2532" spans="1:2" ht="18.75" customHeight="1" x14ac:dyDescent="0.25">
      <c r="A2532" s="2">
        <v>2529</v>
      </c>
      <c r="B2532" s="2" t="s">
        <v>7840</v>
      </c>
    </row>
    <row r="2533" spans="1:2" ht="18.75" customHeight="1" x14ac:dyDescent="0.25">
      <c r="A2533" s="2">
        <v>2530</v>
      </c>
      <c r="B2533" s="2" t="s">
        <v>7726</v>
      </c>
    </row>
    <row r="2534" spans="1:2" ht="18.75" customHeight="1" x14ac:dyDescent="0.25">
      <c r="A2534" s="2">
        <v>2531</v>
      </c>
      <c r="B2534" s="2" t="s">
        <v>7843</v>
      </c>
    </row>
    <row r="2535" spans="1:2" ht="18.75" customHeight="1" x14ac:dyDescent="0.25">
      <c r="A2535" s="2">
        <v>2532</v>
      </c>
      <c r="B2535" s="2" t="s">
        <v>7844</v>
      </c>
    </row>
    <row r="2536" spans="1:2" ht="18.75" customHeight="1" x14ac:dyDescent="0.25">
      <c r="A2536" s="2">
        <v>2533</v>
      </c>
      <c r="B2536" s="2" t="s">
        <v>7847</v>
      </c>
    </row>
    <row r="2537" spans="1:2" ht="18.75" customHeight="1" x14ac:dyDescent="0.25">
      <c r="A2537" s="2">
        <v>2534</v>
      </c>
      <c r="B2537" s="2" t="s">
        <v>7856</v>
      </c>
    </row>
    <row r="2538" spans="1:2" ht="18.75" customHeight="1" x14ac:dyDescent="0.25">
      <c r="A2538" s="2">
        <v>2535</v>
      </c>
      <c r="B2538" s="2" t="s">
        <v>7865</v>
      </c>
    </row>
    <row r="2539" spans="1:2" ht="18.75" customHeight="1" x14ac:dyDescent="0.25">
      <c r="A2539" s="2">
        <v>2536</v>
      </c>
      <c r="B2539" s="2" t="s">
        <v>7874</v>
      </c>
    </row>
    <row r="2540" spans="1:2" ht="18.75" customHeight="1" x14ac:dyDescent="0.25">
      <c r="A2540" s="2">
        <v>2537</v>
      </c>
      <c r="B2540" s="2" t="s">
        <v>7876</v>
      </c>
    </row>
    <row r="2541" spans="1:2" ht="18.75" customHeight="1" x14ac:dyDescent="0.25">
      <c r="A2541" s="2">
        <v>2538</v>
      </c>
      <c r="B2541" s="2" t="s">
        <v>7877</v>
      </c>
    </row>
    <row r="2542" spans="1:2" ht="18.75" customHeight="1" x14ac:dyDescent="0.25">
      <c r="A2542" s="2">
        <v>2539</v>
      </c>
      <c r="B2542" s="2" t="s">
        <v>7879</v>
      </c>
    </row>
    <row r="2543" spans="1:2" ht="18.75" customHeight="1" x14ac:dyDescent="0.25">
      <c r="A2543" s="2">
        <v>2540</v>
      </c>
      <c r="B2543" s="2" t="s">
        <v>7883</v>
      </c>
    </row>
    <row r="2544" spans="1:2" ht="18.75" customHeight="1" x14ac:dyDescent="0.25">
      <c r="A2544" s="2">
        <v>2541</v>
      </c>
      <c r="B2544" s="2" t="s">
        <v>7885</v>
      </c>
    </row>
    <row r="2545" spans="1:2" ht="18.75" customHeight="1" x14ac:dyDescent="0.25">
      <c r="A2545" s="2">
        <v>2542</v>
      </c>
      <c r="B2545" s="2" t="s">
        <v>7887</v>
      </c>
    </row>
    <row r="2546" spans="1:2" ht="18.75" customHeight="1" x14ac:dyDescent="0.25">
      <c r="A2546" s="2">
        <v>2543</v>
      </c>
      <c r="B2546" s="2" t="s">
        <v>7891</v>
      </c>
    </row>
    <row r="2547" spans="1:2" ht="18.75" customHeight="1" x14ac:dyDescent="0.25">
      <c r="A2547" s="2">
        <v>2544</v>
      </c>
      <c r="B2547" s="2" t="s">
        <v>7894</v>
      </c>
    </row>
    <row r="2548" spans="1:2" ht="18.75" customHeight="1" x14ac:dyDescent="0.25">
      <c r="A2548" s="2">
        <v>2545</v>
      </c>
      <c r="B2548" s="2" t="s">
        <v>7897</v>
      </c>
    </row>
    <row r="2549" spans="1:2" ht="18.75" customHeight="1" x14ac:dyDescent="0.25">
      <c r="A2549" s="2">
        <v>2546</v>
      </c>
      <c r="B2549" s="2" t="s">
        <v>7899</v>
      </c>
    </row>
    <row r="2550" spans="1:2" ht="18.75" customHeight="1" x14ac:dyDescent="0.25">
      <c r="A2550" s="2">
        <v>2547</v>
      </c>
      <c r="B2550" s="2" t="s">
        <v>7903</v>
      </c>
    </row>
    <row r="2551" spans="1:2" ht="18.75" customHeight="1" x14ac:dyDescent="0.25">
      <c r="A2551" s="2">
        <v>2548</v>
      </c>
      <c r="B2551" s="2" t="s">
        <v>7908</v>
      </c>
    </row>
    <row r="2552" spans="1:2" ht="18.75" customHeight="1" x14ac:dyDescent="0.25">
      <c r="A2552" s="2">
        <v>2549</v>
      </c>
      <c r="B2552" s="2" t="s">
        <v>7911</v>
      </c>
    </row>
    <row r="2553" spans="1:2" ht="18.75" customHeight="1" x14ac:dyDescent="0.25">
      <c r="A2553" s="2">
        <v>2550</v>
      </c>
      <c r="B2553" s="2" t="s">
        <v>7914</v>
      </c>
    </row>
    <row r="2554" spans="1:2" ht="18.75" customHeight="1" x14ac:dyDescent="0.25">
      <c r="A2554" s="2">
        <v>2551</v>
      </c>
      <c r="B2554" s="2" t="s">
        <v>7915</v>
      </c>
    </row>
    <row r="2555" spans="1:2" ht="18.75" customHeight="1" x14ac:dyDescent="0.25">
      <c r="A2555" s="2">
        <v>2552</v>
      </c>
      <c r="B2555" s="2" t="s">
        <v>7919</v>
      </c>
    </row>
    <row r="2556" spans="1:2" ht="18.75" customHeight="1" x14ac:dyDescent="0.25">
      <c r="A2556" s="2">
        <v>2553</v>
      </c>
      <c r="B2556" s="2" t="s">
        <v>7920</v>
      </c>
    </row>
    <row r="2557" spans="1:2" ht="18.75" customHeight="1" x14ac:dyDescent="0.25">
      <c r="A2557" s="2">
        <v>2554</v>
      </c>
      <c r="B2557" s="2" t="s">
        <v>7935</v>
      </c>
    </row>
    <row r="2558" spans="1:2" ht="18.75" customHeight="1" x14ac:dyDescent="0.25">
      <c r="A2558" s="2">
        <v>2555</v>
      </c>
      <c r="B2558" s="2" t="s">
        <v>7938</v>
      </c>
    </row>
    <row r="2559" spans="1:2" ht="18.75" customHeight="1" x14ac:dyDescent="0.25">
      <c r="A2559" s="2">
        <v>2556</v>
      </c>
      <c r="B2559" s="2" t="s">
        <v>7947</v>
      </c>
    </row>
    <row r="2560" spans="1:2" ht="18.75" customHeight="1" x14ac:dyDescent="0.25">
      <c r="A2560" s="2">
        <v>2557</v>
      </c>
      <c r="B2560" s="2" t="s">
        <v>7951</v>
      </c>
    </row>
    <row r="2561" spans="1:2" ht="18.75" customHeight="1" x14ac:dyDescent="0.25">
      <c r="A2561" s="2">
        <v>2558</v>
      </c>
      <c r="B2561" s="2" t="s">
        <v>7957</v>
      </c>
    </row>
    <row r="2562" spans="1:2" ht="18.75" customHeight="1" x14ac:dyDescent="0.25">
      <c r="A2562" s="2">
        <v>2559</v>
      </c>
      <c r="B2562" s="2" t="s">
        <v>7959</v>
      </c>
    </row>
    <row r="2563" spans="1:2" ht="18.75" customHeight="1" x14ac:dyDescent="0.25">
      <c r="A2563" s="2">
        <v>2560</v>
      </c>
      <c r="B2563" s="2" t="s">
        <v>7962</v>
      </c>
    </row>
    <row r="2564" spans="1:2" ht="18.75" customHeight="1" x14ac:dyDescent="0.25">
      <c r="A2564" s="2">
        <v>2561</v>
      </c>
      <c r="B2564" s="2" t="s">
        <v>7967</v>
      </c>
    </row>
    <row r="2565" spans="1:2" ht="18.75" customHeight="1" x14ac:dyDescent="0.25">
      <c r="A2565" s="2">
        <v>2562</v>
      </c>
      <c r="B2565" s="109" t="s">
        <v>7970</v>
      </c>
    </row>
    <row r="2566" spans="1:2" ht="18.75" customHeight="1" x14ac:dyDescent="0.25">
      <c r="A2566" s="2">
        <v>2563</v>
      </c>
      <c r="B2566" s="109" t="s">
        <v>7978</v>
      </c>
    </row>
    <row r="2567" spans="1:2" ht="18.75" customHeight="1" x14ac:dyDescent="0.25">
      <c r="A2567" s="2">
        <v>2564</v>
      </c>
      <c r="B2567" s="109" t="s">
        <v>7985</v>
      </c>
    </row>
    <row r="2568" spans="1:2" ht="18.75" customHeight="1" x14ac:dyDescent="0.25">
      <c r="A2568" s="2">
        <v>2565</v>
      </c>
      <c r="B2568" s="109" t="s">
        <v>7991</v>
      </c>
    </row>
    <row r="2569" spans="1:2" ht="18.75" customHeight="1" x14ac:dyDescent="0.25">
      <c r="A2569" s="2">
        <v>2566</v>
      </c>
      <c r="B2569" s="109" t="s">
        <v>7995</v>
      </c>
    </row>
    <row r="2570" spans="1:2" ht="18.75" customHeight="1" x14ac:dyDescent="0.25">
      <c r="A2570" s="2">
        <v>2567</v>
      </c>
      <c r="B2570" s="109" t="s">
        <v>7998</v>
      </c>
    </row>
    <row r="2571" spans="1:2" ht="18.75" customHeight="1" x14ac:dyDescent="0.25">
      <c r="A2571" s="2">
        <v>2568</v>
      </c>
      <c r="B2571" s="109" t="s">
        <v>8004</v>
      </c>
    </row>
    <row r="2572" spans="1:2" ht="18.75" customHeight="1" x14ac:dyDescent="0.25">
      <c r="A2572" s="2">
        <v>2569</v>
      </c>
      <c r="B2572" s="109" t="s">
        <v>8007</v>
      </c>
    </row>
    <row r="2573" spans="1:2" ht="18.75" customHeight="1" x14ac:dyDescent="0.25">
      <c r="A2573" s="2">
        <v>2570</v>
      </c>
      <c r="B2573" s="109" t="s">
        <v>8009</v>
      </c>
    </row>
    <row r="2574" spans="1:2" ht="18.75" customHeight="1" x14ac:dyDescent="0.25">
      <c r="A2574" s="2">
        <v>2571</v>
      </c>
      <c r="B2574" s="109" t="s">
        <v>8012</v>
      </c>
    </row>
    <row r="2575" spans="1:2" ht="18.75" customHeight="1" x14ac:dyDescent="0.25">
      <c r="A2575" s="2">
        <v>2572</v>
      </c>
      <c r="B2575" s="109" t="s">
        <v>7688</v>
      </c>
    </row>
    <row r="2576" spans="1:2" ht="18.75" customHeight="1" x14ac:dyDescent="0.25">
      <c r="A2576" s="2">
        <v>2573</v>
      </c>
      <c r="B2576" s="109" t="s">
        <v>8018</v>
      </c>
    </row>
    <row r="2577" spans="1:2" ht="18.75" customHeight="1" x14ac:dyDescent="0.25">
      <c r="A2577" s="2">
        <v>2574</v>
      </c>
      <c r="B2577" s="109" t="s">
        <v>8021</v>
      </c>
    </row>
    <row r="2578" spans="1:2" ht="18.75" customHeight="1" x14ac:dyDescent="0.25">
      <c r="A2578" s="2">
        <v>2575</v>
      </c>
      <c r="B2578" s="109" t="s">
        <v>8027</v>
      </c>
    </row>
    <row r="2579" spans="1:2" ht="18.75" customHeight="1" x14ac:dyDescent="0.25">
      <c r="A2579" s="2">
        <v>2576</v>
      </c>
      <c r="B2579" s="109" t="s">
        <v>8030</v>
      </c>
    </row>
    <row r="2580" spans="1:2" ht="18.75" customHeight="1" x14ac:dyDescent="0.25">
      <c r="A2580" s="2">
        <v>2577</v>
      </c>
      <c r="B2580" s="2" t="s">
        <v>8033</v>
      </c>
    </row>
    <row r="2581" spans="1:2" ht="18.75" customHeight="1" x14ac:dyDescent="0.25">
      <c r="A2581" s="2">
        <v>2578</v>
      </c>
      <c r="B2581" s="2" t="s">
        <v>8034</v>
      </c>
    </row>
    <row r="2582" spans="1:2" ht="18.75" customHeight="1" x14ac:dyDescent="0.25">
      <c r="A2582" s="2">
        <v>2579</v>
      </c>
      <c r="B2582" s="2" t="s">
        <v>8037</v>
      </c>
    </row>
    <row r="2583" spans="1:2" ht="18.75" customHeight="1" x14ac:dyDescent="0.25">
      <c r="A2583" s="2">
        <v>2580</v>
      </c>
      <c r="B2583" s="109" t="s">
        <v>8050</v>
      </c>
    </row>
    <row r="2584" spans="1:2" ht="18.75" customHeight="1" x14ac:dyDescent="0.25">
      <c r="A2584" s="2">
        <v>2581</v>
      </c>
      <c r="B2584" s="109" t="s">
        <v>8053</v>
      </c>
    </row>
    <row r="2585" spans="1:2" ht="18.75" customHeight="1" x14ac:dyDescent="0.25">
      <c r="A2585" s="2">
        <v>2582</v>
      </c>
      <c r="B2585" s="109" t="s">
        <v>8061</v>
      </c>
    </row>
    <row r="2586" spans="1:2" ht="18.75" customHeight="1" x14ac:dyDescent="0.25">
      <c r="A2586" s="2">
        <v>2583</v>
      </c>
      <c r="B2586" s="109" t="s">
        <v>8063</v>
      </c>
    </row>
    <row r="2587" spans="1:2" ht="18.75" customHeight="1" x14ac:dyDescent="0.25">
      <c r="A2587" s="2">
        <v>2584</v>
      </c>
      <c r="B2587" s="109" t="s">
        <v>8065</v>
      </c>
    </row>
    <row r="2588" spans="1:2" ht="18.75" customHeight="1" x14ac:dyDescent="0.25">
      <c r="A2588" s="2">
        <v>2585</v>
      </c>
      <c r="B2588" s="109" t="s">
        <v>8068</v>
      </c>
    </row>
    <row r="2589" spans="1:2" ht="18.75" customHeight="1" x14ac:dyDescent="0.25">
      <c r="A2589" s="2">
        <v>2586</v>
      </c>
      <c r="B2589" s="109" t="s">
        <v>8070</v>
      </c>
    </row>
    <row r="2590" spans="1:2" ht="18.75" customHeight="1" x14ac:dyDescent="0.25">
      <c r="A2590" s="2">
        <v>2587</v>
      </c>
      <c r="B2590" s="109" t="s">
        <v>8072</v>
      </c>
    </row>
    <row r="2591" spans="1:2" ht="18.75" customHeight="1" x14ac:dyDescent="0.25">
      <c r="A2591" s="2">
        <v>2588</v>
      </c>
      <c r="B2591" s="2" t="s">
        <v>8076</v>
      </c>
    </row>
    <row r="2592" spans="1:2" ht="18.75" customHeight="1" x14ac:dyDescent="0.25">
      <c r="A2592" s="2">
        <v>2589</v>
      </c>
      <c r="B2592" s="109" t="s">
        <v>8079</v>
      </c>
    </row>
    <row r="2593" spans="1:2" ht="18.75" customHeight="1" x14ac:dyDescent="0.25">
      <c r="A2593" s="2">
        <v>2590</v>
      </c>
      <c r="B2593" s="109" t="s">
        <v>8081</v>
      </c>
    </row>
    <row r="2594" spans="1:2" ht="18.75" customHeight="1" x14ac:dyDescent="0.25">
      <c r="A2594" s="2">
        <v>2591</v>
      </c>
      <c r="B2594" s="109" t="s">
        <v>8092</v>
      </c>
    </row>
    <row r="2595" spans="1:2" ht="18.75" customHeight="1" x14ac:dyDescent="0.25">
      <c r="A2595" s="2">
        <v>2592</v>
      </c>
      <c r="B2595" s="109" t="s">
        <v>8095</v>
      </c>
    </row>
    <row r="2596" spans="1:2" ht="18.75" customHeight="1" x14ac:dyDescent="0.25">
      <c r="A2596" s="2">
        <v>2593</v>
      </c>
      <c r="B2596" s="109" t="s">
        <v>8098</v>
      </c>
    </row>
    <row r="2597" spans="1:2" ht="18.75" customHeight="1" x14ac:dyDescent="0.25">
      <c r="A2597" s="2">
        <v>2594</v>
      </c>
      <c r="B2597" s="109" t="s">
        <v>8103</v>
      </c>
    </row>
    <row r="2598" spans="1:2" ht="18.75" customHeight="1" x14ac:dyDescent="0.25">
      <c r="A2598" s="2">
        <v>2595</v>
      </c>
      <c r="B2598" s="109" t="s">
        <v>8118</v>
      </c>
    </row>
    <row r="2599" spans="1:2" ht="18.75" customHeight="1" x14ac:dyDescent="0.25">
      <c r="A2599" s="2">
        <v>2596</v>
      </c>
      <c r="B2599" s="109" t="s">
        <v>8122</v>
      </c>
    </row>
    <row r="2600" spans="1:2" ht="18.75" customHeight="1" x14ac:dyDescent="0.25">
      <c r="A2600" s="2">
        <v>2597</v>
      </c>
      <c r="B2600" s="109" t="s">
        <v>8123</v>
      </c>
    </row>
    <row r="2601" spans="1:2" ht="18.75" customHeight="1" x14ac:dyDescent="0.25">
      <c r="A2601" s="2">
        <v>2598</v>
      </c>
      <c r="B2601" s="109" t="s">
        <v>8127</v>
      </c>
    </row>
    <row r="2602" spans="1:2" ht="18.75" customHeight="1" x14ac:dyDescent="0.25">
      <c r="A2602" s="2">
        <v>2599</v>
      </c>
      <c r="B2602" s="109" t="s">
        <v>8135</v>
      </c>
    </row>
    <row r="2603" spans="1:2" ht="18.75" customHeight="1" x14ac:dyDescent="0.25">
      <c r="A2603" s="2">
        <v>2600</v>
      </c>
      <c r="B2603" s="109" t="s">
        <v>8138</v>
      </c>
    </row>
    <row r="2604" spans="1:2" ht="18.75" customHeight="1" x14ac:dyDescent="0.25">
      <c r="A2604" s="2">
        <v>2601</v>
      </c>
      <c r="B2604" s="109" t="s">
        <v>8139</v>
      </c>
    </row>
    <row r="2605" spans="1:2" ht="18.75" customHeight="1" x14ac:dyDescent="0.25">
      <c r="A2605" s="2">
        <v>2602</v>
      </c>
      <c r="B2605" s="109" t="s">
        <v>8140</v>
      </c>
    </row>
    <row r="2606" spans="1:2" ht="18.75" customHeight="1" x14ac:dyDescent="0.25">
      <c r="A2606" s="2">
        <v>2603</v>
      </c>
      <c r="B2606" s="2" t="s">
        <v>8144</v>
      </c>
    </row>
    <row r="2607" spans="1:2" ht="18.75" customHeight="1" x14ac:dyDescent="0.25">
      <c r="A2607" s="2">
        <v>2604</v>
      </c>
      <c r="B2607" s="2" t="s">
        <v>8148</v>
      </c>
    </row>
    <row r="2608" spans="1:2" ht="18.75" customHeight="1" x14ac:dyDescent="0.25">
      <c r="A2608" s="2">
        <v>2605</v>
      </c>
      <c r="B2608" s="2" t="s">
        <v>8151</v>
      </c>
    </row>
    <row r="2609" spans="1:2" ht="18.75" customHeight="1" x14ac:dyDescent="0.25">
      <c r="A2609" s="2">
        <v>2606</v>
      </c>
      <c r="B2609" s="2" t="s">
        <v>8158</v>
      </c>
    </row>
    <row r="2610" spans="1:2" ht="18.75" customHeight="1" x14ac:dyDescent="0.25">
      <c r="A2610" s="2">
        <v>2607</v>
      </c>
      <c r="B2610" s="2" t="s">
        <v>8163</v>
      </c>
    </row>
    <row r="2611" spans="1:2" ht="18.75" customHeight="1" x14ac:dyDescent="0.25">
      <c r="A2611" s="2">
        <v>2608</v>
      </c>
      <c r="B2611" s="2" t="s">
        <v>8166</v>
      </c>
    </row>
    <row r="2612" spans="1:2" ht="18.75" customHeight="1" x14ac:dyDescent="0.25">
      <c r="A2612" s="2">
        <v>2609</v>
      </c>
      <c r="B2612" s="2" t="s">
        <v>8168</v>
      </c>
    </row>
    <row r="2613" spans="1:2" ht="18.75" customHeight="1" x14ac:dyDescent="0.25">
      <c r="A2613" s="2">
        <v>2610</v>
      </c>
      <c r="B2613" s="2" t="s">
        <v>8174</v>
      </c>
    </row>
    <row r="2614" spans="1:2" ht="18.75" customHeight="1" x14ac:dyDescent="0.25">
      <c r="A2614" s="2">
        <v>2611</v>
      </c>
      <c r="B2614" s="2" t="s">
        <v>8177</v>
      </c>
    </row>
    <row r="2615" spans="1:2" ht="18.75" customHeight="1" x14ac:dyDescent="0.25">
      <c r="A2615" s="2">
        <v>2612</v>
      </c>
      <c r="B2615" s="2" t="s">
        <v>8182</v>
      </c>
    </row>
    <row r="2616" spans="1:2" ht="18.75" customHeight="1" x14ac:dyDescent="0.25">
      <c r="A2616" s="2">
        <v>2613</v>
      </c>
      <c r="B2616" s="2" t="s">
        <v>8183</v>
      </c>
    </row>
    <row r="2617" spans="1:2" ht="18.75" customHeight="1" x14ac:dyDescent="0.25">
      <c r="A2617" s="2">
        <v>2614</v>
      </c>
      <c r="B2617" s="2" t="s">
        <v>8189</v>
      </c>
    </row>
    <row r="2618" spans="1:2" ht="18.75" customHeight="1" x14ac:dyDescent="0.25">
      <c r="A2618" s="2">
        <v>2615</v>
      </c>
      <c r="B2618" s="2" t="s">
        <v>8201</v>
      </c>
    </row>
    <row r="2619" spans="1:2" ht="18.75" customHeight="1" x14ac:dyDescent="0.25">
      <c r="A2619" s="2">
        <v>2616</v>
      </c>
      <c r="B2619" s="2" t="s">
        <v>8215</v>
      </c>
    </row>
    <row r="2620" spans="1:2" ht="18.75" customHeight="1" x14ac:dyDescent="0.25">
      <c r="A2620" s="2">
        <v>2617</v>
      </c>
      <c r="B2620" s="2" t="s">
        <v>8218</v>
      </c>
    </row>
    <row r="2621" spans="1:2" ht="18.75" customHeight="1" x14ac:dyDescent="0.25">
      <c r="A2621" s="2">
        <v>2618</v>
      </c>
      <c r="B2621" s="2" t="s">
        <v>8221</v>
      </c>
    </row>
    <row r="2622" spans="1:2" ht="18.75" customHeight="1" x14ac:dyDescent="0.25">
      <c r="A2622" s="2">
        <v>2619</v>
      </c>
      <c r="B2622" s="2" t="s">
        <v>8224</v>
      </c>
    </row>
    <row r="2623" spans="1:2" ht="18.75" customHeight="1" x14ac:dyDescent="0.25">
      <c r="A2623" s="2">
        <v>2620</v>
      </c>
      <c r="B2623" s="2" t="s">
        <v>8229</v>
      </c>
    </row>
    <row r="2624" spans="1:2" ht="18.75" customHeight="1" x14ac:dyDescent="0.25">
      <c r="A2624" s="2">
        <v>2621</v>
      </c>
      <c r="B2624" s="2" t="s">
        <v>8232</v>
      </c>
    </row>
    <row r="2625" spans="1:2" ht="18.75" customHeight="1" x14ac:dyDescent="0.25">
      <c r="A2625" s="2">
        <v>2622</v>
      </c>
      <c r="B2625" s="2" t="s">
        <v>8243</v>
      </c>
    </row>
    <row r="2626" spans="1:2" ht="18.75" customHeight="1" x14ac:dyDescent="0.25">
      <c r="A2626" s="2">
        <v>2623</v>
      </c>
      <c r="B2626" s="2" t="s">
        <v>8249</v>
      </c>
    </row>
    <row r="2627" spans="1:2" ht="18.75" customHeight="1" x14ac:dyDescent="0.25">
      <c r="A2627" s="2">
        <v>2624</v>
      </c>
      <c r="B2627" s="2" t="s">
        <v>8250</v>
      </c>
    </row>
    <row r="2628" spans="1:2" ht="18.75" customHeight="1" x14ac:dyDescent="0.25">
      <c r="A2628" s="2">
        <v>2625</v>
      </c>
      <c r="B2628" s="2" t="s">
        <v>8254</v>
      </c>
    </row>
    <row r="2629" spans="1:2" ht="18.75" customHeight="1" x14ac:dyDescent="0.25">
      <c r="A2629" s="2">
        <v>2626</v>
      </c>
      <c r="B2629" s="2" t="s">
        <v>8277</v>
      </c>
    </row>
    <row r="2630" spans="1:2" ht="18.75" customHeight="1" x14ac:dyDescent="0.25">
      <c r="A2630" s="2">
        <v>2627</v>
      </c>
      <c r="B2630" s="2" t="s">
        <v>8280</v>
      </c>
    </row>
    <row r="2631" spans="1:2" ht="18.75" customHeight="1" x14ac:dyDescent="0.25">
      <c r="A2631" s="2">
        <v>2628</v>
      </c>
      <c r="B2631" s="2" t="s">
        <v>8283</v>
      </c>
    </row>
    <row r="2632" spans="1:2" ht="18.75" customHeight="1" x14ac:dyDescent="0.25">
      <c r="A2632" s="2">
        <v>2629</v>
      </c>
      <c r="B2632" s="2" t="s">
        <v>8286</v>
      </c>
    </row>
    <row r="2633" spans="1:2" ht="18.75" customHeight="1" x14ac:dyDescent="0.25">
      <c r="A2633" s="2">
        <v>2630</v>
      </c>
      <c r="B2633" s="2" t="s">
        <v>8289</v>
      </c>
    </row>
    <row r="2634" spans="1:2" ht="18.75" customHeight="1" x14ac:dyDescent="0.25">
      <c r="A2634" s="2">
        <v>2631</v>
      </c>
      <c r="B2634" s="2" t="s">
        <v>8296</v>
      </c>
    </row>
    <row r="2635" spans="1:2" ht="18.75" customHeight="1" x14ac:dyDescent="0.25">
      <c r="A2635" s="2">
        <v>2632</v>
      </c>
      <c r="B2635" s="2" t="s">
        <v>8307</v>
      </c>
    </row>
    <row r="2636" spans="1:2" ht="18.75" customHeight="1" x14ac:dyDescent="0.25">
      <c r="A2636" s="2">
        <v>2633</v>
      </c>
      <c r="B2636" s="2" t="s">
        <v>8311</v>
      </c>
    </row>
    <row r="2637" spans="1:2" ht="18.75" customHeight="1" x14ac:dyDescent="0.25">
      <c r="A2637" s="2">
        <v>2634</v>
      </c>
      <c r="B2637" s="2" t="s">
        <v>8323</v>
      </c>
    </row>
    <row r="2638" spans="1:2" ht="18.75" customHeight="1" x14ac:dyDescent="0.25">
      <c r="A2638" s="2">
        <v>2635</v>
      </c>
      <c r="B2638" s="2" t="s">
        <v>8327</v>
      </c>
    </row>
    <row r="2639" spans="1:2" ht="18.75" customHeight="1" x14ac:dyDescent="0.25">
      <c r="A2639" s="2">
        <v>2636</v>
      </c>
      <c r="B2639" s="2" t="s">
        <v>8329</v>
      </c>
    </row>
    <row r="2640" spans="1:2" ht="18.75" customHeight="1" x14ac:dyDescent="0.25">
      <c r="A2640" s="2">
        <v>2637</v>
      </c>
      <c r="B2640" s="2" t="s">
        <v>8332</v>
      </c>
    </row>
    <row r="2641" spans="1:2" ht="18.75" customHeight="1" x14ac:dyDescent="0.25">
      <c r="A2641" s="2">
        <v>2638</v>
      </c>
      <c r="B2641" s="2" t="s">
        <v>8341</v>
      </c>
    </row>
    <row r="2642" spans="1:2" ht="18.75" customHeight="1" x14ac:dyDescent="0.25">
      <c r="A2642" s="2">
        <v>2639</v>
      </c>
      <c r="B2642" s="152" t="s">
        <v>8344</v>
      </c>
    </row>
    <row r="2643" spans="1:2" ht="18.75" customHeight="1" x14ac:dyDescent="0.25">
      <c r="A2643" s="2">
        <v>2640</v>
      </c>
      <c r="B2643" s="2" t="s">
        <v>8346</v>
      </c>
    </row>
    <row r="2644" spans="1:2" ht="18.75" customHeight="1" x14ac:dyDescent="0.25">
      <c r="A2644" s="2">
        <v>2641</v>
      </c>
      <c r="B2644" s="2" t="s">
        <v>8347</v>
      </c>
    </row>
    <row r="2645" spans="1:2" ht="18.75" customHeight="1" x14ac:dyDescent="0.25">
      <c r="A2645" s="2">
        <v>2642</v>
      </c>
      <c r="B2645" s="2" t="s">
        <v>8348</v>
      </c>
    </row>
    <row r="2646" spans="1:2" ht="18.75" customHeight="1" x14ac:dyDescent="0.25">
      <c r="A2646" s="2">
        <v>2643</v>
      </c>
      <c r="B2646" s="2" t="s">
        <v>8352</v>
      </c>
    </row>
    <row r="2647" spans="1:2" ht="18.75" customHeight="1" x14ac:dyDescent="0.25">
      <c r="A2647" s="2">
        <v>2644</v>
      </c>
      <c r="B2647" s="2" t="s">
        <v>8354</v>
      </c>
    </row>
    <row r="2648" spans="1:2" ht="18.75" customHeight="1" x14ac:dyDescent="0.25">
      <c r="A2648" s="2">
        <v>2645</v>
      </c>
      <c r="B2648" s="2" t="s">
        <v>8356</v>
      </c>
    </row>
    <row r="2649" spans="1:2" ht="18.75" customHeight="1" x14ac:dyDescent="0.25">
      <c r="A2649" s="2">
        <v>2646</v>
      </c>
      <c r="B2649" s="2" t="s">
        <v>8358</v>
      </c>
    </row>
    <row r="2650" spans="1:2" ht="18.75" customHeight="1" x14ac:dyDescent="0.25">
      <c r="A2650" s="2">
        <v>2647</v>
      </c>
      <c r="B2650" s="2" t="s">
        <v>8359</v>
      </c>
    </row>
    <row r="2651" spans="1:2" ht="18.75" customHeight="1" x14ac:dyDescent="0.25">
      <c r="A2651" s="2">
        <v>2648</v>
      </c>
      <c r="B2651" s="2" t="s">
        <v>8367</v>
      </c>
    </row>
    <row r="2652" spans="1:2" ht="18.75" customHeight="1" x14ac:dyDescent="0.25">
      <c r="A2652" s="2">
        <v>2649</v>
      </c>
      <c r="B2652" s="2" t="s">
        <v>8375</v>
      </c>
    </row>
    <row r="2653" spans="1:2" ht="18.75" customHeight="1" x14ac:dyDescent="0.25">
      <c r="A2653" s="2">
        <v>2650</v>
      </c>
      <c r="B2653" s="2" t="s">
        <v>8379</v>
      </c>
    </row>
    <row r="2654" spans="1:2" ht="18.75" customHeight="1" x14ac:dyDescent="0.25">
      <c r="A2654" s="2">
        <v>2651</v>
      </c>
      <c r="B2654" s="109" t="s">
        <v>8382</v>
      </c>
    </row>
    <row r="2655" spans="1:2" ht="18.75" customHeight="1" x14ac:dyDescent="0.25">
      <c r="A2655" s="2">
        <v>2652</v>
      </c>
      <c r="B2655" s="2" t="s">
        <v>8385</v>
      </c>
    </row>
    <row r="2656" spans="1:2" ht="18.75" customHeight="1" x14ac:dyDescent="0.25">
      <c r="A2656" s="2">
        <v>2653</v>
      </c>
      <c r="B2656" s="2" t="s">
        <v>8390</v>
      </c>
    </row>
    <row r="2657" spans="1:2" ht="18.75" customHeight="1" x14ac:dyDescent="0.25">
      <c r="A2657" s="2">
        <v>2654</v>
      </c>
      <c r="B2657" s="2" t="s">
        <v>8391</v>
      </c>
    </row>
    <row r="2658" spans="1:2" ht="18.75" customHeight="1" x14ac:dyDescent="0.25">
      <c r="A2658" s="2">
        <v>2655</v>
      </c>
      <c r="B2658" s="2" t="s">
        <v>8395</v>
      </c>
    </row>
    <row r="2659" spans="1:2" ht="18.75" customHeight="1" x14ac:dyDescent="0.25">
      <c r="A2659" s="2">
        <v>2656</v>
      </c>
      <c r="B2659" s="2" t="s">
        <v>8399</v>
      </c>
    </row>
    <row r="2660" spans="1:2" ht="18.75" customHeight="1" x14ac:dyDescent="0.25">
      <c r="A2660" s="2">
        <v>2657</v>
      </c>
      <c r="B2660" s="2" t="s">
        <v>8402</v>
      </c>
    </row>
    <row r="2661" spans="1:2" ht="18.75" customHeight="1" x14ac:dyDescent="0.25">
      <c r="A2661" s="2">
        <v>2658</v>
      </c>
      <c r="B2661" s="2" t="s">
        <v>8403</v>
      </c>
    </row>
    <row r="2662" spans="1:2" ht="18.75" customHeight="1" x14ac:dyDescent="0.25">
      <c r="A2662" s="2">
        <v>2659</v>
      </c>
      <c r="B2662" s="2" t="s">
        <v>8409</v>
      </c>
    </row>
    <row r="2663" spans="1:2" ht="18.75" customHeight="1" x14ac:dyDescent="0.25">
      <c r="A2663" s="2">
        <v>2660</v>
      </c>
      <c r="B2663" s="2" t="s">
        <v>8412</v>
      </c>
    </row>
    <row r="2664" spans="1:2" ht="18.75" customHeight="1" x14ac:dyDescent="0.25">
      <c r="A2664" s="2">
        <v>2661</v>
      </c>
      <c r="B2664" s="2" t="s">
        <v>8413</v>
      </c>
    </row>
    <row r="2665" spans="1:2" ht="18.75" customHeight="1" x14ac:dyDescent="0.25">
      <c r="A2665" s="2">
        <v>2662</v>
      </c>
      <c r="B2665" s="2" t="s">
        <v>8418</v>
      </c>
    </row>
    <row r="2666" spans="1:2" ht="18.75" customHeight="1" x14ac:dyDescent="0.25">
      <c r="A2666" s="2">
        <v>2663</v>
      </c>
      <c r="B2666" s="2" t="s">
        <v>8428</v>
      </c>
    </row>
    <row r="2667" spans="1:2" ht="18.75" customHeight="1" x14ac:dyDescent="0.25">
      <c r="A2667" s="2">
        <v>2664</v>
      </c>
      <c r="B2667" s="2" t="s">
        <v>8431</v>
      </c>
    </row>
    <row r="2668" spans="1:2" ht="18.75" customHeight="1" x14ac:dyDescent="0.25">
      <c r="A2668" s="2">
        <v>2665</v>
      </c>
      <c r="B2668" s="2" t="s">
        <v>8434</v>
      </c>
    </row>
    <row r="2669" spans="1:2" ht="18.75" customHeight="1" x14ac:dyDescent="0.25">
      <c r="A2669" s="2">
        <v>2666</v>
      </c>
      <c r="B2669" s="2" t="s">
        <v>8437</v>
      </c>
    </row>
    <row r="2670" spans="1:2" ht="18.75" customHeight="1" x14ac:dyDescent="0.25">
      <c r="A2670" s="2">
        <v>2667</v>
      </c>
      <c r="B2670" s="2" t="s">
        <v>8439</v>
      </c>
    </row>
    <row r="2671" spans="1:2" ht="18.75" customHeight="1" x14ac:dyDescent="0.25">
      <c r="A2671" s="2">
        <v>2668</v>
      </c>
      <c r="B2671" s="2" t="s">
        <v>8452</v>
      </c>
    </row>
    <row r="2672" spans="1:2" ht="18.75" customHeight="1" x14ac:dyDescent="0.25">
      <c r="A2672" s="2">
        <v>2669</v>
      </c>
      <c r="B2672" s="109" t="s">
        <v>8464</v>
      </c>
    </row>
    <row r="2673" spans="1:2" ht="18.75" customHeight="1" x14ac:dyDescent="0.25">
      <c r="A2673" s="2">
        <v>2670</v>
      </c>
      <c r="B2673" s="2" t="s">
        <v>8467</v>
      </c>
    </row>
    <row r="2674" spans="1:2" ht="18.75" customHeight="1" x14ac:dyDescent="0.25">
      <c r="A2674" s="2">
        <v>2671</v>
      </c>
      <c r="B2674" s="2" t="s">
        <v>8469</v>
      </c>
    </row>
    <row r="2675" spans="1:2" ht="18.75" customHeight="1" x14ac:dyDescent="0.25">
      <c r="A2675" s="2">
        <v>2672</v>
      </c>
      <c r="B2675" s="2" t="s">
        <v>8499</v>
      </c>
    </row>
    <row r="2676" spans="1:2" ht="18.75" customHeight="1" x14ac:dyDescent="0.25">
      <c r="A2676" s="2">
        <v>2673</v>
      </c>
      <c r="B2676" s="2" t="s">
        <v>8516</v>
      </c>
    </row>
    <row r="2677" spans="1:2" ht="18.75" customHeight="1" x14ac:dyDescent="0.25">
      <c r="A2677" s="2">
        <v>2674</v>
      </c>
      <c r="B2677" s="2" t="s">
        <v>8519</v>
      </c>
    </row>
    <row r="2678" spans="1:2" ht="18.75" customHeight="1" x14ac:dyDescent="0.25">
      <c r="A2678" s="2">
        <v>2675</v>
      </c>
      <c r="B2678" s="2" t="s">
        <v>8532</v>
      </c>
    </row>
    <row r="2679" spans="1:2" ht="18.75" customHeight="1" x14ac:dyDescent="0.25">
      <c r="A2679" s="2">
        <v>2676</v>
      </c>
      <c r="B2679" s="2" t="s">
        <v>8536</v>
      </c>
    </row>
    <row r="2680" spans="1:2" ht="18.75" customHeight="1" x14ac:dyDescent="0.25">
      <c r="A2680" s="2">
        <v>2677</v>
      </c>
      <c r="B2680" s="2" t="s">
        <v>8545</v>
      </c>
    </row>
    <row r="2681" spans="1:2" ht="18.75" customHeight="1" x14ac:dyDescent="0.25">
      <c r="A2681" s="2">
        <v>2678</v>
      </c>
      <c r="B2681" s="2" t="s">
        <v>8550</v>
      </c>
    </row>
    <row r="2682" spans="1:2" ht="18.75" customHeight="1" x14ac:dyDescent="0.25">
      <c r="A2682" s="2">
        <v>2679</v>
      </c>
      <c r="B2682" s="2" t="s">
        <v>8568</v>
      </c>
    </row>
    <row r="2683" spans="1:2" ht="18.75" customHeight="1" x14ac:dyDescent="0.25">
      <c r="A2683" s="2">
        <v>2680</v>
      </c>
      <c r="B2683" s="2" t="s">
        <v>8583</v>
      </c>
    </row>
    <row r="2684" spans="1:2" ht="18.75" customHeight="1" x14ac:dyDescent="0.25">
      <c r="A2684" s="2">
        <v>2681</v>
      </c>
      <c r="B2684" s="2" t="s">
        <v>8586</v>
      </c>
    </row>
    <row r="2685" spans="1:2" ht="18.75" customHeight="1" x14ac:dyDescent="0.25">
      <c r="A2685" s="2">
        <v>2682</v>
      </c>
      <c r="B2685" s="109" t="s">
        <v>8598</v>
      </c>
    </row>
    <row r="2686" spans="1:2" ht="18.75" customHeight="1" x14ac:dyDescent="0.25">
      <c r="A2686" s="2">
        <v>2683</v>
      </c>
      <c r="B2686" s="109" t="s">
        <v>8600</v>
      </c>
    </row>
    <row r="2687" spans="1:2" ht="18.75" customHeight="1" x14ac:dyDescent="0.25">
      <c r="A2687" s="2">
        <v>2684</v>
      </c>
      <c r="B2687" s="109" t="s">
        <v>8625</v>
      </c>
    </row>
    <row r="2688" spans="1:2" ht="18.75" customHeight="1" x14ac:dyDescent="0.25">
      <c r="A2688" s="2">
        <v>2685</v>
      </c>
      <c r="B2688" s="109" t="s">
        <v>8627</v>
      </c>
    </row>
    <row r="2689" spans="1:2" ht="18.75" customHeight="1" x14ac:dyDescent="0.25">
      <c r="A2689" s="2">
        <v>2686</v>
      </c>
      <c r="B2689" s="109" t="s">
        <v>6117</v>
      </c>
    </row>
    <row r="2690" spans="1:2" ht="18.75" customHeight="1" x14ac:dyDescent="0.25">
      <c r="A2690" s="2">
        <v>2687</v>
      </c>
      <c r="B2690" s="109" t="s">
        <v>8628</v>
      </c>
    </row>
    <row r="2691" spans="1:2" ht="18.75" customHeight="1" x14ac:dyDescent="0.25">
      <c r="A2691" s="2">
        <v>2688</v>
      </c>
      <c r="B2691" s="109" t="s">
        <v>8632</v>
      </c>
    </row>
    <row r="2692" spans="1:2" ht="18.75" customHeight="1" x14ac:dyDescent="0.25">
      <c r="A2692" s="2">
        <v>2689</v>
      </c>
      <c r="B2692" s="2" t="s">
        <v>8634</v>
      </c>
    </row>
    <row r="2693" spans="1:2" ht="18.75" customHeight="1" x14ac:dyDescent="0.25">
      <c r="A2693" s="2">
        <v>2690</v>
      </c>
      <c r="B2693" s="109" t="s">
        <v>8637</v>
      </c>
    </row>
    <row r="2694" spans="1:2" ht="18.75" customHeight="1" x14ac:dyDescent="0.25">
      <c r="A2694" s="2">
        <v>2691</v>
      </c>
      <c r="B2694" s="109" t="s">
        <v>8641</v>
      </c>
    </row>
    <row r="2695" spans="1:2" ht="18.75" customHeight="1" x14ac:dyDescent="0.25">
      <c r="A2695" s="2">
        <v>2692</v>
      </c>
      <c r="B2695" s="109" t="s">
        <v>8648</v>
      </c>
    </row>
    <row r="2696" spans="1:2" ht="18.75" customHeight="1" x14ac:dyDescent="0.25">
      <c r="A2696" s="2">
        <v>2693</v>
      </c>
      <c r="B2696" s="109" t="s">
        <v>8654</v>
      </c>
    </row>
    <row r="2697" spans="1:2" ht="18.75" customHeight="1" x14ac:dyDescent="0.25">
      <c r="A2697" s="2">
        <v>2694</v>
      </c>
      <c r="B2697" s="109" t="s">
        <v>8657</v>
      </c>
    </row>
    <row r="2698" spans="1:2" ht="18.75" customHeight="1" x14ac:dyDescent="0.25">
      <c r="A2698" s="2">
        <v>2695</v>
      </c>
      <c r="B2698" s="109" t="s">
        <v>8661</v>
      </c>
    </row>
    <row r="2699" spans="1:2" ht="18.75" customHeight="1" x14ac:dyDescent="0.25">
      <c r="A2699" s="2">
        <v>2696</v>
      </c>
      <c r="B2699" s="109" t="s">
        <v>8664</v>
      </c>
    </row>
    <row r="2700" spans="1:2" ht="18.75" customHeight="1" x14ac:dyDescent="0.25">
      <c r="A2700" s="2">
        <v>2697</v>
      </c>
      <c r="B2700" s="109" t="s">
        <v>8665</v>
      </c>
    </row>
    <row r="2701" spans="1:2" ht="18.75" customHeight="1" x14ac:dyDescent="0.25">
      <c r="A2701" s="2">
        <v>2698</v>
      </c>
      <c r="B2701" s="109" t="s">
        <v>8670</v>
      </c>
    </row>
    <row r="2702" spans="1:2" ht="18.75" customHeight="1" x14ac:dyDescent="0.25">
      <c r="A2702" s="2">
        <v>2699</v>
      </c>
      <c r="B2702" s="109" t="s">
        <v>8673</v>
      </c>
    </row>
    <row r="2703" spans="1:2" ht="18.75" customHeight="1" x14ac:dyDescent="0.25">
      <c r="A2703" s="2">
        <v>2700</v>
      </c>
      <c r="B2703" s="2" t="s">
        <v>8675</v>
      </c>
    </row>
    <row r="2704" spans="1:2" ht="18.75" customHeight="1" x14ac:dyDescent="0.25">
      <c r="A2704" s="2">
        <v>2701</v>
      </c>
      <c r="B2704" s="109" t="s">
        <v>8677</v>
      </c>
    </row>
    <row r="2705" spans="1:2" ht="18.75" customHeight="1" x14ac:dyDescent="0.25">
      <c r="A2705" s="2">
        <v>2702</v>
      </c>
      <c r="B2705" s="109" t="s">
        <v>8679</v>
      </c>
    </row>
    <row r="2706" spans="1:2" ht="18.75" customHeight="1" x14ac:dyDescent="0.25">
      <c r="A2706" s="2">
        <v>2703</v>
      </c>
      <c r="B2706" s="109" t="s">
        <v>8681</v>
      </c>
    </row>
    <row r="2707" spans="1:2" ht="18.75" customHeight="1" x14ac:dyDescent="0.25">
      <c r="A2707" s="2">
        <v>2704</v>
      </c>
      <c r="B2707" s="109" t="s">
        <v>8683</v>
      </c>
    </row>
    <row r="2708" spans="1:2" ht="18.75" customHeight="1" x14ac:dyDescent="0.25">
      <c r="A2708" s="2">
        <v>2705</v>
      </c>
      <c r="B2708" s="109" t="s">
        <v>4229</v>
      </c>
    </row>
    <row r="2709" spans="1:2" ht="18.75" customHeight="1" x14ac:dyDescent="0.25">
      <c r="A2709" s="2">
        <v>2706</v>
      </c>
      <c r="B2709" s="109" t="s">
        <v>8684</v>
      </c>
    </row>
    <row r="2710" spans="1:2" ht="18.75" customHeight="1" x14ac:dyDescent="0.25">
      <c r="A2710" s="2">
        <v>2707</v>
      </c>
      <c r="B2710" s="109" t="s">
        <v>8690</v>
      </c>
    </row>
    <row r="2711" spans="1:2" ht="18.75" customHeight="1" x14ac:dyDescent="0.25">
      <c r="A2711" s="2">
        <v>2708</v>
      </c>
      <c r="B2711" s="109" t="s">
        <v>8703</v>
      </c>
    </row>
    <row r="2712" spans="1:2" ht="18.75" customHeight="1" x14ac:dyDescent="0.25">
      <c r="A2712" s="2">
        <v>2709</v>
      </c>
      <c r="B2712" s="2" t="s">
        <v>8706</v>
      </c>
    </row>
    <row r="2713" spans="1:2" ht="18.75" customHeight="1" x14ac:dyDescent="0.25">
      <c r="A2713" s="2">
        <v>2710</v>
      </c>
      <c r="B2713" s="2" t="s">
        <v>8711</v>
      </c>
    </row>
    <row r="2714" spans="1:2" ht="18.75" customHeight="1" x14ac:dyDescent="0.25">
      <c r="A2714" s="2">
        <v>2711</v>
      </c>
      <c r="B2714" s="2" t="s">
        <v>8714</v>
      </c>
    </row>
    <row r="2715" spans="1:2" ht="18.75" customHeight="1" x14ac:dyDescent="0.25">
      <c r="A2715" s="2">
        <v>2712</v>
      </c>
      <c r="B2715" s="2" t="s">
        <v>8718</v>
      </c>
    </row>
    <row r="2716" spans="1:2" ht="18.75" customHeight="1" x14ac:dyDescent="0.25">
      <c r="A2716" s="2">
        <v>2713</v>
      </c>
      <c r="B2716" s="2" t="s">
        <v>8721</v>
      </c>
    </row>
    <row r="2717" spans="1:2" ht="18.75" customHeight="1" x14ac:dyDescent="0.25">
      <c r="A2717" s="2">
        <v>2714</v>
      </c>
      <c r="B2717" s="109" t="s">
        <v>8726</v>
      </c>
    </row>
    <row r="2718" spans="1:2" ht="18.75" customHeight="1" x14ac:dyDescent="0.25">
      <c r="A2718" s="2">
        <v>2715</v>
      </c>
      <c r="B2718" s="2" t="s">
        <v>8730</v>
      </c>
    </row>
    <row r="2719" spans="1:2" ht="18.75" customHeight="1" x14ac:dyDescent="0.25">
      <c r="A2719" s="2">
        <v>2716</v>
      </c>
      <c r="B2719" s="2" t="s">
        <v>8733</v>
      </c>
    </row>
    <row r="2720" spans="1:2" ht="18.75" customHeight="1" x14ac:dyDescent="0.25">
      <c r="A2720" s="2">
        <v>2717</v>
      </c>
      <c r="B2720" s="109" t="s">
        <v>8739</v>
      </c>
    </row>
    <row r="2721" spans="1:2" ht="18.75" customHeight="1" x14ac:dyDescent="0.25">
      <c r="A2721" s="2">
        <v>2718</v>
      </c>
      <c r="B2721" s="109" t="s">
        <v>8741</v>
      </c>
    </row>
    <row r="2722" spans="1:2" ht="18.75" customHeight="1" x14ac:dyDescent="0.25">
      <c r="A2722" s="2">
        <v>2719</v>
      </c>
      <c r="B2722" s="2" t="s">
        <v>8745</v>
      </c>
    </row>
    <row r="2723" spans="1:2" ht="18.75" customHeight="1" x14ac:dyDescent="0.25">
      <c r="A2723" s="2">
        <v>2720</v>
      </c>
      <c r="B2723" s="109" t="s">
        <v>8748</v>
      </c>
    </row>
    <row r="2724" spans="1:2" ht="18.75" customHeight="1" x14ac:dyDescent="0.25">
      <c r="A2724" s="2">
        <v>2721</v>
      </c>
      <c r="B2724" s="2" t="s">
        <v>8752</v>
      </c>
    </row>
    <row r="2725" spans="1:2" ht="18.75" customHeight="1" x14ac:dyDescent="0.25">
      <c r="A2725" s="2">
        <v>2722</v>
      </c>
      <c r="B2725" s="109" t="s">
        <v>8754</v>
      </c>
    </row>
    <row r="2726" spans="1:2" ht="18.75" customHeight="1" x14ac:dyDescent="0.25">
      <c r="A2726" s="2">
        <v>2723</v>
      </c>
      <c r="B2726" s="2" t="s">
        <v>8757</v>
      </c>
    </row>
    <row r="2727" spans="1:2" ht="18.75" customHeight="1" x14ac:dyDescent="0.25">
      <c r="A2727" s="2">
        <v>2724</v>
      </c>
      <c r="B2727" s="109" t="s">
        <v>8760</v>
      </c>
    </row>
    <row r="2728" spans="1:2" ht="18.75" customHeight="1" x14ac:dyDescent="0.25">
      <c r="A2728" s="2">
        <v>2725</v>
      </c>
      <c r="B2728" s="109" t="s">
        <v>8763</v>
      </c>
    </row>
    <row r="2729" spans="1:2" ht="18.75" customHeight="1" x14ac:dyDescent="0.25">
      <c r="A2729" s="2">
        <v>2726</v>
      </c>
      <c r="B2729" s="2" t="s">
        <v>8765</v>
      </c>
    </row>
    <row r="2730" spans="1:2" ht="18.75" customHeight="1" x14ac:dyDescent="0.25">
      <c r="A2730" s="2">
        <v>2727</v>
      </c>
      <c r="B2730" s="109" t="s">
        <v>8768</v>
      </c>
    </row>
    <row r="2731" spans="1:2" ht="18.75" customHeight="1" x14ac:dyDescent="0.25">
      <c r="A2731" s="2">
        <v>2728</v>
      </c>
      <c r="B2731" s="109" t="s">
        <v>8770</v>
      </c>
    </row>
    <row r="2732" spans="1:2" ht="18.75" customHeight="1" x14ac:dyDescent="0.25">
      <c r="A2732" s="2">
        <v>2729</v>
      </c>
      <c r="B2732" s="109" t="s">
        <v>8773</v>
      </c>
    </row>
    <row r="2733" spans="1:2" ht="18.75" customHeight="1" x14ac:dyDescent="0.25">
      <c r="A2733" s="2">
        <v>2730</v>
      </c>
      <c r="B2733" s="2" t="s">
        <v>8777</v>
      </c>
    </row>
    <row r="2734" spans="1:2" ht="18.75" customHeight="1" x14ac:dyDescent="0.25">
      <c r="A2734" s="2">
        <v>2731</v>
      </c>
      <c r="B2734" s="109" t="s">
        <v>8780</v>
      </c>
    </row>
    <row r="2735" spans="1:2" ht="18.75" customHeight="1" x14ac:dyDescent="0.25">
      <c r="A2735" s="2">
        <v>2732</v>
      </c>
      <c r="B2735" s="109" t="s">
        <v>8783</v>
      </c>
    </row>
    <row r="2736" spans="1:2" ht="18.75" customHeight="1" x14ac:dyDescent="0.25">
      <c r="A2736" s="2">
        <v>2733</v>
      </c>
      <c r="B2736" s="109" t="s">
        <v>8785</v>
      </c>
    </row>
    <row r="2737" spans="1:2" ht="18.75" customHeight="1" x14ac:dyDescent="0.25">
      <c r="A2737" s="2">
        <v>2734</v>
      </c>
      <c r="B2737" s="109" t="s">
        <v>8790</v>
      </c>
    </row>
    <row r="2738" spans="1:2" ht="18.75" customHeight="1" x14ac:dyDescent="0.25">
      <c r="A2738" s="2">
        <v>2735</v>
      </c>
      <c r="B2738" s="109" t="s">
        <v>8792</v>
      </c>
    </row>
    <row r="2739" spans="1:2" ht="18.75" customHeight="1" x14ac:dyDescent="0.25">
      <c r="A2739" s="2">
        <v>2736</v>
      </c>
      <c r="B2739" s="109" t="s">
        <v>8796</v>
      </c>
    </row>
    <row r="2740" spans="1:2" ht="18.75" customHeight="1" x14ac:dyDescent="0.25">
      <c r="A2740" s="2">
        <v>2737</v>
      </c>
      <c r="B2740" s="2" t="s">
        <v>8799</v>
      </c>
    </row>
    <row r="2741" spans="1:2" ht="18.75" customHeight="1" x14ac:dyDescent="0.25">
      <c r="A2741" s="2">
        <v>2738</v>
      </c>
      <c r="B2741" s="109" t="s">
        <v>8803</v>
      </c>
    </row>
    <row r="2742" spans="1:2" ht="18.75" customHeight="1" x14ac:dyDescent="0.25">
      <c r="A2742" s="2">
        <v>2739</v>
      </c>
      <c r="B2742" s="2" t="s">
        <v>8807</v>
      </c>
    </row>
    <row r="2743" spans="1:2" ht="18.75" customHeight="1" x14ac:dyDescent="0.25">
      <c r="A2743" s="2">
        <v>2740</v>
      </c>
      <c r="B2743" s="109" t="s">
        <v>8810</v>
      </c>
    </row>
    <row r="2744" spans="1:2" ht="18.75" customHeight="1" x14ac:dyDescent="0.25">
      <c r="A2744" s="2">
        <v>2741</v>
      </c>
      <c r="B2744" s="109" t="s">
        <v>8814</v>
      </c>
    </row>
    <row r="2745" spans="1:2" ht="18.75" customHeight="1" x14ac:dyDescent="0.25">
      <c r="A2745" s="2">
        <v>2742</v>
      </c>
      <c r="B2745" s="109" t="s">
        <v>8816</v>
      </c>
    </row>
    <row r="2746" spans="1:2" ht="18.75" customHeight="1" x14ac:dyDescent="0.25">
      <c r="A2746" s="2">
        <v>2743</v>
      </c>
      <c r="B2746" s="109" t="s">
        <v>8821</v>
      </c>
    </row>
    <row r="2747" spans="1:2" ht="18.75" customHeight="1" x14ac:dyDescent="0.25">
      <c r="A2747" s="2">
        <v>2744</v>
      </c>
      <c r="B2747" s="109" t="s">
        <v>8824</v>
      </c>
    </row>
    <row r="2748" spans="1:2" ht="18.75" customHeight="1" x14ac:dyDescent="0.25">
      <c r="A2748" s="2">
        <v>2745</v>
      </c>
      <c r="B2748" s="109" t="s">
        <v>8826</v>
      </c>
    </row>
    <row r="2749" spans="1:2" ht="18.75" customHeight="1" x14ac:dyDescent="0.25">
      <c r="A2749" s="2">
        <v>2746</v>
      </c>
      <c r="B2749" s="2" t="s">
        <v>8836</v>
      </c>
    </row>
    <row r="2750" spans="1:2" ht="18.75" customHeight="1" x14ac:dyDescent="0.25">
      <c r="A2750" s="2">
        <v>2747</v>
      </c>
      <c r="B2750" s="2" t="s">
        <v>8841</v>
      </c>
    </row>
    <row r="2751" spans="1:2" ht="18.75" customHeight="1" x14ac:dyDescent="0.25">
      <c r="A2751" s="2">
        <v>2748</v>
      </c>
      <c r="B2751" s="2" t="s">
        <v>8842</v>
      </c>
    </row>
    <row r="2752" spans="1:2" ht="18.75" customHeight="1" x14ac:dyDescent="0.25">
      <c r="A2752" s="2">
        <v>2749</v>
      </c>
      <c r="B2752" s="2" t="s">
        <v>8843</v>
      </c>
    </row>
    <row r="2753" spans="1:2" ht="18.75" customHeight="1" x14ac:dyDescent="0.25">
      <c r="A2753" s="2">
        <v>2750</v>
      </c>
      <c r="B2753" s="2" t="s">
        <v>8845</v>
      </c>
    </row>
    <row r="2754" spans="1:2" ht="18.75" customHeight="1" x14ac:dyDescent="0.25">
      <c r="A2754" s="2">
        <v>2751</v>
      </c>
      <c r="B2754" s="109" t="s">
        <v>8849</v>
      </c>
    </row>
    <row r="2755" spans="1:2" ht="18.75" customHeight="1" x14ac:dyDescent="0.25">
      <c r="A2755" s="2">
        <v>2752</v>
      </c>
    </row>
    <row r="2756" spans="1:2" ht="18.75" customHeight="1" x14ac:dyDescent="0.25">
      <c r="A2756" s="2">
        <v>2753</v>
      </c>
    </row>
    <row r="2757" spans="1:2" ht="18.75" customHeight="1" x14ac:dyDescent="0.25">
      <c r="A2757" s="2">
        <v>2754</v>
      </c>
    </row>
    <row r="2758" spans="1:2" ht="18.75" customHeight="1" x14ac:dyDescent="0.25">
      <c r="A2758" s="2">
        <v>2755</v>
      </c>
    </row>
    <row r="2759" spans="1:2" ht="18.75" customHeight="1" x14ac:dyDescent="0.25">
      <c r="A2759" s="2">
        <v>2756</v>
      </c>
    </row>
    <row r="2760" spans="1:2" ht="18.75" customHeight="1" x14ac:dyDescent="0.25">
      <c r="A2760" s="2">
        <v>2757</v>
      </c>
    </row>
    <row r="2761" spans="1:2" ht="18.75" customHeight="1" x14ac:dyDescent="0.25">
      <c r="A2761" s="2">
        <v>2758</v>
      </c>
    </row>
    <row r="2762" spans="1:2" ht="18.75" customHeight="1" x14ac:dyDescent="0.25">
      <c r="A2762" s="2">
        <v>2759</v>
      </c>
    </row>
    <row r="2763" spans="1:2" ht="18.75" customHeight="1" x14ac:dyDescent="0.25">
      <c r="A2763" s="2">
        <v>2760</v>
      </c>
    </row>
    <row r="2764" spans="1:2" ht="18.75" customHeight="1" x14ac:dyDescent="0.25">
      <c r="A2764" s="2">
        <v>2761</v>
      </c>
    </row>
    <row r="2765" spans="1:2" ht="18.75" customHeight="1" x14ac:dyDescent="0.25">
      <c r="A2765" s="2">
        <v>2762</v>
      </c>
    </row>
    <row r="2766" spans="1:2" ht="18.75" customHeight="1" x14ac:dyDescent="0.25">
      <c r="A2766" s="2">
        <v>2763</v>
      </c>
    </row>
    <row r="2767" spans="1:2" ht="18.75" customHeight="1" x14ac:dyDescent="0.25">
      <c r="A2767" s="2">
        <v>2764</v>
      </c>
    </row>
    <row r="2768" spans="1:2" ht="18.75" customHeight="1" x14ac:dyDescent="0.25">
      <c r="A2768" s="2">
        <v>2765</v>
      </c>
    </row>
    <row r="2769" spans="1:1" ht="18.75" customHeight="1" x14ac:dyDescent="0.25">
      <c r="A2769" s="2">
        <v>2766</v>
      </c>
    </row>
    <row r="2770" spans="1:1" ht="18.75" customHeight="1" x14ac:dyDescent="0.25">
      <c r="A2770" s="2">
        <v>2767</v>
      </c>
    </row>
    <row r="2771" spans="1:1" ht="18.75" customHeight="1" x14ac:dyDescent="0.25">
      <c r="A2771" s="2">
        <v>2768</v>
      </c>
    </row>
    <row r="2772" spans="1:1" ht="18.75" customHeight="1" x14ac:dyDescent="0.25">
      <c r="A2772" s="2">
        <v>2769</v>
      </c>
    </row>
    <row r="2773" spans="1:1" ht="18.75" customHeight="1" x14ac:dyDescent="0.25">
      <c r="A2773" s="2">
        <v>2770</v>
      </c>
    </row>
    <row r="2774" spans="1:1" ht="18.75" customHeight="1" x14ac:dyDescent="0.25">
      <c r="A2774" s="2">
        <v>2771</v>
      </c>
    </row>
    <row r="2775" spans="1:1" ht="18.75" customHeight="1" x14ac:dyDescent="0.25">
      <c r="A2775" s="2">
        <v>2772</v>
      </c>
    </row>
    <row r="2776" spans="1:1" ht="18.75" customHeight="1" x14ac:dyDescent="0.25">
      <c r="A2776" s="2">
        <v>2773</v>
      </c>
    </row>
    <row r="2777" spans="1:1" ht="18.75" customHeight="1" x14ac:dyDescent="0.25">
      <c r="A2777" s="2">
        <v>2774</v>
      </c>
    </row>
    <row r="2778" spans="1:1" ht="18.75" customHeight="1" x14ac:dyDescent="0.25">
      <c r="A2778" s="2">
        <v>2775</v>
      </c>
    </row>
    <row r="2779" spans="1:1" ht="18.75" customHeight="1" x14ac:dyDescent="0.25">
      <c r="A2779" s="2">
        <v>2776</v>
      </c>
    </row>
    <row r="2780" spans="1:1" ht="18.75" customHeight="1" x14ac:dyDescent="0.25">
      <c r="A2780" s="2">
        <v>2777</v>
      </c>
    </row>
    <row r="2781" spans="1:1" ht="18.75" customHeight="1" x14ac:dyDescent="0.25">
      <c r="A2781" s="2">
        <v>2778</v>
      </c>
    </row>
    <row r="2782" spans="1:1" ht="18.75" customHeight="1" x14ac:dyDescent="0.25">
      <c r="A2782" s="2">
        <v>2779</v>
      </c>
    </row>
    <row r="2783" spans="1:1" ht="18.75" customHeight="1" x14ac:dyDescent="0.25">
      <c r="A2783" s="2">
        <v>2780</v>
      </c>
    </row>
    <row r="2784" spans="1:1" ht="18.75" customHeight="1" x14ac:dyDescent="0.25">
      <c r="A2784" s="2">
        <v>2781</v>
      </c>
    </row>
    <row r="2785" spans="1:1" ht="18.75" customHeight="1" x14ac:dyDescent="0.25">
      <c r="A2785" s="2">
        <v>2782</v>
      </c>
    </row>
    <row r="2786" spans="1:1" ht="18.75" customHeight="1" x14ac:dyDescent="0.25">
      <c r="A2786" s="2">
        <v>2783</v>
      </c>
    </row>
    <row r="2787" spans="1:1" ht="18.75" customHeight="1" x14ac:dyDescent="0.25">
      <c r="A2787" s="2">
        <v>2784</v>
      </c>
    </row>
    <row r="2788" spans="1:1" ht="18.75" customHeight="1" x14ac:dyDescent="0.25">
      <c r="A2788" s="2">
        <v>2785</v>
      </c>
    </row>
    <row r="2789" spans="1:1" ht="18.75" customHeight="1" x14ac:dyDescent="0.25">
      <c r="A2789" s="2">
        <v>2786</v>
      </c>
    </row>
    <row r="2790" spans="1:1" ht="18.75" customHeight="1" x14ac:dyDescent="0.25">
      <c r="A2790" s="2">
        <v>2787</v>
      </c>
    </row>
    <row r="2791" spans="1:1" ht="18.75" customHeight="1" x14ac:dyDescent="0.25">
      <c r="A2791" s="2">
        <v>2788</v>
      </c>
    </row>
    <row r="2792" spans="1:1" ht="18.75" customHeight="1" x14ac:dyDescent="0.25">
      <c r="A2792" s="2">
        <v>2789</v>
      </c>
    </row>
    <row r="2793" spans="1:1" ht="18.75" customHeight="1" x14ac:dyDescent="0.25">
      <c r="A2793" s="2">
        <v>2790</v>
      </c>
    </row>
    <row r="2794" spans="1:1" ht="18.75" customHeight="1" x14ac:dyDescent="0.25">
      <c r="A2794" s="2">
        <v>2791</v>
      </c>
    </row>
    <row r="2795" spans="1:1" ht="18.75" customHeight="1" x14ac:dyDescent="0.25">
      <c r="A2795" s="2">
        <v>2792</v>
      </c>
    </row>
    <row r="2796" spans="1:1" ht="18.75" customHeight="1" x14ac:dyDescent="0.25">
      <c r="A2796" s="2">
        <v>2793</v>
      </c>
    </row>
    <row r="2797" spans="1:1" ht="18.75" customHeight="1" x14ac:dyDescent="0.25">
      <c r="A2797" s="2">
        <v>2794</v>
      </c>
    </row>
    <row r="2798" spans="1:1" ht="18.75" customHeight="1" x14ac:dyDescent="0.25">
      <c r="A2798" s="2">
        <v>2795</v>
      </c>
    </row>
    <row r="2799" spans="1:1" ht="18.75" customHeight="1" x14ac:dyDescent="0.25">
      <c r="A2799" s="2">
        <v>2796</v>
      </c>
    </row>
    <row r="2800" spans="1:1" ht="18.75" customHeight="1" x14ac:dyDescent="0.25">
      <c r="A2800" s="2">
        <v>2797</v>
      </c>
    </row>
    <row r="2801" spans="1:1" ht="18.75" customHeight="1" x14ac:dyDescent="0.25">
      <c r="A2801" s="2">
        <v>2798</v>
      </c>
    </row>
    <row r="2802" spans="1:1" ht="18.75" customHeight="1" x14ac:dyDescent="0.25">
      <c r="A2802" s="2">
        <v>2799</v>
      </c>
    </row>
    <row r="2803" spans="1:1" ht="18.75" customHeight="1" x14ac:dyDescent="0.25">
      <c r="A2803" s="2">
        <v>2800</v>
      </c>
    </row>
    <row r="2804" spans="1:1" ht="18.75" customHeight="1" x14ac:dyDescent="0.25">
      <c r="A2804" s="2">
        <v>2801</v>
      </c>
    </row>
    <row r="2805" spans="1:1" ht="18.75" customHeight="1" x14ac:dyDescent="0.25">
      <c r="A2805" s="2">
        <v>2802</v>
      </c>
    </row>
    <row r="2806" spans="1:1" ht="18.75" customHeight="1" x14ac:dyDescent="0.25">
      <c r="A2806" s="2">
        <v>2803</v>
      </c>
    </row>
    <row r="2807" spans="1:1" ht="18.75" customHeight="1" x14ac:dyDescent="0.25">
      <c r="A2807" s="2">
        <v>2804</v>
      </c>
    </row>
    <row r="2808" spans="1:1" ht="18.75" customHeight="1" x14ac:dyDescent="0.25">
      <c r="A2808" s="2">
        <v>2805</v>
      </c>
    </row>
    <row r="2809" spans="1:1" ht="18.75" customHeight="1" x14ac:dyDescent="0.25">
      <c r="A2809" s="2">
        <v>2806</v>
      </c>
    </row>
    <row r="2810" spans="1:1" ht="18.75" customHeight="1" x14ac:dyDescent="0.25">
      <c r="A2810" s="2">
        <v>2807</v>
      </c>
    </row>
    <row r="2811" spans="1:1" ht="18.75" customHeight="1" x14ac:dyDescent="0.25">
      <c r="A2811" s="2">
        <v>2808</v>
      </c>
    </row>
    <row r="2812" spans="1:1" ht="18.75" customHeight="1" x14ac:dyDescent="0.25">
      <c r="A2812" s="2">
        <v>2809</v>
      </c>
    </row>
    <row r="2813" spans="1:1" ht="18.75" customHeight="1" x14ac:dyDescent="0.25">
      <c r="A2813" s="2">
        <v>2810</v>
      </c>
    </row>
    <row r="2814" spans="1:1" ht="18.75" customHeight="1" x14ac:dyDescent="0.25">
      <c r="A2814" s="2">
        <v>2811</v>
      </c>
    </row>
    <row r="2815" spans="1:1" ht="18.75" customHeight="1" x14ac:dyDescent="0.25">
      <c r="A2815" s="2">
        <v>2812</v>
      </c>
    </row>
    <row r="2816" spans="1:1" ht="18.75" customHeight="1" x14ac:dyDescent="0.25">
      <c r="A2816" s="2">
        <v>2813</v>
      </c>
    </row>
    <row r="2817" spans="1:1" ht="18.75" customHeight="1" x14ac:dyDescent="0.25">
      <c r="A2817" s="2">
        <v>2814</v>
      </c>
    </row>
    <row r="2818" spans="1:1" ht="18.75" customHeight="1" x14ac:dyDescent="0.25">
      <c r="A2818" s="2">
        <v>2815</v>
      </c>
    </row>
    <row r="2819" spans="1:1" ht="18.75" customHeight="1" x14ac:dyDescent="0.25">
      <c r="A2819" s="2">
        <v>2816</v>
      </c>
    </row>
    <row r="2820" spans="1:1" ht="18.75" customHeight="1" x14ac:dyDescent="0.25">
      <c r="A2820" s="2">
        <v>2817</v>
      </c>
    </row>
    <row r="2821" spans="1:1" ht="18.75" customHeight="1" x14ac:dyDescent="0.25">
      <c r="A2821" s="2">
        <v>2818</v>
      </c>
    </row>
    <row r="2822" spans="1:1" ht="18.75" customHeight="1" x14ac:dyDescent="0.25">
      <c r="A2822" s="2">
        <v>2819</v>
      </c>
    </row>
    <row r="2823" spans="1:1" ht="18.75" customHeight="1" x14ac:dyDescent="0.25">
      <c r="A2823" s="2">
        <v>2820</v>
      </c>
    </row>
    <row r="2824" spans="1:1" ht="18.75" customHeight="1" x14ac:dyDescent="0.25">
      <c r="A2824" s="2">
        <v>2821</v>
      </c>
    </row>
    <row r="2825" spans="1:1" ht="18.75" customHeight="1" x14ac:dyDescent="0.25">
      <c r="A2825" s="2">
        <v>2822</v>
      </c>
    </row>
    <row r="2826" spans="1:1" ht="18.75" customHeight="1" x14ac:dyDescent="0.25">
      <c r="A2826" s="2">
        <v>2823</v>
      </c>
    </row>
    <row r="2827" spans="1:1" ht="18.75" customHeight="1" x14ac:dyDescent="0.25">
      <c r="A2827" s="2">
        <v>2824</v>
      </c>
    </row>
    <row r="2828" spans="1:1" ht="18.75" customHeight="1" x14ac:dyDescent="0.25">
      <c r="A2828" s="2">
        <v>2825</v>
      </c>
    </row>
    <row r="2829" spans="1:1" ht="18.75" customHeight="1" x14ac:dyDescent="0.25">
      <c r="A2829" s="2">
        <v>2826</v>
      </c>
    </row>
    <row r="2830" spans="1:1" ht="18.75" customHeight="1" x14ac:dyDescent="0.25">
      <c r="A2830" s="2">
        <v>2827</v>
      </c>
    </row>
    <row r="2831" spans="1:1" ht="18.75" customHeight="1" x14ac:dyDescent="0.25">
      <c r="A2831" s="2">
        <v>2828</v>
      </c>
    </row>
    <row r="2832" spans="1:1" ht="18.75" customHeight="1" x14ac:dyDescent="0.25">
      <c r="A2832" s="2">
        <v>2829</v>
      </c>
    </row>
    <row r="2833" spans="1:1" ht="18.75" customHeight="1" x14ac:dyDescent="0.25">
      <c r="A2833" s="2">
        <v>2830</v>
      </c>
    </row>
    <row r="2834" spans="1:1" ht="18.75" customHeight="1" x14ac:dyDescent="0.25">
      <c r="A2834" s="2">
        <v>2831</v>
      </c>
    </row>
    <row r="2835" spans="1:1" ht="18.75" customHeight="1" x14ac:dyDescent="0.25">
      <c r="A2835" s="2">
        <v>2832</v>
      </c>
    </row>
    <row r="2836" spans="1:1" ht="18.75" customHeight="1" x14ac:dyDescent="0.25">
      <c r="A2836" s="2">
        <v>2833</v>
      </c>
    </row>
    <row r="2837" spans="1:1" ht="18.75" customHeight="1" x14ac:dyDescent="0.25">
      <c r="A2837" s="2">
        <v>2834</v>
      </c>
    </row>
    <row r="2838" spans="1:1" ht="18.75" customHeight="1" x14ac:dyDescent="0.25">
      <c r="A2838" s="2">
        <v>2835</v>
      </c>
    </row>
    <row r="2839" spans="1:1" ht="18.75" customHeight="1" x14ac:dyDescent="0.25">
      <c r="A2839" s="2">
        <v>2836</v>
      </c>
    </row>
    <row r="2840" spans="1:1" ht="18.75" customHeight="1" x14ac:dyDescent="0.25">
      <c r="A2840" s="2">
        <v>2837</v>
      </c>
    </row>
    <row r="2841" spans="1:1" ht="18.75" customHeight="1" x14ac:dyDescent="0.25">
      <c r="A2841" s="2">
        <v>2838</v>
      </c>
    </row>
    <row r="2842" spans="1:1" ht="18.75" customHeight="1" x14ac:dyDescent="0.25">
      <c r="A2842" s="2">
        <v>2839</v>
      </c>
    </row>
    <row r="2843" spans="1:1" ht="18.75" customHeight="1" x14ac:dyDescent="0.25">
      <c r="A2843" s="2">
        <v>2840</v>
      </c>
    </row>
    <row r="2844" spans="1:1" ht="18.75" customHeight="1" x14ac:dyDescent="0.25">
      <c r="A2844" s="2">
        <v>2841</v>
      </c>
    </row>
    <row r="2845" spans="1:1" ht="18.75" customHeight="1" x14ac:dyDescent="0.25">
      <c r="A2845" s="2">
        <v>2842</v>
      </c>
    </row>
    <row r="2846" spans="1:1" ht="18.75" customHeight="1" x14ac:dyDescent="0.25">
      <c r="A2846" s="2">
        <v>2843</v>
      </c>
    </row>
    <row r="2847" spans="1:1" ht="18.75" customHeight="1" x14ac:dyDescent="0.25">
      <c r="A2847" s="2">
        <v>2844</v>
      </c>
    </row>
    <row r="2848" spans="1:1" ht="18.75" customHeight="1" x14ac:dyDescent="0.25">
      <c r="A2848" s="2">
        <v>2845</v>
      </c>
    </row>
    <row r="2849" spans="1:1" ht="18.75" customHeight="1" x14ac:dyDescent="0.25">
      <c r="A2849" s="2">
        <v>2846</v>
      </c>
    </row>
    <row r="2850" spans="1:1" ht="18.75" customHeight="1" x14ac:dyDescent="0.25">
      <c r="A2850" s="2">
        <v>2847</v>
      </c>
    </row>
    <row r="2851" spans="1:1" ht="18.75" customHeight="1" x14ac:dyDescent="0.25">
      <c r="A2851" s="2">
        <v>2848</v>
      </c>
    </row>
    <row r="2852" spans="1:1" ht="18.75" customHeight="1" x14ac:dyDescent="0.25">
      <c r="A2852" s="2">
        <v>2849</v>
      </c>
    </row>
    <row r="2853" spans="1:1" ht="18.75" customHeight="1" x14ac:dyDescent="0.25">
      <c r="A2853" s="2">
        <v>2850</v>
      </c>
    </row>
    <row r="2854" spans="1:1" ht="18.75" customHeight="1" x14ac:dyDescent="0.25">
      <c r="A2854" s="2">
        <v>2851</v>
      </c>
    </row>
    <row r="2855" spans="1:1" ht="18.75" customHeight="1" x14ac:dyDescent="0.25">
      <c r="A2855" s="2">
        <v>2852</v>
      </c>
    </row>
    <row r="2856" spans="1:1" ht="18.75" customHeight="1" x14ac:dyDescent="0.25">
      <c r="A2856" s="2">
        <v>2853</v>
      </c>
    </row>
    <row r="2857" spans="1:1" ht="18.75" customHeight="1" x14ac:dyDescent="0.25">
      <c r="A2857" s="2">
        <v>2854</v>
      </c>
    </row>
    <row r="2858" spans="1:1" ht="18.75" customHeight="1" x14ac:dyDescent="0.25">
      <c r="A2858" s="2">
        <v>2855</v>
      </c>
    </row>
    <row r="2859" spans="1:1" ht="18.75" customHeight="1" x14ac:dyDescent="0.25">
      <c r="A2859" s="2">
        <v>2856</v>
      </c>
    </row>
    <row r="2860" spans="1:1" ht="18.75" customHeight="1" x14ac:dyDescent="0.25">
      <c r="A2860" s="2">
        <v>2857</v>
      </c>
    </row>
    <row r="2861" spans="1:1" ht="18.75" customHeight="1" x14ac:dyDescent="0.25">
      <c r="A2861" s="2">
        <v>2858</v>
      </c>
    </row>
    <row r="2862" spans="1:1" ht="18.75" customHeight="1" x14ac:dyDescent="0.25">
      <c r="A2862" s="2">
        <v>2859</v>
      </c>
    </row>
    <row r="2863" spans="1:1" ht="18.75" customHeight="1" x14ac:dyDescent="0.25">
      <c r="A2863" s="2">
        <v>2860</v>
      </c>
    </row>
    <row r="2864" spans="1:1" ht="18.75" customHeight="1" x14ac:dyDescent="0.25">
      <c r="A2864" s="2">
        <v>2861</v>
      </c>
    </row>
    <row r="2865" spans="1:1" ht="18.75" customHeight="1" x14ac:dyDescent="0.25">
      <c r="A2865" s="2">
        <v>2862</v>
      </c>
    </row>
    <row r="2866" spans="1:1" ht="18.75" customHeight="1" x14ac:dyDescent="0.25">
      <c r="A2866" s="2">
        <v>2863</v>
      </c>
    </row>
    <row r="2867" spans="1:1" ht="18.75" customHeight="1" x14ac:dyDescent="0.25">
      <c r="A2867" s="2">
        <v>2864</v>
      </c>
    </row>
    <row r="2868" spans="1:1" ht="18.75" customHeight="1" x14ac:dyDescent="0.25">
      <c r="A2868" s="2">
        <v>2865</v>
      </c>
    </row>
    <row r="2869" spans="1:1" ht="18.75" customHeight="1" x14ac:dyDescent="0.25">
      <c r="A2869" s="2">
        <v>2866</v>
      </c>
    </row>
    <row r="2870" spans="1:1" ht="18.75" customHeight="1" x14ac:dyDescent="0.25">
      <c r="A2870" s="2">
        <v>2867</v>
      </c>
    </row>
    <row r="2871" spans="1:1" ht="18.75" customHeight="1" x14ac:dyDescent="0.25">
      <c r="A2871" s="2">
        <v>2868</v>
      </c>
    </row>
    <row r="2872" spans="1:1" ht="18.75" customHeight="1" x14ac:dyDescent="0.25">
      <c r="A2872" s="2">
        <v>2869</v>
      </c>
    </row>
    <row r="2873" spans="1:1" ht="18.75" customHeight="1" x14ac:dyDescent="0.25">
      <c r="A2873" s="2">
        <v>2870</v>
      </c>
    </row>
    <row r="2874" spans="1:1" ht="18.75" customHeight="1" x14ac:dyDescent="0.25">
      <c r="A2874" s="2">
        <v>2871</v>
      </c>
    </row>
    <row r="2875" spans="1:1" ht="18.75" customHeight="1" x14ac:dyDescent="0.25">
      <c r="A2875" s="2">
        <v>2872</v>
      </c>
    </row>
    <row r="2876" spans="1:1" ht="18.75" customHeight="1" x14ac:dyDescent="0.25">
      <c r="A2876" s="2">
        <v>2873</v>
      </c>
    </row>
    <row r="2877" spans="1:1" ht="18.75" customHeight="1" x14ac:dyDescent="0.25">
      <c r="A2877" s="2">
        <v>2874</v>
      </c>
    </row>
    <row r="2878" spans="1:1" ht="18.75" customHeight="1" x14ac:dyDescent="0.25">
      <c r="A2878" s="2">
        <v>2875</v>
      </c>
    </row>
    <row r="2879" spans="1:1" ht="18.75" customHeight="1" x14ac:dyDescent="0.25">
      <c r="A2879" s="2">
        <v>2876</v>
      </c>
    </row>
    <row r="2880" spans="1:1" ht="18.75" customHeight="1" x14ac:dyDescent="0.25">
      <c r="A2880" s="2">
        <v>2877</v>
      </c>
    </row>
    <row r="2881" spans="1:1" ht="18.75" customHeight="1" x14ac:dyDescent="0.25">
      <c r="A2881" s="2">
        <v>2878</v>
      </c>
    </row>
    <row r="2882" spans="1:1" ht="18.75" customHeight="1" x14ac:dyDescent="0.25">
      <c r="A2882" s="2">
        <v>2879</v>
      </c>
    </row>
    <row r="2883" spans="1:1" ht="18.75" customHeight="1" x14ac:dyDescent="0.25">
      <c r="A2883" s="2">
        <v>2880</v>
      </c>
    </row>
    <row r="2884" spans="1:1" ht="18.75" customHeight="1" x14ac:dyDescent="0.25">
      <c r="A2884" s="2">
        <v>2881</v>
      </c>
    </row>
    <row r="2885" spans="1:1" ht="18.75" customHeight="1" x14ac:dyDescent="0.25">
      <c r="A2885" s="2">
        <v>2882</v>
      </c>
    </row>
    <row r="2886" spans="1:1" ht="18.75" customHeight="1" x14ac:dyDescent="0.25">
      <c r="A2886" s="2">
        <v>2883</v>
      </c>
    </row>
    <row r="2887" spans="1:1" ht="18.75" customHeight="1" x14ac:dyDescent="0.25">
      <c r="A2887" s="2">
        <v>2884</v>
      </c>
    </row>
    <row r="2888" spans="1:1" ht="18.75" customHeight="1" x14ac:dyDescent="0.25">
      <c r="A2888" s="2">
        <v>2885</v>
      </c>
    </row>
    <row r="2889" spans="1:1" ht="18.75" customHeight="1" x14ac:dyDescent="0.25">
      <c r="A2889" s="2">
        <v>2886</v>
      </c>
    </row>
    <row r="2890" spans="1:1" ht="18.75" customHeight="1" x14ac:dyDescent="0.25">
      <c r="A2890" s="2">
        <v>2887</v>
      </c>
    </row>
    <row r="2891" spans="1:1" ht="18.75" customHeight="1" x14ac:dyDescent="0.25">
      <c r="A2891" s="2">
        <v>2888</v>
      </c>
    </row>
    <row r="2892" spans="1:1" ht="18.75" customHeight="1" x14ac:dyDescent="0.25">
      <c r="A2892" s="2">
        <v>2889</v>
      </c>
    </row>
    <row r="2893" spans="1:1" ht="18.75" customHeight="1" x14ac:dyDescent="0.25">
      <c r="A2893" s="2">
        <v>2890</v>
      </c>
    </row>
    <row r="2894" spans="1:1" ht="18.75" customHeight="1" x14ac:dyDescent="0.25">
      <c r="A2894" s="2">
        <v>2891</v>
      </c>
    </row>
    <row r="2895" spans="1:1" ht="18.75" customHeight="1" x14ac:dyDescent="0.25">
      <c r="A2895" s="2">
        <v>2892</v>
      </c>
    </row>
    <row r="2896" spans="1:1" ht="18.75" customHeight="1" x14ac:dyDescent="0.25">
      <c r="A2896" s="2">
        <v>2893</v>
      </c>
    </row>
    <row r="2897" spans="1:1" ht="18.75" customHeight="1" x14ac:dyDescent="0.25">
      <c r="A2897" s="2">
        <v>2894</v>
      </c>
    </row>
    <row r="2898" spans="1:1" ht="18.75" customHeight="1" x14ac:dyDescent="0.25">
      <c r="A2898" s="2">
        <v>2895</v>
      </c>
    </row>
    <row r="2899" spans="1:1" ht="18.75" customHeight="1" x14ac:dyDescent="0.25">
      <c r="A2899" s="2">
        <v>2896</v>
      </c>
    </row>
    <row r="2900" spans="1:1" ht="18.75" customHeight="1" x14ac:dyDescent="0.25">
      <c r="A2900" s="2">
        <v>2897</v>
      </c>
    </row>
    <row r="2901" spans="1:1" ht="18.75" customHeight="1" x14ac:dyDescent="0.25">
      <c r="A2901" s="2">
        <v>2898</v>
      </c>
    </row>
    <row r="2902" spans="1:1" ht="18.75" customHeight="1" x14ac:dyDescent="0.25">
      <c r="A2902" s="2">
        <v>2899</v>
      </c>
    </row>
    <row r="2903" spans="1:1" ht="18.75" customHeight="1" x14ac:dyDescent="0.25">
      <c r="A2903" s="2">
        <v>2900</v>
      </c>
    </row>
    <row r="2904" spans="1:1" ht="18.75" customHeight="1" x14ac:dyDescent="0.25">
      <c r="A2904" s="2">
        <v>2901</v>
      </c>
    </row>
    <row r="2905" spans="1:1" ht="18.75" customHeight="1" x14ac:dyDescent="0.25">
      <c r="A2905" s="2">
        <v>2902</v>
      </c>
    </row>
    <row r="2906" spans="1:1" ht="18.75" customHeight="1" x14ac:dyDescent="0.25">
      <c r="A2906" s="2">
        <v>2903</v>
      </c>
    </row>
    <row r="2907" spans="1:1" ht="18.75" customHeight="1" x14ac:dyDescent="0.25">
      <c r="A2907" s="2">
        <v>2904</v>
      </c>
    </row>
    <row r="2908" spans="1:1" ht="18.75" customHeight="1" x14ac:dyDescent="0.25">
      <c r="A2908" s="2">
        <v>2905</v>
      </c>
    </row>
    <row r="2909" spans="1:1" ht="18.75" customHeight="1" x14ac:dyDescent="0.25">
      <c r="A2909" s="2">
        <v>2906</v>
      </c>
    </row>
    <row r="2910" spans="1:1" ht="18.75" customHeight="1" x14ac:dyDescent="0.25">
      <c r="A2910" s="2">
        <v>2907</v>
      </c>
    </row>
    <row r="2911" spans="1:1" ht="18.75" customHeight="1" x14ac:dyDescent="0.25">
      <c r="A2911" s="2">
        <v>2908</v>
      </c>
    </row>
    <row r="2912" spans="1:1" ht="18.75" customHeight="1" x14ac:dyDescent="0.25">
      <c r="A2912" s="2">
        <v>2909</v>
      </c>
    </row>
    <row r="2913" spans="1:1" ht="18.75" customHeight="1" x14ac:dyDescent="0.25">
      <c r="A2913" s="2">
        <v>2910</v>
      </c>
    </row>
    <row r="2914" spans="1:1" ht="18.75" customHeight="1" x14ac:dyDescent="0.25">
      <c r="A2914" s="2">
        <v>2911</v>
      </c>
    </row>
    <row r="2915" spans="1:1" ht="18.75" customHeight="1" x14ac:dyDescent="0.25">
      <c r="A2915" s="2">
        <v>2912</v>
      </c>
    </row>
  </sheetData>
  <hyperlinks>
    <hyperlink ref="B236" r:id="rId1" xr:uid="{00000000-0004-0000-04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400-000001000000}"/>
    <hyperlink ref="B276" r:id="rId2" xr:uid="{00000000-0004-0000-0400-000002000000}"/>
    <hyperlink ref="B277" r:id="rId3" xr:uid="{00000000-0004-0000-0400-000003000000}"/>
    <hyperlink ref="B278" r:id="rId4" xr:uid="{00000000-0004-0000-0400-000004000000}"/>
    <hyperlink ref="B279" r:id="rId5" xr:uid="{00000000-0004-0000-0400-000005000000}"/>
    <hyperlink ref="B239" r:id="rId6" xr:uid="{00000000-0004-0000-0400-000006000000}"/>
    <hyperlink ref="B280" r:id="rId7" xr:uid="{00000000-0004-0000-0400-000007000000}"/>
    <hyperlink ref="B281" r:id="rId8" xr:uid="{00000000-0004-0000-0400-000008000000}"/>
    <hyperlink ref="B282" r:id="rId9" xr:uid="{00000000-0004-0000-0400-000009000000}"/>
    <hyperlink ref="B283" r:id="rId10" xr:uid="{00000000-0004-0000-0400-00000A000000}"/>
    <hyperlink ref="B284" r:id="rId11" xr:uid="{00000000-0004-0000-0400-00000B000000}"/>
    <hyperlink ref="B203" r:id="rId12" xr:uid="{00000000-0004-0000-0400-00000C000000}"/>
    <hyperlink ref="B285" r:id="rId13" xr:uid="{00000000-0004-0000-0400-00000D000000}"/>
    <hyperlink ref="B286" r:id="rId14" xr:uid="{00000000-0004-0000-0400-00000E000000}"/>
    <hyperlink ref="B287" r:id="rId15" xr:uid="{00000000-0004-0000-0400-00000F000000}"/>
    <hyperlink ref="B291" r:id="rId16" xr:uid="{00000000-0004-0000-0400-000010000000}"/>
    <hyperlink ref="B292" r:id="rId17" xr:uid="{00000000-0004-0000-0400-000011000000}"/>
    <hyperlink ref="B294" r:id="rId18" xr:uid="{00000000-0004-0000-0400-000012000000}"/>
    <hyperlink ref="B295" r:id="rId19" xr:uid="{00000000-0004-0000-0400-000013000000}"/>
    <hyperlink ref="B296" r:id="rId20" xr:uid="{00000000-0004-0000-0400-000014000000}"/>
    <hyperlink ref="B238" r:id="rId21" xr:uid="{00000000-0004-0000-0400-000015000000}"/>
    <hyperlink ref="B297" r:id="rId22" xr:uid="{00000000-0004-0000-0400-000016000000}"/>
    <hyperlink ref="B298" r:id="rId23" xr:uid="{00000000-0004-0000-0400-000017000000}"/>
    <hyperlink ref="B299" r:id="rId24" xr:uid="{00000000-0004-0000-0400-000018000000}"/>
    <hyperlink ref="B300" r:id="rId25" xr:uid="{00000000-0004-0000-0400-000019000000}"/>
    <hyperlink ref="B301" r:id="rId26" xr:uid="{00000000-0004-0000-0400-00001A000000}"/>
    <hyperlink ref="B302" r:id="rId27" xr:uid="{00000000-0004-0000-0400-00001B000000}"/>
    <hyperlink ref="B303" r:id="rId28" xr:uid="{00000000-0004-0000-0400-00001C000000}"/>
    <hyperlink ref="B304" r:id="rId29" xr:uid="{00000000-0004-0000-0400-00001D000000}"/>
    <hyperlink ref="B306" r:id="rId30" xr:uid="{00000000-0004-0000-0400-00001E000000}"/>
    <hyperlink ref="B307" r:id="rId31" xr:uid="{00000000-0004-0000-0400-00001F000000}"/>
    <hyperlink ref="B308" r:id="rId32" xr:uid="{00000000-0004-0000-0400-000020000000}"/>
    <hyperlink ref="B309" r:id="rId33" xr:uid="{00000000-0004-0000-0400-000021000000}"/>
    <hyperlink ref="B226" r:id="rId34" xr:uid="{00000000-0004-0000-0400-000022000000}"/>
    <hyperlink ref="B310" r:id="rId35" xr:uid="{00000000-0004-0000-0400-000023000000}"/>
    <hyperlink ref="B267" r:id="rId36" location="powertogas" xr:uid="{00000000-0004-0000-0400-000024000000}"/>
    <hyperlink ref="B268" r:id="rId37" xr:uid="{00000000-0004-0000-0400-000025000000}"/>
    <hyperlink ref="B311" r:id="rId38" xr:uid="{00000000-0004-0000-0400-000026000000}"/>
    <hyperlink ref="B313" r:id="rId39" xr:uid="{00000000-0004-0000-0400-000027000000}"/>
    <hyperlink ref="B314" r:id="rId40" xr:uid="{00000000-0004-0000-0400-000028000000}"/>
    <hyperlink ref="B315" r:id="rId41" xr:uid="{00000000-0004-0000-0400-000029000000}"/>
    <hyperlink ref="B230" r:id="rId42" xr:uid="{00000000-0004-0000-0400-00002A000000}"/>
    <hyperlink ref="B101" r:id="rId43" xr:uid="{00000000-0004-0000-0400-00002B000000}"/>
    <hyperlink ref="B106" r:id="rId44" xr:uid="{00000000-0004-0000-0400-00002C000000}"/>
    <hyperlink ref="B231" r:id="rId45" xr:uid="{00000000-0004-0000-0400-00002D000000}"/>
    <hyperlink ref="B316" r:id="rId46" xr:uid="{00000000-0004-0000-0400-00002E000000}"/>
    <hyperlink ref="B225" r:id="rId47" xr:uid="{00000000-0004-0000-0400-00002F000000}"/>
    <hyperlink ref="B265" r:id="rId48" xr:uid="{00000000-0004-0000-0400-000030000000}"/>
    <hyperlink ref="B266" r:id="rId49" xr:uid="{00000000-0004-0000-0400-000031000000}"/>
    <hyperlink ref="B223" r:id="rId50" xr:uid="{00000000-0004-0000-0400-000032000000}"/>
    <hyperlink ref="B317" r:id="rId51" xr:uid="{00000000-0004-0000-0400-000033000000}"/>
    <hyperlink ref="B318" r:id="rId52" xr:uid="{00000000-0004-0000-0400-000034000000}"/>
    <hyperlink ref="B319" r:id="rId53" xr:uid="{00000000-0004-0000-04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400-000036000000}"/>
    <hyperlink ref="B321" r:id="rId55" xr:uid="{00000000-0004-0000-0400-000037000000}"/>
    <hyperlink ref="B323" r:id="rId56" xr:uid="{00000000-0004-0000-0400-000039000000}"/>
    <hyperlink ref="B324" r:id="rId57" xr:uid="{00000000-0004-0000-0400-00003A000000}"/>
    <hyperlink ref="B325" r:id="rId58" xr:uid="{00000000-0004-0000-0400-00003B000000}"/>
    <hyperlink ref="B326" r:id="rId59" xr:uid="{00000000-0004-0000-0400-00003C000000}"/>
    <hyperlink ref="B327" r:id="rId60" xr:uid="{00000000-0004-0000-0400-00003D000000}"/>
    <hyperlink ref="B328" r:id="rId61" xr:uid="{00000000-0004-0000-0400-00003E000000}"/>
    <hyperlink ref="B329" r:id="rId62" xr:uid="{00000000-0004-0000-0400-00003F000000}"/>
    <hyperlink ref="B330" r:id="rId63" xr:uid="{00000000-0004-0000-0400-000040000000}"/>
    <hyperlink ref="B272" r:id="rId64" xr:uid="{00000000-0004-0000-0400-000041000000}"/>
    <hyperlink ref="B331" r:id="rId65" xr:uid="{00000000-0004-0000-0400-000042000000}"/>
    <hyperlink ref="B332" r:id="rId66" xr:uid="{00000000-0004-0000-0400-000043000000}"/>
    <hyperlink ref="B333" r:id="rId67" xr:uid="{00000000-0004-0000-0400-000044000000}"/>
    <hyperlink ref="B243" r:id="rId68" xr:uid="{00000000-0004-0000-0400-000045000000}"/>
    <hyperlink ref="B334" r:id="rId69" xr:uid="{00000000-0004-0000-0400-000046000000}"/>
    <hyperlink ref="B240" r:id="rId70" xr:uid="{00000000-0004-0000-0400-000047000000}"/>
    <hyperlink ref="B258" r:id="rId71" xr:uid="{00000000-0004-0000-0400-000048000000}"/>
    <hyperlink ref="B224" r:id="rId72" xr:uid="{00000000-0004-0000-0400-000049000000}"/>
    <hyperlink ref="B335" r:id="rId73" xr:uid="{00000000-0004-0000-0400-00004A000000}"/>
    <hyperlink ref="B132" r:id="rId74" xr:uid="{00000000-0004-0000-0400-00004B000000}"/>
    <hyperlink ref="B336" r:id="rId75" xr:uid="{00000000-0004-0000-0400-00004C000000}"/>
    <hyperlink ref="B133" r:id="rId76" xr:uid="{00000000-0004-0000-0400-00004D000000}"/>
    <hyperlink ref="B337" r:id="rId77" xr:uid="{00000000-0004-0000-0400-00004E000000}"/>
    <hyperlink ref="B338" r:id="rId78" xr:uid="{00000000-0004-0000-0400-00004F000000}"/>
    <hyperlink ref="B339" r:id="rId79" xr:uid="{00000000-0004-0000-0400-000050000000}"/>
    <hyperlink ref="B340" r:id="rId80" xr:uid="{00000000-0004-0000-0400-000051000000}"/>
    <hyperlink ref="B341" r:id="rId81" xr:uid="{00000000-0004-0000-0400-000052000000}"/>
    <hyperlink ref="B199" r:id="rId82" xr:uid="{00000000-0004-0000-0400-000053000000}"/>
    <hyperlink ref="B342" r:id="rId83" xr:uid="{00000000-0004-0000-0400-000054000000}"/>
    <hyperlink ref="B343" r:id="rId84" xr:uid="{00000000-0004-0000-0400-000055000000}"/>
    <hyperlink ref="B344" r:id="rId85" xr:uid="{00000000-0004-0000-0400-000056000000}"/>
    <hyperlink ref="B345" r:id="rId86" xr:uid="{00000000-0004-0000-0400-000057000000}"/>
    <hyperlink ref="B346" r:id="rId87" xr:uid="{00000000-0004-0000-0400-000058000000}"/>
    <hyperlink ref="B347" r:id="rId88" xr:uid="{00000000-0004-0000-0400-000059000000}"/>
    <hyperlink ref="B348" r:id="rId89" xr:uid="{00000000-0004-0000-0400-00005A000000}"/>
    <hyperlink ref="B349" r:id="rId90" xr:uid="{00000000-0004-0000-0400-00005B000000}"/>
    <hyperlink ref="B350" r:id="rId91" xr:uid="{00000000-0004-0000-0400-00005C000000}"/>
    <hyperlink ref="B351" r:id="rId92" xr:uid="{00000000-0004-0000-0400-00005D000000}"/>
    <hyperlink ref="B275" r:id="rId93" xr:uid="{00000000-0004-0000-0400-00005E000000}"/>
    <hyperlink ref="B352" r:id="rId94" xr:uid="{00000000-0004-0000-0400-00005F000000}"/>
    <hyperlink ref="B353" r:id="rId95" xr:uid="{00000000-0004-0000-0400-000060000000}"/>
    <hyperlink ref="B244" r:id="rId96" xr:uid="{00000000-0004-0000-0400-000061000000}"/>
    <hyperlink ref="B355" r:id="rId97" xr:uid="{00000000-0004-0000-0400-000062000000}"/>
    <hyperlink ref="B354" r:id="rId98" xr:uid="{00000000-0004-0000-0400-000063000000}"/>
    <hyperlink ref="B241" r:id="rId99" xr:uid="{00000000-0004-0000-0400-000064000000}"/>
    <hyperlink ref="B356" r:id="rId100" xr:uid="{00000000-0004-0000-0400-000065000000}"/>
    <hyperlink ref="B357" r:id="rId101" xr:uid="{00000000-0004-0000-0400-000066000000}"/>
    <hyperlink ref="B233" r:id="rId102" xr:uid="{00000000-0004-0000-0400-000067000000}"/>
    <hyperlink ref="B358" r:id="rId103" xr:uid="{00000000-0004-0000-0400-000068000000}"/>
    <hyperlink ref="B263" r:id="rId104" xr:uid="{00000000-0004-0000-0400-000069000000}"/>
    <hyperlink ref="B264" r:id="rId105" xr:uid="{00000000-0004-0000-0400-00006A000000}"/>
    <hyperlink ref="B242" r:id="rId106" xr:uid="{00000000-0004-0000-0400-00006B000000}"/>
    <hyperlink ref="B359" r:id="rId107" xr:uid="{00000000-0004-0000-0400-00006C000000}"/>
    <hyperlink ref="B360" r:id="rId108" xr:uid="{00000000-0004-0000-0400-00006D000000}"/>
    <hyperlink ref="B361" r:id="rId109" xr:uid="{00000000-0004-0000-0400-00006E000000}"/>
    <hyperlink ref="B362" r:id="rId110" xr:uid="{00000000-0004-0000-0400-00006F000000}"/>
    <hyperlink ref="B363" r:id="rId111" xr:uid="{00000000-0004-0000-0400-000070000000}"/>
    <hyperlink ref="B364" r:id="rId112" xr:uid="{00000000-0004-0000-0400-000071000000}"/>
    <hyperlink ref="B252" r:id="rId113" xr:uid="{00000000-0004-0000-04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400-000073000000}"/>
    <hyperlink ref="B365" r:id="rId114" xr:uid="{00000000-0004-0000-0400-000074000000}"/>
    <hyperlink ref="B366" r:id="rId115" xr:uid="{00000000-0004-0000-04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400-000076000000}"/>
    <hyperlink ref="B228" r:id="rId116" xr:uid="{00000000-0004-0000-0400-000077000000}"/>
    <hyperlink ref="B368" r:id="rId117" xr:uid="{00000000-0004-0000-0400-000078000000}"/>
    <hyperlink ref="B369" r:id="rId118" xr:uid="{00000000-0004-0000-0400-000079000000}"/>
    <hyperlink ref="B370" r:id="rId119" xr:uid="{00000000-0004-0000-0400-00007A000000}"/>
    <hyperlink ref="B372" r:id="rId120" xr:uid="{00000000-0004-0000-0400-00007B000000}"/>
    <hyperlink ref="B373" r:id="rId121" xr:uid="{00000000-0004-0000-0400-00007C000000}"/>
    <hyperlink ref="B374" r:id="rId122" xr:uid="{00000000-0004-0000-0400-00007D000000}"/>
    <hyperlink ref="B167" r:id="rId123" xr:uid="{00000000-0004-0000-0400-00007E000000}"/>
    <hyperlink ref="B375" r:id="rId124" xr:uid="{00000000-0004-0000-0400-00007F000000}"/>
    <hyperlink ref="B376" r:id="rId125" xr:uid="{00000000-0004-0000-0400-000080000000}"/>
    <hyperlink ref="B218" r:id="rId126" xr:uid="{00000000-0004-0000-0400-000081000000}"/>
    <hyperlink ref="B377" r:id="rId127" xr:uid="{00000000-0004-0000-0400-000082000000}"/>
    <hyperlink ref="B289" r:id="rId128" xr:uid="{00000000-0004-0000-0400-000083000000}"/>
    <hyperlink ref="B293" r:id="rId129" xr:uid="{00000000-0004-0000-0400-000084000000}"/>
    <hyperlink ref="B379" r:id="rId130" xr:uid="{00000000-0004-0000-0400-000085000000}"/>
    <hyperlink ref="B380" r:id="rId131" xr:uid="{00000000-0004-0000-0400-000086000000}"/>
    <hyperlink ref="B381" r:id="rId132" xr:uid="{00000000-0004-0000-0400-000087000000}"/>
    <hyperlink ref="B382" r:id="rId133" xr:uid="{00000000-0004-0000-0400-000088000000}"/>
    <hyperlink ref="B383" r:id="rId134" xr:uid="{00000000-0004-0000-0400-000089000000}"/>
    <hyperlink ref="B269" r:id="rId135" xr:uid="{00000000-0004-0000-0400-00008A000000}"/>
    <hyperlink ref="B384" r:id="rId136" xr:uid="{00000000-0004-0000-0400-00008B000000}"/>
    <hyperlink ref="B385" r:id="rId137" xr:uid="{00000000-0004-0000-0400-00008C000000}"/>
    <hyperlink ref="B386" r:id="rId138" xr:uid="{00000000-0004-0000-0400-00008D000000}"/>
    <hyperlink ref="B387" r:id="rId139" xr:uid="{00000000-0004-0000-0400-00008E000000}"/>
    <hyperlink ref="B388" r:id="rId140" xr:uid="{00000000-0004-0000-0400-00008F000000}"/>
    <hyperlink ref="B389" r:id="rId141" xr:uid="{00000000-0004-0000-0400-000090000000}"/>
    <hyperlink ref="B390" r:id="rId142" xr:uid="{00000000-0004-0000-0400-000091000000}"/>
    <hyperlink ref="B237" r:id="rId143" xr:uid="{00000000-0004-0000-0400-000092000000}"/>
    <hyperlink ref="B391" r:id="rId144" xr:uid="{00000000-0004-0000-0400-000093000000}"/>
    <hyperlink ref="B392" r:id="rId145" xr:uid="{00000000-0004-0000-0400-000094000000}"/>
    <hyperlink ref="B393" r:id="rId146" xr:uid="{00000000-0004-0000-0400-000095000000}"/>
    <hyperlink ref="B394" r:id="rId147" xr:uid="{00000000-0004-0000-0400-000096000000}"/>
    <hyperlink ref="B142" r:id="rId148" xr:uid="{00000000-0004-0000-0400-000097000000}"/>
    <hyperlink ref="B395" r:id="rId149" xr:uid="{00000000-0004-0000-0400-000098000000}"/>
    <hyperlink ref="B254" r:id="rId150" xr:uid="{00000000-0004-0000-0400-000099000000}"/>
    <hyperlink ref="B396" r:id="rId151" xr:uid="{00000000-0004-0000-0400-00009A000000}"/>
    <hyperlink ref="B129" r:id="rId152" xr:uid="{00000000-0004-0000-0400-00009B000000}"/>
    <hyperlink ref="B397" r:id="rId153" xr:uid="{00000000-0004-0000-0400-00009C000000}"/>
    <hyperlink ref="B398" r:id="rId154" xr:uid="{00000000-0004-0000-0400-00009D000000}"/>
    <hyperlink ref="B399" r:id="rId155" xr:uid="{00000000-0004-0000-0400-00009E000000}"/>
    <hyperlink ref="B400" r:id="rId156" xr:uid="{00000000-0004-0000-0400-00009F000000}"/>
    <hyperlink ref="B401" r:id="rId157" xr:uid="{00000000-0004-0000-0400-0000A0000000}"/>
    <hyperlink ref="B402" r:id="rId158" xr:uid="{00000000-0004-0000-0400-0000A1000000}"/>
    <hyperlink ref="B403" r:id="rId159" xr:uid="{00000000-0004-0000-0400-0000A2000000}"/>
    <hyperlink ref="B204" r:id="rId160" xr:uid="{00000000-0004-0000-0400-0000A3000000}"/>
    <hyperlink ref="B217" r:id="rId161" xr:uid="{00000000-0004-0000-0400-0000A4000000}"/>
    <hyperlink ref="B405" r:id="rId162" xr:uid="{00000000-0004-0000-0400-0000A5000000}"/>
    <hyperlink ref="B260" r:id="rId163" xr:uid="{00000000-0004-0000-0400-0000A6000000}"/>
    <hyperlink ref="B257" r:id="rId164" xr:uid="{00000000-0004-0000-0400-0000A7000000}"/>
    <hyperlink ref="B247" r:id="rId165" xr:uid="{00000000-0004-0000-0400-0000A8000000}"/>
    <hyperlink ref="B406" r:id="rId166" xr:uid="{00000000-0004-0000-0400-0000A9000000}"/>
    <hyperlink ref="B407" r:id="rId167" xr:uid="{00000000-0004-0000-0400-0000AA000000}"/>
    <hyperlink ref="B408" r:id="rId168" xr:uid="{00000000-0004-0000-0400-0000AB000000}"/>
    <hyperlink ref="B409" r:id="rId169" xr:uid="{00000000-0004-0000-0400-0000AC000000}"/>
    <hyperlink ref="B410" r:id="rId170" xr:uid="{00000000-0004-0000-0400-0000AD000000}"/>
    <hyperlink ref="B411" r:id="rId171" xr:uid="{00000000-0004-0000-0400-0000AE000000}"/>
    <hyperlink ref="B412" r:id="rId172" xr:uid="{00000000-0004-0000-0400-0000AF000000}"/>
    <hyperlink ref="B413" r:id="rId173" xr:uid="{00000000-0004-0000-0400-0000B0000000}"/>
    <hyperlink ref="B414" r:id="rId174" xr:uid="{00000000-0004-0000-0400-0000B1000000}"/>
    <hyperlink ref="B253" r:id="rId175" location="bateau" xr:uid="{00000000-0004-0000-0400-0000B2000000}"/>
    <hyperlink ref="B255" r:id="rId176" xr:uid="{00000000-0004-0000-0400-0000B3000000}"/>
    <hyperlink ref="B251" r:id="rId177" xr:uid="{00000000-0004-0000-0400-0000B4000000}"/>
    <hyperlink ref="B415" r:id="rId178" xr:uid="{00000000-0004-0000-0400-0000B5000000}"/>
    <hyperlink ref="B416" r:id="rId179" xr:uid="{00000000-0004-0000-0400-0000B6000000}"/>
    <hyperlink ref="B417" r:id="rId180" xr:uid="{00000000-0004-0000-0400-0000B7000000}"/>
    <hyperlink ref="B418" r:id="rId181" xr:uid="{00000000-0004-0000-0400-0000B8000000}"/>
    <hyperlink ref="B419" r:id="rId182" xr:uid="{00000000-0004-0000-0400-0000B9000000}"/>
    <hyperlink ref="B420" r:id="rId183" xr:uid="{00000000-0004-0000-0400-0000BA000000}"/>
    <hyperlink ref="B421" r:id="rId184" xr:uid="{00000000-0004-0000-0400-0000BB000000}"/>
    <hyperlink ref="B422" r:id="rId185" xr:uid="{00000000-0004-0000-0400-0000BC000000}"/>
    <hyperlink ref="B423" r:id="rId186" xr:uid="{00000000-0004-0000-0400-0000BD000000}"/>
    <hyperlink ref="B424" r:id="rId187" xr:uid="{00000000-0004-0000-0400-0000BE000000}"/>
    <hyperlink ref="B425" r:id="rId188" xr:uid="{00000000-0004-0000-0400-0000BF000000}"/>
    <hyperlink ref="B427" r:id="rId189" xr:uid="{00000000-0004-0000-0400-0000C0000000}"/>
    <hyperlink ref="B428" r:id="rId190" xr:uid="{00000000-0004-0000-0400-0000C1000000}"/>
    <hyperlink ref="B429" r:id="rId191" xr:uid="{00000000-0004-0000-0400-0000C2000000}"/>
    <hyperlink ref="B432" r:id="rId192" xr:uid="{00000000-0004-0000-0400-0000C3000000}"/>
    <hyperlink ref="B433" r:id="rId193" display="https://hydrogeneurope.eu/sites/default/files/2019-09/2019Q3_HYDROGENICS_Renewable Hydrogen-compressed.pdf" xr:uid="{00000000-0004-0000-0400-0000C4000000}"/>
    <hyperlink ref="B434" r:id="rId194" xr:uid="{00000000-0004-0000-0400-0000C5000000}"/>
    <hyperlink ref="B436" r:id="rId195" xr:uid="{00000000-0004-0000-0400-0000C6000000}"/>
    <hyperlink ref="B437" r:id="rId196" xr:uid="{00000000-0004-0000-0400-0000C7000000}"/>
    <hyperlink ref="B438" r:id="rId197" xr:uid="{00000000-0004-0000-0400-0000C8000000}"/>
    <hyperlink ref="B439" r:id="rId198" xr:uid="{00000000-0004-0000-0400-0000C9000000}"/>
    <hyperlink ref="B440" r:id="rId199" xr:uid="{00000000-0004-0000-0400-0000CA000000}"/>
    <hyperlink ref="B441" r:id="rId200" xr:uid="{00000000-0004-0000-0400-0000CB000000}"/>
    <hyperlink ref="B442" r:id="rId201" xr:uid="{00000000-0004-0000-0400-0000CC000000}"/>
    <hyperlink ref="B443" r:id="rId202" xr:uid="{00000000-0004-0000-0400-0000CD000000}"/>
    <hyperlink ref="B444" r:id="rId203" xr:uid="{00000000-0004-0000-0400-0000CE000000}"/>
    <hyperlink ref="B445" r:id="rId204" xr:uid="{00000000-0004-0000-0400-0000CF000000}"/>
    <hyperlink ref="B446" r:id="rId205" xr:uid="{00000000-0004-0000-0400-0000D0000000}"/>
    <hyperlink ref="B451" r:id="rId206" xr:uid="{00000000-0004-0000-0400-0000D1000000}"/>
    <hyperlink ref="B452" r:id="rId207" xr:uid="{00000000-0004-0000-0400-0000D2000000}"/>
    <hyperlink ref="B453" r:id="rId208" xr:uid="{00000000-0004-0000-0400-0000D3000000}"/>
    <hyperlink ref="B454" r:id="rId209" xr:uid="{00000000-0004-0000-0400-0000D4000000}"/>
    <hyperlink ref="B455" r:id="rId210" xr:uid="{00000000-0004-0000-0400-0000D5000000}"/>
    <hyperlink ref="B456" r:id="rId211" xr:uid="{00000000-0004-0000-0400-0000D6000000}"/>
    <hyperlink ref="B457" r:id="rId212" xr:uid="{00000000-0004-0000-0400-0000D7000000}"/>
    <hyperlink ref="B458" r:id="rId213" location=".Xo96YMgzY2z" display="https://zenodo.org/record/3464775 - .Xo96YMgzY2z" xr:uid="{00000000-0004-0000-0400-0000D8000000}"/>
    <hyperlink ref="B459" r:id="rId214" xr:uid="{00000000-0004-0000-0400-0000D9000000}"/>
    <hyperlink ref="B460" r:id="rId215" xr:uid="{00000000-0004-0000-0400-0000DA000000}"/>
    <hyperlink ref="B463" r:id="rId216" xr:uid="{00000000-0004-0000-0400-0000DB000000}"/>
    <hyperlink ref="B464" r:id="rId217" xr:uid="{00000000-0004-0000-0400-0000DC000000}"/>
    <hyperlink ref="B465" r:id="rId218" location="sec4" display="https://www.sciencedirect.com/science/article/pii/S0360319908015619 - sec4" xr:uid="{00000000-0004-0000-0400-0000DD000000}"/>
    <hyperlink ref="B466" r:id="rId219" xr:uid="{00000000-0004-0000-0400-0000DE000000}"/>
    <hyperlink ref="B467" r:id="rId220" xr:uid="{00000000-0004-0000-0400-0000DF000000}"/>
    <hyperlink ref="B468" r:id="rId221" xr:uid="{00000000-0004-0000-0400-0000E0000000}"/>
    <hyperlink ref="B141" r:id="rId222" xr:uid="{00000000-0004-0000-0400-0000E1000000}"/>
    <hyperlink ref="B469" r:id="rId223" xr:uid="{00000000-0004-0000-0400-0000E2000000}"/>
    <hyperlink ref="B470" r:id="rId224" xr:uid="{00000000-0004-0000-0400-0000E3000000}"/>
    <hyperlink ref="B471" r:id="rId225" xr:uid="{00000000-0004-0000-0400-0000E4000000}"/>
    <hyperlink ref="B472" r:id="rId226" display="http://www.afhypac.org/documents/tout-savoir/Fiche 9.5 - Power-to-gas - rev mars2017 ThA.pdf" xr:uid="{00000000-0004-0000-0400-0000E5000000}"/>
    <hyperlink ref="B473" r:id="rId227" xr:uid="{00000000-0004-0000-0400-0000E6000000}"/>
    <hyperlink ref="B474" r:id="rId228" xr:uid="{00000000-0004-0000-0400-0000E7000000}"/>
    <hyperlink ref="B476" r:id="rId229" xr:uid="{00000000-0004-0000-0400-0000E8000000}"/>
    <hyperlink ref="B477" r:id="rId230" xr:uid="{00000000-0004-0000-0400-0000E9000000}"/>
    <hyperlink ref="B478" r:id="rId231" xr:uid="{00000000-0004-0000-0400-0000EA000000}"/>
    <hyperlink ref="B479" r:id="rId232" xr:uid="{00000000-0004-0000-0400-0000EB000000}"/>
    <hyperlink ref="B480" r:id="rId233" xr:uid="{00000000-0004-0000-0400-0000EC000000}"/>
    <hyperlink ref="B481" r:id="rId234" xr:uid="{00000000-0004-0000-0400-0000ED000000}"/>
    <hyperlink ref="B482" r:id="rId235" xr:uid="{00000000-0004-0000-0400-0000EE000000}"/>
    <hyperlink ref="B483" r:id="rId236" xr:uid="{00000000-0004-0000-0400-0000EF000000}"/>
    <hyperlink ref="B484" r:id="rId237" xr:uid="{00000000-0004-0000-0400-0000F0000000}"/>
    <hyperlink ref="B485" r:id="rId238" xr:uid="{00000000-0004-0000-0400-0000F1000000}"/>
    <hyperlink ref="B486" r:id="rId239" xr:uid="{00000000-0004-0000-0400-0000F2000000}"/>
    <hyperlink ref="B487" r:id="rId240" xr:uid="{00000000-0004-0000-0400-0000F3000000}"/>
    <hyperlink ref="B488" r:id="rId241" xr:uid="{00000000-0004-0000-0400-0000F4000000}"/>
    <hyperlink ref="B489" r:id="rId242" xr:uid="{00000000-0004-0000-0400-0000F5000000}"/>
    <hyperlink ref="B490" r:id="rId243" location="302" display="https://www.arci.res.in/facilities-cfct - 302" xr:uid="{00000000-0004-0000-0400-0000F6000000}"/>
    <hyperlink ref="B491" r:id="rId244" xr:uid="{00000000-0004-0000-0400-0000F7000000}"/>
    <hyperlink ref="B492" r:id="rId245" xr:uid="{00000000-0004-0000-0400-0000F8000000}"/>
    <hyperlink ref="B493" r:id="rId246" xr:uid="{00000000-0004-0000-0400-0000F9000000}"/>
    <hyperlink ref="B494" r:id="rId247" xr:uid="{00000000-0004-0000-0400-0000FA000000}"/>
    <hyperlink ref="B495" r:id="rId248" xr:uid="{00000000-0004-0000-0400-0000FB000000}"/>
    <hyperlink ref="B496" r:id="rId249" xr:uid="{00000000-0004-0000-0400-0000FC000000}"/>
    <hyperlink ref="B497" r:id="rId250" xr:uid="{00000000-0004-0000-0400-0000FD000000}"/>
    <hyperlink ref="B498" r:id="rId251" xr:uid="{00000000-0004-0000-0400-0000FE000000}"/>
    <hyperlink ref="B499" r:id="rId252" xr:uid="{00000000-0004-0000-0400-0000FF000000}"/>
    <hyperlink ref="B500" r:id="rId253" xr:uid="{00000000-0004-0000-0400-000000010000}"/>
    <hyperlink ref="B501" r:id="rId254" xr:uid="{00000000-0004-0000-0400-000001010000}"/>
    <hyperlink ref="B502" r:id="rId255" xr:uid="{00000000-0004-0000-0400-000002010000}"/>
    <hyperlink ref="B503" r:id="rId256" xr:uid="{00000000-0004-0000-0400-000003010000}"/>
    <hyperlink ref="B504" r:id="rId257" xr:uid="{00000000-0004-0000-0400-000004010000}"/>
    <hyperlink ref="B506" r:id="rId258" xr:uid="{00000000-0004-0000-0400-000005010000}"/>
    <hyperlink ref="B507" r:id="rId259" xr:uid="{00000000-0004-0000-0400-000006010000}"/>
    <hyperlink ref="B509" r:id="rId260" xr:uid="{00000000-0004-0000-0400-000007010000}"/>
    <hyperlink ref="B510" r:id="rId261" xr:uid="{00000000-0004-0000-0400-000008010000}"/>
    <hyperlink ref="B511" r:id="rId262" xr:uid="{00000000-0004-0000-0400-000009010000}"/>
    <hyperlink ref="B512" r:id="rId263" xr:uid="{00000000-0004-0000-0400-00000A010000}"/>
    <hyperlink ref="B513" r:id="rId264" xr:uid="{00000000-0004-0000-0400-00000B010000}"/>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00000000-0004-0000-0400-00000C010000}"/>
    <hyperlink ref="B515" r:id="rId266" xr:uid="{00000000-0004-0000-0400-00000D010000}"/>
    <hyperlink ref="B516" r:id="rId267" xr:uid="{00000000-0004-0000-0400-00000E010000}"/>
    <hyperlink ref="B517" r:id="rId268" xr:uid="{00000000-0004-0000-0400-00000F010000}"/>
    <hyperlink ref="B518" r:id="rId269" xr:uid="{00000000-0004-0000-0400-000010010000}"/>
    <hyperlink ref="B519" r:id="rId270" xr:uid="{00000000-0004-0000-0400-000011010000}"/>
    <hyperlink ref="B520" r:id="rId271" xr:uid="{00000000-0004-0000-0400-000012010000}"/>
    <hyperlink ref="B521" r:id="rId272" xr:uid="{00000000-0004-0000-0400-000013010000}"/>
    <hyperlink ref="B522" r:id="rId273" xr:uid="{00000000-0004-0000-0400-000014010000}"/>
    <hyperlink ref="B508" r:id="rId274" xr:uid="{00000000-0004-0000-0400-000015010000}"/>
    <hyperlink ref="B523" r:id="rId275" xr:uid="{00000000-0004-0000-0400-000016010000}"/>
    <hyperlink ref="B524" r:id="rId276" xr:uid="{00000000-0004-0000-0400-000017010000}"/>
    <hyperlink ref="B525" r:id="rId277" xr:uid="{00000000-0004-0000-0400-000018010000}"/>
    <hyperlink ref="B526" r:id="rId278" xr:uid="{00000000-0004-0000-0400-000019010000}"/>
    <hyperlink ref="B527" r:id="rId279" xr:uid="{00000000-0004-0000-0400-00001A010000}"/>
    <hyperlink ref="B528" r:id="rId280" xr:uid="{00000000-0004-0000-0400-00001B010000}"/>
    <hyperlink ref="B529" r:id="rId281" xr:uid="{00000000-0004-0000-0400-00001C010000}"/>
    <hyperlink ref="B530" r:id="rId282" xr:uid="{00000000-0004-0000-0400-00001D010000}"/>
    <hyperlink ref="B531" r:id="rId283" xr:uid="{00000000-0004-0000-0400-00001E010000}"/>
    <hyperlink ref="B532" r:id="rId284" xr:uid="{00000000-0004-0000-0400-00001F010000}"/>
    <hyperlink ref="B533" r:id="rId285" xr:uid="{00000000-0004-0000-0400-000020010000}"/>
    <hyperlink ref="B534" r:id="rId286" xr:uid="{00000000-0004-0000-0400-000021010000}"/>
    <hyperlink ref="B535" r:id="rId287" xr:uid="{00000000-0004-0000-0400-000022010000}"/>
    <hyperlink ref="B536" r:id="rId288" xr:uid="{00000000-0004-0000-0400-000023010000}"/>
    <hyperlink ref="B538" r:id="rId289" xr:uid="{00000000-0004-0000-0400-000024010000}"/>
    <hyperlink ref="B539" r:id="rId290" xr:uid="{00000000-0004-0000-0400-000025010000}"/>
    <hyperlink ref="B540" r:id="rId291" xr:uid="{00000000-0004-0000-0400-000026010000}"/>
    <hyperlink ref="B541" r:id="rId292" xr:uid="{00000000-0004-0000-0400-000027010000}"/>
    <hyperlink ref="B542" r:id="rId293" xr:uid="{00000000-0004-0000-0400-000028010000}"/>
    <hyperlink ref="B544" r:id="rId294" xr:uid="{00000000-0004-0000-0400-000029010000}"/>
    <hyperlink ref="B545" r:id="rId295" xr:uid="{00000000-0004-0000-0400-00002A010000}"/>
    <hyperlink ref="B546" r:id="rId296" xr:uid="{00000000-0004-0000-0400-00002B010000}"/>
    <hyperlink ref="B547" r:id="rId297" xr:uid="{00000000-0004-0000-0400-00002C010000}"/>
    <hyperlink ref="B548" r:id="rId298" xr:uid="{00000000-0004-0000-0400-00002D010000}"/>
    <hyperlink ref="B549" r:id="rId299" xr:uid="{00000000-0004-0000-0400-00002E010000}"/>
    <hyperlink ref="B550" r:id="rId300" xr:uid="{00000000-0004-0000-0400-00002F010000}"/>
    <hyperlink ref="B551" r:id="rId301" xr:uid="{00000000-0004-0000-0400-000030010000}"/>
    <hyperlink ref="B552" r:id="rId302" xr:uid="{00000000-0004-0000-0400-000031010000}"/>
    <hyperlink ref="B553" r:id="rId303" xr:uid="{00000000-0004-0000-0400-000032010000}"/>
    <hyperlink ref="B554" r:id="rId304" xr:uid="{00000000-0004-0000-0400-000033010000}"/>
    <hyperlink ref="B555" r:id="rId305" xr:uid="{00000000-0004-0000-0400-000034010000}"/>
    <hyperlink ref="B556" r:id="rId306" xr:uid="{00000000-0004-0000-0400-000035010000}"/>
    <hyperlink ref="B557" r:id="rId307" xr:uid="{00000000-0004-0000-0400-000036010000}"/>
    <hyperlink ref="B558" r:id="rId308" xr:uid="{00000000-0004-0000-0400-000037010000}"/>
    <hyperlink ref="B559" r:id="rId309" xr:uid="{00000000-0004-0000-0400-000038010000}"/>
    <hyperlink ref="B560" r:id="rId310" xr:uid="{00000000-0004-0000-0400-000039010000}"/>
    <hyperlink ref="B562" r:id="rId311" xr:uid="{00000000-0004-0000-0400-00003A010000}"/>
    <hyperlink ref="B561" r:id="rId312" xr:uid="{00000000-0004-0000-0400-00003B010000}"/>
    <hyperlink ref="B563" r:id="rId313" xr:uid="{00000000-0004-0000-0400-00003C010000}"/>
    <hyperlink ref="B564" r:id="rId314" display="https://newsroom.neom.com/air-products-acwa-power-and-neom-sign-agreement-for-5-billion-production-facility-in-neom-powered-by-renewable-energy-for-production-and-export-of-green-hydrogen-to-global-markets-321553" xr:uid="{00000000-0004-0000-0400-00003D010000}"/>
    <hyperlink ref="B565" r:id="rId315" xr:uid="{00000000-0004-0000-0400-00003E010000}"/>
    <hyperlink ref="B566" r:id="rId316" xr:uid="{00000000-0004-0000-0400-00003F010000}"/>
    <hyperlink ref="B567" r:id="rId317" xr:uid="{00000000-0004-0000-0400-000040010000}"/>
    <hyperlink ref="B568" r:id="rId318" xr:uid="{00000000-0004-0000-0400-000041010000}"/>
    <hyperlink ref="B569" r:id="rId319" xr:uid="{00000000-0004-0000-0400-000042010000}"/>
    <hyperlink ref="B570" r:id="rId320" xr:uid="{00000000-0004-0000-0400-000043010000}"/>
    <hyperlink ref="B571" r:id="rId321" xr:uid="{00000000-0004-0000-0400-000044010000}"/>
    <hyperlink ref="B572" r:id="rId322" xr:uid="{00000000-0004-0000-0400-000045010000}"/>
    <hyperlink ref="B573" r:id="rId323" xr:uid="{00000000-0004-0000-0400-000046010000}"/>
    <hyperlink ref="B574" r:id="rId324" xr:uid="{00000000-0004-0000-0400-000047010000}"/>
    <hyperlink ref="B575" r:id="rId325" xr:uid="{00000000-0004-0000-0400-000048010000}"/>
    <hyperlink ref="B576" r:id="rId326" xr:uid="{00000000-0004-0000-0400-000049010000}"/>
    <hyperlink ref="B577" r:id="rId327" xr:uid="{00000000-0004-0000-0400-00004A010000}"/>
    <hyperlink ref="B578" r:id="rId328" xr:uid="{00000000-0004-0000-0400-00004B010000}"/>
    <hyperlink ref="B579" r:id="rId329" xr:uid="{00000000-0004-0000-0400-00004C010000}"/>
    <hyperlink ref="B580" r:id="rId330" xr:uid="{00000000-0004-0000-0400-00004D010000}"/>
    <hyperlink ref="B581" r:id="rId331" xr:uid="{00000000-0004-0000-0400-00004E010000}"/>
    <hyperlink ref="B582" r:id="rId332" xr:uid="{00000000-0004-0000-0400-00004F010000}"/>
    <hyperlink ref="B584" r:id="rId333" xr:uid="{00000000-0004-0000-0400-000050010000}"/>
    <hyperlink ref="B585" r:id="rId334" xr:uid="{00000000-0004-0000-0400-000051010000}"/>
    <hyperlink ref="B586" r:id="rId335" xr:uid="{00000000-0004-0000-0400-000052010000}"/>
    <hyperlink ref="B587" r:id="rId336" xr:uid="{00000000-0004-0000-0400-000053010000}"/>
    <hyperlink ref="B588" r:id="rId337" xr:uid="{00000000-0004-0000-0400-000054010000}"/>
    <hyperlink ref="B235" r:id="rId338" xr:uid="{00000000-0004-0000-0400-000055010000}"/>
    <hyperlink ref="B597" r:id="rId339" xr:uid="{00000000-0004-0000-0400-000056010000}"/>
    <hyperlink ref="B608" r:id="rId340" xr:uid="{00000000-0004-0000-0400-000057010000}"/>
    <hyperlink ref="B609" r:id="rId341" xr:uid="{00000000-0004-0000-0400-000058010000}"/>
    <hyperlink ref="B606" r:id="rId342" xr:uid="{00000000-0004-0000-0400-000059010000}"/>
    <hyperlink ref="B611" r:id="rId343" xr:uid="{00000000-0004-0000-0400-00005A010000}"/>
    <hyperlink ref="B618" r:id="rId344" xr:uid="{00000000-0004-0000-0400-00005B010000}"/>
    <hyperlink ref="B619" r:id="rId345" xr:uid="{00000000-0004-0000-0400-00005C010000}"/>
    <hyperlink ref="B450" r:id="rId346" xr:uid="{00000000-0004-0000-0400-00005D010000}"/>
    <hyperlink ref="B47" r:id="rId347" xr:uid="{00000000-0004-0000-0400-00005E010000}"/>
    <hyperlink ref="B124" r:id="rId348" xr:uid="{00000000-0004-0000-0400-00005F010000}"/>
    <hyperlink ref="B125" r:id="rId349" xr:uid="{00000000-0004-0000-0400-000060010000}"/>
    <hyperlink ref="B621" r:id="rId350" xr:uid="{00000000-0004-0000-0400-000061010000}"/>
    <hyperlink ref="B290" r:id="rId351" xr:uid="{00000000-0004-0000-0400-000062010000}"/>
    <hyperlink ref="B234" r:id="rId352" xr:uid="{00000000-0004-0000-0400-000063010000}"/>
    <hyperlink ref="B191" r:id="rId353" xr:uid="{00000000-0004-0000-0400-000064010000}"/>
    <hyperlink ref="B595" r:id="rId354" xr:uid="{00000000-0004-0000-0400-000065010000}"/>
    <hyperlink ref="B583" r:id="rId355" xr:uid="{00000000-0004-0000-0400-000066010000}"/>
    <hyperlink ref="B461" r:id="rId356" xr:uid="{00000000-0004-0000-0400-000067010000}"/>
    <hyperlink ref="B431" r:id="rId357" xr:uid="{00000000-0004-0000-0400-000068010000}"/>
    <hyperlink ref="B629" r:id="rId358" xr:uid="{00000000-0004-0000-0400-000069010000}"/>
    <hyperlink ref="B615" r:id="rId359" xr:uid="{00000000-0004-0000-0400-00006A010000}"/>
    <hyperlink ref="B248" r:id="rId360" xr:uid="{00000000-0004-0000-0400-00006B010000}"/>
    <hyperlink ref="B156" r:id="rId361" xr:uid="{00000000-0004-0000-0400-00006C010000}"/>
    <hyperlink ref="B623" r:id="rId362" xr:uid="{00000000-0004-0000-0400-00006D010000}"/>
    <hyperlink ref="B624" r:id="rId363" xr:uid="{00000000-0004-0000-0400-00006E010000}"/>
    <hyperlink ref="B607" r:id="rId364" xr:uid="{00000000-0004-0000-0400-00006F010000}"/>
    <hyperlink ref="B97" r:id="rId365" xr:uid="{00000000-0004-0000-0400-000070010000}"/>
    <hyperlink ref="B589" r:id="rId366" xr:uid="{00000000-0004-0000-0400-000071010000}"/>
    <hyperlink ref="B599" r:id="rId367" xr:uid="{00000000-0004-0000-0400-000072010000}"/>
    <hyperlink ref="B613" r:id="rId368" xr:uid="{00000000-0004-0000-0400-000073010000}"/>
    <hyperlink ref="B598" r:id="rId369" xr:uid="{00000000-0004-0000-0400-000074010000}"/>
    <hyperlink ref="B601" r:id="rId370" xr:uid="{00000000-0004-0000-0400-000075010000}"/>
    <hyperlink ref="B426" r:id="rId371" xr:uid="{00000000-0004-0000-0400-000076010000}"/>
    <hyperlink ref="B270" r:id="rId372" xr:uid="{00000000-0004-0000-0400-000077010000}"/>
    <hyperlink ref="B632" r:id="rId373" xr:uid="{00000000-0004-0000-0400-000078010000}"/>
    <hyperlink ref="B667" r:id="rId374" xr:uid="{00000000-0004-0000-0400-000079010000}"/>
    <hyperlink ref="B669" r:id="rId375" xr:uid="{00000000-0004-0000-0400-00007A010000}"/>
    <hyperlink ref="B672" r:id="rId376" xr:uid="{00000000-0004-0000-0400-00007B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400-00007C010000}"/>
    <hyperlink ref="B705" r:id="rId377" xr:uid="{00000000-0004-0000-0400-00007D010000}"/>
    <hyperlink ref="B213" r:id="rId378" xr:uid="{00000000-0004-0000-0400-00007E010000}"/>
    <hyperlink ref="B246" r:id="rId379" xr:uid="{00000000-0004-0000-0400-00007F010000}"/>
    <hyperlink ref="B604" r:id="rId380" location="intro" xr:uid="{00000000-0004-0000-0400-000080010000}"/>
    <hyperlink ref="B603" r:id="rId381" xr:uid="{00000000-0004-0000-0400-000081010000}"/>
    <hyperlink ref="B110" r:id="rId382" xr:uid="{00000000-0004-0000-0400-000082010000}"/>
    <hyperlink ref="B201" r:id="rId383" xr:uid="{00000000-0004-0000-0400-000083010000}"/>
    <hyperlink ref="B250" r:id="rId384" xr:uid="{00000000-0004-0000-0400-000084010000}"/>
    <hyperlink ref="B712" r:id="rId385" xr:uid="{00000000-0004-0000-0400-000085010000}"/>
    <hyperlink ref="B711" r:id="rId386" xr:uid="{00000000-0004-0000-0400-000086010000}"/>
    <hyperlink ref="B642" r:id="rId387" xr:uid="{00000000-0004-0000-0400-000087010000}"/>
    <hyperlink ref="B728" r:id="rId388" xr:uid="{00000000-0004-0000-0400-000088010000}"/>
    <hyperlink ref="B740" r:id="rId389" xr:uid="{00000000-0004-0000-0400-000089010000}"/>
    <hyperlink ref="B690" r:id="rId390" xr:uid="{00000000-0004-0000-0400-00008A010000}"/>
    <hyperlink ref="B652" r:id="rId391" xr:uid="{00000000-0004-0000-0400-00008B010000}"/>
    <hyperlink ref="B685" r:id="rId392" xr:uid="{00000000-0004-0000-0400-00008C010000}"/>
    <hyperlink ref="B665" r:id="rId393" xr:uid="{00000000-0004-0000-0400-00008D010000}"/>
    <hyperlink ref="B628" r:id="rId394" xr:uid="{00000000-0004-0000-0400-00008E010000}"/>
    <hyperlink ref="B859" r:id="rId395" xr:uid="{00000000-0004-0000-0400-00008F010000}"/>
    <hyperlink ref="B659" r:id="rId396" xr:uid="{00000000-0004-0000-0400-000090010000}"/>
    <hyperlink ref="B875" r:id="rId397" xr:uid="{00000000-0004-0000-0400-000091010000}"/>
    <hyperlink ref="B922" r:id="rId398" xr:uid="{00000000-0004-0000-0400-000092010000}"/>
    <hyperlink ref="B643" r:id="rId399" xr:uid="{00000000-0004-0000-0400-000093010000}"/>
    <hyperlink ref="B865" r:id="rId400" xr:uid="{00000000-0004-0000-0400-000094010000}"/>
    <hyperlink ref="B755" r:id="rId401" xr:uid="{00000000-0004-0000-0400-000095010000}"/>
    <hyperlink ref="B957" r:id="rId402" xr:uid="{00000000-0004-0000-0400-000096010000}"/>
    <hyperlink ref="B958" r:id="rId403" xr:uid="{00000000-0004-0000-0400-000097010000}"/>
    <hyperlink ref="B963" r:id="rId404" xr:uid="{00000000-0004-0000-0400-000098010000}"/>
    <hyperlink ref="B964" r:id="rId405" xr:uid="{00000000-0004-0000-0400-000099010000}"/>
    <hyperlink ref="B965" r:id="rId406" display="https://www.ssme.gov.py/vmme/index.php?option=com_content&amp;view=article&amp;id=2020:proyecto-qla-ruta-del-hidrogeno-h2-en-paraguay&amp;catid=96:sample-news&amp;Itemid=552" xr:uid="{00000000-0004-0000-0400-00009A010000}"/>
    <hyperlink ref="B271" r:id="rId407" xr:uid="{00000000-0004-0000-0400-00009B010000}"/>
    <hyperlink ref="B804" r:id="rId408" xr:uid="{00000000-0004-0000-0400-00009C010000}"/>
    <hyperlink ref="B949" r:id="rId409" xr:uid="{00000000-0004-0000-0400-00009D010000}"/>
    <hyperlink ref="B1018" r:id="rId410" xr:uid="{00000000-0004-0000-0400-00009E010000}"/>
    <hyperlink ref="B887" r:id="rId411" xr:uid="{00000000-0004-0000-0400-00009F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400-0000A0010000}"/>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00000000-0004-0000-0400-0000A1010000}"/>
    <hyperlink ref="B1054" r:id="rId413" xr:uid="{00000000-0004-0000-0400-0000A2010000}"/>
    <hyperlink ref="B1052" r:id="rId414" xr:uid="{00000000-0004-0000-0400-0000A3010000}"/>
    <hyperlink ref="B883" r:id="rId415" xr:uid="{00000000-0004-0000-0400-0000A4010000}"/>
    <hyperlink ref="B1063" r:id="rId416" xr:uid="{00000000-0004-0000-0400-0000A5010000}"/>
    <hyperlink ref="B1064" r:id="rId417" xr:uid="{00000000-0004-0000-0400-0000A6010000}"/>
    <hyperlink ref="B1061" r:id="rId418" xr:uid="{00000000-0004-0000-0400-0000A7010000}"/>
    <hyperlink ref="B1094" r:id="rId419" xr:uid="{00000000-0004-0000-0400-0000A8010000}"/>
    <hyperlink ref="B1086" r:id="rId420" xr:uid="{00000000-0004-0000-0400-0000A9010000}"/>
    <hyperlink ref="B1096" r:id="rId421" xr:uid="{00000000-0004-0000-0400-0000AA010000}"/>
    <hyperlink ref="B1112" r:id="rId422" xr:uid="{00000000-0004-0000-0400-0000AB010000}"/>
    <hyperlink ref="B903" r:id="rId423" xr:uid="{00000000-0004-0000-0400-0000AC010000}"/>
    <hyperlink ref="B855" r:id="rId424" xr:uid="{00000000-0004-0000-0400-0000AD010000}"/>
    <hyperlink ref="B1123" r:id="rId425" xr:uid="{00000000-0004-0000-0400-0000AE010000}"/>
    <hyperlink ref="B1147" r:id="rId426" xr:uid="{00000000-0004-0000-0400-0000AF010000}"/>
    <hyperlink ref="B1152" r:id="rId427" xr:uid="{00000000-0004-0000-0400-0000B0010000}"/>
    <hyperlink ref="B1168" r:id="rId428" xr:uid="{00000000-0004-0000-0400-0000B1010000}"/>
    <hyperlink ref="B1008" r:id="rId429" xr:uid="{00000000-0004-0000-0400-0000B2010000}"/>
    <hyperlink ref="B931" r:id="rId430" xr:uid="{00000000-0004-0000-0400-0000B3010000}"/>
    <hyperlink ref="B982" r:id="rId431" xr:uid="{00000000-0004-0000-0400-0000B4010000}"/>
    <hyperlink ref="B1003" r:id="rId432" xr:uid="{00000000-0004-0000-0400-0000B5010000}"/>
    <hyperlink ref="B1122" r:id="rId433" xr:uid="{00000000-0004-0000-0400-0000B6010000}"/>
    <hyperlink ref="B1093" r:id="rId434" xr:uid="{00000000-0004-0000-0400-0000B7010000}"/>
    <hyperlink ref="B780" r:id="rId435" xr:uid="{00000000-0004-0000-0400-0000B8010000}"/>
    <hyperlink ref="B978" r:id="rId436" xr:uid="{00000000-0004-0000-0400-0000B9010000}"/>
    <hyperlink ref="B996" r:id="rId437" xr:uid="{00000000-0004-0000-0400-0000BA010000}"/>
    <hyperlink ref="B1128" r:id="rId438" xr:uid="{00000000-0004-0000-0400-0000BB010000}"/>
    <hyperlink ref="B1002" r:id="rId439" xr:uid="{00000000-0004-0000-0400-0000BC010000}"/>
    <hyperlink ref="B1070" r:id="rId440" xr:uid="{00000000-0004-0000-0400-0000BD010000}"/>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00000000-0004-0000-0400-0000BE010000}"/>
    <hyperlink ref="B1125" r:id="rId442" xr:uid="{00000000-0004-0000-0400-0000BF010000}"/>
    <hyperlink ref="B1106" r:id="rId443" xr:uid="{00000000-0004-0000-0400-0000C0010000}"/>
    <hyperlink ref="B1142" r:id="rId444" xr:uid="{00000000-0004-0000-0400-0000C1010000}"/>
    <hyperlink ref="B1118" r:id="rId445" xr:uid="{00000000-0004-0000-0400-0000C2010000}"/>
    <hyperlink ref="B1129" r:id="rId446" xr:uid="{00000000-0004-0000-0400-0000C3010000}"/>
    <hyperlink ref="B1170" r:id="rId447" xr:uid="{00000000-0004-0000-0400-0000C4010000}"/>
    <hyperlink ref="B1206" r:id="rId448" xr:uid="{00000000-0004-0000-0400-0000C5010000}"/>
    <hyperlink ref="B1258" r:id="rId449" xr:uid="{00000000-0004-0000-0400-0000C6010000}"/>
    <hyperlink ref="B1259" r:id="rId450" xr:uid="{00000000-0004-0000-0400-0000C7010000}"/>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00000000-0004-0000-0400-0000C8010000}"/>
    <hyperlink ref="B1066" r:id="rId452" xr:uid="{00000000-0004-0000-0400-0000C9010000}"/>
    <hyperlink ref="B1205" r:id="rId453" xr:uid="{00000000-0004-0000-0400-0000CB010000}"/>
    <hyperlink ref="B994" r:id="rId454" xr:uid="{00000000-0004-0000-0400-0000CC010000}"/>
    <hyperlink ref="B810" r:id="rId455" xr:uid="{00000000-0004-0000-0400-0000CD010000}"/>
    <hyperlink ref="B947" r:id="rId456" xr:uid="{00000000-0004-0000-0400-0000CE010000}"/>
    <hyperlink ref="B891" r:id="rId457" xr:uid="{00000000-0004-0000-0400-0000CF010000}"/>
    <hyperlink ref="B946" r:id="rId458" xr:uid="{00000000-0004-0000-0400-0000D0010000}"/>
    <hyperlink ref="B1141" r:id="rId459" xr:uid="{00000000-0004-0000-0400-0000D1010000}"/>
    <hyperlink ref="B1300" r:id="rId460" xr:uid="{00000000-0004-0000-0400-0000D2010000}"/>
    <hyperlink ref="B1303" r:id="rId461" xr:uid="{00000000-0004-0000-0400-0000D3010000}"/>
    <hyperlink ref="B974" r:id="rId462" xr:uid="{00000000-0004-0000-0400-0000D4010000}"/>
    <hyperlink ref="B924" r:id="rId463" xr:uid="{00000000-0004-0000-0400-0000D5010000}"/>
    <hyperlink ref="B1304" r:id="rId464" xr:uid="{00000000-0004-0000-0400-0000D6010000}"/>
    <hyperlink ref="B717" r:id="rId465" xr:uid="{00000000-0004-0000-0400-0000D7010000}"/>
    <hyperlink ref="B1305" r:id="rId466" xr:uid="{00000000-0004-0000-0400-0000D8010000}"/>
    <hyperlink ref="B715" r:id="rId467" xr:uid="{00000000-0004-0000-0400-0000D9010000}"/>
    <hyperlink ref="B716" r:id="rId468" xr:uid="{00000000-0004-0000-0400-0000DA010000}"/>
    <hyperlink ref="B1306" r:id="rId469" xr:uid="{00000000-0004-0000-0400-0000DB010000}"/>
    <hyperlink ref="B1307" r:id="rId470" xr:uid="{00000000-0004-0000-0400-0000DC010000}"/>
    <hyperlink ref="B1308" r:id="rId471" xr:uid="{00000000-0004-0000-0400-0000DD010000}"/>
    <hyperlink ref="B1309" r:id="rId472" xr:uid="{00000000-0004-0000-0400-0000DE010000}"/>
    <hyperlink ref="B1310" r:id="rId473" xr:uid="{00000000-0004-0000-0400-0000DF010000}"/>
    <hyperlink ref="B1311" r:id="rId474" xr:uid="{00000000-0004-0000-0400-0000E0010000}"/>
    <hyperlink ref="B600" r:id="rId475" xr:uid="{00000000-0004-0000-0400-0000E1010000}"/>
    <hyperlink ref="B1312" r:id="rId476" xr:uid="{00000000-0004-0000-0400-0000E2010000}"/>
    <hyperlink ref="B1166" r:id="rId477" xr:uid="{00000000-0004-0000-0400-0000E3010000}"/>
    <hyperlink ref="B1313" r:id="rId478" xr:uid="{00000000-0004-0000-0400-0000E4010000}"/>
    <hyperlink ref="B1314" r:id="rId479" xr:uid="{00000000-0004-0000-0400-0000E5010000}"/>
    <hyperlink ref="B1315" r:id="rId480" xr:uid="{00000000-0004-0000-0400-0000E6010000}"/>
    <hyperlink ref="B1316" r:id="rId481" xr:uid="{00000000-0004-0000-0400-0000E7010000}"/>
    <hyperlink ref="B1317" r:id="rId482" xr:uid="{00000000-0004-0000-0400-0000E8010000}"/>
    <hyperlink ref="B1318" r:id="rId483" xr:uid="{00000000-0004-0000-0400-0000E9010000}"/>
    <hyperlink ref="B1319" r:id="rId484" xr:uid="{00000000-0004-0000-0400-0000EA010000}"/>
    <hyperlink ref="B1320" r:id="rId485" xr:uid="{00000000-0004-0000-0400-0000EB010000}"/>
    <hyperlink ref="B1321" r:id="rId486" xr:uid="{00000000-0004-0000-0400-0000EC010000}"/>
    <hyperlink ref="B1323" r:id="rId487" xr:uid="{00000000-0004-0000-0400-0000EE010000}"/>
    <hyperlink ref="B900" r:id="rId488" xr:uid="{00000000-0004-0000-0400-0000EF010000}"/>
    <hyperlink ref="B904" r:id="rId489" xr:uid="{00000000-0004-0000-0400-0000F0010000}"/>
    <hyperlink ref="B1176" r:id="rId490" xr:uid="{00000000-0004-0000-0400-0000F1010000}"/>
    <hyperlink ref="B960" r:id="rId491" xr:uid="{00000000-0004-0000-0400-0000F2010000}"/>
    <hyperlink ref="B1324" r:id="rId492" xr:uid="{00000000-0004-0000-0400-0000F3010000}"/>
    <hyperlink ref="B773" r:id="rId493" xr:uid="{00000000-0004-0000-0400-0000F4010000}"/>
    <hyperlink ref="B1325" r:id="rId494" xr:uid="{00000000-0004-0000-0400-0000F5010000}"/>
    <hyperlink ref="B1326" r:id="rId495" xr:uid="{00000000-0004-0000-0400-0000F6010000}"/>
    <hyperlink ref="B1327" r:id="rId496" xr:uid="{00000000-0004-0000-0400-0000F7010000}"/>
    <hyperlink ref="B645" r:id="rId497" xr:uid="{00000000-0004-0000-0400-0000F8010000}"/>
    <hyperlink ref="B1328" r:id="rId498" xr:uid="{00000000-0004-0000-0400-0000F9010000}"/>
    <hyperlink ref="B1329" r:id="rId499" xr:uid="{00000000-0004-0000-0400-0000FA010000}"/>
    <hyperlink ref="B833" r:id="rId500" xr:uid="{00000000-0004-0000-0400-0000FC010000}"/>
    <hyperlink ref="B749" r:id="rId501" xr:uid="{00000000-0004-0000-0400-0000FD010000}"/>
    <hyperlink ref="B1330" r:id="rId502" xr:uid="{00000000-0004-0000-0400-0000FE010000}"/>
    <hyperlink ref="B1331" r:id="rId503" xr:uid="{00000000-0004-0000-0400-0000FF010000}"/>
    <hyperlink ref="B861" r:id="rId504" xr:uid="{00000000-0004-0000-0400-000000020000}"/>
    <hyperlink ref="B763" r:id="rId505" xr:uid="{00000000-0004-0000-0400-000001020000}"/>
    <hyperlink ref="B795" r:id="rId506" xr:uid="{00000000-0004-0000-0400-000002020000}"/>
    <hyperlink ref="B1332" r:id="rId507" xr:uid="{00000000-0004-0000-0400-000003020000}"/>
    <hyperlink ref="B844" r:id="rId508" xr:uid="{00000000-0004-0000-0400-000004020000}"/>
    <hyperlink ref="B1333" r:id="rId509" location="about" xr:uid="{00000000-0004-0000-0400-000005020000}"/>
    <hyperlink ref="B880" r:id="rId510" xr:uid="{00000000-0004-0000-0400-000006020000}"/>
    <hyperlink ref="B1334" r:id="rId511" xr:uid="{00000000-0004-0000-0400-000007020000}"/>
    <hyperlink ref="B1022" r:id="rId512" xr:uid="{00000000-0004-0000-0400-000008020000}"/>
    <hyperlink ref="B1023" r:id="rId513" xr:uid="{00000000-0004-0000-0400-000009020000}"/>
    <hyperlink ref="B1335" r:id="rId514" xr:uid="{00000000-0004-0000-0400-00000A020000}"/>
    <hyperlink ref="B1214" r:id="rId515" xr:uid="{00000000-0004-0000-0400-00000B020000}"/>
    <hyperlink ref="B1172" r:id="rId516" xr:uid="{00000000-0004-0000-0400-00000C020000}"/>
    <hyperlink ref="B1171" r:id="rId517" xr:uid="{00000000-0004-0000-0400-00000D020000}"/>
    <hyperlink ref="B1095" r:id="rId518" xr:uid="{00000000-0004-0000-0400-00000E020000}"/>
    <hyperlink ref="B1336" r:id="rId519" xr:uid="{00000000-0004-0000-0400-00000F020000}"/>
    <hyperlink ref="B1337" r:id="rId520" xr:uid="{00000000-0004-0000-0400-000010020000}"/>
    <hyperlink ref="B1338" r:id="rId521" xr:uid="{00000000-0004-0000-0400-000011020000}"/>
    <hyperlink ref="B1339" r:id="rId522" xr:uid="{00000000-0004-0000-0400-000012020000}"/>
    <hyperlink ref="B1340" r:id="rId523" xr:uid="{00000000-0004-0000-0400-000013020000}"/>
    <hyperlink ref="B1341" r:id="rId524" location=":~:text=Project%20description,tender%20application%20in%20June%202020." xr:uid="{00000000-0004-0000-0400-000014020000}"/>
    <hyperlink ref="B1035" r:id="rId525" xr:uid="{00000000-0004-0000-0400-000015020000}"/>
    <hyperlink ref="B1342" r:id="rId526"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00000000-0004-0000-0400-000016020000}"/>
    <hyperlink ref="B1343" r:id="rId527" xr:uid="{00000000-0004-0000-0400-000017020000}"/>
    <hyperlink ref="B1344" r:id="rId528" xr:uid="{00000000-0004-0000-0400-000018020000}"/>
    <hyperlink ref="B1345" r:id="rId529" xr:uid="{00000000-0004-0000-0400-000019020000}"/>
    <hyperlink ref="B1348" r:id="rId530" xr:uid="{00000000-0004-0000-0400-00001A020000}"/>
    <hyperlink ref="B1356" r:id="rId531" xr:uid="{00000000-0004-0000-0400-00001B020000}"/>
    <hyperlink ref="B1357" r:id="rId532" xr:uid="{00000000-0004-0000-0400-00001C020000}"/>
    <hyperlink ref="B1360" r:id="rId533" xr:uid="{00000000-0004-0000-0400-00001D020000}"/>
    <hyperlink ref="B1362" r:id="rId534" xr:uid="{00000000-0004-0000-0400-00001E020000}"/>
    <hyperlink ref="B1364" r:id="rId535" xr:uid="{00000000-0004-0000-0400-00001F020000}"/>
    <hyperlink ref="B841" r:id="rId536" xr:uid="{00000000-0004-0000-0400-000020020000}"/>
    <hyperlink ref="B1371" r:id="rId537" xr:uid="{00000000-0004-0000-0400-000021020000}"/>
    <hyperlink ref="B1372" r:id="rId538" xr:uid="{00000000-0004-0000-0400-000022020000}"/>
    <hyperlink ref="B1373" r:id="rId539"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00000000-0004-0000-0400-000023020000}"/>
    <hyperlink ref="B1374" r:id="rId540" xr:uid="{00000000-0004-0000-0400-000024020000}"/>
    <hyperlink ref="B1375" r:id="rId541" xr:uid="{00000000-0004-0000-0400-000025020000}"/>
    <hyperlink ref="B1288" r:id="rId542" xr:uid="{00000000-0004-0000-0400-000026020000}"/>
    <hyperlink ref="B1280" r:id="rId543" xr:uid="{00000000-0004-0000-0400-000027020000}"/>
    <hyperlink ref="B1376" r:id="rId544" xr:uid="{00000000-0004-0000-0400-000028020000}"/>
    <hyperlink ref="B1378" r:id="rId545" xr:uid="{00000000-0004-0000-0400-000029020000}"/>
    <hyperlink ref="B1379" r:id="rId546" xr:uid="{00000000-0004-0000-0400-00002A020000}"/>
    <hyperlink ref="B1384" r:id="rId547" xr:uid="{00000000-0004-0000-0400-00002B020000}"/>
    <hyperlink ref="B1386" r:id="rId548" xr:uid="{00000000-0004-0000-0400-00002C020000}"/>
    <hyperlink ref="B1387" r:id="rId549" xr:uid="{00000000-0004-0000-0400-00002D020000}"/>
    <hyperlink ref="B1388" r:id="rId550" xr:uid="{00000000-0004-0000-0400-00002E020000}"/>
    <hyperlink ref="B1389" r:id="rId551" xr:uid="{00000000-0004-0000-0400-00002F020000}"/>
    <hyperlink ref="B1390" r:id="rId552" display="https://renewablesnow.com/news/amea-power-inks-mou-for-large-scale-green-ammonia-production-in-egypt-781715/" xr:uid="{00000000-0004-0000-0400-000030020000}"/>
    <hyperlink ref="B1391" r:id="rId553" xr:uid="{00000000-0004-0000-0400-000031020000}"/>
    <hyperlink ref="B1392" r:id="rId554" xr:uid="{00000000-0004-0000-0400-000032020000}"/>
    <hyperlink ref="B1395" r:id="rId555" xr:uid="{00000000-0004-0000-0400-000033020000}"/>
    <hyperlink ref="B1396" r:id="rId556" xr:uid="{00000000-0004-0000-0400-000034020000}"/>
    <hyperlink ref="B1397" r:id="rId557" xr:uid="{00000000-0004-0000-0400-000035020000}"/>
    <hyperlink ref="B1398" r:id="rId558" xr:uid="{00000000-0004-0000-0400-000036020000}"/>
    <hyperlink ref="B1121" r:id="rId559" xr:uid="{00000000-0004-0000-0400-000037020000}"/>
    <hyperlink ref="B1401" r:id="rId560" xr:uid="{00000000-0004-0000-0400-000038020000}"/>
    <hyperlink ref="B1404" r:id="rId561" xr:uid="{00000000-0004-0000-0400-000039020000}"/>
    <hyperlink ref="B1403" r:id="rId562" xr:uid="{00000000-0004-0000-0400-00003A020000}"/>
    <hyperlink ref="B1405" r:id="rId563" xr:uid="{00000000-0004-0000-0400-00003B020000}"/>
    <hyperlink ref="B1406" r:id="rId564" xr:uid="{00000000-0004-0000-0400-00003C020000}"/>
    <hyperlink ref="B1407" r:id="rId565" xr:uid="{00000000-0004-0000-0400-00003D020000}"/>
    <hyperlink ref="B1408" r:id="rId566" xr:uid="{00000000-0004-0000-0400-00003E020000}"/>
    <hyperlink ref="B1409" r:id="rId567" xr:uid="{00000000-0004-0000-0400-00003F020000}"/>
    <hyperlink ref="B1410" r:id="rId568" xr:uid="{00000000-0004-0000-0400-000040020000}"/>
    <hyperlink ref="B1411" r:id="rId569" xr:uid="{00000000-0004-0000-0400-000041020000}"/>
    <hyperlink ref="B1412" r:id="rId570" xr:uid="{00000000-0004-0000-0400-000042020000}"/>
    <hyperlink ref="B1413" r:id="rId571" xr:uid="{00000000-0004-0000-0400-000043020000}"/>
    <hyperlink ref="B1414" r:id="rId572" xr:uid="{00000000-0004-0000-0400-000044020000}"/>
    <hyperlink ref="B1415" r:id="rId573" xr:uid="{00000000-0004-0000-0400-000045020000}"/>
    <hyperlink ref="B1416" r:id="rId574" xr:uid="{00000000-0004-0000-0400-000046020000}"/>
    <hyperlink ref="B1417" r:id="rId575" xr:uid="{00000000-0004-0000-0400-000047020000}"/>
    <hyperlink ref="B1418" r:id="rId576" xr:uid="{00000000-0004-0000-0400-000048020000}"/>
    <hyperlink ref="B1419" r:id="rId577" location=":~:text=Paris%2C%20January%2013%2C%202021%20%E2%80%93,C%C3%B4te%20d%27Azur%20South%20region." xr:uid="{00000000-0004-0000-0400-000049020000}"/>
    <hyperlink ref="B1420" r:id="rId578" xr:uid="{00000000-0004-0000-0400-00004A020000}"/>
    <hyperlink ref="B1421" r:id="rId579" xr:uid="{00000000-0004-0000-0400-00004B020000}"/>
    <hyperlink ref="B1422" r:id="rId580" xr:uid="{00000000-0004-0000-0400-00004C020000}"/>
    <hyperlink ref="B1423" r:id="rId581" xr:uid="{00000000-0004-0000-0400-00004D020000}"/>
    <hyperlink ref="B1424" r:id="rId582" xr:uid="{00000000-0004-0000-0400-00004E020000}"/>
    <hyperlink ref="B1425" r:id="rId583" xr:uid="{00000000-0004-0000-0400-00004F020000}"/>
    <hyperlink ref="B1426" r:id="rId584" xr:uid="{00000000-0004-0000-0400-000050020000}"/>
    <hyperlink ref="B771" r:id="rId585" xr:uid="{00000000-0004-0000-0400-000051020000}"/>
    <hyperlink ref="B835" r:id="rId586" xr:uid="{00000000-0004-0000-0400-000052020000}"/>
    <hyperlink ref="B836" r:id="rId587" xr:uid="{00000000-0004-0000-0400-000053020000}"/>
    <hyperlink ref="B1276" r:id="rId588" xr:uid="{00000000-0004-0000-0400-000054020000}"/>
    <hyperlink ref="B796" r:id="rId589" xr:uid="{00000000-0004-0000-0400-000055020000}"/>
    <hyperlink ref="B1090" r:id="rId590" xr:uid="{00000000-0004-0000-0400-000056020000}"/>
    <hyperlink ref="B1040" r:id="rId591" xr:uid="{00000000-0004-0000-0400-000057020000}"/>
    <hyperlink ref="B1076" r:id="rId592" xr:uid="{00000000-0004-0000-0400-000058020000}"/>
    <hyperlink ref="B662" r:id="rId593" xr:uid="{00000000-0004-0000-0400-000059020000}"/>
    <hyperlink ref="B1186" r:id="rId594" xr:uid="{00000000-0004-0000-0400-00005A020000}"/>
    <hyperlink ref="B1428" r:id="rId595" xr:uid="{00000000-0004-0000-0400-00005B020000}"/>
    <hyperlink ref="B1296" r:id="rId596" xr:uid="{00000000-0004-0000-0400-00005C020000}"/>
    <hyperlink ref="B1429" r:id="rId597" xr:uid="{00000000-0004-0000-0400-00005D020000}"/>
    <hyperlink ref="B930" r:id="rId598" xr:uid="{00000000-0004-0000-0400-00005E020000}"/>
    <hyperlink ref="B915" r:id="rId599" xr:uid="{00000000-0004-0000-0400-00005F020000}"/>
    <hyperlink ref="B1298" r:id="rId600" xr:uid="{00000000-0004-0000-0400-000060020000}"/>
    <hyperlink ref="B1219" r:id="rId601" xr:uid="{00000000-0004-0000-0400-000061020000}"/>
    <hyperlink ref="B736" r:id="rId602" xr:uid="{00000000-0004-0000-0400-000062020000}"/>
    <hyperlink ref="B1273" r:id="rId603" location="rd" display="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 xr:uid="{00000000-0004-0000-0400-000063020000}"/>
    <hyperlink ref="B1432" r:id="rId604" xr:uid="{00000000-0004-0000-0400-000064020000}"/>
    <hyperlink ref="B1433" r:id="rId605" xr:uid="{00000000-0004-0000-0400-000065020000}"/>
    <hyperlink ref="B679" r:id="rId606" location="section-2" xr:uid="{00000000-0004-0000-0400-000066020000}"/>
    <hyperlink ref="B1013" r:id="rId607" xr:uid="{00000000-0004-0000-0400-000067020000}"/>
    <hyperlink ref="B1135" r:id="rId608" xr:uid="{00000000-0004-0000-0400-000068020000}"/>
    <hyperlink ref="B1434" r:id="rId609" xr:uid="{00000000-0004-0000-0400-000069020000}"/>
    <hyperlink ref="B1436" r:id="rId610" tooltip="https://www.ammoniaenergy.org/articles/maire-tecnimont-plans-million-tonne-per-year-blue-ammonia-plant-in-the-us/" xr:uid="{00000000-0004-0000-0400-00006A020000}"/>
    <hyperlink ref="B702" r:id="rId611" xr:uid="{00000000-0004-0000-0400-00006B020000}"/>
    <hyperlink ref="B1134" r:id="rId612" xr:uid="{00000000-0004-0000-0400-00006D020000}"/>
    <hyperlink ref="B612" r:id="rId613" xr:uid="{00000000-0004-0000-0400-00006E020000}"/>
    <hyperlink ref="B950" r:id="rId614" xr:uid="{00000000-0004-0000-0400-00006F020000}"/>
    <hyperlink ref="B951" r:id="rId615" xr:uid="{00000000-0004-0000-0400-000070020000}"/>
    <hyperlink ref="B1451" r:id="rId616" xr:uid="{00000000-0004-0000-0400-000071020000}"/>
    <hyperlink ref="B1439" r:id="rId617" xr:uid="{00000000-0004-0000-0400-000072020000}"/>
    <hyperlink ref="B1365" r:id="rId618" xr:uid="{00000000-0004-0000-0400-000073020000}"/>
    <hyperlink ref="B1261" r:id="rId619" xr:uid="{00000000-0004-0000-0400-000074020000}"/>
    <hyperlink ref="B650" r:id="rId620" xr:uid="{00000000-0004-0000-0400-000075020000}"/>
    <hyperlink ref="B687" r:id="rId621" xr:uid="{00000000-0004-0000-0400-000076020000}"/>
    <hyperlink ref="B688" r:id="rId622" xr:uid="{00000000-0004-0000-0400-000077020000}"/>
    <hyperlink ref="B689" r:id="rId623" xr:uid="{00000000-0004-0000-0400-000078020000}"/>
    <hyperlink ref="B1474" r:id="rId624" xr:uid="{00000000-0004-0000-0400-000079020000}"/>
    <hyperlink ref="B1475" r:id="rId625" xr:uid="{00000000-0004-0000-0400-00007A020000}"/>
    <hyperlink ref="B1447" r:id="rId626" location="press-release" xr:uid="{00000000-0004-0000-0400-00007B020000}"/>
    <hyperlink ref="B1496" r:id="rId627" xr:uid="{00000000-0004-0000-0400-00007C020000}"/>
    <hyperlink ref="B1519" r:id="rId628" xr:uid="{00000000-0004-0000-0400-00007D020000}"/>
    <hyperlink ref="B1511" r:id="rId629" location="vision" xr:uid="{00000000-0004-0000-0400-00007E020000}"/>
    <hyperlink ref="B1536" r:id="rId630" xr:uid="{00000000-0004-0000-0400-00007F020000}"/>
    <hyperlink ref="B908" r:id="rId631" xr:uid="{00000000-0004-0000-0400-000080020000}"/>
    <hyperlink ref="B907" r:id="rId632" xr:uid="{00000000-0004-0000-0400-000081020000}"/>
    <hyperlink ref="B1538" r:id="rId633" xr:uid="{00000000-0004-0000-0400-000082020000}"/>
    <hyperlink ref="B1539" r:id="rId634" xr:uid="{00000000-0004-0000-0400-000083020000}"/>
    <hyperlink ref="B1540" r:id="rId635" xr:uid="{00000000-0004-0000-0400-000084020000}"/>
    <hyperlink ref="B1490" r:id="rId636" xr:uid="{00000000-0004-0000-0400-000085020000}"/>
    <hyperlink ref="B905" r:id="rId637" xr:uid="{00000000-0004-0000-0400-000086020000}"/>
    <hyperlink ref="B722" r:id="rId638" xr:uid="{00000000-0004-0000-0400-000087020000}"/>
    <hyperlink ref="B929" r:id="rId639" xr:uid="{00000000-0004-0000-0400-000088020000}"/>
    <hyperlink ref="B1541" r:id="rId640" xr:uid="{00000000-0004-0000-0400-000089020000}"/>
    <hyperlink ref="B1542" r:id="rId641" xr:uid="{00000000-0004-0000-0400-00008A020000}"/>
    <hyperlink ref="B1543" r:id="rId642" xr:uid="{00000000-0004-0000-0400-00008B020000}"/>
    <hyperlink ref="B1544" r:id="rId643" xr:uid="{00000000-0004-0000-0400-00008C020000}"/>
    <hyperlink ref="B1545" r:id="rId644" xr:uid="{00000000-0004-0000-0400-00008D020000}"/>
    <hyperlink ref="B1546" r:id="rId645" xr:uid="{00000000-0004-0000-0400-00008E020000}"/>
    <hyperlink ref="B1547" r:id="rId646" xr:uid="{00000000-0004-0000-0400-00008F020000}"/>
    <hyperlink ref="B1548" r:id="rId647" xr:uid="{00000000-0004-0000-0400-000090020000}"/>
    <hyperlink ref="B1549" r:id="rId648" xr:uid="{00000000-0004-0000-0400-000091020000}"/>
    <hyperlink ref="B1531" r:id="rId649" xr:uid="{00000000-0004-0000-0400-000092020000}"/>
    <hyperlink ref="B1161" r:id="rId650" xr:uid="{00000000-0004-0000-0400-000093020000}"/>
    <hyperlink ref="B1558" r:id="rId651" xr:uid="{00000000-0004-0000-0400-000094020000}"/>
    <hyperlink ref="B1559" r:id="rId652" xr:uid="{00000000-0004-0000-0400-000095020000}"/>
    <hyperlink ref="B1564" r:id="rId653" xr:uid="{00000000-0004-0000-0400-000096020000}"/>
    <hyperlink ref="B1565" r:id="rId654" xr:uid="{00000000-0004-0000-0400-000097020000}"/>
    <hyperlink ref="B1568" r:id="rId655" xr:uid="{00000000-0004-0000-0400-000098020000}"/>
    <hyperlink ref="B1569" r:id="rId656" xr:uid="{00000000-0004-0000-0400-000099020000}"/>
    <hyperlink ref="B1232" r:id="rId657" xr:uid="{00000000-0004-0000-0400-00009A020000}"/>
    <hyperlink ref="B1233" r:id="rId658"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00000000-0004-0000-0400-00009B020000}"/>
    <hyperlink ref="B1279" r:id="rId659" xr:uid="{00000000-0004-0000-0400-00009C020000}"/>
    <hyperlink ref="B1498" r:id="rId660" xr:uid="{00000000-0004-0000-0400-00009D020000}"/>
    <hyperlink ref="B1597" r:id="rId661" xr:uid="{00000000-0004-0000-0400-00009E020000}"/>
    <hyperlink ref="B1370" r:id="rId662" xr:uid="{00000000-0004-0000-0400-00009F020000}"/>
    <hyperlink ref="B1599" r:id="rId663" xr:uid="{00000000-0004-0000-0400-0000A0020000}"/>
    <hyperlink ref="B1600" r:id="rId664" xr:uid="{00000000-0004-0000-0400-0000A1020000}"/>
    <hyperlink ref="B1553" r:id="rId665" xr:uid="{00000000-0004-0000-0400-0000A2020000}"/>
    <hyperlink ref="B1524" r:id="rId666" xr:uid="{00000000-0004-0000-0400-0000A3020000}"/>
    <hyperlink ref="B1154" r:id="rId667" xr:uid="{00000000-0004-0000-0400-0000A4020000}"/>
    <hyperlink ref="B1234" r:id="rId668" xr:uid="{00000000-0004-0000-0400-0000A5020000}"/>
    <hyperlink ref="B1251" r:id="rId669" xr:uid="{00000000-0004-0000-0400-0000A6020000}"/>
    <hyperlink ref="B1438" r:id="rId670" xr:uid="{00000000-0004-0000-0400-0000A7020000}"/>
    <hyperlink ref="B1444" r:id="rId671" xr:uid="{00000000-0004-0000-0400-0000A8020000}"/>
    <hyperlink ref="B1572" r:id="rId672" xr:uid="{00000000-0004-0000-0400-0000A9020000}"/>
    <hyperlink ref="B1571" r:id="rId673" xr:uid="{00000000-0004-0000-0400-0000AA020000}"/>
    <hyperlink ref="B783" r:id="rId674" xr:uid="{00000000-0004-0000-0400-0000AB020000}"/>
    <hyperlink ref="B1605" r:id="rId675" xr:uid="{00000000-0004-0000-0400-0000AC020000}"/>
    <hyperlink ref="B1606" r:id="rId676" xr:uid="{00000000-0004-0000-0400-0000AD020000}"/>
    <hyperlink ref="B1607" r:id="rId677" xr:uid="{00000000-0004-0000-0400-0000AE020000}"/>
    <hyperlink ref="B1609" r:id="rId678" xr:uid="{00000000-0004-0000-0400-0000AF020000}"/>
    <hyperlink ref="B1610" r:id="rId679" xr:uid="{00000000-0004-0000-0400-0000B0020000}"/>
    <hyperlink ref="B1611" r:id="rId680" xr:uid="{00000000-0004-0000-0400-0000B1020000}"/>
    <hyperlink ref="B1612" r:id="rId681" xr:uid="{00000000-0004-0000-0400-0000B2020000}"/>
    <hyperlink ref="B1613" r:id="rId682" xr:uid="{00000000-0004-0000-0400-0000B3020000}"/>
    <hyperlink ref="B1614" r:id="rId683" xr:uid="{00000000-0004-0000-0400-0000B4020000}"/>
    <hyperlink ref="B1615" r:id="rId684" xr:uid="{00000000-0004-0000-0400-0000B5020000}"/>
    <hyperlink ref="B1616" r:id="rId685" xr:uid="{00000000-0004-0000-0400-0000B6020000}"/>
    <hyperlink ref="B1617" r:id="rId686" xr:uid="{00000000-0004-0000-0400-0000B7020000}"/>
    <hyperlink ref="B1586" r:id="rId687" xr:uid="{00000000-0004-0000-0400-0000B8020000}"/>
    <hyperlink ref="B1618" r:id="rId688" location=":~:text=The%20GET%20H2%20Nukleus%20project,discriminatory%20access%20and%20transparent%20prices." xr:uid="{00000000-0004-0000-0400-0000B9020000}"/>
    <hyperlink ref="B1065" r:id="rId689" xr:uid="{00000000-0004-0000-0400-0000BA020000}"/>
    <hyperlink ref="B1619" r:id="rId690" xr:uid="{00000000-0004-0000-0400-0000BB020000}"/>
    <hyperlink ref="B1621" r:id="rId691" xr:uid="{00000000-0004-0000-0400-0000BC020000}"/>
    <hyperlink ref="B1622" r:id="rId692" xr:uid="{00000000-0004-0000-0400-0000BD020000}"/>
    <hyperlink ref="B1623" r:id="rId693" xr:uid="{00000000-0004-0000-0400-0000BE020000}"/>
    <hyperlink ref="B1624" r:id="rId694" xr:uid="{00000000-0004-0000-0400-0000BF020000}"/>
    <hyperlink ref="B1625" r:id="rId695" xr:uid="{00000000-0004-0000-0400-0000C0020000}"/>
    <hyperlink ref="B848" r:id="rId696" xr:uid="{00000000-0004-0000-0400-0000C1020000}"/>
    <hyperlink ref="B1627" r:id="rId697" xr:uid="{00000000-0004-0000-0400-0000C2020000}"/>
    <hyperlink ref="B1628" r:id="rId698" xr:uid="{00000000-0004-0000-0400-0000C3020000}"/>
    <hyperlink ref="B1394" r:id="rId699" xr:uid="{00000000-0004-0000-0400-0000C4020000}"/>
    <hyperlink ref="B1626" r:id="rId700" xr:uid="{00000000-0004-0000-0400-0000C5020000}"/>
    <hyperlink ref="B1554" r:id="rId701" xr:uid="{00000000-0004-0000-0400-0000C6020000}"/>
    <hyperlink ref="B1555" r:id="rId702" xr:uid="{00000000-0004-0000-0400-0000C7020000}"/>
    <hyperlink ref="B1160" r:id="rId703" xr:uid="{00000000-0004-0000-0400-0000C8020000}"/>
    <hyperlink ref="B1629" r:id="rId704" xr:uid="{00000000-0004-0000-0400-0000C9020000}"/>
    <hyperlink ref="B1630" r:id="rId705" xr:uid="{00000000-0004-0000-0400-0000CA020000}"/>
    <hyperlink ref="B1631" r:id="rId706" xr:uid="{00000000-0004-0000-0400-0000CB020000}"/>
    <hyperlink ref="B1632" r:id="rId707" xr:uid="{00000000-0004-0000-0400-0000CC020000}"/>
    <hyperlink ref="B1633" r:id="rId708" xr:uid="{00000000-0004-0000-0400-0000CD020000}"/>
    <hyperlink ref="B1635" r:id="rId709" xr:uid="{00000000-0004-0000-0400-0000CE020000}"/>
    <hyperlink ref="B1636" r:id="rId710" location=":~:text=Minnesota%20Demonstration%20Project,our%20local%20natural%20gas%20supply." xr:uid="{00000000-0004-0000-0400-0000CF020000}"/>
    <hyperlink ref="B1637" r:id="rId711" xr:uid="{00000000-0004-0000-0400-0000D0020000}"/>
    <hyperlink ref="B1638" r:id="rId712" xr:uid="{00000000-0004-0000-0400-0000D1020000}"/>
    <hyperlink ref="B1639" r:id="rId713" xr:uid="{00000000-0004-0000-0400-0000D2020000}"/>
    <hyperlink ref="B1640" r:id="rId714" xr:uid="{00000000-0004-0000-0400-0000D3020000}"/>
    <hyperlink ref="B735" r:id="rId715" xr:uid="{00000000-0004-0000-0400-0000D4020000}"/>
    <hyperlink ref="B829" r:id="rId716" xr:uid="{00000000-0004-0000-0400-0000D5020000}"/>
    <hyperlink ref="B1642" r:id="rId717" xr:uid="{00000000-0004-0000-0400-0000D6020000}"/>
    <hyperlink ref="B1583" r:id="rId718" xr:uid="{00000000-0004-0000-0400-0000D7020000}"/>
    <hyperlink ref="B1062" r:id="rId719" xr:uid="{00000000-0004-0000-0400-0000D8020000}"/>
    <hyperlink ref="B625" r:id="rId720" xr:uid="{00000000-0004-0000-0400-0000D9020000}"/>
    <hyperlink ref="B1648" r:id="rId721" xr:uid="{00000000-0004-0000-0400-0000DA020000}"/>
    <hyperlink ref="B1368" r:id="rId722" xr:uid="{00000000-0004-0000-0400-0000DB020000}"/>
    <hyperlink ref="B1649" r:id="rId723" xr:uid="{00000000-0004-0000-0400-0000DC020000}"/>
    <hyperlink ref="B1236" r:id="rId724" xr:uid="{00000000-0004-0000-0400-0000DD020000}"/>
    <hyperlink ref="B701" r:id="rId725" xr:uid="{00000000-0004-0000-0400-0000DE020000}"/>
    <hyperlink ref="B1487" r:id="rId726" xr:uid="{00000000-0004-0000-0400-0000DF020000}"/>
    <hyperlink ref="B741" r:id="rId727" xr:uid="{00000000-0004-0000-0400-0000E0020000}"/>
    <hyperlink ref="B860" r:id="rId728" xr:uid="{00000000-0004-0000-0400-0000E1020000}"/>
    <hyperlink ref="B626" r:id="rId729" xr:uid="{00000000-0004-0000-0400-0000E2020000}"/>
    <hyperlink ref="B778" r:id="rId730" xr:uid="{00000000-0004-0000-0400-0000E3020000}"/>
    <hyperlink ref="B695" r:id="rId731" xr:uid="{00000000-0004-0000-0400-0000E4020000}"/>
    <hyperlink ref="B758" r:id="rId732"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00000000-0004-0000-0400-0000E5020000}"/>
    <hyperlink ref="B839" r:id="rId733" xr:uid="{00000000-0004-0000-0400-0000E6020000}"/>
    <hyperlink ref="B1268" r:id="rId734" xr:uid="{00000000-0004-0000-0400-0000E7020000}"/>
    <hyperlink ref="B1669" r:id="rId735" xr:uid="{00000000-0004-0000-0400-0000E8020000}"/>
    <hyperlink ref="B838" r:id="rId736" xr:uid="{00000000-0004-0000-0400-0000E9020000}"/>
    <hyperlink ref="B772" r:id="rId737" xr:uid="{00000000-0004-0000-0400-0000EA020000}"/>
    <hyperlink ref="B1670" r:id="rId738" xr:uid="{00000000-0004-0000-0400-0000EB020000}"/>
    <hyperlink ref="B1041" r:id="rId739" xr:uid="{00000000-0004-0000-0400-0000EC020000}"/>
    <hyperlink ref="B777" r:id="rId740" xr:uid="{00000000-0004-0000-0400-0000ED020000}"/>
    <hyperlink ref="B983" r:id="rId741" xr:uid="{00000000-0004-0000-0400-0000EE020000}"/>
    <hyperlink ref="B1674" r:id="rId742" xr:uid="{00000000-0004-0000-0400-0000EF020000}"/>
    <hyperlink ref="B1449" r:id="rId743" xr:uid="{00000000-0004-0000-0400-0000F0020000}"/>
    <hyperlink ref="B1085" r:id="rId744" xr:uid="{00000000-0004-0000-0400-0000F1020000}"/>
    <hyperlink ref="B1217" r:id="rId745" xr:uid="{00000000-0004-0000-0400-0000F2020000}"/>
    <hyperlink ref="B973" r:id="rId746" xr:uid="{00000000-0004-0000-0400-0000F3020000}"/>
    <hyperlink ref="B1302" r:id="rId747" xr:uid="{00000000-0004-0000-0400-0000F4020000}"/>
    <hyperlink ref="B1517" r:id="rId748" xr:uid="{00000000-0004-0000-0400-0000F5020000}"/>
    <hyperlink ref="B1675" r:id="rId749" xr:uid="{00000000-0004-0000-0400-0000F6020000}"/>
    <hyperlink ref="B897" r:id="rId750" xr:uid="{00000000-0004-0000-0400-0000F7020000}"/>
    <hyperlink ref="B1271" r:id="rId751" xr:uid="{00000000-0004-0000-0400-0000F8020000}"/>
    <hyperlink ref="B1101" r:id="rId752" xr:uid="{00000000-0004-0000-0400-0000F9020000}"/>
    <hyperlink ref="B1563" r:id="rId753" xr:uid="{00000000-0004-0000-0400-0000FA020000}"/>
    <hyperlink ref="B1143" r:id="rId754" xr:uid="{00000000-0004-0000-0400-0000FB020000}"/>
    <hyperlink ref="B1676" r:id="rId755" xr:uid="{00000000-0004-0000-0400-0000FC020000}"/>
    <hyperlink ref="B1677" r:id="rId756" xr:uid="{00000000-0004-0000-0400-0000FD020000}"/>
    <hyperlink ref="B1663" r:id="rId757" xr:uid="{00000000-0004-0000-0400-0000FE020000}"/>
    <hyperlink ref="B1283" r:id="rId758" xr:uid="{00000000-0004-0000-0400-0000FF020000}"/>
    <hyperlink ref="B1678" r:id="rId759" xr:uid="{00000000-0004-0000-0400-000000030000}"/>
    <hyperlink ref="B1679" r:id="rId760" xr:uid="{00000000-0004-0000-0400-000001030000}"/>
    <hyperlink ref="B1680" r:id="rId761" xr:uid="{00000000-0004-0000-0400-000002030000}"/>
    <hyperlink ref="B1561" r:id="rId762" xr:uid="{00000000-0004-0000-0400-000003030000}"/>
    <hyperlink ref="B1666" r:id="rId763" xr:uid="{00000000-0004-0000-0400-000004030000}"/>
    <hyperlink ref="B928" r:id="rId764" xr:uid="{00000000-0004-0000-0400-000005030000}"/>
    <hyperlink ref="B926" r:id="rId765" xr:uid="{00000000-0004-0000-0400-000006030000}"/>
    <hyperlink ref="B1681" r:id="rId766" xr:uid="{00000000-0004-0000-0400-000007030000}"/>
    <hyperlink ref="B1682" r:id="rId767" xr:uid="{00000000-0004-0000-0400-000008030000}"/>
    <hyperlink ref="B1683" r:id="rId768" xr:uid="{00000000-0004-0000-0400-000009030000}"/>
    <hyperlink ref="B1684" r:id="rId769" xr:uid="{00000000-0004-0000-0400-00000A030000}"/>
    <hyperlink ref="B1107" r:id="rId770" xr:uid="{00000000-0004-0000-0400-00000B030000}"/>
    <hyperlink ref="B1657" r:id="rId771" xr:uid="{00000000-0004-0000-0400-00000C030000}"/>
    <hyperlink ref="B1685" r:id="rId772" xr:uid="{00000000-0004-0000-0400-00000D030000}"/>
    <hyperlink ref="B1643" r:id="rId773" xr:uid="{00000000-0004-0000-0400-00000E030000}"/>
    <hyperlink ref="B1462" r:id="rId774" xr:uid="{00000000-0004-0000-0400-00000F030000}"/>
    <hyperlink ref="B1672" r:id="rId775" xr:uid="{00000000-0004-0000-0400-000010030000}"/>
    <hyperlink ref="B1686" r:id="rId776" xr:uid="{00000000-0004-0000-0400-000011030000}"/>
    <hyperlink ref="B1687" r:id="rId777" xr:uid="{00000000-0004-0000-0400-000012030000}"/>
    <hyperlink ref="B934" r:id="rId778" xr:uid="{00000000-0004-0000-0400-000013030000}"/>
    <hyperlink ref="B1522" r:id="rId779" xr:uid="{00000000-0004-0000-0400-000014030000}"/>
    <hyperlink ref="B1665" r:id="rId780" xr:uid="{00000000-0004-0000-0400-000015030000}"/>
    <hyperlink ref="B1688" r:id="rId781" xr:uid="{00000000-0004-0000-0400-000016030000}"/>
    <hyperlink ref="B1689" r:id="rId782" xr:uid="{00000000-0004-0000-0400-000017030000}"/>
    <hyperlink ref="B1456" r:id="rId783" xr:uid="{00000000-0004-0000-0400-000018030000}"/>
    <hyperlink ref="B1690" r:id="rId784" xr:uid="{00000000-0004-0000-0400-000019030000}"/>
    <hyperlink ref="B1691" r:id="rId785" xr:uid="{00000000-0004-0000-0400-00001A030000}"/>
    <hyperlink ref="B1692" r:id="rId786" xr:uid="{00000000-0004-0000-0400-00001B030000}"/>
    <hyperlink ref="B1693" r:id="rId787" xr:uid="{00000000-0004-0000-0400-00001C030000}"/>
    <hyperlink ref="B1694" r:id="rId788" xr:uid="{00000000-0004-0000-0400-00001D030000}"/>
    <hyperlink ref="B1695" r:id="rId789" xr:uid="{00000000-0004-0000-0400-00001E030000}"/>
    <hyperlink ref="B1696" r:id="rId790" xr:uid="{00000000-0004-0000-0400-00001F030000}"/>
    <hyperlink ref="B1697" r:id="rId791" xr:uid="{00000000-0004-0000-0400-000020030000}"/>
    <hyperlink ref="B888" r:id="rId792" xr:uid="{00000000-0004-0000-0400-000021030000}"/>
    <hyperlink ref="B1655" r:id="rId793" xr:uid="{00000000-0004-0000-0400-000022030000}"/>
    <hyperlink ref="B1641" r:id="rId794" xr:uid="{00000000-0004-0000-0400-000023030000}"/>
    <hyperlink ref="B1644" r:id="rId795" xr:uid="{00000000-0004-0000-0400-000024030000}"/>
    <hyperlink ref="B1698" r:id="rId796" xr:uid="{00000000-0004-0000-0400-000025030000}"/>
    <hyperlink ref="B1699" r:id="rId797" xr:uid="{00000000-0004-0000-0400-000026030000}"/>
    <hyperlink ref="B1700" r:id="rId798" xr:uid="{00000000-0004-0000-0400-000027030000}"/>
    <hyperlink ref="B1530" r:id="rId799" xr:uid="{00000000-0004-0000-0400-000028030000}"/>
    <hyperlink ref="B1162" r:id="rId800" xr:uid="{00000000-0004-0000-0400-000029030000}"/>
    <hyperlink ref="B1453" r:id="rId801" xr:uid="{00000000-0004-0000-0400-00002A030000}"/>
    <hyperlink ref="B1701" r:id="rId802" xr:uid="{00000000-0004-0000-0400-00002B030000}"/>
    <hyperlink ref="B1073" r:id="rId803" xr:uid="{00000000-0004-0000-0400-00002C030000}"/>
    <hyperlink ref="B1702" r:id="rId804" xr:uid="{00000000-0004-0000-0400-00002E030000}"/>
    <hyperlink ref="B1703" r:id="rId805" xr:uid="{00000000-0004-0000-0400-00002F030000}"/>
    <hyperlink ref="B1704" r:id="rId806" xr:uid="{00000000-0004-0000-0400-000030030000}"/>
    <hyperlink ref="B1664" r:id="rId807" xr:uid="{00000000-0004-0000-0400-000031030000}"/>
    <hyperlink ref="B1521" r:id="rId808" xr:uid="{00000000-0004-0000-0400-000032030000}"/>
    <hyperlink ref="B1080" r:id="rId809" xr:uid="{00000000-0004-0000-0400-000033030000}"/>
    <hyperlink ref="B1441" r:id="rId810" xr:uid="{00000000-0004-0000-0400-000034030000}"/>
    <hyperlink ref="B1402" r:id="rId811" xr:uid="{00000000-0004-0000-0400-000035030000}"/>
    <hyperlink ref="B1706" r:id="rId812" xr:uid="{00000000-0004-0000-0400-000036030000}"/>
    <hyperlink ref="B954" r:id="rId813" xr:uid="{00000000-0004-0000-0400-000037030000}"/>
    <hyperlink ref="B862" r:id="rId814" xr:uid="{00000000-0004-0000-0400-000038030000}"/>
    <hyperlink ref="B1248" r:id="rId815" xr:uid="{00000000-0004-0000-0400-000039030000}"/>
    <hyperlink ref="B1707" r:id="rId816" xr:uid="{00000000-0004-0000-0400-00003A030000}"/>
    <hyperlink ref="B1708" r:id="rId817" xr:uid="{00000000-0004-0000-0400-00003B030000}"/>
    <hyperlink ref="B1709" r:id="rId818" xr:uid="{00000000-0004-0000-0400-00003C030000}"/>
    <hyperlink ref="B1515" r:id="rId819"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00000000-0004-0000-0400-00003D030000}"/>
    <hyperlink ref="B1167" r:id="rId820" xr:uid="{00000000-0004-0000-0400-00003E030000}"/>
    <hyperlink ref="B1430" r:id="rId821" xr:uid="{00000000-0004-0000-0400-00003F030000}"/>
    <hyperlink ref="B807" r:id="rId822" xr:uid="{00000000-0004-0000-0400-000040030000}"/>
    <hyperlink ref="B1246" r:id="rId823" xr:uid="{00000000-0004-0000-0400-000041030000}"/>
    <hyperlink ref="B832" r:id="rId824" xr:uid="{00000000-0004-0000-0400-000042030000}"/>
    <hyperlink ref="B1528" r:id="rId825" xr:uid="{00000000-0004-0000-0400-000043030000}"/>
    <hyperlink ref="B967" r:id="rId826" xr:uid="{00000000-0004-0000-0400-000044030000}"/>
    <hyperlink ref="B1140" r:id="rId827" xr:uid="{00000000-0004-0000-0400-000045030000}"/>
    <hyperlink ref="B1102" r:id="rId828" xr:uid="{00000000-0004-0000-0400-000046030000}"/>
    <hyperlink ref="B1712" r:id="rId829" xr:uid="{00000000-0004-0000-0400-000047030000}"/>
    <hyperlink ref="B1576" r:id="rId830" xr:uid="{00000000-0004-0000-0400-000048030000}"/>
    <hyperlink ref="B1210" r:id="rId831" xr:uid="{00000000-0004-0000-0400-000049030000}"/>
    <hyperlink ref="B1713" r:id="rId832" xr:uid="{00000000-0004-0000-0400-00004A030000}"/>
    <hyperlink ref="B1714" r:id="rId833" xr:uid="{00000000-0004-0000-0400-00004B030000}"/>
    <hyperlink ref="B1220" r:id="rId834" xr:uid="{00000000-0004-0000-0400-00004C030000}"/>
    <hyperlink ref="B1715" r:id="rId835" xr:uid="{00000000-0004-0000-0400-00004D030000}"/>
    <hyperlink ref="B1717" r:id="rId836" xr:uid="{00000000-0004-0000-0400-00004F030000}"/>
    <hyperlink ref="B1718" r:id="rId837" xr:uid="{00000000-0004-0000-0400-000050030000}"/>
    <hyperlink ref="B1719" r:id="rId838" xr:uid="{00000000-0004-0000-0400-000051030000}"/>
    <hyperlink ref="B1720" r:id="rId839" xr:uid="{00000000-0004-0000-0400-000052030000}"/>
    <hyperlink ref="B1721" r:id="rId840" location=":~:text=Energy%20companies%20Cepsa%20and%20GETEC,part%20of%20their%20decarbonisation%20goals." xr:uid="{00000000-0004-0000-0400-000053030000}"/>
    <hyperlink ref="B1722" r:id="rId841" xr:uid="{00000000-0004-0000-0400-000054030000}"/>
    <hyperlink ref="B1723" r:id="rId842" xr:uid="{00000000-0004-0000-0400-000055030000}"/>
    <hyperlink ref="B1724" r:id="rId843" xr:uid="{00000000-0004-0000-0400-000056030000}"/>
    <hyperlink ref="B1725" r:id="rId844" xr:uid="{00000000-0004-0000-0400-000057030000}"/>
    <hyperlink ref="B1726" r:id="rId845" xr:uid="{00000000-0004-0000-0400-000058030000}"/>
    <hyperlink ref="B1732" r:id="rId846" xr:uid="{9AB30F6B-FF60-4DD8-91A5-CB7DC06FA33D}"/>
    <hyperlink ref="B1006" r:id="rId847" xr:uid="{78AF773C-BF1A-4AC4-81D9-DEFD2B7E0046}"/>
    <hyperlink ref="B703" r:id="rId848" xr:uid="{45B803BD-C0A7-43B6-8D93-7EB7347691A1}"/>
    <hyperlink ref="B1180" r:id="rId849" xr:uid="{2F48E377-BF4B-45E2-8917-544E5B599577}"/>
    <hyperlink ref="B1213" r:id="rId850" xr:uid="{B5249DAB-FCE4-40C3-93A2-5712A5CC4555}"/>
    <hyperlink ref="B1743" r:id="rId851" xr:uid="{00604398-5F34-41DA-BC6F-E88F6B3F2A58}"/>
    <hyperlink ref="B1744" r:id="rId852" xr:uid="{BC6B253C-3F07-4DEE-8B51-F9D0374AF323}"/>
    <hyperlink ref="B1751" r:id="rId853" xr:uid="{6C58A6D9-EB0C-4B0D-B330-75594EDAC031}"/>
    <hyperlink ref="B1044" r:id="rId854" xr:uid="{F45BD873-8CED-4CD6-95EC-1AD768892D07}"/>
    <hyperlink ref="B1752" r:id="rId855" xr:uid="{3D144CD7-3AFA-478D-9714-BEBEA994D3E1}"/>
    <hyperlink ref="B1731" r:id="rId856" xr:uid="{70BA5A9E-24A1-4505-9E51-E6A98341EF98}"/>
    <hyperlink ref="B1755" r:id="rId857" xr:uid="{5EBED1C8-2C39-4C3E-B3CB-D99E14175FAF}"/>
    <hyperlink ref="B1756" r:id="rId858" xr:uid="{1D41B10A-26CA-4B06-B40A-06A3FBA8949F}"/>
    <hyperlink ref="B1757" r:id="rId859" xr:uid="{42164827-8E11-4462-99F2-FB8F7169F349}"/>
    <hyperlink ref="B1758" r:id="rId860" xr:uid="{6EE2C7AF-95CC-4A96-8B74-40E76BC1F982}"/>
    <hyperlink ref="B1759" r:id="rId861" xr:uid="{E37C2199-9FE8-4704-A9E1-1BD903E0D6CC}"/>
    <hyperlink ref="B1760" r:id="rId862" xr:uid="{3DECCE25-38EB-48E9-818C-E1337810E625}"/>
    <hyperlink ref="B1761" r:id="rId863" xr:uid="{F694F8A5-5EFA-4FC0-AB33-241B65AB405C}"/>
    <hyperlink ref="B1762" r:id="rId864" xr:uid="{6FDBB7E4-0FC7-4067-9747-8F8D23C5F870}"/>
    <hyperlink ref="B1763" r:id="rId865" xr:uid="{0B7A39EC-DDC1-41CE-96FE-9A0259FCC9D1}"/>
    <hyperlink ref="B1764" r:id="rId866" xr:uid="{1E00689F-64C2-4C69-9D1B-27D6DDE9E28E}"/>
    <hyperlink ref="B1765" r:id="rId867" xr:uid="{501CF07D-08FB-464C-846D-20B92458F188}"/>
    <hyperlink ref="B1766" r:id="rId868" xr:uid="{128C2D4A-8B4F-4448-8D4A-3889A2223097}"/>
    <hyperlink ref="B1767" r:id="rId869" xr:uid="{FA46BA6B-022E-4792-8D9D-790B5EDD6DFC}"/>
    <hyperlink ref="B1769" r:id="rId870" xr:uid="{CB2D73C6-E840-4D1F-81DE-60CF2A5425D1}"/>
    <hyperlink ref="B1770" r:id="rId871" xr:uid="{C425565D-7032-4420-A2AB-48A3AC0B088C}"/>
    <hyperlink ref="B1771" r:id="rId872" xr:uid="{C8AD147F-5CB8-4E6C-BDA1-C65AB660A806}"/>
    <hyperlink ref="B1772" r:id="rId873" xr:uid="{CBB0A5A5-6CAD-4AAC-8970-391397FFFA7F}"/>
    <hyperlink ref="B1506" r:id="rId874" xr:uid="{D02B3CDE-6C45-4980-89ED-A01C6D74DA88}"/>
    <hyperlink ref="B1773" r:id="rId875" xr:uid="{9C6299AE-BCAE-4D50-AF8A-C7A455BF9A79}"/>
    <hyperlink ref="B1774" r:id="rId876" xr:uid="{B06E2834-7AA6-4963-93A2-FEE995221E90}"/>
    <hyperlink ref="B1029" r:id="rId877" xr:uid="{087D755D-4420-40ED-990B-9821635913F9}"/>
    <hyperlink ref="B1533" r:id="rId878" xr:uid="{E7F38F84-3AE5-4861-92B1-C34CE994FC2B}"/>
    <hyperlink ref="B1529" r:id="rId879" xr:uid="{16E18B28-C2CB-41CB-8BE1-200A8B748E22}"/>
    <hyperlink ref="B1264" r:id="rId880" xr:uid="{B7415C87-B72A-4BBD-A59F-C571A0F7F307}"/>
    <hyperlink ref="B1775" r:id="rId881" xr:uid="{DD2EDAA3-52C5-4C3F-BD95-295FD5ACA249}"/>
    <hyperlink ref="B1277" r:id="rId882" xr:uid="{49F507F9-2501-410D-8C35-48CB2B155330}"/>
    <hyperlink ref="B1510" r:id="rId883" xr:uid="{B537A8A7-B467-4795-B47D-72BDEEE6C106}"/>
    <hyperlink ref="B1458" r:id="rId884" xr:uid="{3EBA2A93-C8FF-47AD-B0FE-27F594AE57B0}"/>
    <hyperlink ref="B1776" r:id="rId885" xr:uid="{959B29BA-D97D-4672-87F2-1FE3C0BE3617}"/>
    <hyperlink ref="B1781" r:id="rId886" xr:uid="{F84CC47C-367A-49A8-85DD-766F9CB137BA}"/>
    <hyperlink ref="B1262" r:id="rId887" xr:uid="{E6349993-EFC2-42A1-BB73-9BB54395C316}"/>
    <hyperlink ref="B840" r:id="rId888" xr:uid="{EB0F9EDD-47BA-4D52-BCF5-D9161328A5A5}"/>
    <hyperlink ref="B863" r:id="rId889" xr:uid="{0AD8DBB5-EC78-47A4-8720-9F4F77951221}"/>
    <hyperlink ref="B1575" r:id="rId890" xr:uid="{7F66052A-6F80-4650-9CC7-0E74B2D364BF}"/>
    <hyperlink ref="B1783" r:id="rId891" xr:uid="{847BF845-F9D3-40E3-ADD4-6F6A6F876949}"/>
    <hyperlink ref="B1242" r:id="rId892" xr:uid="{372929C8-BCB8-4250-8CB6-8C79D58F48F1}"/>
    <hyperlink ref="B1252" r:id="rId893" xr:uid="{508E926C-41AA-4B6C-99DA-8B4AC6184416}"/>
    <hyperlink ref="B1263" r:id="rId894" xr:uid="{21E1113A-C182-491E-AE54-AC7E9FD863F7}"/>
    <hyperlink ref="B1290" r:id="rId895" xr:uid="{5ADE9920-2DE7-42ED-ABA7-2FFB48BBF988}"/>
    <hyperlink ref="B1297" r:id="rId896" xr:uid="{BB0BE4BC-BA08-4F13-9B88-243A3DF1C14D}"/>
    <hyperlink ref="B1445" r:id="rId897" xr:uid="{FFB2E7CC-ED51-4E11-97AD-E293A0BC25E3}"/>
    <hyperlink ref="B1467" r:id="rId898" xr:uid="{5D2CFA73-950E-4367-A83D-1B9F4D413359}"/>
    <hyperlink ref="B1468" r:id="rId899" xr:uid="{7B04C108-73C1-4A9F-A99D-FC587784B6E4}"/>
    <hyperlink ref="B1509" r:id="rId900" xr:uid="{8DC11F4F-A8CC-4A94-8891-66C27EDA7583}"/>
    <hyperlink ref="B1516" r:id="rId901" xr:uid="{0D613D79-3533-4A85-9910-4010A19F8C89}"/>
    <hyperlink ref="B1520" r:id="rId902" xr:uid="{B38C83CB-3353-4D7C-9C15-34571CF7999F}"/>
    <hyperlink ref="B1207" r:id="rId903" xr:uid="{B373330B-C0C8-4E2F-B0BB-9E3B2351F4BF}"/>
    <hyperlink ref="B1800" r:id="rId904" xr:uid="{636967CC-C746-46AB-A481-5404903466D8}"/>
    <hyperlink ref="B1833" r:id="rId905" xr:uid="{E335E80B-454C-4261-9CEB-8132E52CAE4C}"/>
    <hyperlink ref="B1836" r:id="rId906" xr:uid="{34D9847F-95A4-4A9D-9AA5-C6FB014C328C}"/>
    <hyperlink ref="B1837" r:id="rId907" xr:uid="{5D274313-0CD8-41A3-90B5-1625EDD5ADDB}"/>
    <hyperlink ref="B1838" r:id="rId908" xr:uid="{95E9FF23-CD5D-4199-A373-B1B658DEFBB7}"/>
    <hyperlink ref="B1839" r:id="rId909" xr:uid="{00ACA289-70C3-464F-A43B-A5458C0E994B}"/>
    <hyperlink ref="B1861" r:id="rId910" xr:uid="{71BA1BA4-5D85-488F-82BE-30D82F1AD028}"/>
    <hyperlink ref="B1862" r:id="rId911" xr:uid="{3D9ABB84-35F7-4203-B7CA-5D2E630F9438}"/>
    <hyperlink ref="B1863" r:id="rId912" xr:uid="{6CF75BF6-1209-4C4E-A6E5-E4DD62A889C5}"/>
    <hyperlink ref="B1864" r:id="rId913" xr:uid="{BF146815-A4C3-43CA-8732-73A4863899A2}"/>
    <hyperlink ref="B1865" r:id="rId914" xr:uid="{ED5F61F7-90B6-46A7-899A-23DC6CE07ECD}"/>
    <hyperlink ref="B1866" r:id="rId915" xr:uid="{284EC2A5-A3FD-45BF-9ACC-E88ED3B033CF}"/>
    <hyperlink ref="B1867" r:id="rId916" xr:uid="{4400096A-9450-4DA7-80A1-1A56DCF4F77F}"/>
    <hyperlink ref="B1868" r:id="rId917" xr:uid="{8CD41250-089B-46CD-935E-3F09829E92B0}"/>
    <hyperlink ref="B1869" r:id="rId918" xr:uid="{D11C5E53-3716-414D-A51A-22FDD9C64C29}"/>
    <hyperlink ref="B1870" r:id="rId919" xr:uid="{25A58451-80FE-42FE-BD45-7C127C36F9F8}"/>
    <hyperlink ref="B1876" r:id="rId920" xr:uid="{B6313AC6-EA3B-46BF-A360-25D058CE6466}"/>
    <hyperlink ref="B1877" r:id="rId921" xr:uid="{DB1AE5A7-FA7F-449A-9B74-D9C3557A7527}"/>
    <hyperlink ref="B1878" r:id="rId922" xr:uid="{0FB66996-DAB0-4821-9047-BDEA913B600D}"/>
    <hyperlink ref="B1367" r:id="rId923" xr:uid="{BBE5B739-DC5F-4725-BE82-1567133ABE31}"/>
    <hyperlink ref="B1922" r:id="rId924" xr:uid="{33AA8918-AEF6-477E-9E65-07B43AB43123}"/>
    <hyperlink ref="B1923" r:id="rId925" xr:uid="{8765E019-ACAD-4FD5-8BB5-BA467153DD97}"/>
    <hyperlink ref="B1924" r:id="rId926" xr:uid="{5A37781B-0B06-4EF3-A228-D7145FA9B920}"/>
    <hyperlink ref="B1925" r:id="rId927" xr:uid="{3218F0E8-7AB8-4FAE-8342-E0A51C215D31}"/>
    <hyperlink ref="B1926" r:id="rId928" xr:uid="{2E9DDAA5-B2F5-4381-A3B3-7BC14501F47A}"/>
    <hyperlink ref="B1927" r:id="rId929" xr:uid="{B41CE713-3EBC-4628-A927-D449CDA46CCD}"/>
    <hyperlink ref="B1928" r:id="rId930" xr:uid="{97221615-CBF6-4334-8F12-665979B0B8DA}"/>
    <hyperlink ref="B1929" r:id="rId931" xr:uid="{58FEBA45-F761-47A8-9F76-FAE61FA9AE2E}"/>
    <hyperlink ref="B1930" r:id="rId932" xr:uid="{9198BDC4-379A-46F4-B16F-A91D87AD64B1}"/>
    <hyperlink ref="B1931" r:id="rId933" xr:uid="{F4E5D97A-1B0D-4594-8678-E102807DE8DA}"/>
    <hyperlink ref="B1932" r:id="rId934" xr:uid="{04883678-73A7-4701-930C-9B9CCE29A64A}"/>
    <hyperlink ref="B1933" r:id="rId935" xr:uid="{407DA03D-BBB6-4F9E-A7FF-A92F326D1317}"/>
    <hyperlink ref="B1934" r:id="rId936" xr:uid="{E8D4BD70-E570-4D61-899B-3C55DE13CFA0}"/>
    <hyperlink ref="B1260" r:id="rId937" xr:uid="{AC7FA9F5-A97A-4A0A-A551-1DE7B01BF2C4}"/>
    <hyperlink ref="B1075" r:id="rId938" xr:uid="{3F742E76-8477-4D4A-A627-E570AA2C465B}"/>
    <hyperlink ref="B1954" r:id="rId939" xr:uid="{61FB401E-78FE-4DCA-A2B4-425689DC3B09}"/>
    <hyperlink ref="B1955" r:id="rId940" xr:uid="{56D643AD-635E-4428-8108-DD9F299F70EC}"/>
    <hyperlink ref="B1956" r:id="rId941" xr:uid="{5CA4D3F2-CCAB-40DF-B2CF-FA61804A225E}"/>
    <hyperlink ref="B1957" r:id="rId942" xr:uid="{7063256F-7FE1-4972-8074-6AC6F25CB501}"/>
    <hyperlink ref="B1958" r:id="rId943" xr:uid="{EA8C3C67-6760-4293-8CC0-CE854F4DEB80}"/>
    <hyperlink ref="B1959" r:id="rId944" xr:uid="{2E541396-F907-4D99-B620-4120F0CCF022}"/>
    <hyperlink ref="B1960" r:id="rId945" xr:uid="{8BA0A537-BEDB-486A-98D7-0893407F590B}"/>
    <hyperlink ref="B1961" r:id="rId946" xr:uid="{49B293E1-F7F5-4B95-AB33-FA83FC6E581F}"/>
    <hyperlink ref="B1962" r:id="rId947" xr:uid="{90C0A2EE-9BCC-43EF-BDCE-D30F7BE621A0}"/>
    <hyperlink ref="B1963" r:id="rId948" xr:uid="{139BA53B-3879-458C-83E6-20E3CC55ECED}"/>
    <hyperlink ref="B1964" r:id="rId949" xr:uid="{1780A81C-AC8C-47E4-8E3F-41CBA80C1788}"/>
    <hyperlink ref="B1965" r:id="rId950" xr:uid="{A413EA3F-E3B8-4EDD-848D-908A874EE3A1}"/>
    <hyperlink ref="B1966" r:id="rId951" xr:uid="{128D645C-9479-4A03-9376-6D9561C5376F}"/>
    <hyperlink ref="B1967" r:id="rId952" xr:uid="{7CB76C0C-5C01-43F0-8294-0FB46EC2C1B8}"/>
    <hyperlink ref="B1968" r:id="rId953" xr:uid="{38EED58B-E506-4622-9791-B8DCA9D08EC7}"/>
    <hyperlink ref="B1969" r:id="rId954" xr:uid="{7161214F-36A8-4DC0-9AFC-0978C6E10C9E}"/>
    <hyperlink ref="B1970" r:id="rId955" xr:uid="{195D7753-A176-45AF-ACF5-F61D48DB131D}"/>
    <hyperlink ref="B1971" r:id="rId956" xr:uid="{AAF229DF-11B0-4BC0-AA80-1DB921F699BC}"/>
    <hyperlink ref="B1780" r:id="rId957" xr:uid="{879DB821-2457-4139-BA7D-8E5BF552B56A}"/>
    <hyperlink ref="B1728" r:id="rId958" xr:uid="{2B88AA38-5373-4977-92D1-214C35CDB7F1}"/>
    <hyperlink ref="B1705" r:id="rId959" xr:uid="{2D5ADB61-BCA5-470F-9A48-C8B7837543A0}"/>
    <hyperlink ref="B1847" r:id="rId960" xr:uid="{4D0C90AC-FD25-402A-BE5C-0FFCC3602898}"/>
    <hyperlink ref="B1848" r:id="rId961" xr:uid="{E98AB374-0841-4419-B6A4-7449C50E9EAD}"/>
    <hyperlink ref="B1888" r:id="rId962" xr:uid="{32A5541E-0F48-49D0-8497-6A49D07E392F}"/>
    <hyperlink ref="B1891" r:id="rId963" xr:uid="{F3315635-DF0A-454B-8706-A9C6FB210250}"/>
    <hyperlink ref="B1920" r:id="rId964" xr:uid="{116EAB5C-DB3A-4938-B744-BADF165DC772}"/>
    <hyperlink ref="B1901" r:id="rId965" xr:uid="{2B0097CF-3FF2-46EC-BFE0-183AA98E3BBC}"/>
    <hyperlink ref="B1895" r:id="rId966" xr:uid="{7D59C1E4-813E-49CB-BB57-C9A6A558D287}"/>
    <hyperlink ref="B1938" r:id="rId967" xr:uid="{0B853EB6-CDCF-4B9C-A9E1-2E3D5A94AC3E}"/>
    <hyperlink ref="B1946" r:id="rId968" xr:uid="{F7A23DCD-CDED-451B-B376-8FD0E6922650}"/>
    <hyperlink ref="B1948" r:id="rId969" xr:uid="{A1924788-FD44-45E2-AA8A-C2AC05279852}"/>
    <hyperlink ref="B1860" r:id="rId970" xr:uid="{83687470-8179-425E-89DE-7D6E15CFE596}"/>
    <hyperlink ref="B1992" r:id="rId971" xr:uid="{3B8107B3-A2BB-44D6-8521-24130C0CEB0A}"/>
    <hyperlink ref="B1879" r:id="rId972" xr:uid="{1D917208-720C-4693-A827-8CAF3DEA7C85}"/>
    <hyperlink ref="B1993" r:id="rId973" xr:uid="{A8DCD35E-BA8A-46C5-9CA3-0F8216923FDF}"/>
    <hyperlink ref="B1979" r:id="rId974" xr:uid="{086422D8-5F4D-4FA4-A289-A2FD03E330D0}"/>
    <hyperlink ref="B1994" r:id="rId975" xr:uid="{EAD84A51-658B-43E1-A3F5-298EF724552A}"/>
    <hyperlink ref="B1995" r:id="rId976" xr:uid="{A61D81A7-72A6-45A7-9560-8C10CAEB2EBF}"/>
    <hyperlink ref="B1996" r:id="rId977" xr:uid="{4AF7E2D6-0375-43C0-B134-DC0E4132C46F}"/>
    <hyperlink ref="B1997" r:id="rId978" xr:uid="{1B2FD852-FA14-4DBA-B536-8E5DE8143884}"/>
    <hyperlink ref="B1998" r:id="rId979" xr:uid="{163B7C19-C914-4594-A1DC-2B01B75F0A1C}"/>
    <hyperlink ref="B1999" r:id="rId980" xr:uid="{54F6D082-787E-47AB-9DF0-514A94083950}"/>
    <hyperlink ref="B2000" r:id="rId981" xr:uid="{BD8C5943-1205-4CF1-9016-793189F83688}"/>
    <hyperlink ref="B2001" r:id="rId982" xr:uid="{EEF16B62-CA71-4F2C-BF78-04C029CBE1F4}"/>
    <hyperlink ref="B1742" r:id="rId983" xr:uid="{E2D3E522-20E0-4C14-AF88-6D74D7A03DFE}"/>
    <hyperlink ref="B2003" r:id="rId984" xr:uid="{E9AE4381-08D9-4C2B-8B85-1EB3109B8529}"/>
    <hyperlink ref="B2004" r:id="rId985" xr:uid="{2659A509-2A33-4BDF-B790-46E0D8F17A24}"/>
    <hyperlink ref="B2005" r:id="rId986" xr:uid="{D4449F44-3CB0-4E68-ADB1-FE2148B65396}"/>
    <hyperlink ref="B2006" r:id="rId987" xr:uid="{18C2505B-7012-43F6-A19E-CE3889F3472F}"/>
    <hyperlink ref="B2007" r:id="rId988" xr:uid="{3F6D5ED5-0389-48AB-A266-99E92D904D14}"/>
    <hyperlink ref="B2008" r:id="rId989" xr:uid="{FEEC652A-F781-48EE-8C3E-FFDB85AA46F5}"/>
    <hyperlink ref="B2009" r:id="rId990" xr:uid="{A5BC8FB9-4250-462D-BF2D-C02DDEEDA8EE}"/>
    <hyperlink ref="B2010" r:id="rId991" xr:uid="{E418173A-3313-45B7-8E86-FC52789F9D9A}"/>
    <hyperlink ref="B2011" r:id="rId992" xr:uid="{8314F91D-D641-4035-96D8-E23957B489DB}"/>
    <hyperlink ref="B2012" r:id="rId993" xr:uid="{761A31D8-9DA6-4837-A119-5EB77C177299}"/>
    <hyperlink ref="B2013" r:id="rId994" xr:uid="{0AA0AA11-8A82-40B1-962C-21B21A2A95AF}"/>
    <hyperlink ref="B2014" r:id="rId995" xr:uid="{16C96326-9ADC-4AB8-9FEF-BFEA7864C017}"/>
    <hyperlink ref="B2015" r:id="rId996" xr:uid="{77784D73-2C64-4CC1-8A50-E49432ED2F50}"/>
    <hyperlink ref="B2016" r:id="rId997" xr:uid="{7E91D525-339A-44E4-AF1B-3D1122633B31}"/>
    <hyperlink ref="B2017" r:id="rId998" xr:uid="{5349B020-C7B9-4582-89B5-92A68E78AE10}"/>
    <hyperlink ref="B2018" r:id="rId999" xr:uid="{DE2DF3BD-17E9-4535-93E6-FB9E845E16AD}"/>
    <hyperlink ref="B2022" r:id="rId1000" xr:uid="{C12317F6-EC0A-4EA1-90C9-7056A1A4B3A1}"/>
    <hyperlink ref="B2023" r:id="rId1001" xr:uid="{6BFEA35B-95EE-48BF-9187-C682F6039265}"/>
    <hyperlink ref="B2024" r:id="rId1002" xr:uid="{5BD6F0A3-9B07-4A9B-8FD5-37AA75263079}"/>
    <hyperlink ref="B2025" r:id="rId1003" xr:uid="{22D9E379-55F7-4706-AD99-DD0BE3CC28A9}"/>
    <hyperlink ref="B2026" r:id="rId1004" xr:uid="{835DA498-AAC1-47F6-A4FD-A34830264AEB}"/>
    <hyperlink ref="B2027" r:id="rId1005" xr:uid="{D877EC87-C6D1-46B8-95B3-A58876D91595}"/>
    <hyperlink ref="B2028" r:id="rId1006" xr:uid="{1E23CDCB-E15F-4A22-852C-5DD257B87D56}"/>
    <hyperlink ref="B2029" r:id="rId1007" xr:uid="{AB3632EE-DD37-4078-8957-3F0A12D8C3D1}"/>
    <hyperlink ref="B2030" r:id="rId1008" xr:uid="{9D9DF6A8-D0B4-4368-9609-A227C20FE543}"/>
    <hyperlink ref="B2033" r:id="rId1009" display="https://www.hydrogen.energy.gov/pdfs/review23/ta039_ghezel-ayagh_2023_o.pdf" xr:uid="{684660B2-1754-4F37-AA03-7DE7670E4652}"/>
    <hyperlink ref="B2031" r:id="rId1010" display="https://www.hydrogen.energy.gov/pdfs/review23/sdi002_prabakar_2023_o.pdf" xr:uid="{FC9EE3B8-4039-4DFF-BFBE-49F6D0EE169D}"/>
    <hyperlink ref="B2032" r:id="rId1011" display="https://www.hydrogen.energy.gov/pdfs/review23/ta045_pal_2023_o.pdf" xr:uid="{EC8A2D1A-6D19-48A3-8898-655EC5640FB1}"/>
    <hyperlink ref="B2037" r:id="rId1012" xr:uid="{7817574F-0EF2-4B4C-AD46-3EF1C25BBDA4}"/>
    <hyperlink ref="B2038" r:id="rId1013" xr:uid="{CA96BD00-740E-4C67-A9B9-A720D866FCB7}"/>
    <hyperlink ref="B2046" r:id="rId1014" xr:uid="{9F1E80EE-6B15-4E0E-8746-E96CD0CDC4F3}"/>
    <hyperlink ref="B2052" r:id="rId1015" xr:uid="{E06BE86C-7ECC-459B-9016-EC44BAE3165D}"/>
    <hyperlink ref="B2053" r:id="rId1016" xr:uid="{EDF1FD1E-E50A-4E07-BB25-8E54A5701484}"/>
    <hyperlink ref="B2054" r:id="rId1017" xr:uid="{75144642-F15C-42F8-99DA-E622B24C9010}"/>
    <hyperlink ref="B2055" r:id="rId1018" xr:uid="{4FA2C622-1966-449D-8D00-C1B264205855}"/>
    <hyperlink ref="B2057" r:id="rId1019" xr:uid="{E065100F-C6D0-4003-8AC2-EE7598117E8E}"/>
    <hyperlink ref="B2058" r:id="rId1020" xr:uid="{09991A81-C548-4351-95BD-CB19B344C41E}"/>
    <hyperlink ref="B2059" r:id="rId1021" xr:uid="{6BB88D96-8367-4567-B240-96FF01F8315B}"/>
    <hyperlink ref="B2060" r:id="rId1022" xr:uid="{9382B37B-CE50-40B9-B230-8F45B058E100}"/>
    <hyperlink ref="B2061" r:id="rId1023" xr:uid="{A0F84EA3-D308-4A92-87DA-11F1A25F5E00}"/>
    <hyperlink ref="B2062" r:id="rId1024" xr:uid="{73D5B081-0AE2-4507-A839-78ECEA9CA995}"/>
    <hyperlink ref="B2063" r:id="rId1025" xr:uid="{8525C912-9572-48C6-A28A-9D5DCC4CEE0F}"/>
    <hyperlink ref="B2064" r:id="rId1026" xr:uid="{A1325971-EA40-4E8D-917D-75ABB68609CB}"/>
    <hyperlink ref="B2068" r:id="rId1027" xr:uid="{BF470FC9-41F4-4E34-B549-2857D634B83F}"/>
    <hyperlink ref="B2069" r:id="rId1028" xr:uid="{A26FAB16-B146-4FD2-B084-7D8E38014BCB}"/>
    <hyperlink ref="B2070" r:id="rId1029" xr:uid="{016AD805-216D-4CAD-BA68-0CC9B8FE958C}"/>
    <hyperlink ref="B2077" r:id="rId1030" xr:uid="{6A56CB7E-E88F-44B5-A991-29BCD1B04788}"/>
    <hyperlink ref="B2078" r:id="rId1031" xr:uid="{B067D026-D753-4E13-B393-AD78191A0A74}"/>
    <hyperlink ref="B2079" r:id="rId1032" xr:uid="{6ECC0C9D-08DA-4073-847C-EAC26BFA3E86}"/>
    <hyperlink ref="B2081" r:id="rId1033" xr:uid="{C8584FB2-9F56-4E10-B440-032EEC75C9FA}"/>
    <hyperlink ref="B2082" r:id="rId1034" xr:uid="{4221E719-D1FA-46C2-A898-97D83C24CACC}"/>
    <hyperlink ref="B2083" r:id="rId1035" xr:uid="{7549DC2D-2D56-4893-8A37-459E82BE8FBA}"/>
    <hyperlink ref="B2084" r:id="rId1036" xr:uid="{9D8F714D-C189-4F70-8F4A-3B363A08CC7B}"/>
    <hyperlink ref="B2085" r:id="rId1037" xr:uid="{147F8AFF-1E1A-483C-A780-D286ACEA403C}"/>
    <hyperlink ref="B1976" r:id="rId1038" xr:uid="{3D3D5870-FC0A-4984-8C70-9A6C1B096E3D}"/>
    <hyperlink ref="B2090" r:id="rId1039" display="https://direct.argusmedia.com/newsandanalysis/Article/2466217" xr:uid="{909BFC2C-BBCF-45B5-9246-D4E57E8C79BD}"/>
    <hyperlink ref="B2092" r:id="rId1040" xr:uid="{98C7246A-CB10-4C8C-8240-D28FD007A5A2}"/>
    <hyperlink ref="B2093" r:id="rId1041" xr:uid="{28B9C58E-718E-4FCC-AAA4-7E9A64879CF4}"/>
    <hyperlink ref="B2094" r:id="rId1042" xr:uid="{6A1A515E-9ED6-4D3E-93D1-F2D2B11A33FD}"/>
    <hyperlink ref="B2095" r:id="rId1043" xr:uid="{0B2D4172-39BE-4BD0-91B6-B192CF5189FF}"/>
    <hyperlink ref="B2096" r:id="rId1044" xr:uid="{9D659C3E-9CE9-4E98-9B64-FA7D6F6C7903}"/>
    <hyperlink ref="B2097" r:id="rId1045" xr:uid="{BC4AEEC7-6D36-4F08-9D97-46B0035DC902}"/>
    <hyperlink ref="B322" r:id="rId1046" xr:uid="{626910A2-848A-4317-A7BC-F1CF9108A6B4}"/>
    <hyperlink ref="B2101" r:id="rId1047" xr:uid="{4590DADA-848E-4555-A347-579F2DBFC36D}"/>
    <hyperlink ref="B1110" r:id="rId1048" xr:uid="{7E8A920F-D18A-4669-9A43-087867D437EA}"/>
    <hyperlink ref="B2104" r:id="rId1049" xr:uid="{6AF487FB-9632-4B7F-926A-FA3CCB2E4010}"/>
    <hyperlink ref="B2105" r:id="rId1050" xr:uid="{34385830-8B7E-421A-B042-5369E62DD309}"/>
    <hyperlink ref="B2106" r:id="rId1051" xr:uid="{0E254373-02E5-47B3-A9B8-B5FF6BE8D77D}"/>
    <hyperlink ref="B2107" r:id="rId1052" xr:uid="{087C7C2E-9067-42B4-87A7-939655A4642E}"/>
    <hyperlink ref="B2108" r:id="rId1053" xr:uid="{14F34199-9C13-4199-A788-CC1476BCB3EC}"/>
    <hyperlink ref="B2109" r:id="rId1054" xr:uid="{BC0E9A17-4661-45B5-A03E-83F7B9082AE8}"/>
    <hyperlink ref="B2110" r:id="rId1055" xr:uid="{143BD10E-2141-423F-A02A-64EF6D213CB0}"/>
    <hyperlink ref="B2111" r:id="rId1056" xr:uid="{F0A708FE-B718-4353-B555-AF9C2AB09B1D}"/>
    <hyperlink ref="B2112" r:id="rId1057" xr:uid="{DB350C1B-6DBB-45FC-9A1A-004AB6492E77}"/>
    <hyperlink ref="B2113" r:id="rId1058" xr:uid="{5E858F8F-5691-47F4-92A0-8CC3AD213F19}"/>
    <hyperlink ref="B2114" r:id="rId1059" xr:uid="{A44281EF-03C8-47B8-B84F-642B7B709E69}"/>
    <hyperlink ref="B2115" r:id="rId1060" xr:uid="{17CC421E-A4EA-48EC-84BA-E99DE6CCE04D}"/>
    <hyperlink ref="B2116" r:id="rId1061" xr:uid="{A7FF1829-311E-4A13-B22B-569C0166C249}"/>
    <hyperlink ref="B2117" r:id="rId1062" xr:uid="{90B9A7AB-0EFD-496F-805F-FCBE342F0746}"/>
    <hyperlink ref="B2118" r:id="rId1063" xr:uid="{046A4A3E-969E-4F79-B119-91253F62ED66}"/>
    <hyperlink ref="B2119" r:id="rId1064" xr:uid="{E419EABA-61EF-4DEE-9F18-069E9ABA15A9}"/>
    <hyperlink ref="B2120" r:id="rId1065" xr:uid="{5ED9ADD0-106F-46FC-B503-4768715161A8}"/>
    <hyperlink ref="B2121" r:id="rId1066" xr:uid="{F2A4C05D-BF83-434F-BF5E-6F379DA31D18}"/>
    <hyperlink ref="B2122" r:id="rId1067" xr:uid="{716B3082-7972-4EFC-B87C-FF43EDDCBE8C}"/>
    <hyperlink ref="B2123" r:id="rId1068" xr:uid="{5FA4D8D7-8567-44CE-92D4-2B081FCB73D2}"/>
    <hyperlink ref="B2124" r:id="rId1069" xr:uid="{4028C512-7AE7-476F-8267-017429A3D839}"/>
    <hyperlink ref="B2125" r:id="rId1070" xr:uid="{E16E735C-B2D5-4F88-A18D-2F41D30DA30B}"/>
    <hyperlink ref="B2126" r:id="rId1071" xr:uid="{7302B9EE-B29F-48BB-A052-725F5D1A6EEA}"/>
    <hyperlink ref="B2127" r:id="rId1072" xr:uid="{AB59D00F-7454-49FF-B24D-5F78796C1321}"/>
    <hyperlink ref="B2128" r:id="rId1073" xr:uid="{CAC8E7F2-685D-475E-88DB-8DC069E85E1E}"/>
    <hyperlink ref="B2129" r:id="rId1074" xr:uid="{B5EE1705-906C-4153-A496-C5BA4B26E226}"/>
    <hyperlink ref="B2130" r:id="rId1075" xr:uid="{F2B8D68E-F857-46D7-AAFA-CCD6B362895F}"/>
    <hyperlink ref="B2131" r:id="rId1076" xr:uid="{57BD0AF6-1600-46E6-9593-A283DD11B412}"/>
    <hyperlink ref="B2132" r:id="rId1077" xr:uid="{93144CCF-312F-4149-A6CA-0BD4D4ACE9CB}"/>
    <hyperlink ref="B2133" r:id="rId1078" xr:uid="{BAAEF55D-105C-439E-B64C-AB196FE136C7}"/>
    <hyperlink ref="B2134" r:id="rId1079" xr:uid="{CC6A9364-AC88-4BFB-A971-0A3CFBABF0BE}"/>
    <hyperlink ref="B2135" r:id="rId1080" xr:uid="{080406C0-3C12-4F2C-97BB-F034F0BB70C6}"/>
    <hyperlink ref="B2136" r:id="rId1081" xr:uid="{52BDB97E-F5DD-4809-AA68-59840202FD8E}"/>
    <hyperlink ref="B1097" r:id="rId1082" xr:uid="{1DD55B47-1ED5-4199-A183-59B3455BAD45}"/>
    <hyperlink ref="B2137" r:id="rId1083" xr:uid="{1DD94CF5-190F-410C-90E8-310B80F02EAF}"/>
    <hyperlink ref="B2138" r:id="rId1084" xr:uid="{7EEE16C5-AE88-45FB-94B5-FA47EA02F182}"/>
    <hyperlink ref="B2139" r:id="rId1085" xr:uid="{A7D473AE-9EDD-40B0-AE63-6F23ACB66561}"/>
    <hyperlink ref="B2140" r:id="rId1086" xr:uid="{734E6918-0AE9-49A0-8F44-F8F6BDFFAE82}"/>
    <hyperlink ref="B2141" r:id="rId1087" xr:uid="{81C86A68-7932-48EC-96B3-F1A36C98B174}"/>
    <hyperlink ref="B2142" r:id="rId1088" xr:uid="{D58197B0-ABB6-4A2E-9035-2C514A367717}"/>
    <hyperlink ref="B2143" r:id="rId1089" xr:uid="{F5C10CA5-EDD7-47BB-8993-7FCBB01BC35E}"/>
    <hyperlink ref="B2144" r:id="rId1090" xr:uid="{C7B1267B-1F32-4E30-9448-13AA977FE049}"/>
    <hyperlink ref="B2145" r:id="rId1091" xr:uid="{1AFAF91D-7EFE-4E18-9393-91D4F4293060}"/>
    <hyperlink ref="B2146" r:id="rId1092" xr:uid="{3E51DEB4-170A-406A-A751-39950E1338A9}"/>
    <hyperlink ref="B2147" r:id="rId1093" xr:uid="{38475B95-C7C2-42B4-A6BD-34D865238EC4}"/>
    <hyperlink ref="B2148" r:id="rId1094" xr:uid="{545C4327-7AFE-4883-9BE0-990E13CE1282}"/>
    <hyperlink ref="B2149" r:id="rId1095" xr:uid="{1A9AF695-29FC-4C62-AB1F-D8B0DB70CA1B}"/>
    <hyperlink ref="B2150" r:id="rId1096" xr:uid="{A2D61ADC-4870-4F97-A5B8-DE2062AB940E}"/>
    <hyperlink ref="B2151" r:id="rId1097" xr:uid="{62C73245-D24C-4C57-9DD1-1A0DFFA7182A}"/>
    <hyperlink ref="B2152" r:id="rId1098" xr:uid="{695D59B8-1788-44CD-A15A-22AEC03FC349}"/>
    <hyperlink ref="B2153" r:id="rId1099" xr:uid="{47FBAAD6-690C-4B58-8F7B-D3105F7C5364}"/>
    <hyperlink ref="B2154" r:id="rId1100" xr:uid="{F219C6AF-0DBD-4C02-BD03-8E7069584845}"/>
    <hyperlink ref="B2155" r:id="rId1101" location=":~:text=The%20new%202.5%20megawatt%20site,Hydrogen%20Fund%20earlier%20this%20year." xr:uid="{B0100CF2-F0C0-4E19-8AE2-CFB8D43F7F4C}"/>
    <hyperlink ref="B2156" r:id="rId1102" xr:uid="{ADBE16EE-F82A-4884-93D2-4B3AD751F81E}"/>
    <hyperlink ref="B2157" r:id="rId1103" xr:uid="{B27FA908-909A-4181-B6DF-DC469B2286A2}"/>
    <hyperlink ref="B1650" r:id="rId1104" xr:uid="{19D5E4DA-D8C7-4595-BD54-FDC863EC17A1}"/>
    <hyperlink ref="B2158" r:id="rId1105" xr:uid="{A913205C-6CE9-4FD7-BA2A-7DD11AC7C78C}"/>
    <hyperlink ref="B2159" r:id="rId1106" xr:uid="{2994F30F-7401-4D5B-8076-90B95F8535F7}"/>
    <hyperlink ref="B2160" r:id="rId1107" xr:uid="{5DC96741-793C-4D42-A1A1-11CA331DD816}"/>
    <hyperlink ref="B2162" r:id="rId1108" xr:uid="{15CEA020-D841-4F44-9BC0-8AECF2826DEE}"/>
    <hyperlink ref="B2164" r:id="rId1109" xr:uid="{D656F431-814F-43E7-BEB7-82C2C0BE6A00}"/>
    <hyperlink ref="B2165" r:id="rId1110" xr:uid="{5F07DA67-87EB-4BC3-A66B-D40CC52F7569}"/>
    <hyperlink ref="B2166" r:id="rId1111" xr:uid="{CA3E03B4-64B5-4229-9CA6-3F8DD4402326}"/>
    <hyperlink ref="B1212" r:id="rId1112" xr:uid="{94EADFB8-6478-482E-9F53-9345E11EB4CA}"/>
    <hyperlink ref="B2168" r:id="rId1113" xr:uid="{B0E01E3A-D00B-4621-882A-69081C259035}"/>
    <hyperlink ref="B2169" r:id="rId1114" xr:uid="{993FD351-66ED-46AB-A211-84E6E13B3EB9}"/>
    <hyperlink ref="B2170" r:id="rId1115" xr:uid="{2F89B139-729D-436D-9B5A-83DB63A2A6DA}"/>
    <hyperlink ref="B2171" r:id="rId1116" xr:uid="{B009D629-81F2-492B-8524-B8AA0D2452C9}"/>
    <hyperlink ref="B2172" r:id="rId1117" xr:uid="{C55C8F25-646B-46F2-A124-A39DF679A7FB}"/>
    <hyperlink ref="B2173" r:id="rId1118" xr:uid="{08509C79-892D-40ED-8740-21275D9AFC49}"/>
    <hyperlink ref="B2103" r:id="rId1119" xr:uid="{63F8AC02-2BF3-4B6E-9959-8659A5D60F01}"/>
    <hyperlink ref="B2174" r:id="rId1120" xr:uid="{764ED9C4-A95E-48C2-8C71-C3C4DB167C63}"/>
    <hyperlink ref="B2175" r:id="rId1121" xr:uid="{30CFAF95-D0EF-45ED-99B4-EDF483C5E333}"/>
    <hyperlink ref="B2176" r:id="rId1122" xr:uid="{E5B48ABE-4C5D-4D11-AFB3-A149A380062C}"/>
    <hyperlink ref="B2177" r:id="rId1123" xr:uid="{9872E5E1-9017-434E-B0FA-7BED0B231F75}"/>
    <hyperlink ref="B1951" r:id="rId1124" xr:uid="{AA8986D7-439A-4788-B34F-6ED85BAC5383}"/>
    <hyperlink ref="B2178" r:id="rId1125" xr:uid="{B4BBFB8A-8D1F-4047-83F7-68731CAE8562}"/>
    <hyperlink ref="B2179" r:id="rId1126" xr:uid="{466EB371-A904-4F1C-A1CA-43E7EE5CC0BE}"/>
    <hyperlink ref="B2180" r:id="rId1127" xr:uid="{6E72465D-E904-400C-B4B3-4E1C070BBC30}"/>
    <hyperlink ref="B944" r:id="rId1128" xr:uid="{6D99057B-E676-4E89-9BD1-C62107F54947}"/>
    <hyperlink ref="B2181" r:id="rId1129" xr:uid="{866C6BAA-5CC3-4D48-884C-61E17BAE9867}"/>
    <hyperlink ref="B2182" r:id="rId1130" xr:uid="{4F60425A-2FA0-4C72-A491-444A99538F05}"/>
    <hyperlink ref="B2183" r:id="rId1131" xr:uid="{659BADB0-73EA-4D95-9AA8-73BDB681BE6A}"/>
    <hyperlink ref="B2184" r:id="rId1132" xr:uid="{380D1496-F5C6-4A69-9808-05D0CFB0B9AE}"/>
    <hyperlink ref="B2185" r:id="rId1133" xr:uid="{C211E06B-FBF2-4A61-B03E-1AADC3349ACB}"/>
    <hyperlink ref="B2186" r:id="rId1134" xr:uid="{0C0BEC1E-6233-4326-81D7-C16A2CBBC3BE}"/>
    <hyperlink ref="B2187" r:id="rId1135" xr:uid="{B3E816FA-D7F6-4877-8290-4D0C2945CFC8}"/>
    <hyperlink ref="B2188" r:id="rId1136" xr:uid="{5D560D15-D9BC-4075-8F50-A086BCE7E223}"/>
    <hyperlink ref="B2189" r:id="rId1137" xr:uid="{9DD53248-1ADD-468A-B957-9459D0ADE1CB}"/>
    <hyperlink ref="B2190" r:id="rId1138" xr:uid="{EC987C02-48CF-4C33-AAA5-49E66A0BD169}"/>
    <hyperlink ref="B2191" r:id="rId1139" xr:uid="{85AE1792-C299-4FC1-8342-BA7ABBDAC766}"/>
    <hyperlink ref="B1910" r:id="rId1140" xr:uid="{3A958482-2371-42C9-A9CA-8BA2122CFDD3}"/>
    <hyperlink ref="B2192" r:id="rId1141" xr:uid="{E9CCE0BE-3681-45EC-8AF6-0FE139FBE5A8}"/>
    <hyperlink ref="B2193" r:id="rId1142" xr:uid="{7D42DB34-BF71-446F-A8A4-C7E9EBBF302A}"/>
    <hyperlink ref="B2194" r:id="rId1143" xr:uid="{6C579D37-607F-4D7F-A4C7-3B99CFD9A402}"/>
    <hyperlink ref="B2099" r:id="rId1144" xr:uid="{82468C41-8CEC-4555-A208-661580FAD5C8}"/>
    <hyperlink ref="B2195" r:id="rId1145" xr:uid="{49EFB6F9-6569-425D-9E1F-8B4B10CE1BBD}"/>
    <hyperlink ref="B2196" r:id="rId1146" xr:uid="{DD77387D-197E-4599-AED5-FBA9D6192FE2}"/>
    <hyperlink ref="B2197" r:id="rId1147" xr:uid="{11F9B1F1-BA03-4562-AD83-0772BA2E9BA5}"/>
    <hyperlink ref="B2198" r:id="rId1148" xr:uid="{86AD8806-32AE-44D6-A6E4-A90BA630CE68}"/>
    <hyperlink ref="B2199" r:id="rId1149" xr:uid="{63870541-80AA-4BC7-B206-3DC84734AC74}"/>
    <hyperlink ref="B2200" r:id="rId1150" xr:uid="{08FB7CD3-99B2-4CF2-926C-524FAA0F4C04}"/>
    <hyperlink ref="B2201" r:id="rId1151" xr:uid="{AAB1E5E6-D04D-4F5A-8B74-F0D221820BCC}"/>
    <hyperlink ref="B2202" r:id="rId1152" xr:uid="{C1F55B36-F578-482D-9EB0-988E3F0D1EBA}"/>
    <hyperlink ref="B2203" r:id="rId1153" xr:uid="{608208E8-E971-45B2-A11F-4508F0BC95A1}"/>
    <hyperlink ref="B2204" r:id="rId1154" xr:uid="{7A46B6E5-BB37-456A-9A48-EA3D630A4CE5}"/>
    <hyperlink ref="B2205" r:id="rId1155" xr:uid="{5D7EAD89-2928-4D43-8DD5-B9371DDB1BC7}"/>
    <hyperlink ref="B2206" r:id="rId1156" xr:uid="{5C980932-1896-4523-85B5-F1D9AA8C69E4}"/>
    <hyperlink ref="B2207" r:id="rId1157" xr:uid="{9FEDBFC4-D7B5-4445-95F2-AC7EB7418D30}"/>
    <hyperlink ref="B1716" r:id="rId1158" xr:uid="{6ACF327E-2620-49BB-BA38-19E235E1054A}"/>
    <hyperlink ref="B1470" r:id="rId1159" xr:uid="{F8F7D8CC-C6CE-40B2-B673-9FF0E47D54B6}"/>
    <hyperlink ref="B2209" r:id="rId1160" xr:uid="{94DABE14-992C-421E-AD49-687A1708F8DA}"/>
    <hyperlink ref="B2210" r:id="rId1161" xr:uid="{9E803C41-FCC9-45C7-A4D8-4EBFB18B4EDC}"/>
    <hyperlink ref="B2211" r:id="rId1162" xr:uid="{B1D7F23E-20F2-4C9F-847D-3F9979276D15}"/>
    <hyperlink ref="B2212" r:id="rId1163" xr:uid="{FA4E5C79-1343-42D7-B4EC-38BE3F684B18}"/>
    <hyperlink ref="B2214" r:id="rId1164" xr:uid="{9F8E2160-A813-4CF0-AB26-4570EC469DCA}"/>
    <hyperlink ref="B2215" r:id="rId1165" xr:uid="{EFF302DD-0CFA-4D31-8A04-0483D473D6A7}"/>
    <hyperlink ref="B2216" r:id="rId1166" xr:uid="{CF6D441B-184C-4D56-BD50-042CB4507FCE}"/>
    <hyperlink ref="B2217" r:id="rId1167" xr:uid="{EA49880B-F98F-4153-B4F2-45B9A84D50D0}"/>
    <hyperlink ref="B2218" r:id="rId1168" xr:uid="{CC1ED278-15E1-4154-A5C2-D70A6C0E69A5}"/>
    <hyperlink ref="B2219" r:id="rId1169" xr:uid="{EE9B5834-6912-4C66-A161-787833B51FFD}"/>
    <hyperlink ref="B2220" r:id="rId1170" xr:uid="{9AF3CA20-CD2D-48D5-AB44-BAB2C579EE7C}"/>
    <hyperlink ref="B2221" r:id="rId1171" location=":~:text=Dutch%20utility%20Eneco%20on%20Monday,over%20the%20next%20few%20years." xr:uid="{BEB2864F-3A50-4082-8DB5-29FF243906BF}"/>
    <hyperlink ref="B2222" r:id="rId1172" xr:uid="{B91A6EC6-F476-4A05-B002-C4119C3BE22F}"/>
    <hyperlink ref="B2223" r:id="rId1173" xr:uid="{87FAD512-4EB8-4EA5-8FA3-D72A91D44F27}"/>
    <hyperlink ref="B2224" r:id="rId1174" xr:uid="{BD42C29A-50A8-483A-9DFB-B20FAABB95CE}"/>
    <hyperlink ref="B2225" r:id="rId1175" xr:uid="{D5313614-2731-4598-B370-BE82BF35DC22}"/>
    <hyperlink ref="B2227" r:id="rId1176" xr:uid="{D85D6621-6CCD-4CD1-ADB6-F856F35DE7A9}"/>
    <hyperlink ref="B2229" r:id="rId1177" location=":~:text=The%203.2%2DMW%20electrolyser%20was,amount%20was%20secured%20through%20grants." xr:uid="{E7A7751E-F35A-4AB6-9663-146B9E7C1DC9}"/>
    <hyperlink ref="B2230" r:id="rId1178" location=":~:text=Alliander%2C%20a%20Dutch%20energy%20company,with%20solar%2Dfarm%20developer%20GroenLeven." xr:uid="{E8F634C5-90FF-4907-A811-7675CBDED0E6}"/>
    <hyperlink ref="B2231" r:id="rId1179" xr:uid="{7E8E8EB4-3563-4A46-9C61-624B3F95F006}"/>
    <hyperlink ref="B2232" r:id="rId1180" xr:uid="{ED314086-4FD7-45CD-B3E0-767BC287E8F6}"/>
    <hyperlink ref="B952" r:id="rId1181" xr:uid="{80F19DD7-376A-4B10-ABF9-5E56853B05BA}"/>
    <hyperlink ref="B1782" r:id="rId1182" xr:uid="{801A03A7-561F-4411-8A31-E700F2DCF702}"/>
    <hyperlink ref="B1813" r:id="rId1183" xr:uid="{4A35C258-6F76-45A2-90AC-C3B6EA597A4D}"/>
    <hyperlink ref="B1985" r:id="rId1184" xr:uid="{0FB52DA4-45FF-44C2-8126-B99AE3ADA8AE}"/>
    <hyperlink ref="B2238" r:id="rId1185" xr:uid="{03A789DD-3F97-4C58-A9EA-26C8DF921C0B}"/>
    <hyperlink ref="B1972" r:id="rId1186" xr:uid="{9AD14DA1-DBCC-465C-9D51-A7A26A0866F0}"/>
    <hyperlink ref="B2239" r:id="rId1187" xr:uid="{AB5B8339-9C2E-4046-AF33-C526E637835F}"/>
    <hyperlink ref="B2240" r:id="rId1188" xr:uid="{EF759386-2ACD-4949-8FF2-CFFF491B48B8}"/>
    <hyperlink ref="B2241" r:id="rId1189" xr:uid="{A7DEF60B-CB8D-4CB3-9A42-B8951BB7E96E}"/>
    <hyperlink ref="B1980" r:id="rId1190" xr:uid="{61641C5B-CCD5-48CD-8A59-189459DF4CF9}"/>
    <hyperlink ref="B2242" r:id="rId1191" xr:uid="{60D01237-9F6A-41F8-BC83-C6B538A1795C}"/>
    <hyperlink ref="B2248" r:id="rId1192" xr:uid="{965141F2-4096-4C11-A0DB-D2450A327B09}"/>
    <hyperlink ref="B2249" r:id="rId1193" xr:uid="{D7F484B1-2CA8-4728-A2D0-BA96A4D4F352}"/>
    <hyperlink ref="B2250" r:id="rId1194" xr:uid="{1CA97A19-7780-4C7F-BA94-B9C43FC65254}"/>
    <hyperlink ref="B1748" r:id="rId1195" xr:uid="{2E20963C-3DDE-404F-B326-A629AC866560}"/>
    <hyperlink ref="B2265" r:id="rId1196" xr:uid="{AFAEA2A4-D8C2-4265-97D2-291B2E98D220}"/>
    <hyperlink ref="B2266" r:id="rId1197" xr:uid="{614C0135-673F-49B9-B3D5-0EC3B450C72C}"/>
    <hyperlink ref="B2267" r:id="rId1198" xr:uid="{1990B9E6-B693-493A-9EA2-3FB42C37BED6}"/>
    <hyperlink ref="B2268" r:id="rId1199" xr:uid="{8F9645D6-F39E-4D75-81E7-037FD8EB86D8}"/>
    <hyperlink ref="B2269" r:id="rId1200" xr:uid="{ED8164A0-90C6-4A14-9F5F-8EBE9E8D4B06}"/>
    <hyperlink ref="B2270" r:id="rId1201" xr:uid="{CEB689CD-87B7-48D3-9F57-791E6977654C}"/>
    <hyperlink ref="B2271" r:id="rId1202" xr:uid="{9E119F3F-719F-407F-96CE-150D7977DA72}"/>
    <hyperlink ref="B2272" r:id="rId1203" xr:uid="{867F71D7-2959-4B82-B61D-0818DEEA5651}"/>
    <hyperlink ref="B2273" r:id="rId1204" xr:uid="{5A0D4A8B-7709-4993-939D-FB14BFF884FC}"/>
    <hyperlink ref="B2274" r:id="rId1205" xr:uid="{8B76F210-94C6-4677-987C-4D8D3F1918D5}"/>
    <hyperlink ref="B2275" r:id="rId1206" xr:uid="{994586AB-45C8-4CA8-A19F-5E943279F29F}"/>
    <hyperlink ref="B2276" r:id="rId1207" xr:uid="{B00C850C-37D3-495D-B28B-E29C61D41EC3}"/>
    <hyperlink ref="B2277" r:id="rId1208" xr:uid="{0A98D56D-CEE0-4162-8DFF-75EFF9AF26B3}"/>
    <hyperlink ref="B2278" r:id="rId1209" xr:uid="{0684CDF3-EF71-4462-A3B9-2A3A1BAAB550}"/>
    <hyperlink ref="B2279" r:id="rId1210" xr:uid="{982A5337-5E0D-49FF-9173-730FDF726A98}"/>
    <hyperlink ref="B2280" r:id="rId1211" xr:uid="{25598113-5E7B-4882-ABF2-45356C29D7C4}"/>
    <hyperlink ref="B747" r:id="rId1212" xr:uid="{18A202B0-9976-4D0C-8D0B-01DCD1878381}"/>
    <hyperlink ref="B2299" r:id="rId1213" xr:uid="{98DD76B0-9876-41AD-87EA-B1746B520CEE}"/>
    <hyperlink ref="B2330" r:id="rId1214" xr:uid="{F7EB4D7C-2D84-4B33-A980-D2012CC5A5C5}"/>
    <hyperlink ref="B2290" r:id="rId1215" xr:uid="{AFF61CE9-1977-4A99-98B5-BA0A71203979}"/>
    <hyperlink ref="B2340" r:id="rId1216" display="https://hydronews.it/sardidrogeno-il-progetto-della-francese-hdf-energy-per-produrre-idrogeno-green-in-sardegna/" xr:uid="{302EC10D-C45B-4820-BCFB-7900F3066E1A}"/>
    <hyperlink ref="B1777" r:id="rId1217" xr:uid="{6B3589E6-F6E2-4FAD-8BA8-FD9BE628F0B8}"/>
    <hyperlink ref="B1778" r:id="rId1218" xr:uid="{1CCB2C2F-54B4-4044-A869-F29F93C9C7C1}"/>
    <hyperlink ref="B2303" r:id="rId1219" xr:uid="{21BCF090-6BB7-478B-947C-D89CC0D92568}"/>
    <hyperlink ref="B2304" r:id="rId1220" xr:uid="{135DD734-4C84-40AA-809F-3AD170B7226F}"/>
    <hyperlink ref="B1193" r:id="rId1221" xr:uid="{EA175C66-4487-4A30-8D43-DF11252598E7}"/>
    <hyperlink ref="B1587" r:id="rId1222" xr:uid="{9E07F38B-D534-413F-9C99-D5EFB641D1D6}"/>
    <hyperlink ref="B1827" r:id="rId1223" xr:uid="{2A57CACF-30D3-4029-A842-8066F339E412}"/>
    <hyperlink ref="B2413" r:id="rId1224" xr:uid="{B23421A6-5F29-4FAC-8449-EDD8E14B2A20}"/>
    <hyperlink ref="B2428" r:id="rId1225" display="https://www.rompetrol.com/major-investments/Decarbonization-and-green-energy-initiatives" xr:uid="{344E5E12-F9E3-408B-B393-420F96F9DB60}"/>
    <hyperlink ref="B2432" r:id="rId1226" display="https://hydrogentechworld.com/gail-inaugurates-10-mw-green-hydrogen-production-plant-in-madhya-pradesh" xr:uid="{6EF1B821-E3C2-45DA-B89E-AC0EF1D68106}"/>
    <hyperlink ref="B2450" r:id="rId1227" xr:uid="{EC349D5A-8FF2-4DEC-AC0D-FB4544D193C9}"/>
    <hyperlink ref="B2449" r:id="rId1228" xr:uid="{C9C9CD9D-E4B4-4CB4-B953-235BB1495A8F}"/>
    <hyperlink ref="B1977" r:id="rId1229" xr:uid="{3E4BE58F-D23B-4379-B809-935895EBB50A}"/>
    <hyperlink ref="B2464" r:id="rId1230" xr:uid="{311AEB87-77BC-4011-B33B-7EA7A9E990D6}"/>
    <hyperlink ref="B2465" r:id="rId1231" xr:uid="{1F27BD27-E315-4DB8-869E-2C9486126DF8}"/>
    <hyperlink ref="B2472" r:id="rId1232" xr:uid="{92C81D55-4869-4EC0-8AB6-BEF5F3DF5AFF}"/>
    <hyperlink ref="B2515" r:id="rId1233" xr:uid="{BC4A85A3-F4D2-4AC9-84F8-D43E4F6A6AEC}"/>
    <hyperlink ref="B1443" r:id="rId1234" xr:uid="{B9DE3D99-F978-45A8-950A-37DA00D2522D}"/>
    <hyperlink ref="B2252" r:id="rId1235" xr:uid="{2764A94E-43C0-4002-B6F8-26A43BD88F77}"/>
    <hyperlink ref="B2251" r:id="rId1236" xr:uid="{3450009A-518D-4365-9687-2D687F19E5CE}"/>
    <hyperlink ref="B2258" r:id="rId1237" xr:uid="{67250402-7C85-4637-B10C-911A486F4CBE}"/>
    <hyperlink ref="B2316" r:id="rId1238" xr:uid="{4B286343-182A-4D49-B812-5D8A7239CBCB}"/>
    <hyperlink ref="B2324" r:id="rId1239" xr:uid="{C6F8FEA2-2348-4999-B620-81530DFAED05}"/>
    <hyperlink ref="B2325" r:id="rId1240" xr:uid="{9636CD18-425A-40C7-8BA1-C9453FEEAA82}"/>
    <hyperlink ref="B2326" r:id="rId1241" xr:uid="{58716A3C-F41F-4E28-AD90-FCF94CA908F8}"/>
    <hyperlink ref="B2344" r:id="rId1242" xr:uid="{C36205F2-605A-427C-A3E2-F46401175021}"/>
    <hyperlink ref="B2356" r:id="rId1243" xr:uid="{4226D508-57B0-4D87-85A1-F11E7198C8C7}"/>
    <hyperlink ref="B2293" r:id="rId1244" xr:uid="{7A15A50D-D12A-4943-B939-B78EFA0A8490}"/>
    <hyperlink ref="B2415" r:id="rId1245" xr:uid="{A4304E5C-85DA-4E7A-90FA-A72463BA9B47}"/>
    <hyperlink ref="B1898" r:id="rId1246" xr:uid="{59D6032D-58D2-48A0-8766-1AE5487319E1}"/>
    <hyperlink ref="B2565" r:id="rId1247" xr:uid="{511A1DDC-DF40-4F1F-81DC-CB1EB9B0B756}"/>
    <hyperlink ref="B2253" r:id="rId1248" xr:uid="{5AF539B2-AEEA-4422-A99B-4B524DAF7B8C}"/>
    <hyperlink ref="B2254" r:id="rId1249" xr:uid="{86AFA79B-2867-40A8-A334-62E8CE14D807}"/>
    <hyperlink ref="B2256" r:id="rId1250" xr:uid="{BF3F5B54-4C30-4396-AAC8-B9FE0D2E4138}"/>
    <hyperlink ref="B2566" r:id="rId1251" xr:uid="{2E5D715D-5797-4056-A4A7-CCE0376FC344}"/>
    <hyperlink ref="B2567" r:id="rId1252" xr:uid="{359733F8-002F-4B4A-B670-8B430D08241E}"/>
    <hyperlink ref="B2568" r:id="rId1253" xr:uid="{3E0A16DC-A3F1-49F6-832F-C9BF563D8A5C}"/>
    <hyperlink ref="B2569" r:id="rId1254" xr:uid="{DFEE6F04-D34F-4C05-BF29-FB9091F1B8B1}"/>
    <hyperlink ref="B2570" r:id="rId1255" xr:uid="{389375D0-CD6B-4B91-8731-07EBA7944067}"/>
    <hyperlink ref="B2571" r:id="rId1256" xr:uid="{45684799-9313-47D0-9A67-2130EB7CF273}"/>
    <hyperlink ref="B2368" r:id="rId1257" xr:uid="{8BE8A001-F189-4675-8666-EFFC4C67E2C8}"/>
    <hyperlink ref="B2572" r:id="rId1258" xr:uid="{EF029445-6349-4DB7-BF6D-739C5CB0765B}"/>
    <hyperlink ref="B2573" r:id="rId1259" xr:uid="{A23F1BF8-A507-4CC2-B2B2-6E89EFBA23CE}"/>
    <hyperlink ref="B2574" r:id="rId1260" xr:uid="{25F5FFC1-4359-47A6-952C-F030C0F741B0}"/>
    <hyperlink ref="B2484" r:id="rId1261" xr:uid="{7FFE151D-0CAE-47A0-9FE1-E89B8933EC1B}"/>
    <hyperlink ref="B2575" r:id="rId1262" xr:uid="{31B99729-357F-49C8-A7B8-4F6274E6EFC5}"/>
    <hyperlink ref="B2576" r:id="rId1263" xr:uid="{1EFA8589-DB1B-47A9-8D6F-DEF03B1F75AC}"/>
    <hyperlink ref="B2577" r:id="rId1264" xr:uid="{33E840A3-1ABB-4D02-A236-1E22907F48B3}"/>
    <hyperlink ref="B2578" r:id="rId1265" xr:uid="{9BB762EE-A0B1-405B-B970-4CF5AF6F9D14}"/>
    <hyperlink ref="B1899" r:id="rId1266" xr:uid="{9E7C6CB4-2F90-4148-BC10-C56DA75B631C}"/>
    <hyperlink ref="B2579" r:id="rId1267" xr:uid="{321A69E7-A4A0-43B1-9047-F9317E30B6A8}"/>
    <hyperlink ref="B2583" r:id="rId1268" xr:uid="{F9528AE5-47ED-421E-A761-4FA1F567C22D}"/>
    <hyperlink ref="B2584" r:id="rId1269" xr:uid="{36A0DD8D-9732-4EB9-AE4E-33DB228EEDF6}"/>
    <hyperlink ref="B2585" r:id="rId1270" xr:uid="{D9FD5768-FEFD-4661-A8E2-13C1D979FBB5}"/>
    <hyperlink ref="B2586" r:id="rId1271" xr:uid="{A6F7E42F-BBF0-4D35-964B-088816981BA4}"/>
    <hyperlink ref="B2587" r:id="rId1272" xr:uid="{B0D4FEB8-F7B6-40C8-AED9-9C9DE8A9B93D}"/>
    <hyperlink ref="B2588" r:id="rId1273" xr:uid="{34918B3C-7742-41F0-B0E5-01201CBDBDA3}"/>
    <hyperlink ref="B2589" r:id="rId1274" xr:uid="{75D3E668-F32E-4059-8727-E1301D479809}"/>
    <hyperlink ref="B2590" r:id="rId1275" xr:uid="{1B596E9A-329F-4188-A28B-80F7E8D5DE93}"/>
    <hyperlink ref="B2592" r:id="rId1276" xr:uid="{720FBC2B-982C-4B19-ABAE-F50207FBE32C}"/>
    <hyperlink ref="B2593" r:id="rId1277" xr:uid="{E6CDF79B-F8CB-4545-81D2-1773F5112267}"/>
    <hyperlink ref="B2594" r:id="rId1278" xr:uid="{E6FA6C01-4BAD-489F-AA1D-16F234118EFE}"/>
    <hyperlink ref="B2595" r:id="rId1279" xr:uid="{FA67431F-A007-4C35-B0AF-C37F4014D558}"/>
    <hyperlink ref="B2596" r:id="rId1280" xr:uid="{7135A7FD-0E2F-4338-8826-4C36001E1279}"/>
    <hyperlink ref="B2597" r:id="rId1281" xr:uid="{6C1A7B23-A65C-4CD4-92C6-1AE8A90FA8CE}"/>
    <hyperlink ref="B2598" r:id="rId1282" xr:uid="{92AD9E24-3DDC-4D49-8014-FA059B2CAB47}"/>
    <hyperlink ref="B2599" r:id="rId1283" xr:uid="{EFBA9E80-2C59-449F-8BF0-80379F8B1A4C}"/>
    <hyperlink ref="B2600" r:id="rId1284" xr:uid="{4A01D712-EFD9-4378-BA99-C6C4EB864DBD}"/>
    <hyperlink ref="B2601" r:id="rId1285" xr:uid="{43984244-4B0A-4C62-9682-205A3D87D250}"/>
    <hyperlink ref="B2602" r:id="rId1286" xr:uid="{9E09F149-4D4A-493B-B5EC-BFFDB44FD713}"/>
    <hyperlink ref="B2603" r:id="rId1287" xr:uid="{A3DC620E-0BEB-455E-AF4E-3D109972200A}"/>
    <hyperlink ref="B2604" r:id="rId1288" xr:uid="{F1F7CDF7-16E2-4C69-A78C-17E8C68C5AEF}"/>
    <hyperlink ref="B2605" r:id="rId1289" xr:uid="{7C52552F-99B4-44EE-A0EF-C3F2FD4445EC}"/>
    <hyperlink ref="B2466" r:id="rId1290" xr:uid="{9AEB7914-C239-44E4-A211-3C7D16BE017D}"/>
    <hyperlink ref="B2467" r:id="rId1291" xr:uid="{22A09287-57A0-42EC-92B8-59F30FCCECEC}"/>
    <hyperlink ref="B2468" r:id="rId1292" xr:uid="{4C170301-9D6B-4325-AED2-29F4588DE645}"/>
    <hyperlink ref="B2642" r:id="rId1293" xr:uid="{5DB10A20-8811-4B14-9A0F-76140627C4FB}"/>
    <hyperlink ref="B2643" r:id="rId1294" xr:uid="{7B3545FC-3F2B-4F36-975E-0310BB338300}"/>
    <hyperlink ref="B2644" r:id="rId1295" xr:uid="{6337C4C9-D6E7-46ED-9883-3CC5CDCF8513}"/>
    <hyperlink ref="B2645" r:id="rId1296" xr:uid="{07938C3F-4168-4B30-ABB2-DA8983821E41}"/>
    <hyperlink ref="B2646" r:id="rId1297" xr:uid="{83706388-23AB-4C90-BE1C-B461291D23C2}"/>
    <hyperlink ref="B2647" r:id="rId1298" xr:uid="{35A0CA99-90A8-4D4A-B12D-15D745553027}"/>
    <hyperlink ref="B2648" r:id="rId1299" xr:uid="{2D2D17CF-5F1F-4B29-B049-9FBACEFC5F9C}"/>
    <hyperlink ref="B2649" r:id="rId1300" xr:uid="{8FC37C86-4972-4ED6-A573-56349012B73B}"/>
    <hyperlink ref="B2650" r:id="rId1301" xr:uid="{733B69BF-7CF6-4D52-B7F1-DC71379F1F24}"/>
    <hyperlink ref="B2685" r:id="rId1302" xr:uid="{8885BCB7-F294-4496-BFC5-FF3ECE2D6996}"/>
    <hyperlink ref="B2686" r:id="rId1303" xr:uid="{D45E1237-1B98-4362-8D16-28C204675DBE}"/>
    <hyperlink ref="B2687" r:id="rId1304" xr:uid="{53EB8E4D-4D67-4BA3-97FD-9E40851469AC}"/>
    <hyperlink ref="B2688" r:id="rId1305" xr:uid="{E5E6E88D-844D-4CC2-9390-596B3A28B97D}"/>
    <hyperlink ref="B2689" r:id="rId1306" xr:uid="{CD91D537-AEAC-4AEF-A3C5-430B33E9C99C}"/>
    <hyperlink ref="B2690" r:id="rId1307" xr:uid="{444F6820-D9B4-4634-B0E3-A51AE614230C}"/>
    <hyperlink ref="B2691" r:id="rId1308" xr:uid="{743CBDDE-0125-48A3-8C09-4793A5ECCEAA}"/>
    <hyperlink ref="B2693" r:id="rId1309" xr:uid="{CAA1D7DF-8C9B-4425-89E7-E2BA34CD8161}"/>
    <hyperlink ref="B2694" r:id="rId1310" xr:uid="{F870CAFB-1E00-4F36-AFB5-61BEF9EC3E59}"/>
    <hyperlink ref="B2695" r:id="rId1311" xr:uid="{66146D8C-A451-4AF1-B27B-F1FCACC1FD3A}"/>
    <hyperlink ref="B2696" r:id="rId1312" xr:uid="{C576E908-8F2C-4123-AB9C-0E566D1EF4A7}"/>
    <hyperlink ref="B2697" r:id="rId1313" xr:uid="{784672A3-E63A-420C-B60D-A122EE64C41D}"/>
    <hyperlink ref="B2698" r:id="rId1314" xr:uid="{3FC73108-5D4E-44C0-92C6-820D146A84B8}"/>
    <hyperlink ref="B2699" r:id="rId1315" display="https://www.hydrogeninsight.com/production/mini-electrolyser-makers-shares-surge-as-it-reveals-eu-approval-for-massive-portuguese-green-hydrogen-project/2-1-1600035?message=[nuxt]+instance+unavailable&amp;stack=&amp;statusCode=404&amp;statusMessage=[nuxt]+instance+unavailable&amp;url=/production/mini-electrolyser-makers-shares-surge-as-it-reveals-eu-approval-for-massive-portuguese-green-hydrogen-project/2-1-1600035" xr:uid="{1F9082CF-DAAC-4063-9BA3-5E1CF0067BA0}"/>
    <hyperlink ref="B2700" r:id="rId1316" xr:uid="{81071E17-2DF1-4121-82B0-673377BCAB69}"/>
    <hyperlink ref="B2701" r:id="rId1317" xr:uid="{2C64A353-B878-488D-AB55-59EE3E9BAB67}"/>
    <hyperlink ref="B2702" r:id="rId1318" xr:uid="{B7B67148-5C46-4057-85C8-E6FF6A97C7C9}"/>
    <hyperlink ref="B2704" r:id="rId1319" xr:uid="{E8C6852E-3F07-4F41-978C-813078F8662C}"/>
    <hyperlink ref="B2705" r:id="rId1320" xr:uid="{B195B34A-0CE1-4C44-9C31-2861D948BAB7}"/>
    <hyperlink ref="B2706" r:id="rId1321" location="gref" xr:uid="{C06E20F5-786A-491D-9D87-F0D3BCAC299C}"/>
    <hyperlink ref="B2707" r:id="rId1322" xr:uid="{67F29E57-BEF3-4C62-9651-4FE53F525097}"/>
    <hyperlink ref="B2708" r:id="rId1323" xr:uid="{72A6BCB4-A8BD-4188-9ED5-D6DC5E92C930}"/>
    <hyperlink ref="B2709" r:id="rId1324" xr:uid="{CED1886F-F49E-420D-8DB8-C642A2067A24}"/>
    <hyperlink ref="B2710" r:id="rId1325" xr:uid="{1ACA3A6A-6D0A-4231-894D-D07FA0D989C9}"/>
    <hyperlink ref="B2711" r:id="rId1326" xr:uid="{27A1F1F3-B02C-4844-BB92-EE29F1EA9DBA}"/>
    <hyperlink ref="B2259" r:id="rId1327" xr:uid="{4D3165A9-A103-4ACE-A1DB-C3F7660BE183}"/>
    <hyperlink ref="B2260" r:id="rId1328" xr:uid="{3E270674-AFDB-46DA-B87B-BDB87CD6A762}"/>
    <hyperlink ref="B2261" r:id="rId1329" xr:uid="{18378053-2D4C-4445-87CC-F00CE1FD7453}"/>
    <hyperlink ref="B2262" r:id="rId1330" xr:uid="{2B43A9AE-F65C-4A7F-8743-1F4B7DDA4F8D}"/>
    <hyperlink ref="B2263" r:id="rId1331" xr:uid="{9FB4FCDD-FBC3-4FB9-9EE5-393DB5A7CA16}"/>
    <hyperlink ref="B2264" r:id="rId1332" xr:uid="{25B77760-A76F-4472-9FC2-9BF94B0872CB}"/>
    <hyperlink ref="B2720" r:id="rId1333" xr:uid="{F0D873D5-AF9E-4573-8313-3094461DCD42}"/>
    <hyperlink ref="B2721" r:id="rId1334" xr:uid="{7446774B-3CC8-4401-B6CB-416CA61E9BF1}"/>
    <hyperlink ref="B2723" r:id="rId1335" xr:uid="{40A1E304-E5EB-4015-B372-172B84F09481}"/>
    <hyperlink ref="B2725" r:id="rId1336" xr:uid="{77A210D2-6AD9-4119-B09C-69BD510B7E2F}"/>
    <hyperlink ref="B2727" r:id="rId1337" xr:uid="{8486D5B0-4AF8-4465-9447-2B1430209D6F}"/>
    <hyperlink ref="B2728" r:id="rId1338" xr:uid="{3641F5EE-8FFC-4A31-AEFE-A1C887693A8E}"/>
    <hyperlink ref="B2730" r:id="rId1339" xr:uid="{40374845-319F-4AB1-973D-B228ACF5DEBD}"/>
    <hyperlink ref="B2654" r:id="rId1340" xr:uid="{D49483A5-D56F-4339-9DBE-3CA13D5A724A}"/>
    <hyperlink ref="B2731" r:id="rId1341" xr:uid="{3E144D47-3FAA-4C5A-B44E-E4B1769A7D5A}"/>
    <hyperlink ref="B2732" r:id="rId1342" xr:uid="{872ED007-6415-46EC-8E5E-995C80C657DA}"/>
    <hyperlink ref="B2734" r:id="rId1343" xr:uid="{8BA24A6D-21AC-4EE9-8B78-3827F124F1CA}"/>
    <hyperlink ref="B2735" r:id="rId1344" xr:uid="{5AD9692D-D5B2-4281-A8DA-5169E5C21EC8}"/>
    <hyperlink ref="B2736" r:id="rId1345" xr:uid="{524753EA-9A2F-4568-A10A-A433AF17DB3D}"/>
    <hyperlink ref="B2737" r:id="rId1346" xr:uid="{E1D9BDB7-059D-42CD-8C9D-56AC515561E5}"/>
    <hyperlink ref="B2738" r:id="rId1347" xr:uid="{4655EBFE-7392-4833-8065-DEB2300DF37B}"/>
    <hyperlink ref="B2739" r:id="rId1348" xr:uid="{761A8EB4-A4E4-457A-9E73-13ACC349DEF6}"/>
    <hyperlink ref="B2741" r:id="rId1349" xr:uid="{298BDDE5-B444-4375-8705-9BFDA4D6BE17}"/>
    <hyperlink ref="B2743" r:id="rId1350" xr:uid="{101C651E-6285-4B43-95DF-CAE7990D8583}"/>
    <hyperlink ref="B2744" r:id="rId1351" xr:uid="{1F10F1BB-0AEB-4EF6-BF4B-152DE5588301}"/>
    <hyperlink ref="B2745" r:id="rId1352" xr:uid="{48D6BF22-5E3A-4412-AA12-608E114520E8}"/>
    <hyperlink ref="B2746" r:id="rId1353" xr:uid="{19C5F8D6-CA83-4031-A62E-2218645524D9}"/>
    <hyperlink ref="B2747" r:id="rId1354" xr:uid="{C08E9311-AF9B-4660-B11D-345CE8288651}"/>
    <hyperlink ref="B1853" r:id="rId1355" xr:uid="{B0005281-F837-488F-87ED-2DD534A76849}"/>
    <hyperlink ref="B2748" r:id="rId1356" xr:uid="{5A104422-DC17-48C7-9639-99DE1106A89A}"/>
    <hyperlink ref="B2672" r:id="rId1357" xr:uid="{1185ED45-BB32-4508-9B2B-028F68244B28}"/>
    <hyperlink ref="B2476" r:id="rId1358" xr:uid="{E0BEB88E-8BA4-434A-A6D3-21765FFE5A02}"/>
    <hyperlink ref="B2754" r:id="rId1359" xr:uid="{A3B56E0F-FC18-4E56-BEAA-9E23644CFCC5}"/>
  </hyperlinks>
  <pageMargins left="0.7" right="0.7" top="0.75" bottom="0.75" header="0.3" footer="0.3"/>
  <pageSetup paperSize="9" orientation="portrait" r:id="rId1360"/>
  <legacyDrawing r:id="rId136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105"/>
  <sheetViews>
    <sheetView topLeftCell="A58" zoomScale="55" zoomScaleNormal="55" workbookViewId="0">
      <selection activeCell="AD108" sqref="AD108"/>
    </sheetView>
  </sheetViews>
  <sheetFormatPr defaultRowHeight="15" x14ac:dyDescent="0.25"/>
  <cols>
    <col min="9" max="9" width="14.42578125" customWidth="1"/>
    <col min="10" max="10" width="13" customWidth="1"/>
    <col min="14" max="14" width="11.5703125" customWidth="1"/>
    <col min="19" max="19" width="27.42578125" customWidth="1"/>
    <col min="27" max="27" width="10.42578125" customWidth="1"/>
  </cols>
  <sheetData>
    <row r="1" spans="1:17" x14ac:dyDescent="0.25">
      <c r="A1" s="226" t="s">
        <v>1273</v>
      </c>
      <c r="B1" s="226"/>
      <c r="C1" s="226"/>
      <c r="D1" s="226"/>
      <c r="E1" s="226"/>
      <c r="F1" s="226"/>
      <c r="G1" s="226"/>
      <c r="H1" s="226"/>
      <c r="I1" s="226"/>
      <c r="J1" s="226"/>
      <c r="K1" s="226"/>
      <c r="L1" s="226"/>
      <c r="M1" s="226"/>
      <c r="N1" s="226"/>
      <c r="O1" s="226"/>
      <c r="P1" s="226"/>
      <c r="Q1" s="226"/>
    </row>
    <row r="2" spans="1:17" x14ac:dyDescent="0.25">
      <c r="A2" s="38" t="s">
        <v>1244</v>
      </c>
      <c r="B2" s="39"/>
      <c r="C2" s="39"/>
      <c r="D2" s="38" t="s">
        <v>1258</v>
      </c>
      <c r="E2" s="39"/>
      <c r="F2" s="38" t="s">
        <v>7289</v>
      </c>
      <c r="G2" s="38" t="s">
        <v>7288</v>
      </c>
      <c r="H2" s="39"/>
      <c r="I2" s="38" t="s">
        <v>1265</v>
      </c>
      <c r="J2" s="38" t="s">
        <v>2023</v>
      </c>
      <c r="K2" s="39"/>
      <c r="L2" s="38" t="s">
        <v>584</v>
      </c>
      <c r="M2" s="39"/>
      <c r="N2" s="38" t="s">
        <v>1390</v>
      </c>
      <c r="O2" s="38"/>
      <c r="P2" s="38" t="s">
        <v>2023</v>
      </c>
      <c r="Q2" s="39"/>
    </row>
    <row r="3" spans="1:17" x14ac:dyDescent="0.25">
      <c r="A3" s="39" t="s">
        <v>2222</v>
      </c>
      <c r="B3" s="39"/>
      <c r="C3" s="39"/>
      <c r="D3" s="39" t="s">
        <v>457</v>
      </c>
      <c r="E3" s="39"/>
      <c r="F3" s="39">
        <v>4.5999999999999999E-3</v>
      </c>
      <c r="G3" s="39" t="s">
        <v>7286</v>
      </c>
      <c r="H3" s="39"/>
      <c r="I3" s="39" t="s">
        <v>1266</v>
      </c>
      <c r="J3" s="39">
        <v>0.56999999999999995</v>
      </c>
      <c r="K3" s="39"/>
      <c r="L3" s="39" t="s">
        <v>578</v>
      </c>
      <c r="M3" s="39"/>
      <c r="N3" s="39" t="s">
        <v>1391</v>
      </c>
      <c r="O3" s="39"/>
      <c r="P3" s="39">
        <v>0.3</v>
      </c>
      <c r="Q3" s="39"/>
    </row>
    <row r="4" spans="1:17" x14ac:dyDescent="0.25">
      <c r="A4" s="39" t="s">
        <v>1331</v>
      </c>
      <c r="B4" s="39"/>
      <c r="C4" s="39"/>
      <c r="D4" s="39" t="s">
        <v>455</v>
      </c>
      <c r="E4" s="39"/>
      <c r="F4" s="39">
        <v>5.1999999999999998E-3</v>
      </c>
      <c r="G4" s="39" t="s">
        <v>7286</v>
      </c>
      <c r="H4" s="39"/>
      <c r="I4" s="39" t="s">
        <v>5700</v>
      </c>
      <c r="J4" s="39">
        <v>0.7</v>
      </c>
      <c r="K4" s="39"/>
      <c r="L4" s="39" t="s">
        <v>1243</v>
      </c>
      <c r="M4" s="39"/>
      <c r="N4" s="39" t="s">
        <v>1392</v>
      </c>
      <c r="O4" s="39"/>
      <c r="P4" s="39">
        <v>0.4</v>
      </c>
      <c r="Q4" s="39"/>
    </row>
    <row r="5" spans="1:17" x14ac:dyDescent="0.25">
      <c r="A5" s="39" t="s">
        <v>5701</v>
      </c>
      <c r="B5" s="39"/>
      <c r="C5" s="39"/>
      <c r="D5" s="39" t="s">
        <v>456</v>
      </c>
      <c r="E5" s="39"/>
      <c r="F5" s="39">
        <v>3.8E-3</v>
      </c>
      <c r="G5" s="39" t="s">
        <v>7286</v>
      </c>
      <c r="H5" s="39"/>
      <c r="I5" s="39" t="s">
        <v>1269</v>
      </c>
      <c r="J5" s="39"/>
      <c r="K5" s="39"/>
      <c r="L5" s="39" t="s">
        <v>1242</v>
      </c>
      <c r="M5" s="39"/>
      <c r="N5" s="39" t="s">
        <v>1393</v>
      </c>
      <c r="O5" s="39"/>
      <c r="P5" s="39">
        <v>0.55000000000000004</v>
      </c>
      <c r="Q5" s="39"/>
    </row>
    <row r="6" spans="1:17" x14ac:dyDescent="0.25">
      <c r="A6" s="39" t="s">
        <v>1339</v>
      </c>
      <c r="B6" s="39"/>
      <c r="C6" s="39"/>
      <c r="D6" s="39" t="s">
        <v>1259</v>
      </c>
      <c r="E6" s="39"/>
      <c r="F6" s="39">
        <v>4.4999999999999997E-3</v>
      </c>
      <c r="G6" s="39" t="s">
        <v>7286</v>
      </c>
      <c r="H6" s="39"/>
      <c r="I6" s="39" t="s">
        <v>1257</v>
      </c>
      <c r="J6" s="39">
        <v>0.56999999999999995</v>
      </c>
      <c r="K6" s="39"/>
      <c r="L6" s="39" t="s">
        <v>612</v>
      </c>
      <c r="M6" s="39"/>
      <c r="N6" s="39" t="s">
        <v>1394</v>
      </c>
      <c r="O6" s="39"/>
      <c r="P6" s="39">
        <v>0.8</v>
      </c>
      <c r="Q6" s="39"/>
    </row>
    <row r="7" spans="1:17" x14ac:dyDescent="0.25">
      <c r="A7" s="39" t="s">
        <v>1256</v>
      </c>
      <c r="B7" s="39"/>
      <c r="C7" s="39"/>
      <c r="D7" s="39" t="s">
        <v>1261</v>
      </c>
      <c r="E7" s="39"/>
      <c r="F7" s="39"/>
      <c r="G7" s="39" t="s">
        <v>7287</v>
      </c>
      <c r="H7" s="39"/>
      <c r="I7" s="39" t="s">
        <v>2022</v>
      </c>
      <c r="J7" s="39">
        <v>0.56999999999999995</v>
      </c>
      <c r="K7" s="39"/>
      <c r="L7" s="39" t="s">
        <v>1267</v>
      </c>
      <c r="M7" s="39"/>
      <c r="N7" s="39" t="s">
        <v>1395</v>
      </c>
      <c r="O7" s="39"/>
      <c r="P7" s="39">
        <v>0.5</v>
      </c>
      <c r="Q7" s="39"/>
    </row>
    <row r="8" spans="1:17" x14ac:dyDescent="0.25">
      <c r="A8" s="39" t="s">
        <v>1257</v>
      </c>
      <c r="B8" s="39"/>
      <c r="C8" s="39"/>
      <c r="D8" s="39" t="s">
        <v>1260</v>
      </c>
      <c r="E8" s="39"/>
      <c r="F8" s="39"/>
      <c r="G8" s="39" t="s">
        <v>7287</v>
      </c>
      <c r="H8" s="39"/>
      <c r="I8" s="39" t="s">
        <v>1680</v>
      </c>
      <c r="J8" s="39">
        <v>0.8</v>
      </c>
      <c r="K8" s="39"/>
      <c r="L8" s="39" t="s">
        <v>596</v>
      </c>
      <c r="M8" s="39"/>
      <c r="N8" s="39" t="s">
        <v>581</v>
      </c>
      <c r="O8" s="39"/>
      <c r="P8" s="39">
        <v>0.5</v>
      </c>
      <c r="Q8" s="39"/>
    </row>
    <row r="9" spans="1:17" x14ac:dyDescent="0.25">
      <c r="A9" s="39" t="s">
        <v>1540</v>
      </c>
      <c r="B9" s="39"/>
      <c r="C9" s="39"/>
      <c r="D9" s="39" t="s">
        <v>1262</v>
      </c>
      <c r="E9" s="39"/>
      <c r="F9" s="39"/>
      <c r="G9" s="39" t="s">
        <v>7287</v>
      </c>
      <c r="H9" s="39"/>
      <c r="I9" s="39"/>
      <c r="J9" s="39"/>
      <c r="K9" s="39"/>
      <c r="L9" s="39" t="s">
        <v>1268</v>
      </c>
      <c r="M9" s="39"/>
      <c r="N9" s="39" t="s">
        <v>2022</v>
      </c>
      <c r="O9" s="39"/>
      <c r="P9" s="39">
        <v>0.5</v>
      </c>
      <c r="Q9" s="39"/>
    </row>
    <row r="10" spans="1:17" x14ac:dyDescent="0.25">
      <c r="A10" s="39" t="s">
        <v>2242</v>
      </c>
      <c r="B10" s="39"/>
      <c r="C10" s="39"/>
      <c r="D10" s="39" t="s">
        <v>1263</v>
      </c>
      <c r="E10" s="39"/>
      <c r="F10" s="39"/>
      <c r="G10" s="39" t="s">
        <v>1255</v>
      </c>
      <c r="H10" s="39"/>
      <c r="I10" s="39"/>
      <c r="J10" s="39"/>
      <c r="K10" s="39"/>
      <c r="L10" s="39"/>
      <c r="M10" s="39"/>
      <c r="N10" s="39"/>
      <c r="O10" s="39"/>
      <c r="P10" s="39"/>
      <c r="Q10" s="39"/>
    </row>
    <row r="11" spans="1:17" x14ac:dyDescent="0.25">
      <c r="A11" s="39" t="s">
        <v>6688</v>
      </c>
      <c r="B11" s="39"/>
      <c r="C11" s="39"/>
      <c r="D11" s="39" t="s">
        <v>1264</v>
      </c>
      <c r="E11" s="39"/>
      <c r="F11" s="39"/>
      <c r="G11" s="39" t="s">
        <v>1255</v>
      </c>
      <c r="H11" s="39"/>
      <c r="I11" s="39"/>
      <c r="J11" s="39"/>
      <c r="K11" s="39"/>
      <c r="L11" s="39"/>
      <c r="M11" s="39"/>
      <c r="N11" s="39"/>
      <c r="O11" s="39"/>
      <c r="P11" s="39"/>
      <c r="Q11" s="39"/>
    </row>
    <row r="12" spans="1:17" x14ac:dyDescent="0.25">
      <c r="A12" s="39"/>
      <c r="B12" s="39"/>
      <c r="C12" s="39"/>
      <c r="D12" s="39" t="s">
        <v>1255</v>
      </c>
      <c r="E12" s="39"/>
      <c r="F12" s="39"/>
      <c r="G12" s="39" t="s">
        <v>1255</v>
      </c>
      <c r="H12" s="39"/>
      <c r="I12" s="39"/>
      <c r="J12" s="39"/>
      <c r="K12" s="39"/>
      <c r="L12" s="39"/>
      <c r="M12" s="39"/>
      <c r="N12" s="39"/>
      <c r="O12" s="39"/>
      <c r="P12" s="39"/>
      <c r="Q12" s="39"/>
    </row>
    <row r="13" spans="1:17" x14ac:dyDescent="0.25">
      <c r="A13" s="39"/>
      <c r="B13" s="39"/>
      <c r="C13" s="39"/>
      <c r="D13" s="39" t="s">
        <v>5771</v>
      </c>
      <c r="E13" s="39"/>
      <c r="F13" s="39">
        <v>4.15E-3</v>
      </c>
      <c r="G13" s="39" t="s">
        <v>7286</v>
      </c>
      <c r="H13" s="39"/>
      <c r="I13" s="39"/>
      <c r="J13" s="39"/>
      <c r="K13" s="39"/>
      <c r="L13" s="39"/>
      <c r="M13" s="39"/>
      <c r="N13" s="39"/>
      <c r="O13" s="39"/>
      <c r="P13" s="39"/>
      <c r="Q13" s="39"/>
    </row>
    <row r="14" spans="1:17" x14ac:dyDescent="0.25">
      <c r="A14" s="39"/>
      <c r="B14" s="39"/>
      <c r="C14" s="39"/>
      <c r="D14" s="39" t="s">
        <v>3239</v>
      </c>
      <c r="E14" s="39"/>
      <c r="F14" s="39">
        <v>4.4999999999999997E-3</v>
      </c>
      <c r="G14" s="39" t="s">
        <v>7286</v>
      </c>
      <c r="H14" s="39"/>
      <c r="I14" s="39"/>
      <c r="J14" s="39"/>
      <c r="K14" s="39"/>
      <c r="L14" s="39"/>
      <c r="M14" s="39"/>
      <c r="N14" s="39"/>
      <c r="O14" s="39"/>
      <c r="P14" s="39"/>
      <c r="Q14" s="39"/>
    </row>
    <row r="15" spans="1:17" x14ac:dyDescent="0.25">
      <c r="A15" s="39"/>
      <c r="B15" s="39"/>
      <c r="C15" s="39"/>
      <c r="D15" s="39"/>
      <c r="E15" s="39"/>
      <c r="F15" s="39"/>
      <c r="G15" s="39"/>
      <c r="H15" s="39"/>
      <c r="I15" s="39"/>
      <c r="J15" s="39"/>
      <c r="K15" s="39"/>
      <c r="L15" s="39"/>
      <c r="M15" s="39"/>
      <c r="N15" s="39"/>
      <c r="O15" s="39"/>
      <c r="P15" s="39"/>
      <c r="Q15" s="39"/>
    </row>
    <row r="16" spans="1:17" x14ac:dyDescent="0.25">
      <c r="A16" s="39"/>
      <c r="B16" s="39"/>
      <c r="C16" s="39"/>
      <c r="D16" s="39"/>
      <c r="E16" s="39"/>
      <c r="F16" s="39"/>
      <c r="G16" s="39"/>
      <c r="H16" s="39"/>
      <c r="I16" s="39"/>
      <c r="J16" s="39"/>
      <c r="K16" s="39"/>
      <c r="L16" s="39"/>
      <c r="M16" s="39"/>
      <c r="N16" s="39"/>
      <c r="O16" s="39"/>
      <c r="P16" s="39"/>
      <c r="Q16" s="39"/>
    </row>
    <row r="17" spans="1:17" x14ac:dyDescent="0.25">
      <c r="A17" s="39"/>
      <c r="B17" s="39"/>
      <c r="C17" s="39"/>
      <c r="D17" s="39"/>
      <c r="E17" s="39"/>
      <c r="F17" s="39"/>
      <c r="G17" s="39"/>
      <c r="H17" s="39"/>
      <c r="I17" s="39"/>
      <c r="J17" s="39"/>
      <c r="K17" s="39"/>
      <c r="L17" s="39"/>
      <c r="M17" s="39"/>
      <c r="N17" s="39"/>
      <c r="O17" s="39"/>
      <c r="P17" s="39"/>
      <c r="Q17" s="39"/>
    </row>
    <row r="19" spans="1:17" x14ac:dyDescent="0.25">
      <c r="A19" s="227" t="s">
        <v>1298</v>
      </c>
      <c r="B19" s="227"/>
      <c r="C19" s="227"/>
      <c r="D19" s="227"/>
      <c r="E19" s="227"/>
      <c r="F19" s="227"/>
      <c r="G19" s="227"/>
      <c r="H19" s="227"/>
      <c r="I19" s="227"/>
      <c r="J19" s="227"/>
      <c r="K19" s="227"/>
      <c r="L19" s="227"/>
      <c r="M19" s="227"/>
      <c r="N19" s="227"/>
      <c r="O19" s="227"/>
      <c r="P19" s="227"/>
      <c r="Q19" s="227"/>
    </row>
    <row r="20" spans="1:17" x14ac:dyDescent="0.25">
      <c r="A20" s="36" t="s">
        <v>1245</v>
      </c>
      <c r="B20" s="37"/>
      <c r="C20" s="36" t="s">
        <v>1341</v>
      </c>
      <c r="D20" s="37"/>
      <c r="E20" s="37"/>
      <c r="F20" s="37"/>
      <c r="G20" s="37"/>
      <c r="H20" s="37"/>
      <c r="I20" s="37"/>
      <c r="J20" s="37"/>
      <c r="K20" s="37"/>
      <c r="L20" s="37"/>
      <c r="M20" s="37"/>
      <c r="N20" s="37"/>
      <c r="O20" s="37"/>
      <c r="P20" s="37"/>
      <c r="Q20" s="37"/>
    </row>
    <row r="21" spans="1:17" x14ac:dyDescent="0.25">
      <c r="A21" s="37" t="s">
        <v>1246</v>
      </c>
      <c r="B21" s="37"/>
      <c r="C21" s="37" t="s">
        <v>1342</v>
      </c>
      <c r="D21" s="37"/>
      <c r="E21" s="37"/>
      <c r="F21" s="37"/>
      <c r="G21" s="37"/>
      <c r="H21" s="37"/>
      <c r="I21" s="37"/>
      <c r="J21" s="37"/>
      <c r="K21" s="37"/>
      <c r="L21" s="37"/>
      <c r="M21" s="37"/>
      <c r="N21" s="37"/>
      <c r="O21" s="37"/>
      <c r="P21" s="37"/>
      <c r="Q21" s="37"/>
    </row>
    <row r="22" spans="1:17" x14ac:dyDescent="0.25">
      <c r="A22" s="37" t="s">
        <v>1274</v>
      </c>
      <c r="B22" s="37"/>
      <c r="C22" s="37" t="s">
        <v>1343</v>
      </c>
      <c r="D22" s="37"/>
      <c r="E22" s="37"/>
      <c r="F22" s="37"/>
      <c r="G22" s="37"/>
      <c r="H22" s="37"/>
      <c r="I22" s="37"/>
      <c r="J22" s="37"/>
      <c r="K22" s="37"/>
      <c r="L22" s="37"/>
      <c r="M22" s="37"/>
      <c r="N22" s="37"/>
      <c r="O22" s="37"/>
      <c r="P22" s="37"/>
      <c r="Q22" s="37"/>
    </row>
    <row r="23" spans="1:17" x14ac:dyDescent="0.25">
      <c r="A23" s="37" t="s">
        <v>1568</v>
      </c>
      <c r="B23" s="37"/>
      <c r="C23" s="37"/>
      <c r="D23" s="37"/>
      <c r="E23" s="37"/>
      <c r="F23" s="37"/>
      <c r="G23" s="37"/>
      <c r="H23" s="37"/>
      <c r="I23" s="37"/>
      <c r="J23" s="37"/>
      <c r="K23" s="37"/>
      <c r="L23" s="37"/>
      <c r="M23" s="37"/>
      <c r="N23" s="37"/>
      <c r="O23" s="37"/>
      <c r="P23" s="37"/>
      <c r="Q23" s="37"/>
    </row>
    <row r="24" spans="1:17" x14ac:dyDescent="0.25">
      <c r="A24" s="37" t="s">
        <v>1367</v>
      </c>
      <c r="B24" s="37"/>
      <c r="C24" s="37"/>
      <c r="D24" s="37"/>
      <c r="E24" s="37"/>
      <c r="F24" s="37"/>
      <c r="G24" s="37"/>
      <c r="H24" s="37"/>
      <c r="I24" s="37"/>
      <c r="J24" s="37"/>
      <c r="K24" s="37"/>
      <c r="L24" s="37"/>
      <c r="M24" s="37"/>
      <c r="N24" s="37"/>
      <c r="O24" s="37"/>
      <c r="P24" s="37"/>
      <c r="Q24" s="37"/>
    </row>
    <row r="25" spans="1:17" x14ac:dyDescent="0.25">
      <c r="A25" s="37" t="s">
        <v>1293</v>
      </c>
      <c r="B25" s="37"/>
      <c r="C25" s="37"/>
      <c r="D25" s="37"/>
      <c r="E25" s="37"/>
      <c r="F25" s="37"/>
      <c r="G25" s="37"/>
      <c r="H25" s="37"/>
      <c r="I25" s="37"/>
      <c r="J25" s="37"/>
      <c r="K25" s="37"/>
      <c r="L25" s="37"/>
      <c r="M25" s="37"/>
      <c r="N25" s="37"/>
      <c r="O25" s="37"/>
      <c r="P25" s="37"/>
      <c r="Q25" s="37"/>
    </row>
    <row r="26" spans="1:17" s="6" customFormat="1" x14ac:dyDescent="0.25"/>
    <row r="27" spans="1:17" x14ac:dyDescent="0.25">
      <c r="A27" s="36" t="s">
        <v>1275</v>
      </c>
      <c r="B27" s="37"/>
      <c r="C27" s="37"/>
      <c r="D27" s="36" t="s">
        <v>1291</v>
      </c>
      <c r="E27" s="37"/>
      <c r="F27" s="37"/>
      <c r="G27" s="36" t="s">
        <v>1294</v>
      </c>
      <c r="H27" s="37"/>
      <c r="I27" s="37"/>
      <c r="J27" s="37"/>
      <c r="K27" s="36" t="s">
        <v>1295</v>
      </c>
      <c r="L27" s="37"/>
      <c r="M27" s="37"/>
      <c r="N27" s="36" t="s">
        <v>1265</v>
      </c>
      <c r="O27" s="37"/>
      <c r="P27" s="37"/>
      <c r="Q27" s="36" t="s">
        <v>1351</v>
      </c>
    </row>
    <row r="28" spans="1:17" x14ac:dyDescent="0.25">
      <c r="A28" s="37" t="s">
        <v>535</v>
      </c>
      <c r="B28" s="37"/>
      <c r="C28" s="37"/>
      <c r="D28" s="37" t="s">
        <v>1292</v>
      </c>
      <c r="E28" s="37"/>
      <c r="F28" s="37"/>
      <c r="G28" s="37" t="s">
        <v>1247</v>
      </c>
      <c r="H28" s="37"/>
      <c r="I28" s="37"/>
      <c r="J28" s="37"/>
      <c r="K28" s="37" t="s">
        <v>1296</v>
      </c>
      <c r="L28" s="37"/>
      <c r="M28" s="37"/>
      <c r="N28" s="37" t="s">
        <v>1266</v>
      </c>
      <c r="O28" s="37"/>
      <c r="P28" s="37"/>
      <c r="Q28" s="37" t="s">
        <v>1352</v>
      </c>
    </row>
    <row r="29" spans="1:17" x14ac:dyDescent="0.25">
      <c r="A29" s="37" t="s">
        <v>1052</v>
      </c>
      <c r="B29" s="37"/>
      <c r="C29" s="37"/>
      <c r="D29" s="37" t="s">
        <v>1293</v>
      </c>
      <c r="E29" s="37"/>
      <c r="F29" s="37"/>
      <c r="G29" s="37" t="s">
        <v>1248</v>
      </c>
      <c r="H29" s="37"/>
      <c r="I29" s="37"/>
      <c r="J29" s="37"/>
      <c r="K29" s="37" t="s">
        <v>1297</v>
      </c>
      <c r="L29" s="37"/>
      <c r="M29" s="37"/>
      <c r="N29" s="37" t="s">
        <v>1396</v>
      </c>
      <c r="O29" s="37"/>
      <c r="P29" s="37"/>
      <c r="Q29" s="37" t="s">
        <v>1353</v>
      </c>
    </row>
    <row r="30" spans="1:17" x14ac:dyDescent="0.25">
      <c r="A30" s="37" t="s">
        <v>533</v>
      </c>
      <c r="B30" s="37"/>
      <c r="C30" s="37"/>
      <c r="D30" s="37" t="s">
        <v>1243</v>
      </c>
      <c r="E30" s="37"/>
      <c r="F30" s="37"/>
      <c r="G30" s="37" t="s">
        <v>1249</v>
      </c>
      <c r="H30" s="37"/>
      <c r="I30" s="37"/>
      <c r="J30" s="37"/>
      <c r="K30" s="37"/>
      <c r="L30" s="37"/>
      <c r="M30" s="37"/>
      <c r="N30" s="37" t="s">
        <v>1269</v>
      </c>
      <c r="O30" s="37"/>
      <c r="P30" s="37"/>
      <c r="Q30" s="37" t="s">
        <v>1355</v>
      </c>
    </row>
    <row r="31" spans="1:17" x14ac:dyDescent="0.25">
      <c r="A31" s="37" t="s">
        <v>1276</v>
      </c>
      <c r="B31" s="37"/>
      <c r="C31" s="37"/>
      <c r="D31" s="37" t="s">
        <v>1267</v>
      </c>
      <c r="E31" s="37"/>
      <c r="F31" s="37"/>
      <c r="G31" s="37" t="s">
        <v>1250</v>
      </c>
      <c r="H31" s="37"/>
      <c r="I31" s="37"/>
      <c r="J31" s="37"/>
      <c r="K31" s="37"/>
      <c r="L31" s="37"/>
      <c r="M31" s="37"/>
      <c r="N31" s="37" t="s">
        <v>1255</v>
      </c>
      <c r="O31" s="37"/>
      <c r="P31" s="37"/>
      <c r="Q31" s="37" t="s">
        <v>1354</v>
      </c>
    </row>
    <row r="32" spans="1:17" x14ac:dyDescent="0.25">
      <c r="A32" s="37" t="s">
        <v>537</v>
      </c>
      <c r="B32" s="37"/>
      <c r="C32" s="37"/>
      <c r="D32" s="37" t="s">
        <v>1350</v>
      </c>
      <c r="E32" s="37"/>
      <c r="F32" s="37"/>
      <c r="G32" s="37" t="s">
        <v>1251</v>
      </c>
      <c r="H32" s="37"/>
      <c r="I32" s="37"/>
      <c r="J32" s="37"/>
      <c r="K32" s="37"/>
      <c r="L32" s="37"/>
      <c r="M32" s="37"/>
      <c r="N32" s="37"/>
      <c r="O32" s="37"/>
      <c r="P32" s="37"/>
      <c r="Q32" s="37" t="s">
        <v>581</v>
      </c>
    </row>
    <row r="33" spans="1:17" x14ac:dyDescent="0.25">
      <c r="A33" s="37" t="s">
        <v>1277</v>
      </c>
      <c r="B33" s="37"/>
      <c r="C33" s="37"/>
      <c r="D33" s="37" t="s">
        <v>1424</v>
      </c>
      <c r="E33" s="37"/>
      <c r="F33" s="37"/>
      <c r="G33" s="37" t="s">
        <v>1252</v>
      </c>
      <c r="H33" s="37"/>
      <c r="I33" s="37"/>
      <c r="J33" s="37"/>
      <c r="K33" s="37"/>
      <c r="L33" s="37"/>
      <c r="M33" s="37"/>
      <c r="N33" s="37"/>
      <c r="O33" s="37"/>
      <c r="P33" s="37"/>
      <c r="Q33" s="37"/>
    </row>
    <row r="34" spans="1:17" x14ac:dyDescent="0.25">
      <c r="A34" s="37" t="s">
        <v>1278</v>
      </c>
      <c r="B34" s="37"/>
      <c r="C34" s="37"/>
      <c r="D34" s="37" t="s">
        <v>1268</v>
      </c>
      <c r="E34" s="37"/>
      <c r="F34" s="37"/>
      <c r="G34" s="37" t="s">
        <v>1253</v>
      </c>
      <c r="H34" s="37"/>
      <c r="I34" s="37"/>
      <c r="J34" s="37"/>
      <c r="K34" s="37"/>
      <c r="L34" s="37"/>
      <c r="M34" s="37"/>
      <c r="N34" s="37"/>
      <c r="O34" s="37"/>
      <c r="P34" s="37"/>
      <c r="Q34" s="37"/>
    </row>
    <row r="35" spans="1:17" x14ac:dyDescent="0.25">
      <c r="A35" s="37" t="s">
        <v>1279</v>
      </c>
      <c r="B35" s="37"/>
      <c r="C35" s="37"/>
      <c r="D35" s="37" t="s">
        <v>1270</v>
      </c>
      <c r="E35" s="37"/>
      <c r="F35" s="37"/>
      <c r="G35" s="37" t="s">
        <v>1254</v>
      </c>
      <c r="H35" s="37"/>
      <c r="I35" s="37"/>
      <c r="J35" s="37"/>
      <c r="K35" s="37"/>
      <c r="L35" s="37"/>
      <c r="M35" s="37"/>
      <c r="N35" s="37"/>
      <c r="O35" s="37"/>
      <c r="P35" s="37"/>
      <c r="Q35" s="37"/>
    </row>
    <row r="36" spans="1:17" x14ac:dyDescent="0.25">
      <c r="A36" s="37" t="s">
        <v>1280</v>
      </c>
      <c r="B36" s="37"/>
      <c r="C36" s="37"/>
      <c r="D36" s="37"/>
      <c r="E36" s="37"/>
      <c r="F36" s="37"/>
      <c r="G36" s="37"/>
      <c r="H36" s="37"/>
      <c r="I36" s="37"/>
      <c r="J36" s="37"/>
      <c r="K36" s="37"/>
      <c r="L36" s="37"/>
      <c r="M36" s="37"/>
      <c r="N36" s="37"/>
      <c r="O36" s="37"/>
      <c r="P36" s="37"/>
      <c r="Q36" s="37"/>
    </row>
    <row r="37" spans="1:17" x14ac:dyDescent="0.25">
      <c r="A37" s="37" t="s">
        <v>1281</v>
      </c>
      <c r="B37" s="37"/>
      <c r="C37" s="37"/>
      <c r="D37" s="37"/>
      <c r="E37" s="37"/>
      <c r="F37" s="37"/>
      <c r="G37" s="37"/>
      <c r="H37" s="37"/>
      <c r="I37" s="37"/>
      <c r="J37" s="37"/>
      <c r="K37" s="37"/>
      <c r="L37" s="37"/>
      <c r="M37" s="37"/>
      <c r="N37" s="37"/>
      <c r="O37" s="37"/>
      <c r="P37" s="37"/>
      <c r="Q37" s="37"/>
    </row>
    <row r="38" spans="1:17" x14ac:dyDescent="0.25">
      <c r="A38" s="37" t="s">
        <v>542</v>
      </c>
      <c r="B38" s="37"/>
      <c r="C38" s="37"/>
      <c r="D38" s="37"/>
      <c r="E38" s="37"/>
      <c r="F38" s="37"/>
      <c r="G38" s="37"/>
      <c r="H38" s="37"/>
      <c r="I38" s="37"/>
      <c r="J38" s="37"/>
      <c r="K38" s="37"/>
      <c r="L38" s="37"/>
      <c r="M38" s="37"/>
      <c r="N38" s="37"/>
      <c r="O38" s="37"/>
      <c r="P38" s="37"/>
      <c r="Q38" s="37"/>
    </row>
    <row r="39" spans="1:17" x14ac:dyDescent="0.25">
      <c r="A39" s="37" t="s">
        <v>1062</v>
      </c>
      <c r="B39" s="37"/>
      <c r="C39" s="37"/>
      <c r="D39" s="37"/>
      <c r="E39" s="37"/>
      <c r="F39" s="37"/>
      <c r="G39" s="37"/>
      <c r="H39" s="37"/>
      <c r="I39" s="37"/>
      <c r="J39" s="37"/>
      <c r="K39" s="37"/>
      <c r="L39" s="37"/>
      <c r="M39" s="37"/>
      <c r="N39" s="37"/>
      <c r="O39" s="37"/>
      <c r="P39" s="37"/>
      <c r="Q39" s="37"/>
    </row>
    <row r="40" spans="1:17" x14ac:dyDescent="0.25">
      <c r="A40" s="37" t="s">
        <v>539</v>
      </c>
      <c r="B40" s="37"/>
      <c r="C40" s="37"/>
      <c r="D40" s="37"/>
      <c r="E40" s="37"/>
      <c r="F40" s="37"/>
      <c r="G40" s="37"/>
      <c r="H40" s="37"/>
      <c r="I40" s="37"/>
      <c r="J40" s="37"/>
      <c r="K40" s="37"/>
      <c r="L40" s="37"/>
      <c r="M40" s="37"/>
      <c r="N40" s="37"/>
      <c r="O40" s="37"/>
      <c r="P40" s="37"/>
      <c r="Q40" s="37"/>
    </row>
    <row r="41" spans="1:17" x14ac:dyDescent="0.25">
      <c r="A41" s="37" t="s">
        <v>538</v>
      </c>
      <c r="B41" s="37"/>
      <c r="C41" s="37"/>
      <c r="D41" s="37"/>
      <c r="E41" s="37"/>
      <c r="F41" s="37"/>
      <c r="G41" s="37"/>
      <c r="H41" s="37"/>
      <c r="I41" s="37"/>
      <c r="J41" s="37"/>
      <c r="K41" s="37"/>
      <c r="L41" s="37"/>
      <c r="M41" s="37"/>
      <c r="N41" s="37"/>
      <c r="O41" s="37"/>
      <c r="P41" s="37"/>
      <c r="Q41" s="37"/>
    </row>
    <row r="42" spans="1:17" x14ac:dyDescent="0.25">
      <c r="A42" s="37" t="s">
        <v>975</v>
      </c>
      <c r="B42" s="37"/>
      <c r="C42" s="37"/>
      <c r="D42" s="37"/>
      <c r="E42" s="37"/>
      <c r="F42" s="37"/>
      <c r="G42" s="37"/>
      <c r="H42" s="37"/>
      <c r="I42" s="37"/>
      <c r="J42" s="37"/>
      <c r="K42" s="37"/>
      <c r="L42" s="37"/>
      <c r="M42" s="37"/>
      <c r="N42" s="37"/>
      <c r="O42" s="37"/>
      <c r="P42" s="37"/>
      <c r="Q42" s="37"/>
    </row>
    <row r="43" spans="1:17" x14ac:dyDescent="0.25">
      <c r="A43" s="37" t="s">
        <v>1282</v>
      </c>
      <c r="B43" s="37"/>
      <c r="C43" s="37"/>
      <c r="D43" s="37"/>
      <c r="E43" s="37"/>
      <c r="F43" s="37"/>
      <c r="G43" s="37"/>
      <c r="H43" s="37"/>
      <c r="I43" s="37"/>
      <c r="J43" s="37"/>
      <c r="K43" s="37"/>
      <c r="L43" s="37"/>
      <c r="M43" s="37"/>
      <c r="N43" s="37"/>
      <c r="O43" s="37"/>
      <c r="P43" s="37"/>
      <c r="Q43" s="37"/>
    </row>
    <row r="44" spans="1:17" x14ac:dyDescent="0.25">
      <c r="A44" s="37" t="s">
        <v>1067</v>
      </c>
      <c r="B44" s="37"/>
      <c r="C44" s="37"/>
      <c r="D44" s="37"/>
      <c r="E44" s="37"/>
      <c r="F44" s="37"/>
      <c r="G44" s="37"/>
      <c r="H44" s="37"/>
      <c r="I44" s="37"/>
      <c r="J44" s="37"/>
      <c r="K44" s="37"/>
      <c r="L44" s="37"/>
      <c r="M44" s="37"/>
      <c r="N44" s="37"/>
      <c r="O44" s="37"/>
      <c r="P44" s="37"/>
      <c r="Q44" s="37"/>
    </row>
    <row r="45" spans="1:17" x14ac:dyDescent="0.25">
      <c r="A45" s="37" t="s">
        <v>1283</v>
      </c>
      <c r="B45" s="37"/>
      <c r="C45" s="37"/>
      <c r="D45" s="37"/>
      <c r="E45" s="37"/>
      <c r="F45" s="37"/>
      <c r="G45" s="37"/>
      <c r="H45" s="37"/>
      <c r="I45" s="37"/>
      <c r="J45" s="37"/>
      <c r="K45" s="37"/>
      <c r="L45" s="37"/>
      <c r="M45" s="37"/>
      <c r="N45" s="37"/>
      <c r="O45" s="37"/>
      <c r="P45" s="37"/>
      <c r="Q45" s="37"/>
    </row>
    <row r="46" spans="1:17" x14ac:dyDescent="0.25">
      <c r="A46" s="37" t="s">
        <v>1284</v>
      </c>
      <c r="B46" s="37"/>
      <c r="C46" s="37"/>
      <c r="D46" s="37"/>
      <c r="E46" s="37"/>
      <c r="F46" s="37"/>
      <c r="G46" s="37"/>
      <c r="H46" s="37"/>
      <c r="I46" s="37"/>
      <c r="J46" s="37"/>
      <c r="K46" s="37"/>
      <c r="L46" s="37"/>
      <c r="M46" s="37"/>
      <c r="N46" s="37"/>
      <c r="O46" s="37"/>
      <c r="P46" s="37"/>
      <c r="Q46" s="37"/>
    </row>
    <row r="47" spans="1:17" x14ac:dyDescent="0.25">
      <c r="A47" s="37" t="s">
        <v>1285</v>
      </c>
      <c r="B47" s="37"/>
      <c r="C47" s="37"/>
      <c r="D47" s="37"/>
      <c r="E47" s="37"/>
      <c r="F47" s="37"/>
      <c r="G47" s="37"/>
      <c r="H47" s="37"/>
      <c r="I47" s="37"/>
      <c r="J47" s="37"/>
      <c r="K47" s="37"/>
      <c r="L47" s="37"/>
      <c r="M47" s="37"/>
      <c r="N47" s="37"/>
      <c r="O47" s="37"/>
      <c r="P47" s="37"/>
      <c r="Q47" s="37"/>
    </row>
    <row r="48" spans="1:17" x14ac:dyDescent="0.25">
      <c r="A48" s="37" t="s">
        <v>1286</v>
      </c>
      <c r="B48" s="37"/>
      <c r="C48" s="37"/>
      <c r="D48" s="37"/>
      <c r="E48" s="37"/>
      <c r="F48" s="37"/>
      <c r="G48" s="37"/>
      <c r="H48" s="37"/>
      <c r="I48" s="37"/>
      <c r="J48" s="37"/>
      <c r="K48" s="37"/>
      <c r="L48" s="37"/>
      <c r="M48" s="37"/>
      <c r="N48" s="37"/>
      <c r="O48" s="37"/>
      <c r="P48" s="37"/>
      <c r="Q48" s="37"/>
    </row>
    <row r="49" spans="1:26" x14ac:dyDescent="0.25">
      <c r="A49" s="37" t="s">
        <v>1287</v>
      </c>
      <c r="B49" s="37"/>
      <c r="C49" s="37"/>
      <c r="D49" s="37"/>
      <c r="E49" s="37"/>
      <c r="F49" s="37"/>
      <c r="G49" s="37"/>
      <c r="H49" s="37"/>
      <c r="I49" s="37"/>
      <c r="J49" s="37"/>
      <c r="K49" s="37"/>
      <c r="L49" s="37"/>
      <c r="M49" s="37"/>
      <c r="N49" s="37"/>
      <c r="O49" s="37"/>
      <c r="P49" s="37"/>
      <c r="Q49" s="37"/>
    </row>
    <row r="50" spans="1:26" x14ac:dyDescent="0.25">
      <c r="A50" s="37" t="s">
        <v>1288</v>
      </c>
      <c r="B50" s="37"/>
      <c r="C50" s="37"/>
      <c r="D50" s="37"/>
      <c r="E50" s="37"/>
      <c r="F50" s="37"/>
      <c r="G50" s="37"/>
      <c r="H50" s="37"/>
      <c r="I50" s="37"/>
      <c r="J50" s="37"/>
      <c r="K50" s="37"/>
      <c r="L50" s="37"/>
      <c r="M50" s="37"/>
      <c r="N50" s="37"/>
      <c r="O50" s="37"/>
      <c r="P50" s="37"/>
      <c r="Q50" s="37"/>
    </row>
    <row r="51" spans="1:26" x14ac:dyDescent="0.25">
      <c r="A51" s="37" t="s">
        <v>1289</v>
      </c>
      <c r="B51" s="37"/>
      <c r="C51" s="37"/>
      <c r="D51" s="37"/>
      <c r="E51" s="37"/>
      <c r="F51" s="37"/>
      <c r="G51" s="37"/>
      <c r="H51" s="37"/>
      <c r="I51" s="37"/>
      <c r="J51" s="37"/>
      <c r="K51" s="37"/>
      <c r="L51" s="37"/>
      <c r="M51" s="37"/>
      <c r="N51" s="37"/>
      <c r="O51" s="37"/>
      <c r="P51" s="37"/>
      <c r="Q51" s="37"/>
    </row>
    <row r="52" spans="1:26" x14ac:dyDescent="0.25">
      <c r="A52" s="37" t="s">
        <v>1290</v>
      </c>
      <c r="B52" s="37"/>
      <c r="C52" s="37"/>
      <c r="D52" s="37"/>
      <c r="E52" s="37"/>
      <c r="F52" s="37"/>
      <c r="G52" s="37"/>
      <c r="H52" s="37"/>
      <c r="I52" s="37"/>
      <c r="J52" s="37"/>
      <c r="K52" s="37"/>
      <c r="L52" s="37"/>
      <c r="M52" s="37"/>
      <c r="N52" s="37"/>
      <c r="O52" s="37"/>
      <c r="P52" s="37"/>
      <c r="Q52" s="37"/>
    </row>
    <row r="53" spans="1:26" x14ac:dyDescent="0.25">
      <c r="A53" s="37" t="s">
        <v>1046</v>
      </c>
      <c r="B53" s="37"/>
      <c r="C53" s="37"/>
      <c r="D53" s="37"/>
      <c r="E53" s="37"/>
      <c r="F53" s="37"/>
      <c r="G53" s="37"/>
      <c r="H53" s="37"/>
      <c r="I53" s="37"/>
      <c r="J53" s="37"/>
      <c r="K53" s="37"/>
      <c r="L53" s="37"/>
      <c r="M53" s="37"/>
      <c r="N53" s="37"/>
      <c r="O53" s="37"/>
      <c r="P53" s="37"/>
      <c r="Q53" s="37"/>
    </row>
    <row r="54" spans="1:26" x14ac:dyDescent="0.25">
      <c r="A54" s="37" t="s">
        <v>536</v>
      </c>
      <c r="B54" s="37"/>
      <c r="C54" s="37"/>
      <c r="D54" s="37"/>
      <c r="E54" s="37"/>
      <c r="F54" s="37"/>
      <c r="G54" s="37"/>
      <c r="H54" s="37"/>
      <c r="I54" s="37"/>
      <c r="J54" s="37"/>
      <c r="K54" s="37"/>
      <c r="L54" s="37"/>
      <c r="M54" s="37"/>
      <c r="N54" s="37"/>
      <c r="O54" s="37"/>
      <c r="P54" s="37"/>
      <c r="Q54" s="37"/>
    </row>
    <row r="55" spans="1:26" x14ac:dyDescent="0.25">
      <c r="A55" s="37" t="s">
        <v>866</v>
      </c>
      <c r="B55" s="37"/>
      <c r="C55" s="37"/>
      <c r="D55" s="37"/>
      <c r="E55" s="37"/>
      <c r="F55" s="37"/>
      <c r="G55" s="37"/>
      <c r="H55" s="37"/>
      <c r="I55" s="37"/>
      <c r="J55" s="37"/>
      <c r="K55" s="37"/>
      <c r="L55" s="37"/>
      <c r="M55" s="37"/>
      <c r="N55" s="37"/>
      <c r="O55" s="37"/>
      <c r="P55" s="37"/>
      <c r="Q55" s="37"/>
    </row>
    <row r="56" spans="1:26" x14ac:dyDescent="0.25">
      <c r="A56" s="37"/>
      <c r="B56" s="37"/>
      <c r="C56" s="37"/>
      <c r="D56" s="37"/>
      <c r="E56" s="37"/>
      <c r="F56" s="37"/>
      <c r="G56" s="37"/>
      <c r="H56" s="37"/>
      <c r="I56" s="37"/>
      <c r="J56" s="37"/>
      <c r="K56" s="37"/>
      <c r="L56" s="37"/>
      <c r="M56" s="37"/>
      <c r="N56" s="37"/>
      <c r="O56" s="37"/>
      <c r="P56" s="37"/>
      <c r="Q56" s="37"/>
    </row>
    <row r="57" spans="1:26" s="6" customFormat="1" x14ac:dyDescent="0.25"/>
    <row r="58" spans="1:26" x14ac:dyDescent="0.25">
      <c r="A58" s="36" t="s">
        <v>1299</v>
      </c>
      <c r="B58" s="37"/>
      <c r="C58" s="37"/>
      <c r="D58" s="36" t="s">
        <v>1316</v>
      </c>
      <c r="E58" s="37"/>
      <c r="F58" s="37"/>
      <c r="G58" s="36" t="s">
        <v>1295</v>
      </c>
      <c r="H58" s="37"/>
      <c r="I58" s="37"/>
      <c r="J58" s="36" t="s">
        <v>1265</v>
      </c>
      <c r="K58" s="36"/>
      <c r="L58" s="37"/>
      <c r="M58" s="37"/>
      <c r="N58" s="36" t="s">
        <v>2207</v>
      </c>
      <c r="O58" s="37"/>
      <c r="P58" s="37"/>
      <c r="Q58" s="37"/>
      <c r="S58" s="36" t="s">
        <v>1421</v>
      </c>
      <c r="T58" s="37"/>
      <c r="U58" s="37"/>
      <c r="V58" s="36" t="s">
        <v>1512</v>
      </c>
      <c r="W58" s="36"/>
      <c r="X58" s="37"/>
      <c r="Y58" s="36" t="s">
        <v>1422</v>
      </c>
      <c r="Z58" s="37"/>
    </row>
    <row r="59" spans="1:26" x14ac:dyDescent="0.25">
      <c r="A59" s="37" t="s">
        <v>1300</v>
      </c>
      <c r="B59" s="37"/>
      <c r="C59" s="37"/>
      <c r="D59" s="37" t="s">
        <v>2209</v>
      </c>
      <c r="E59" s="37"/>
      <c r="F59" s="37"/>
      <c r="G59" s="37" t="s">
        <v>1296</v>
      </c>
      <c r="H59" s="37"/>
      <c r="I59" s="37"/>
      <c r="J59" s="37" t="s">
        <v>1266</v>
      </c>
      <c r="K59" s="37"/>
      <c r="L59" s="37"/>
      <c r="M59" s="37"/>
      <c r="N59" s="37" t="s">
        <v>1321</v>
      </c>
      <c r="O59" s="37"/>
      <c r="P59" s="37"/>
      <c r="Q59" s="37"/>
      <c r="S59" s="37" t="s">
        <v>535</v>
      </c>
      <c r="T59" s="37"/>
      <c r="U59" s="37"/>
      <c r="V59" s="37" t="s">
        <v>1513</v>
      </c>
      <c r="W59" s="37"/>
      <c r="X59" s="37"/>
      <c r="Y59" s="37" t="s">
        <v>1415</v>
      </c>
      <c r="Z59" s="37"/>
    </row>
    <row r="60" spans="1:26" x14ac:dyDescent="0.25">
      <c r="A60" s="37" t="s">
        <v>1301</v>
      </c>
      <c r="B60" s="37"/>
      <c r="C60" s="37"/>
      <c r="D60" s="37" t="s">
        <v>1317</v>
      </c>
      <c r="E60" s="37"/>
      <c r="F60" s="37"/>
      <c r="G60" s="37" t="s">
        <v>1297</v>
      </c>
      <c r="H60" s="37"/>
      <c r="I60" s="37"/>
      <c r="J60" s="37" t="s">
        <v>1396</v>
      </c>
      <c r="K60" s="37"/>
      <c r="L60" s="37"/>
      <c r="M60" s="37"/>
      <c r="N60" s="37" t="s">
        <v>2208</v>
      </c>
      <c r="O60" s="37"/>
      <c r="P60" s="37"/>
      <c r="Q60" s="37"/>
      <c r="S60" s="37" t="s">
        <v>1050</v>
      </c>
      <c r="T60" s="37"/>
      <c r="U60" s="37"/>
      <c r="V60" s="37" t="s">
        <v>1514</v>
      </c>
      <c r="W60" s="37"/>
      <c r="X60" s="37"/>
      <c r="Y60" s="37" t="s">
        <v>1405</v>
      </c>
      <c r="Z60" s="37"/>
    </row>
    <row r="61" spans="1:26" x14ac:dyDescent="0.25">
      <c r="A61" s="37" t="s">
        <v>533</v>
      </c>
      <c r="B61" s="37"/>
      <c r="C61" s="37"/>
      <c r="D61" s="37" t="s">
        <v>2198</v>
      </c>
      <c r="E61" s="37"/>
      <c r="F61" s="37"/>
      <c r="G61" s="37"/>
      <c r="H61" s="37"/>
      <c r="I61" s="37"/>
      <c r="J61" s="37" t="s">
        <v>1269</v>
      </c>
      <c r="K61" s="37"/>
      <c r="L61" s="37"/>
      <c r="M61" s="37"/>
      <c r="N61" s="37" t="s">
        <v>1268</v>
      </c>
      <c r="O61" s="37"/>
      <c r="P61" s="37"/>
      <c r="Q61" s="37"/>
      <c r="S61" s="37" t="s">
        <v>533</v>
      </c>
      <c r="T61" s="37"/>
      <c r="U61" s="37"/>
      <c r="V61" s="37" t="s">
        <v>1515</v>
      </c>
      <c r="W61" s="37"/>
      <c r="X61" s="37"/>
      <c r="Y61" s="37" t="s">
        <v>1404</v>
      </c>
      <c r="Z61" s="37"/>
    </row>
    <row r="62" spans="1:26" x14ac:dyDescent="0.25">
      <c r="A62" s="37" t="s">
        <v>1276</v>
      </c>
      <c r="B62" s="37"/>
      <c r="C62" s="37"/>
      <c r="D62" s="37" t="s">
        <v>1318</v>
      </c>
      <c r="E62" s="37"/>
      <c r="F62" s="37"/>
      <c r="G62" s="37"/>
      <c r="H62" s="37"/>
      <c r="I62" s="37"/>
      <c r="J62" s="37" t="s">
        <v>1255</v>
      </c>
      <c r="K62" s="37"/>
      <c r="L62" s="37"/>
      <c r="M62" s="37"/>
      <c r="N62" s="37"/>
      <c r="O62" s="37"/>
      <c r="P62" s="37"/>
      <c r="Q62" s="37"/>
      <c r="S62" s="37" t="s">
        <v>1276</v>
      </c>
      <c r="T62" s="37"/>
      <c r="U62" s="37"/>
      <c r="V62" s="37" t="s">
        <v>1516</v>
      </c>
      <c r="W62" s="37"/>
      <c r="X62" s="37"/>
      <c r="Y62" s="37" t="s">
        <v>1050</v>
      </c>
      <c r="Z62" s="37"/>
    </row>
    <row r="63" spans="1:26" x14ac:dyDescent="0.25">
      <c r="A63" s="37" t="s">
        <v>555</v>
      </c>
      <c r="B63" s="37"/>
      <c r="C63" s="37"/>
      <c r="D63" s="37" t="s">
        <v>1319</v>
      </c>
      <c r="E63" s="37"/>
      <c r="F63" s="37"/>
      <c r="G63" s="37"/>
      <c r="H63" s="37"/>
      <c r="I63" s="37"/>
      <c r="J63" s="37"/>
      <c r="K63" s="37"/>
      <c r="L63" s="37"/>
      <c r="M63" s="37"/>
      <c r="N63" s="37"/>
      <c r="O63" s="37"/>
      <c r="P63" s="37"/>
      <c r="Q63" s="37"/>
      <c r="S63" s="37" t="s">
        <v>480</v>
      </c>
      <c r="T63" s="37"/>
      <c r="U63" s="37"/>
      <c r="V63" s="37" t="s">
        <v>1517</v>
      </c>
      <c r="W63" s="37"/>
      <c r="X63" s="37"/>
      <c r="Y63" s="37" t="s">
        <v>477</v>
      </c>
      <c r="Z63" s="37"/>
    </row>
    <row r="64" spans="1:26" x14ac:dyDescent="0.25">
      <c r="A64" s="37" t="s">
        <v>1302</v>
      </c>
      <c r="B64" s="37"/>
      <c r="C64" s="37"/>
      <c r="D64" s="37" t="s">
        <v>1657</v>
      </c>
      <c r="E64" s="37"/>
      <c r="F64" s="37"/>
      <c r="G64" s="37"/>
      <c r="H64" s="37"/>
      <c r="I64" s="37"/>
      <c r="J64" s="37"/>
      <c r="K64" s="37"/>
      <c r="L64" s="37"/>
      <c r="M64" s="37"/>
      <c r="N64" s="37"/>
      <c r="O64" s="37"/>
      <c r="P64" s="37"/>
      <c r="Q64" s="37"/>
      <c r="S64" s="37" t="s">
        <v>1303</v>
      </c>
      <c r="T64" s="37"/>
      <c r="U64" s="37"/>
      <c r="V64" s="37" t="s">
        <v>1518</v>
      </c>
      <c r="W64" s="37"/>
      <c r="X64" s="37"/>
      <c r="Y64" s="37" t="s">
        <v>479</v>
      </c>
      <c r="Z64" s="37"/>
    </row>
    <row r="65" spans="1:26" x14ac:dyDescent="0.25">
      <c r="A65" s="37" t="s">
        <v>1303</v>
      </c>
      <c r="B65" s="37"/>
      <c r="C65" s="37"/>
      <c r="D65" s="37" t="s">
        <v>1320</v>
      </c>
      <c r="E65" s="37"/>
      <c r="F65" s="37"/>
      <c r="G65" s="37"/>
      <c r="H65" s="37"/>
      <c r="I65" s="37"/>
      <c r="J65" s="37"/>
      <c r="K65" s="37"/>
      <c r="L65" s="37"/>
      <c r="M65" s="37"/>
      <c r="N65" s="37"/>
      <c r="O65" s="37"/>
      <c r="P65" s="37"/>
      <c r="Q65" s="37"/>
      <c r="S65" s="37" t="s">
        <v>1304</v>
      </c>
      <c r="T65" s="37"/>
      <c r="U65" s="37"/>
      <c r="V65" s="37" t="s">
        <v>1519</v>
      </c>
      <c r="W65" s="37"/>
      <c r="X65" s="37"/>
      <c r="Y65" s="37" t="s">
        <v>480</v>
      </c>
      <c r="Z65" s="37"/>
    </row>
    <row r="66" spans="1:26" x14ac:dyDescent="0.25">
      <c r="A66" s="37" t="s">
        <v>1304</v>
      </c>
      <c r="B66" s="37"/>
      <c r="C66" s="37"/>
      <c r="D66" s="37" t="s">
        <v>2199</v>
      </c>
      <c r="E66" s="37"/>
      <c r="F66" s="37"/>
      <c r="G66" s="37"/>
      <c r="H66" s="37"/>
      <c r="I66" s="37"/>
      <c r="J66" s="37"/>
      <c r="K66" s="37"/>
      <c r="L66" s="37"/>
      <c r="M66" s="37"/>
      <c r="N66" s="37"/>
      <c r="O66" s="37"/>
      <c r="P66" s="37"/>
      <c r="Q66" s="37"/>
      <c r="S66" s="37" t="s">
        <v>1305</v>
      </c>
      <c r="T66" s="37"/>
      <c r="U66" s="37"/>
      <c r="V66" s="37" t="s">
        <v>1520</v>
      </c>
      <c r="W66" s="37"/>
      <c r="X66" s="37"/>
      <c r="Y66" s="37" t="s">
        <v>1081</v>
      </c>
      <c r="Z66" s="37"/>
    </row>
    <row r="67" spans="1:26" x14ac:dyDescent="0.25">
      <c r="A67" s="37" t="s">
        <v>1305</v>
      </c>
      <c r="B67" s="37"/>
      <c r="C67" s="37"/>
      <c r="D67" s="37" t="s">
        <v>2200</v>
      </c>
      <c r="E67" s="37"/>
      <c r="F67" s="37"/>
      <c r="G67" s="37"/>
      <c r="H67" s="37"/>
      <c r="I67" s="37"/>
      <c r="J67" s="37"/>
      <c r="K67" s="37"/>
      <c r="L67" s="37"/>
      <c r="M67" s="37"/>
      <c r="N67" s="37"/>
      <c r="O67" s="37"/>
      <c r="P67" s="37"/>
      <c r="Q67" s="37"/>
      <c r="S67" s="37" t="s">
        <v>545</v>
      </c>
      <c r="T67" s="37"/>
      <c r="U67" s="37"/>
      <c r="V67" s="37" t="s">
        <v>1521</v>
      </c>
      <c r="W67" s="37"/>
      <c r="X67" s="37"/>
      <c r="Y67" s="37" t="s">
        <v>1409</v>
      </c>
      <c r="Z67" s="37"/>
    </row>
    <row r="68" spans="1:26" x14ac:dyDescent="0.25">
      <c r="A68" s="37" t="s">
        <v>545</v>
      </c>
      <c r="B68" s="37"/>
      <c r="C68" s="37"/>
      <c r="D68" s="37" t="s">
        <v>2206</v>
      </c>
      <c r="E68" s="37"/>
      <c r="F68" s="37"/>
      <c r="G68" s="37"/>
      <c r="H68" s="37"/>
      <c r="I68" s="37"/>
      <c r="J68" s="37"/>
      <c r="K68" s="37"/>
      <c r="L68" s="37"/>
      <c r="M68" s="37"/>
      <c r="N68" s="37"/>
      <c r="O68" s="37"/>
      <c r="P68" s="37"/>
      <c r="Q68" s="37"/>
      <c r="S68" s="37" t="s">
        <v>1403</v>
      </c>
      <c r="T68" s="37"/>
      <c r="U68" s="37"/>
      <c r="V68" s="37"/>
      <c r="W68" s="37"/>
      <c r="X68" s="37"/>
      <c r="Y68" s="37" t="s">
        <v>1408</v>
      </c>
      <c r="Z68" s="37"/>
    </row>
    <row r="69" spans="1:26" x14ac:dyDescent="0.25">
      <c r="A69" s="37" t="s">
        <v>1306</v>
      </c>
      <c r="B69" s="37"/>
      <c r="C69" s="37"/>
      <c r="D69" s="37" t="s">
        <v>2201</v>
      </c>
      <c r="E69" s="37"/>
      <c r="F69" s="37"/>
      <c r="G69" s="37"/>
      <c r="H69" s="37"/>
      <c r="I69" s="37"/>
      <c r="J69" s="37"/>
      <c r="K69" s="37"/>
      <c r="L69" s="37"/>
      <c r="M69" s="37"/>
      <c r="N69" s="37"/>
      <c r="O69" s="37"/>
      <c r="P69" s="37"/>
      <c r="Q69" s="37"/>
      <c r="S69" s="37" t="s">
        <v>1306</v>
      </c>
      <c r="T69" s="37"/>
      <c r="U69" s="37"/>
      <c r="V69" s="37"/>
      <c r="W69" s="37"/>
      <c r="X69" s="37"/>
      <c r="Y69" s="37" t="s">
        <v>1419</v>
      </c>
      <c r="Z69" s="37"/>
    </row>
    <row r="70" spans="1:26" x14ac:dyDescent="0.25">
      <c r="A70" s="37" t="s">
        <v>532</v>
      </c>
      <c r="B70" s="37"/>
      <c r="C70" s="37"/>
      <c r="D70" s="37"/>
      <c r="E70" s="37"/>
      <c r="F70" s="37"/>
      <c r="G70" s="37"/>
      <c r="H70" s="37"/>
      <c r="I70" s="37"/>
      <c r="J70" s="37"/>
      <c r="K70" s="37"/>
      <c r="L70" s="37"/>
      <c r="M70" s="37"/>
      <c r="N70" s="37"/>
      <c r="O70" s="37"/>
      <c r="P70" s="37"/>
      <c r="Q70" s="37"/>
      <c r="S70" s="37" t="s">
        <v>532</v>
      </c>
      <c r="T70" s="37"/>
      <c r="U70" s="37"/>
      <c r="V70" s="37"/>
      <c r="W70" s="37"/>
      <c r="X70" s="37"/>
      <c r="Y70" s="37" t="s">
        <v>486</v>
      </c>
      <c r="Z70" s="37"/>
    </row>
    <row r="71" spans="1:26" x14ac:dyDescent="0.25">
      <c r="A71" s="37" t="s">
        <v>530</v>
      </c>
      <c r="B71" s="37"/>
      <c r="C71" s="37"/>
      <c r="D71" s="37"/>
      <c r="E71" s="37"/>
      <c r="F71" s="37"/>
      <c r="G71" s="37"/>
      <c r="H71" s="37"/>
      <c r="I71" s="37"/>
      <c r="J71" s="37"/>
      <c r="K71" s="37"/>
      <c r="L71" s="37"/>
      <c r="M71" s="37"/>
      <c r="N71" s="37"/>
      <c r="O71" s="37"/>
      <c r="P71" s="37"/>
      <c r="Q71" s="37"/>
      <c r="S71" s="37" t="s">
        <v>530</v>
      </c>
      <c r="T71" s="37"/>
      <c r="U71" s="37"/>
      <c r="V71" s="37"/>
      <c r="W71" s="37"/>
      <c r="X71" s="37"/>
      <c r="Y71" s="37" t="s">
        <v>481</v>
      </c>
      <c r="Z71" s="37"/>
    </row>
    <row r="72" spans="1:26" x14ac:dyDescent="0.25">
      <c r="A72" s="37" t="s">
        <v>542</v>
      </c>
      <c r="B72" s="37"/>
      <c r="C72" s="37"/>
      <c r="D72" s="37"/>
      <c r="E72" s="37"/>
      <c r="F72" s="37"/>
      <c r="G72" s="37"/>
      <c r="H72" s="37"/>
      <c r="I72" s="37"/>
      <c r="J72" s="37"/>
      <c r="K72" s="37"/>
      <c r="L72" s="37"/>
      <c r="M72" s="37"/>
      <c r="N72" s="37"/>
      <c r="O72" s="37"/>
      <c r="P72" s="37"/>
      <c r="Q72" s="37"/>
      <c r="S72" s="37" t="s">
        <v>542</v>
      </c>
      <c r="T72" s="37"/>
      <c r="U72" s="37"/>
      <c r="V72" s="37"/>
      <c r="W72" s="37"/>
      <c r="X72" s="37"/>
      <c r="Y72" s="37" t="s">
        <v>488</v>
      </c>
      <c r="Z72" s="37"/>
    </row>
    <row r="73" spans="1:26" x14ac:dyDescent="0.25">
      <c r="A73" s="37" t="s">
        <v>1307</v>
      </c>
      <c r="B73" s="37"/>
      <c r="C73" s="37"/>
      <c r="D73" s="37"/>
      <c r="E73" s="37"/>
      <c r="F73" s="37"/>
      <c r="G73" s="37"/>
      <c r="H73" s="37"/>
      <c r="I73" s="37"/>
      <c r="J73" s="37"/>
      <c r="K73" s="37"/>
      <c r="L73" s="37"/>
      <c r="M73" s="37"/>
      <c r="N73" s="37"/>
      <c r="O73" s="37"/>
      <c r="P73" s="37"/>
      <c r="Q73" s="37"/>
      <c r="S73" s="37" t="s">
        <v>488</v>
      </c>
      <c r="T73" s="37"/>
      <c r="U73" s="37"/>
      <c r="V73" s="37"/>
      <c r="W73" s="37"/>
      <c r="X73" s="37"/>
      <c r="Y73" s="37" t="s">
        <v>1053</v>
      </c>
      <c r="Z73" s="37"/>
    </row>
    <row r="74" spans="1:26" x14ac:dyDescent="0.25">
      <c r="A74" s="37" t="s">
        <v>1308</v>
      </c>
      <c r="B74" s="37"/>
      <c r="C74" s="37"/>
      <c r="D74" s="37"/>
      <c r="E74" s="37"/>
      <c r="F74" s="37"/>
      <c r="G74" s="37"/>
      <c r="H74" s="37"/>
      <c r="I74" s="37"/>
      <c r="J74" s="37"/>
      <c r="K74" s="37"/>
      <c r="L74" s="37"/>
      <c r="M74" s="37"/>
      <c r="N74" s="37"/>
      <c r="O74" s="37"/>
      <c r="P74" s="37"/>
      <c r="Q74" s="37"/>
      <c r="S74" s="37" t="s">
        <v>1308</v>
      </c>
      <c r="T74" s="37"/>
      <c r="U74" s="37"/>
      <c r="V74" s="37"/>
      <c r="W74" s="37"/>
      <c r="X74" s="37"/>
      <c r="Y74" s="37" t="s">
        <v>1080</v>
      </c>
      <c r="Z74" s="37"/>
    </row>
    <row r="75" spans="1:26" x14ac:dyDescent="0.25">
      <c r="A75" s="37" t="s">
        <v>550</v>
      </c>
      <c r="B75" s="37"/>
      <c r="C75" s="37"/>
      <c r="D75" s="37"/>
      <c r="E75" s="37"/>
      <c r="F75" s="37"/>
      <c r="G75" s="37"/>
      <c r="H75" s="37"/>
      <c r="I75" s="37"/>
      <c r="J75" s="37"/>
      <c r="K75" s="37"/>
      <c r="L75" s="37"/>
      <c r="M75" s="37"/>
      <c r="N75" s="37"/>
      <c r="O75" s="37"/>
      <c r="P75" s="37"/>
      <c r="Q75" s="37"/>
      <c r="S75" s="37" t="s">
        <v>550</v>
      </c>
      <c r="T75" s="37"/>
      <c r="U75" s="37"/>
      <c r="V75" s="37"/>
      <c r="W75" s="37"/>
      <c r="X75" s="37"/>
      <c r="Y75" s="37" t="s">
        <v>490</v>
      </c>
      <c r="Z75" s="37"/>
    </row>
    <row r="76" spans="1:26" x14ac:dyDescent="0.25">
      <c r="A76" s="37" t="s">
        <v>1084</v>
      </c>
      <c r="B76" s="37"/>
      <c r="C76" s="37"/>
      <c r="D76" s="37"/>
      <c r="E76" s="37"/>
      <c r="F76" s="37"/>
      <c r="G76" s="37"/>
      <c r="H76" s="37"/>
      <c r="I76" s="37"/>
      <c r="J76" s="37"/>
      <c r="K76" s="37"/>
      <c r="L76" s="37"/>
      <c r="M76" s="37"/>
      <c r="N76" s="37"/>
      <c r="O76" s="37"/>
      <c r="P76" s="37"/>
      <c r="Q76" s="37"/>
      <c r="S76" s="37" t="s">
        <v>1084</v>
      </c>
      <c r="T76" s="37"/>
      <c r="U76" s="37"/>
      <c r="V76" s="37"/>
      <c r="W76" s="37"/>
      <c r="X76" s="37"/>
      <c r="Y76" s="37" t="s">
        <v>491</v>
      </c>
      <c r="Z76" s="37"/>
    </row>
    <row r="77" spans="1:26" x14ac:dyDescent="0.25">
      <c r="A77" s="37" t="s">
        <v>541</v>
      </c>
      <c r="B77" s="37"/>
      <c r="C77" s="37"/>
      <c r="D77" s="37"/>
      <c r="E77" s="37"/>
      <c r="F77" s="37"/>
      <c r="G77" s="37"/>
      <c r="H77" s="37"/>
      <c r="I77" s="37"/>
      <c r="J77" s="37"/>
      <c r="K77" s="37"/>
      <c r="L77" s="37"/>
      <c r="M77" s="37"/>
      <c r="N77" s="37"/>
      <c r="O77" s="37"/>
      <c r="P77" s="37"/>
      <c r="Q77" s="37"/>
      <c r="S77" s="37" t="s">
        <v>541</v>
      </c>
      <c r="T77" s="37"/>
      <c r="U77" s="37"/>
      <c r="V77" s="37"/>
      <c r="W77" s="37"/>
      <c r="X77" s="37"/>
      <c r="Y77" s="37" t="s">
        <v>1412</v>
      </c>
      <c r="Z77" s="37"/>
    </row>
    <row r="78" spans="1:26" x14ac:dyDescent="0.25">
      <c r="A78" s="37" t="s">
        <v>538</v>
      </c>
      <c r="B78" s="37"/>
      <c r="C78" s="37"/>
      <c r="D78" s="37"/>
      <c r="E78" s="37"/>
      <c r="F78" s="37"/>
      <c r="G78" s="37"/>
      <c r="H78" s="37"/>
      <c r="I78" s="37"/>
      <c r="J78" s="37"/>
      <c r="K78" s="37"/>
      <c r="L78" s="37"/>
      <c r="M78" s="37"/>
      <c r="N78" s="37"/>
      <c r="O78" s="37"/>
      <c r="P78" s="37"/>
      <c r="Q78" s="37"/>
      <c r="S78" s="37" t="s">
        <v>538</v>
      </c>
      <c r="T78" s="37"/>
      <c r="U78" s="37"/>
      <c r="V78" s="37"/>
      <c r="W78" s="37"/>
      <c r="X78" s="37"/>
      <c r="Y78" s="37" t="s">
        <v>1414</v>
      </c>
      <c r="Z78" s="37"/>
    </row>
    <row r="79" spans="1:26" x14ac:dyDescent="0.25">
      <c r="A79" s="37" t="s">
        <v>975</v>
      </c>
      <c r="B79" s="37"/>
      <c r="C79" s="37"/>
      <c r="D79" s="37"/>
      <c r="E79" s="37"/>
      <c r="F79" s="37"/>
      <c r="G79" s="37"/>
      <c r="H79" s="37"/>
      <c r="I79" s="37"/>
      <c r="J79" s="37"/>
      <c r="K79" s="37"/>
      <c r="L79" s="37"/>
      <c r="M79" s="37"/>
      <c r="N79" s="37"/>
      <c r="O79" s="37"/>
      <c r="P79" s="37"/>
      <c r="Q79" s="37"/>
      <c r="S79" s="37" t="s">
        <v>975</v>
      </c>
      <c r="T79" s="37"/>
      <c r="U79" s="37"/>
      <c r="V79" s="37"/>
      <c r="W79" s="37"/>
      <c r="X79" s="37"/>
      <c r="Y79" s="37" t="s">
        <v>1413</v>
      </c>
      <c r="Z79" s="37"/>
    </row>
    <row r="80" spans="1:26" x14ac:dyDescent="0.25">
      <c r="A80" s="37" t="s">
        <v>1309</v>
      </c>
      <c r="B80" s="37"/>
      <c r="C80" s="37"/>
      <c r="D80" s="37"/>
      <c r="E80" s="37"/>
      <c r="F80" s="37"/>
      <c r="G80" s="37"/>
      <c r="H80" s="37"/>
      <c r="I80" s="37"/>
      <c r="J80" s="37"/>
      <c r="K80" s="37"/>
      <c r="L80" s="37"/>
      <c r="M80" s="37"/>
      <c r="N80" s="37"/>
      <c r="O80" s="37"/>
      <c r="P80" s="37"/>
      <c r="Q80" s="37"/>
      <c r="S80" s="37" t="s">
        <v>1309</v>
      </c>
      <c r="T80" s="37"/>
      <c r="U80" s="37"/>
      <c r="V80" s="37"/>
      <c r="W80" s="37"/>
      <c r="X80" s="37"/>
      <c r="Y80" s="37" t="s">
        <v>1411</v>
      </c>
      <c r="Z80" s="37"/>
    </row>
    <row r="81" spans="1:26" x14ac:dyDescent="0.25">
      <c r="A81" s="37" t="s">
        <v>1067</v>
      </c>
      <c r="B81" s="37"/>
      <c r="C81" s="37"/>
      <c r="D81" s="37"/>
      <c r="E81" s="37"/>
      <c r="F81" s="37"/>
      <c r="G81" s="37"/>
      <c r="H81" s="37"/>
      <c r="I81" s="37"/>
      <c r="J81" s="37"/>
      <c r="K81" s="37"/>
      <c r="L81" s="37"/>
      <c r="M81" s="37"/>
      <c r="N81" s="37"/>
      <c r="O81" s="37"/>
      <c r="P81" s="37"/>
      <c r="Q81" s="37"/>
      <c r="S81" s="37" t="s">
        <v>1067</v>
      </c>
      <c r="T81" s="37"/>
      <c r="U81" s="37"/>
      <c r="V81" s="37"/>
      <c r="W81" s="37"/>
      <c r="X81" s="37"/>
      <c r="Y81" s="37" t="s">
        <v>1406</v>
      </c>
      <c r="Z81" s="37"/>
    </row>
    <row r="82" spans="1:26" x14ac:dyDescent="0.25">
      <c r="A82" s="37" t="s">
        <v>534</v>
      </c>
      <c r="B82" s="37"/>
      <c r="C82" s="37"/>
      <c r="D82" s="37"/>
      <c r="E82" s="37"/>
      <c r="F82" s="37"/>
      <c r="G82" s="37"/>
      <c r="H82" s="37"/>
      <c r="I82" s="37"/>
      <c r="J82" s="37"/>
      <c r="K82" s="37"/>
      <c r="L82" s="37"/>
      <c r="M82" s="37"/>
      <c r="N82" s="37"/>
      <c r="O82" s="37"/>
      <c r="P82" s="37"/>
      <c r="Q82" s="37"/>
      <c r="S82" s="37" t="s">
        <v>1283</v>
      </c>
      <c r="T82" s="37"/>
      <c r="U82" s="37"/>
      <c r="V82" s="37"/>
      <c r="W82" s="37"/>
      <c r="X82" s="37"/>
      <c r="Y82" s="37" t="s">
        <v>1406</v>
      </c>
      <c r="Z82" s="37"/>
    </row>
    <row r="83" spans="1:26" x14ac:dyDescent="0.25">
      <c r="A83" s="37" t="s">
        <v>1283</v>
      </c>
      <c r="B83" s="37"/>
      <c r="C83" s="37"/>
      <c r="D83" s="37"/>
      <c r="E83" s="37"/>
      <c r="F83" s="37"/>
      <c r="G83" s="37"/>
      <c r="H83" s="37"/>
      <c r="I83" s="37"/>
      <c r="J83" s="37"/>
      <c r="K83" s="37"/>
      <c r="L83" s="37"/>
      <c r="M83" s="37"/>
      <c r="N83" s="37"/>
      <c r="O83" s="37"/>
      <c r="P83" s="37"/>
      <c r="Q83" s="37"/>
      <c r="S83" s="37" t="s">
        <v>531</v>
      </c>
      <c r="T83" s="37"/>
      <c r="U83" s="37"/>
      <c r="V83" s="37"/>
      <c r="W83" s="37"/>
      <c r="X83" s="37"/>
      <c r="Y83" s="37" t="s">
        <v>1416</v>
      </c>
      <c r="Z83" s="37"/>
    </row>
    <row r="84" spans="1:26" x14ac:dyDescent="0.25">
      <c r="A84" s="37" t="s">
        <v>531</v>
      </c>
      <c r="B84" s="37"/>
      <c r="C84" s="37"/>
      <c r="D84" s="37"/>
      <c r="E84" s="37"/>
      <c r="F84" s="37"/>
      <c r="G84" s="37"/>
      <c r="H84" s="37"/>
      <c r="I84" s="37"/>
      <c r="J84" s="37"/>
      <c r="K84" s="37"/>
      <c r="L84" s="37"/>
      <c r="M84" s="37"/>
      <c r="N84" s="37"/>
      <c r="O84" s="37"/>
      <c r="P84" s="37"/>
      <c r="Q84" s="37"/>
      <c r="S84" s="37" t="s">
        <v>1399</v>
      </c>
      <c r="T84" s="37"/>
      <c r="U84" s="37"/>
      <c r="V84" s="37"/>
      <c r="W84" s="37"/>
      <c r="X84" s="37"/>
      <c r="Y84" s="37" t="s">
        <v>1288</v>
      </c>
      <c r="Z84" s="37"/>
    </row>
    <row r="85" spans="1:26" x14ac:dyDescent="0.25">
      <c r="A85" s="37" t="s">
        <v>1286</v>
      </c>
      <c r="B85" s="37"/>
      <c r="C85" s="37"/>
      <c r="D85" s="37"/>
      <c r="E85" s="37"/>
      <c r="F85" s="37"/>
      <c r="G85" s="37"/>
      <c r="H85" s="37"/>
      <c r="I85" s="37"/>
      <c r="J85" s="37"/>
      <c r="K85" s="37"/>
      <c r="L85" s="37"/>
      <c r="M85" s="37"/>
      <c r="N85" s="37"/>
      <c r="O85" s="37"/>
      <c r="P85" s="37"/>
      <c r="Q85" s="37"/>
      <c r="S85" s="37" t="s">
        <v>1286</v>
      </c>
      <c r="T85" s="37"/>
      <c r="U85" s="37"/>
      <c r="V85" s="37"/>
      <c r="W85" s="37"/>
      <c r="X85" s="37"/>
      <c r="Y85" s="37" t="s">
        <v>1418</v>
      </c>
      <c r="Z85" s="37"/>
    </row>
    <row r="86" spans="1:26" x14ac:dyDescent="0.25">
      <c r="A86" s="37" t="s">
        <v>1310</v>
      </c>
      <c r="B86" s="37"/>
      <c r="C86" s="37"/>
      <c r="D86" s="37"/>
      <c r="E86" s="37"/>
      <c r="F86" s="37"/>
      <c r="G86" s="37"/>
      <c r="H86" s="37"/>
      <c r="I86" s="37"/>
      <c r="J86" s="37"/>
      <c r="K86" s="37"/>
      <c r="L86" s="37"/>
      <c r="M86" s="37"/>
      <c r="N86" s="37"/>
      <c r="O86" s="37"/>
      <c r="P86" s="37"/>
      <c r="Q86" s="37"/>
      <c r="S86" s="37" t="s">
        <v>1401</v>
      </c>
      <c r="T86" s="37"/>
      <c r="U86" s="37"/>
      <c r="V86" s="37"/>
      <c r="W86" s="37"/>
      <c r="X86" s="37"/>
      <c r="Y86" s="37" t="s">
        <v>1417</v>
      </c>
      <c r="Z86" s="37"/>
    </row>
    <row r="87" spans="1:26" x14ac:dyDescent="0.25">
      <c r="A87" s="37" t="s">
        <v>1311</v>
      </c>
      <c r="B87" s="37"/>
      <c r="C87" s="37"/>
      <c r="D87" s="37"/>
      <c r="E87" s="37"/>
      <c r="F87" s="37"/>
      <c r="G87" s="37"/>
      <c r="H87" s="37"/>
      <c r="I87" s="37"/>
      <c r="J87" s="37"/>
      <c r="K87" s="37"/>
      <c r="L87" s="37"/>
      <c r="M87" s="37"/>
      <c r="N87" s="37"/>
      <c r="O87" s="37"/>
      <c r="P87" s="37"/>
      <c r="Q87" s="37"/>
      <c r="S87" s="37" t="s">
        <v>1311</v>
      </c>
      <c r="T87" s="37"/>
      <c r="U87" s="37"/>
      <c r="V87" s="37"/>
      <c r="W87" s="37"/>
      <c r="X87" s="37"/>
      <c r="Y87" s="37" t="s">
        <v>1417</v>
      </c>
      <c r="Z87" s="37"/>
    </row>
    <row r="88" spans="1:26" x14ac:dyDescent="0.25">
      <c r="A88" s="37" t="s">
        <v>1312</v>
      </c>
      <c r="B88" s="37"/>
      <c r="C88" s="37"/>
      <c r="D88" s="37"/>
      <c r="E88" s="37"/>
      <c r="F88" s="37"/>
      <c r="G88" s="37"/>
      <c r="H88" s="37"/>
      <c r="I88" s="37"/>
      <c r="J88" s="37"/>
      <c r="K88" s="37"/>
      <c r="L88" s="37"/>
      <c r="M88" s="37"/>
      <c r="N88" s="37"/>
      <c r="O88" s="37"/>
      <c r="P88" s="37"/>
      <c r="Q88" s="37"/>
      <c r="S88" s="37" t="s">
        <v>1400</v>
      </c>
      <c r="T88" s="37"/>
      <c r="U88" s="37"/>
      <c r="V88" s="37"/>
      <c r="W88" s="37"/>
      <c r="X88" s="37"/>
      <c r="Y88" s="37" t="s">
        <v>1407</v>
      </c>
      <c r="Z88" s="37"/>
    </row>
    <row r="89" spans="1:26" x14ac:dyDescent="0.25">
      <c r="A89" s="37" t="s">
        <v>1313</v>
      </c>
      <c r="B89" s="37"/>
      <c r="C89" s="37"/>
      <c r="D89" s="37"/>
      <c r="E89" s="37"/>
      <c r="F89" s="37"/>
      <c r="G89" s="37"/>
      <c r="H89" s="37"/>
      <c r="I89" s="37"/>
      <c r="J89" s="37"/>
      <c r="K89" s="37"/>
      <c r="L89" s="37"/>
      <c r="M89" s="37"/>
      <c r="N89" s="37"/>
      <c r="O89" s="37"/>
      <c r="P89" s="37"/>
      <c r="Q89" s="37"/>
      <c r="S89" s="37" t="s">
        <v>1402</v>
      </c>
      <c r="T89" s="37"/>
      <c r="U89" s="37"/>
      <c r="V89" s="37"/>
      <c r="W89" s="37"/>
      <c r="X89" s="37"/>
      <c r="Y89" s="37" t="s">
        <v>1420</v>
      </c>
      <c r="Z89" s="37"/>
    </row>
    <row r="90" spans="1:26" x14ac:dyDescent="0.25">
      <c r="A90" s="37" t="s">
        <v>544</v>
      </c>
      <c r="B90" s="37"/>
      <c r="C90" s="37"/>
      <c r="D90" s="37"/>
      <c r="E90" s="37"/>
      <c r="F90" s="37"/>
      <c r="G90" s="37"/>
      <c r="H90" s="37"/>
      <c r="I90" s="37"/>
      <c r="J90" s="37"/>
      <c r="K90" s="37"/>
      <c r="L90" s="37"/>
      <c r="M90" s="37"/>
      <c r="N90" s="37"/>
      <c r="O90" s="37"/>
      <c r="P90" s="37"/>
      <c r="Q90" s="37"/>
      <c r="S90" s="37" t="s">
        <v>1046</v>
      </c>
      <c r="T90" s="37"/>
      <c r="U90" s="37"/>
      <c r="V90" s="37"/>
      <c r="W90" s="37"/>
      <c r="X90" s="37"/>
      <c r="Y90" s="37" t="s">
        <v>1043</v>
      </c>
      <c r="Z90" s="37"/>
    </row>
    <row r="91" spans="1:26" x14ac:dyDescent="0.25">
      <c r="A91" s="37" t="s">
        <v>1046</v>
      </c>
      <c r="B91" s="37"/>
      <c r="C91" s="37"/>
      <c r="D91" s="37"/>
      <c r="E91" s="37"/>
      <c r="F91" s="37"/>
      <c r="G91" s="37"/>
      <c r="H91" s="37"/>
      <c r="I91" s="37"/>
      <c r="J91" s="37"/>
      <c r="K91" s="37"/>
      <c r="L91" s="37"/>
      <c r="M91" s="37"/>
      <c r="N91" s="37"/>
      <c r="O91" s="37"/>
      <c r="P91" s="37"/>
      <c r="Q91" s="37"/>
      <c r="S91" s="37" t="s">
        <v>1314</v>
      </c>
      <c r="T91" s="37"/>
      <c r="U91" s="37"/>
      <c r="V91" s="37"/>
      <c r="W91" s="37"/>
      <c r="X91" s="37"/>
      <c r="Y91" s="37" t="s">
        <v>1410</v>
      </c>
      <c r="Z91" s="37"/>
    </row>
    <row r="92" spans="1:26" x14ac:dyDescent="0.25">
      <c r="A92" s="37" t="s">
        <v>1314</v>
      </c>
      <c r="B92" s="37"/>
      <c r="C92" s="37"/>
      <c r="D92" s="37"/>
      <c r="E92" s="37"/>
      <c r="F92" s="37"/>
      <c r="G92" s="37"/>
      <c r="H92" s="37"/>
      <c r="I92" s="37"/>
      <c r="J92" s="37"/>
      <c r="K92" s="37"/>
      <c r="L92" s="37"/>
      <c r="M92" s="37"/>
      <c r="N92" s="37"/>
      <c r="O92" s="37"/>
      <c r="P92" s="37"/>
      <c r="Q92" s="37"/>
      <c r="S92" s="37" t="s">
        <v>559</v>
      </c>
      <c r="T92" s="37"/>
      <c r="U92" s="37"/>
      <c r="V92" s="37"/>
      <c r="W92" s="37"/>
      <c r="X92" s="37"/>
      <c r="Y92" s="37" t="s">
        <v>536</v>
      </c>
      <c r="Z92" s="37"/>
    </row>
    <row r="93" spans="1:26" x14ac:dyDescent="0.25">
      <c r="A93" s="37" t="s">
        <v>559</v>
      </c>
      <c r="B93" s="37"/>
      <c r="C93" s="37"/>
      <c r="D93" s="37"/>
      <c r="E93" s="37"/>
      <c r="F93" s="37"/>
      <c r="G93" s="37"/>
      <c r="H93" s="37"/>
      <c r="I93" s="37"/>
      <c r="J93" s="37"/>
      <c r="K93" s="37"/>
      <c r="L93" s="37"/>
      <c r="M93" s="37"/>
      <c r="N93" s="37"/>
      <c r="O93" s="37"/>
      <c r="P93" s="37"/>
      <c r="Q93" s="37"/>
      <c r="S93" s="37" t="s">
        <v>1315</v>
      </c>
      <c r="T93" s="37"/>
      <c r="U93" s="37"/>
      <c r="V93" s="37"/>
      <c r="W93" s="37"/>
      <c r="X93" s="37"/>
      <c r="Y93" s="37"/>
      <c r="Z93" s="37"/>
    </row>
    <row r="94" spans="1:26" x14ac:dyDescent="0.25">
      <c r="A94" s="37" t="s">
        <v>562</v>
      </c>
      <c r="B94" s="37"/>
      <c r="C94" s="37"/>
      <c r="D94" s="37"/>
      <c r="E94" s="37"/>
      <c r="F94" s="37"/>
      <c r="G94" s="37"/>
      <c r="H94" s="37"/>
      <c r="I94" s="37"/>
      <c r="J94" s="37"/>
      <c r="K94" s="37"/>
      <c r="L94" s="37"/>
      <c r="M94" s="37"/>
      <c r="N94" s="37"/>
      <c r="O94" s="37"/>
      <c r="P94" s="37"/>
      <c r="Q94" s="37"/>
    </row>
    <row r="95" spans="1:26" x14ac:dyDescent="0.25">
      <c r="A95" s="37" t="s">
        <v>553</v>
      </c>
      <c r="B95" s="37"/>
      <c r="C95" s="37"/>
      <c r="D95" s="37"/>
      <c r="E95" s="37"/>
      <c r="F95" s="37"/>
      <c r="G95" s="37"/>
      <c r="H95" s="37"/>
      <c r="I95" s="37"/>
      <c r="J95" s="37"/>
      <c r="K95" s="37"/>
      <c r="L95" s="37"/>
      <c r="M95" s="37"/>
      <c r="N95" s="37"/>
      <c r="O95" s="37"/>
      <c r="P95" s="37"/>
      <c r="Q95" s="37"/>
    </row>
    <row r="96" spans="1:26" x14ac:dyDescent="0.25">
      <c r="A96" s="37" t="s">
        <v>1048</v>
      </c>
      <c r="B96" s="37"/>
      <c r="C96" s="37"/>
      <c r="D96" s="37"/>
      <c r="E96" s="37"/>
      <c r="F96" s="37"/>
      <c r="G96" s="37"/>
      <c r="H96" s="37"/>
      <c r="I96" s="37"/>
      <c r="J96" s="37"/>
      <c r="K96" s="37"/>
      <c r="L96" s="37"/>
      <c r="M96" s="37"/>
      <c r="N96" s="37"/>
      <c r="O96" s="37"/>
      <c r="P96" s="37"/>
      <c r="Q96" s="37"/>
    </row>
    <row r="97" spans="1:20" x14ac:dyDescent="0.25">
      <c r="A97" s="37" t="s">
        <v>1315</v>
      </c>
      <c r="B97" s="37"/>
      <c r="C97" s="37"/>
      <c r="D97" s="37"/>
      <c r="E97" s="37"/>
      <c r="F97" s="37"/>
      <c r="G97" s="37"/>
      <c r="H97" s="37"/>
      <c r="I97" s="37"/>
      <c r="J97" s="37"/>
      <c r="K97" s="37"/>
      <c r="L97" s="37"/>
      <c r="M97" s="37"/>
      <c r="N97" s="37"/>
      <c r="O97" s="37"/>
      <c r="P97" s="37"/>
      <c r="Q97" s="37"/>
    </row>
    <row r="98" spans="1:20" x14ac:dyDescent="0.25">
      <c r="A98" s="37" t="s">
        <v>1061</v>
      </c>
      <c r="B98" s="37"/>
      <c r="C98" s="37"/>
      <c r="D98" s="37"/>
      <c r="E98" s="37"/>
      <c r="F98" s="37"/>
      <c r="G98" s="37"/>
      <c r="H98" s="37"/>
      <c r="I98" s="37"/>
      <c r="J98" s="37"/>
      <c r="K98" s="37"/>
      <c r="L98" s="37"/>
      <c r="M98" s="37"/>
      <c r="N98" s="37"/>
      <c r="O98" s="37"/>
      <c r="P98" s="37"/>
      <c r="Q98" s="37"/>
    </row>
    <row r="99" spans="1:20" x14ac:dyDescent="0.25">
      <c r="A99" s="37"/>
      <c r="B99" s="37"/>
      <c r="C99" s="37"/>
      <c r="D99" s="37"/>
      <c r="E99" s="37"/>
      <c r="F99" s="37"/>
      <c r="G99" s="37"/>
      <c r="H99" s="37"/>
      <c r="I99" s="37"/>
      <c r="J99" s="37"/>
      <c r="K99" s="37"/>
      <c r="L99" s="37"/>
      <c r="M99" s="37"/>
      <c r="N99" s="37"/>
      <c r="O99" s="37"/>
      <c r="P99" s="37"/>
      <c r="Q99" s="37"/>
    </row>
    <row r="105" spans="1:20" x14ac:dyDescent="0.25"/>
  </sheetData>
  <mergeCells count="2">
    <mergeCell ref="A1:Q1"/>
    <mergeCell ref="A19:Q19"/>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2889E"/>
  </sheetPr>
  <dimension ref="A1:B215"/>
  <sheetViews>
    <sheetView topLeftCell="A170" zoomScale="85" zoomScaleNormal="85" workbookViewId="0">
      <selection activeCell="AD108" sqref="AD108"/>
    </sheetView>
  </sheetViews>
  <sheetFormatPr defaultRowHeight="15" x14ac:dyDescent="0.25"/>
  <cols>
    <col min="1" max="2" width="25.5703125" customWidth="1"/>
  </cols>
  <sheetData>
    <row r="1" spans="1:2" x14ac:dyDescent="0.25">
      <c r="A1" s="33" t="s">
        <v>1732</v>
      </c>
      <c r="B1" s="33" t="s">
        <v>0</v>
      </c>
    </row>
    <row r="2" spans="1:2" x14ac:dyDescent="0.25">
      <c r="A2" t="s">
        <v>1876</v>
      </c>
      <c r="B2" t="s">
        <v>1877</v>
      </c>
    </row>
    <row r="3" spans="1:2" x14ac:dyDescent="0.25">
      <c r="A3" t="s">
        <v>1816</v>
      </c>
      <c r="B3" t="s">
        <v>1817</v>
      </c>
    </row>
    <row r="4" spans="1:2" x14ac:dyDescent="0.25">
      <c r="A4" t="s">
        <v>1917</v>
      </c>
      <c r="B4" t="s">
        <v>1918</v>
      </c>
    </row>
    <row r="5" spans="1:2" x14ac:dyDescent="0.25">
      <c r="A5" t="s">
        <v>1773</v>
      </c>
      <c r="B5" t="s">
        <v>1774</v>
      </c>
    </row>
    <row r="6" spans="1:2" x14ac:dyDescent="0.25">
      <c r="A6" t="s">
        <v>543</v>
      </c>
      <c r="B6" t="s">
        <v>2019</v>
      </c>
    </row>
    <row r="7" spans="1:2" x14ac:dyDescent="0.25">
      <c r="A7" t="s">
        <v>563</v>
      </c>
      <c r="B7" t="s">
        <v>472</v>
      </c>
    </row>
    <row r="8" spans="1:2" x14ac:dyDescent="0.25">
      <c r="A8" t="s">
        <v>1788</v>
      </c>
      <c r="B8" t="s">
        <v>1789</v>
      </c>
    </row>
    <row r="9" spans="1:2" x14ac:dyDescent="0.25">
      <c r="A9" t="s">
        <v>1734</v>
      </c>
      <c r="B9" t="s">
        <v>1735</v>
      </c>
    </row>
    <row r="10" spans="1:2" x14ac:dyDescent="0.25">
      <c r="A10" t="s">
        <v>1874</v>
      </c>
      <c r="B10" t="s">
        <v>1875</v>
      </c>
    </row>
    <row r="11" spans="1:2" x14ac:dyDescent="0.25">
      <c r="A11" t="s">
        <v>535</v>
      </c>
      <c r="B11" t="s">
        <v>474</v>
      </c>
    </row>
    <row r="12" spans="1:2" x14ac:dyDescent="0.25">
      <c r="A12" t="s">
        <v>540</v>
      </c>
      <c r="B12" t="s">
        <v>473</v>
      </c>
    </row>
    <row r="13" spans="1:2" x14ac:dyDescent="0.25">
      <c r="A13" t="s">
        <v>1089</v>
      </c>
      <c r="B13" t="s">
        <v>1090</v>
      </c>
    </row>
    <row r="14" spans="1:2" x14ac:dyDescent="0.25">
      <c r="A14" t="s">
        <v>1965</v>
      </c>
      <c r="B14" t="s">
        <v>1966</v>
      </c>
    </row>
    <row r="15" spans="1:2" x14ac:dyDescent="0.25">
      <c r="A15" t="s">
        <v>548</v>
      </c>
      <c r="B15" t="s">
        <v>475</v>
      </c>
    </row>
    <row r="16" spans="1:2" x14ac:dyDescent="0.25">
      <c r="A16" t="s">
        <v>1919</v>
      </c>
      <c r="B16" t="s">
        <v>1920</v>
      </c>
    </row>
    <row r="17" spans="1:2" x14ac:dyDescent="0.25">
      <c r="A17" t="s">
        <v>1963</v>
      </c>
      <c r="B17" t="s">
        <v>1964</v>
      </c>
    </row>
    <row r="18" spans="1:2" x14ac:dyDescent="0.25">
      <c r="A18" t="s">
        <v>1806</v>
      </c>
      <c r="B18" t="s">
        <v>1807</v>
      </c>
    </row>
    <row r="19" spans="1:2" x14ac:dyDescent="0.25">
      <c r="A19" t="s">
        <v>1065</v>
      </c>
      <c r="B19" t="s">
        <v>1056</v>
      </c>
    </row>
    <row r="20" spans="1:2" x14ac:dyDescent="0.25">
      <c r="A20" t="s">
        <v>2011</v>
      </c>
      <c r="B20" t="s">
        <v>2012</v>
      </c>
    </row>
    <row r="21" spans="1:2" x14ac:dyDescent="0.25">
      <c r="A21" t="s">
        <v>1878</v>
      </c>
      <c r="B21" t="s">
        <v>1879</v>
      </c>
    </row>
    <row r="22" spans="1:2" x14ac:dyDescent="0.25">
      <c r="A22" t="s">
        <v>1070</v>
      </c>
      <c r="B22" t="s">
        <v>1069</v>
      </c>
    </row>
    <row r="23" spans="1:2" x14ac:dyDescent="0.25">
      <c r="A23" t="s">
        <v>1071</v>
      </c>
      <c r="B23" t="s">
        <v>1058</v>
      </c>
    </row>
    <row r="24" spans="1:2" x14ac:dyDescent="0.25">
      <c r="A24" t="s">
        <v>1881</v>
      </c>
      <c r="B24" t="s">
        <v>1882</v>
      </c>
    </row>
    <row r="25" spans="1:2" x14ac:dyDescent="0.25">
      <c r="A25" t="s">
        <v>1883</v>
      </c>
      <c r="B25" t="s">
        <v>1884</v>
      </c>
    </row>
    <row r="26" spans="1:2" x14ac:dyDescent="0.25">
      <c r="A26" t="s">
        <v>552</v>
      </c>
      <c r="B26" t="s">
        <v>476</v>
      </c>
    </row>
    <row r="27" spans="1:2" x14ac:dyDescent="0.25">
      <c r="A27" t="s">
        <v>1052</v>
      </c>
      <c r="B27" t="s">
        <v>1050</v>
      </c>
    </row>
    <row r="28" spans="1:2" x14ac:dyDescent="0.25">
      <c r="A28" t="s">
        <v>1880</v>
      </c>
      <c r="B28" t="s">
        <v>1050</v>
      </c>
    </row>
    <row r="29" spans="1:2" x14ac:dyDescent="0.25">
      <c r="A29" t="s">
        <v>1800</v>
      </c>
      <c r="B29" t="s">
        <v>1801</v>
      </c>
    </row>
    <row r="30" spans="1:2" x14ac:dyDescent="0.25">
      <c r="A30" t="s">
        <v>1818</v>
      </c>
      <c r="B30" t="s">
        <v>1819</v>
      </c>
    </row>
    <row r="31" spans="1:2" x14ac:dyDescent="0.25">
      <c r="A31" t="s">
        <v>1921</v>
      </c>
      <c r="B31" t="s">
        <v>1922</v>
      </c>
    </row>
    <row r="32" spans="1:2" x14ac:dyDescent="0.25">
      <c r="A32" t="s">
        <v>1969</v>
      </c>
      <c r="B32" t="s">
        <v>1970</v>
      </c>
    </row>
    <row r="33" spans="1:2" x14ac:dyDescent="0.25">
      <c r="A33" t="s">
        <v>533</v>
      </c>
      <c r="B33" t="s">
        <v>477</v>
      </c>
    </row>
    <row r="34" spans="1:2" x14ac:dyDescent="0.25">
      <c r="A34" t="s">
        <v>555</v>
      </c>
      <c r="B34" t="s">
        <v>478</v>
      </c>
    </row>
    <row r="35" spans="1:2" x14ac:dyDescent="0.25">
      <c r="A35" t="s">
        <v>560</v>
      </c>
      <c r="B35" t="s">
        <v>479</v>
      </c>
    </row>
    <row r="36" spans="1:2" x14ac:dyDescent="0.25">
      <c r="A36" t="s">
        <v>537</v>
      </c>
      <c r="B36" t="s">
        <v>1798</v>
      </c>
    </row>
    <row r="37" spans="1:2" x14ac:dyDescent="0.25">
      <c r="A37" t="s">
        <v>1927</v>
      </c>
      <c r="B37" t="s">
        <v>1928</v>
      </c>
    </row>
    <row r="38" spans="1:2" x14ac:dyDescent="0.25">
      <c r="A38" t="s">
        <v>1923</v>
      </c>
      <c r="B38" t="s">
        <v>1924</v>
      </c>
    </row>
    <row r="39" spans="1:2" x14ac:dyDescent="0.25">
      <c r="A39" t="s">
        <v>1929</v>
      </c>
      <c r="B39" t="s">
        <v>1930</v>
      </c>
    </row>
    <row r="40" spans="1:2" x14ac:dyDescent="0.25">
      <c r="A40" t="s">
        <v>1925</v>
      </c>
      <c r="B40" t="s">
        <v>1926</v>
      </c>
    </row>
    <row r="41" spans="1:2" x14ac:dyDescent="0.25">
      <c r="A41" t="s">
        <v>551</v>
      </c>
      <c r="B41" t="s">
        <v>1822</v>
      </c>
    </row>
    <row r="42" spans="1:2" x14ac:dyDescent="0.25">
      <c r="A42" t="s">
        <v>1083</v>
      </c>
      <c r="B42" t="s">
        <v>1081</v>
      </c>
    </row>
    <row r="43" spans="1:2" x14ac:dyDescent="0.25">
      <c r="A43" t="s">
        <v>1973</v>
      </c>
      <c r="B43" t="s">
        <v>1974</v>
      </c>
    </row>
    <row r="44" spans="1:2" x14ac:dyDescent="0.25">
      <c r="A44" t="s">
        <v>1967</v>
      </c>
      <c r="B44" t="s">
        <v>1968</v>
      </c>
    </row>
    <row r="45" spans="1:2" x14ac:dyDescent="0.25">
      <c r="A45" t="s">
        <v>1177</v>
      </c>
      <c r="B45" t="s">
        <v>1847</v>
      </c>
    </row>
    <row r="46" spans="1:2" x14ac:dyDescent="0.25">
      <c r="A46" t="s">
        <v>1848</v>
      </c>
      <c r="B46" t="s">
        <v>1849</v>
      </c>
    </row>
    <row r="47" spans="1:2" x14ac:dyDescent="0.25">
      <c r="A47" t="s">
        <v>1862</v>
      </c>
      <c r="B47" t="s">
        <v>1863</v>
      </c>
    </row>
    <row r="48" spans="1:2" x14ac:dyDescent="0.25">
      <c r="A48" t="s">
        <v>1887</v>
      </c>
      <c r="B48" t="s">
        <v>1888</v>
      </c>
    </row>
    <row r="49" spans="1:2" x14ac:dyDescent="0.25">
      <c r="A49" t="s">
        <v>1767</v>
      </c>
      <c r="B49" t="s">
        <v>1768</v>
      </c>
    </row>
    <row r="50" spans="1:2" x14ac:dyDescent="0.25">
      <c r="A50" t="s">
        <v>1752</v>
      </c>
      <c r="B50" t="s">
        <v>1753</v>
      </c>
    </row>
    <row r="51" spans="1:2" x14ac:dyDescent="0.25">
      <c r="A51" t="s">
        <v>1305</v>
      </c>
      <c r="B51" t="s">
        <v>481</v>
      </c>
    </row>
    <row r="52" spans="1:2" x14ac:dyDescent="0.25">
      <c r="A52" t="s">
        <v>1975</v>
      </c>
      <c r="B52" t="s">
        <v>1976</v>
      </c>
    </row>
    <row r="53" spans="1:2" x14ac:dyDescent="0.25">
      <c r="A53" t="s">
        <v>1889</v>
      </c>
      <c r="B53" t="s">
        <v>1890</v>
      </c>
    </row>
    <row r="54" spans="1:2" x14ac:dyDescent="0.25">
      <c r="A54" t="s">
        <v>545</v>
      </c>
      <c r="B54" t="s">
        <v>482</v>
      </c>
    </row>
    <row r="55" spans="1:2" x14ac:dyDescent="0.25">
      <c r="A55" t="s">
        <v>1850</v>
      </c>
      <c r="B55" t="s">
        <v>1851</v>
      </c>
    </row>
    <row r="56" spans="1:2" x14ac:dyDescent="0.25">
      <c r="A56" t="s">
        <v>1047</v>
      </c>
      <c r="B56" t="s">
        <v>1044</v>
      </c>
    </row>
    <row r="57" spans="1:2" x14ac:dyDescent="0.25">
      <c r="A57" t="s">
        <v>1852</v>
      </c>
      <c r="B57" t="s">
        <v>1853</v>
      </c>
    </row>
    <row r="58" spans="1:2" x14ac:dyDescent="0.25">
      <c r="A58" t="s">
        <v>1045</v>
      </c>
      <c r="B58" t="s">
        <v>1041</v>
      </c>
    </row>
    <row r="59" spans="1:2" x14ac:dyDescent="0.25">
      <c r="A59" t="s">
        <v>1931</v>
      </c>
      <c r="B59" t="s">
        <v>1932</v>
      </c>
    </row>
    <row r="60" spans="1:2" x14ac:dyDescent="0.25">
      <c r="A60" t="s">
        <v>1764</v>
      </c>
      <c r="B60" t="s">
        <v>484</v>
      </c>
    </row>
    <row r="61" spans="1:2" x14ac:dyDescent="0.25">
      <c r="A61" t="s">
        <v>556</v>
      </c>
      <c r="B61" t="s">
        <v>483</v>
      </c>
    </row>
    <row r="62" spans="1:2" x14ac:dyDescent="0.25">
      <c r="A62" t="s">
        <v>1933</v>
      </c>
      <c r="B62" t="s">
        <v>1934</v>
      </c>
    </row>
    <row r="63" spans="1:2" x14ac:dyDescent="0.25">
      <c r="A63" t="s">
        <v>532</v>
      </c>
      <c r="B63" t="s">
        <v>485</v>
      </c>
    </row>
    <row r="64" spans="1:2" x14ac:dyDescent="0.25">
      <c r="A64" t="s">
        <v>1825</v>
      </c>
      <c r="B64" t="s">
        <v>1826</v>
      </c>
    </row>
    <row r="65" spans="1:2" x14ac:dyDescent="0.25">
      <c r="A65" t="s">
        <v>1891</v>
      </c>
      <c r="B65" t="s">
        <v>1892</v>
      </c>
    </row>
    <row r="66" spans="1:2" x14ac:dyDescent="0.25">
      <c r="A66" t="s">
        <v>530</v>
      </c>
      <c r="B66" t="s">
        <v>486</v>
      </c>
    </row>
    <row r="67" spans="1:2" x14ac:dyDescent="0.25">
      <c r="A67" t="s">
        <v>1935</v>
      </c>
      <c r="B67" t="s">
        <v>1936</v>
      </c>
    </row>
    <row r="68" spans="1:2" x14ac:dyDescent="0.25">
      <c r="A68" t="s">
        <v>542</v>
      </c>
      <c r="B68" t="s">
        <v>1751</v>
      </c>
    </row>
    <row r="69" spans="1:2" x14ac:dyDescent="0.25">
      <c r="A69" t="s">
        <v>1790</v>
      </c>
      <c r="B69" t="s">
        <v>1791</v>
      </c>
    </row>
    <row r="70" spans="1:2" x14ac:dyDescent="0.25">
      <c r="A70" t="s">
        <v>1937</v>
      </c>
      <c r="B70" t="s">
        <v>1938</v>
      </c>
    </row>
    <row r="71" spans="1:2" x14ac:dyDescent="0.25">
      <c r="A71" t="s">
        <v>1777</v>
      </c>
      <c r="B71" t="s">
        <v>1778</v>
      </c>
    </row>
    <row r="72" spans="1:2" x14ac:dyDescent="0.25">
      <c r="A72" t="s">
        <v>1981</v>
      </c>
      <c r="B72" t="s">
        <v>1982</v>
      </c>
    </row>
    <row r="73" spans="1:2" x14ac:dyDescent="0.25">
      <c r="A73" t="s">
        <v>1897</v>
      </c>
      <c r="B73" t="s">
        <v>1898</v>
      </c>
    </row>
    <row r="74" spans="1:2" x14ac:dyDescent="0.25">
      <c r="A74" t="s">
        <v>1979</v>
      </c>
      <c r="B74" t="s">
        <v>1980</v>
      </c>
    </row>
    <row r="75" spans="1:2" x14ac:dyDescent="0.25">
      <c r="A75" t="s">
        <v>1983</v>
      </c>
      <c r="B75" t="s">
        <v>1984</v>
      </c>
    </row>
    <row r="76" spans="1:2" x14ac:dyDescent="0.25">
      <c r="A76" t="s">
        <v>1977</v>
      </c>
      <c r="B76" t="s">
        <v>1978</v>
      </c>
    </row>
    <row r="77" spans="1:2" x14ac:dyDescent="0.25">
      <c r="A77" t="s">
        <v>554</v>
      </c>
      <c r="B77" t="s">
        <v>487</v>
      </c>
    </row>
    <row r="78" spans="1:2" x14ac:dyDescent="0.25">
      <c r="A78" t="s">
        <v>1895</v>
      </c>
      <c r="B78" t="s">
        <v>1896</v>
      </c>
    </row>
    <row r="79" spans="1:2" x14ac:dyDescent="0.25">
      <c r="A79" t="s">
        <v>1100</v>
      </c>
      <c r="B79" t="s">
        <v>1093</v>
      </c>
    </row>
    <row r="80" spans="1:2" x14ac:dyDescent="0.25">
      <c r="A80" t="s">
        <v>1893</v>
      </c>
      <c r="B80" t="s">
        <v>1894</v>
      </c>
    </row>
    <row r="81" spans="1:2" x14ac:dyDescent="0.25">
      <c r="A81" t="s">
        <v>1736</v>
      </c>
      <c r="B81" t="s">
        <v>1737</v>
      </c>
    </row>
    <row r="82" spans="1:2" x14ac:dyDescent="0.25">
      <c r="A82" t="s">
        <v>1899</v>
      </c>
      <c r="B82" t="s">
        <v>1900</v>
      </c>
    </row>
    <row r="83" spans="1:2" x14ac:dyDescent="0.25">
      <c r="A83" t="s">
        <v>1796</v>
      </c>
      <c r="B83" t="s">
        <v>1797</v>
      </c>
    </row>
    <row r="84" spans="1:2" x14ac:dyDescent="0.25">
      <c r="A84" t="s">
        <v>1858</v>
      </c>
      <c r="B84" t="s">
        <v>1859</v>
      </c>
    </row>
    <row r="85" spans="1:2" x14ac:dyDescent="0.25">
      <c r="A85" t="s">
        <v>1765</v>
      </c>
      <c r="B85" t="s">
        <v>1766</v>
      </c>
    </row>
    <row r="86" spans="1:2" x14ac:dyDescent="0.25">
      <c r="A86" t="s">
        <v>1856</v>
      </c>
      <c r="B86" t="s">
        <v>1857</v>
      </c>
    </row>
    <row r="87" spans="1:2" x14ac:dyDescent="0.25">
      <c r="A87" t="s">
        <v>1754</v>
      </c>
      <c r="B87" t="s">
        <v>1755</v>
      </c>
    </row>
    <row r="88" spans="1:2" x14ac:dyDescent="0.25">
      <c r="A88" t="s">
        <v>1062</v>
      </c>
      <c r="B88" t="s">
        <v>1053</v>
      </c>
    </row>
    <row r="89" spans="1:2" x14ac:dyDescent="0.25">
      <c r="A89" t="s">
        <v>539</v>
      </c>
      <c r="B89" t="s">
        <v>488</v>
      </c>
    </row>
    <row r="90" spans="1:2" x14ac:dyDescent="0.25">
      <c r="A90" t="s">
        <v>1756</v>
      </c>
      <c r="B90" t="s">
        <v>1757</v>
      </c>
    </row>
    <row r="91" spans="1:2" x14ac:dyDescent="0.25">
      <c r="A91" t="s">
        <v>950</v>
      </c>
      <c r="B91" t="s">
        <v>951</v>
      </c>
    </row>
    <row r="92" spans="1:2" x14ac:dyDescent="0.25">
      <c r="A92" t="s">
        <v>1068</v>
      </c>
      <c r="B92" t="s">
        <v>1059</v>
      </c>
    </row>
    <row r="93" spans="1:2" x14ac:dyDescent="0.25">
      <c r="A93" t="s">
        <v>550</v>
      </c>
      <c r="B93" t="s">
        <v>489</v>
      </c>
    </row>
    <row r="94" spans="1:2" x14ac:dyDescent="0.25">
      <c r="A94" t="s">
        <v>1084</v>
      </c>
      <c r="B94" t="s">
        <v>1080</v>
      </c>
    </row>
    <row r="95" spans="1:2" x14ac:dyDescent="0.25">
      <c r="A95" t="s">
        <v>541</v>
      </c>
      <c r="B95" t="s">
        <v>490</v>
      </c>
    </row>
    <row r="96" spans="1:2" x14ac:dyDescent="0.25">
      <c r="A96" t="s">
        <v>1860</v>
      </c>
      <c r="B96" t="s">
        <v>1861</v>
      </c>
    </row>
    <row r="97" spans="1:2" x14ac:dyDescent="0.25">
      <c r="A97" t="s">
        <v>2013</v>
      </c>
      <c r="B97" t="s">
        <v>2014</v>
      </c>
    </row>
    <row r="98" spans="1:2" x14ac:dyDescent="0.25">
      <c r="A98" t="s">
        <v>538</v>
      </c>
      <c r="B98" t="s">
        <v>491</v>
      </c>
    </row>
    <row r="99" spans="1:2" x14ac:dyDescent="0.25">
      <c r="A99" t="s">
        <v>1786</v>
      </c>
      <c r="B99" t="s">
        <v>1787</v>
      </c>
    </row>
    <row r="100" spans="1:2" x14ac:dyDescent="0.25">
      <c r="A100" t="s">
        <v>1939</v>
      </c>
      <c r="B100" t="s">
        <v>1940</v>
      </c>
    </row>
    <row r="101" spans="1:2" x14ac:dyDescent="0.25">
      <c r="A101" t="s">
        <v>1792</v>
      </c>
      <c r="B101" t="s">
        <v>1793</v>
      </c>
    </row>
    <row r="102" spans="1:2" x14ac:dyDescent="0.25">
      <c r="A102" t="s">
        <v>1802</v>
      </c>
      <c r="B102" t="s">
        <v>1803</v>
      </c>
    </row>
    <row r="103" spans="1:2" x14ac:dyDescent="0.25">
      <c r="A103" t="s">
        <v>1829</v>
      </c>
      <c r="B103" t="s">
        <v>1830</v>
      </c>
    </row>
    <row r="104" spans="1:2" x14ac:dyDescent="0.25">
      <c r="A104" t="s">
        <v>1905</v>
      </c>
      <c r="B104" t="s">
        <v>1906</v>
      </c>
    </row>
    <row r="105" spans="1:2" x14ac:dyDescent="0.25">
      <c r="A105" t="s">
        <v>975</v>
      </c>
      <c r="B105" t="s">
        <v>1412</v>
      </c>
    </row>
    <row r="106" spans="1:2" x14ac:dyDescent="0.25">
      <c r="A106" t="s">
        <v>2015</v>
      </c>
      <c r="B106" t="s">
        <v>2016</v>
      </c>
    </row>
    <row r="107" spans="1:2" x14ac:dyDescent="0.25">
      <c r="A107" t="s">
        <v>1804</v>
      </c>
      <c r="B107" t="s">
        <v>1805</v>
      </c>
    </row>
    <row r="108" spans="1:2" x14ac:dyDescent="0.25">
      <c r="A108" t="s">
        <v>557</v>
      </c>
      <c r="B108" t="s">
        <v>492</v>
      </c>
    </row>
    <row r="109" spans="1:2" x14ac:dyDescent="0.25">
      <c r="A109" t="s">
        <v>1987</v>
      </c>
      <c r="B109" t="s">
        <v>1988</v>
      </c>
    </row>
    <row r="110" spans="1:2" x14ac:dyDescent="0.25">
      <c r="A110" t="s">
        <v>1076</v>
      </c>
      <c r="B110" t="s">
        <v>1075</v>
      </c>
    </row>
    <row r="111" spans="1:2" x14ac:dyDescent="0.25">
      <c r="A111" t="s">
        <v>1907</v>
      </c>
      <c r="B111" t="s">
        <v>1908</v>
      </c>
    </row>
    <row r="112" spans="1:2" x14ac:dyDescent="0.25">
      <c r="A112" t="s">
        <v>1095</v>
      </c>
      <c r="B112" t="s">
        <v>1092</v>
      </c>
    </row>
    <row r="113" spans="1:2" x14ac:dyDescent="0.25">
      <c r="A113" t="s">
        <v>1985</v>
      </c>
      <c r="B113" t="s">
        <v>1986</v>
      </c>
    </row>
    <row r="114" spans="1:2" x14ac:dyDescent="0.25">
      <c r="A114" t="s">
        <v>1064</v>
      </c>
      <c r="B114" t="s">
        <v>1055</v>
      </c>
    </row>
    <row r="115" spans="1:2" x14ac:dyDescent="0.25">
      <c r="A115" t="s">
        <v>1758</v>
      </c>
      <c r="B115" t="s">
        <v>1759</v>
      </c>
    </row>
    <row r="116" spans="1:2" x14ac:dyDescent="0.25">
      <c r="A116" t="s">
        <v>1769</v>
      </c>
      <c r="B116" t="s">
        <v>1770</v>
      </c>
    </row>
    <row r="117" spans="1:2" x14ac:dyDescent="0.25">
      <c r="A117" t="s">
        <v>1820</v>
      </c>
      <c r="B117" t="s">
        <v>1821</v>
      </c>
    </row>
    <row r="118" spans="1:2" x14ac:dyDescent="0.25">
      <c r="A118" t="s">
        <v>1097</v>
      </c>
      <c r="B118" t="s">
        <v>1096</v>
      </c>
    </row>
    <row r="119" spans="1:2" x14ac:dyDescent="0.25">
      <c r="A119" t="s">
        <v>1745</v>
      </c>
      <c r="B119" t="s">
        <v>1746</v>
      </c>
    </row>
    <row r="120" spans="1:2" x14ac:dyDescent="0.25">
      <c r="A120" t="s">
        <v>1072</v>
      </c>
      <c r="B120" t="s">
        <v>1780</v>
      </c>
    </row>
    <row r="121" spans="1:2" x14ac:dyDescent="0.25">
      <c r="A121" t="s">
        <v>1989</v>
      </c>
      <c r="B121" t="s">
        <v>1990</v>
      </c>
    </row>
    <row r="122" spans="1:2" x14ac:dyDescent="0.25">
      <c r="A122" t="s">
        <v>1831</v>
      </c>
      <c r="B122" t="s">
        <v>1832</v>
      </c>
    </row>
    <row r="123" spans="1:2" x14ac:dyDescent="0.25">
      <c r="A123" t="s">
        <v>1067</v>
      </c>
      <c r="B123" t="s">
        <v>1414</v>
      </c>
    </row>
    <row r="124" spans="1:2" x14ac:dyDescent="0.25">
      <c r="A124" t="s">
        <v>1775</v>
      </c>
      <c r="B124" t="s">
        <v>1776</v>
      </c>
    </row>
    <row r="125" spans="1:2" x14ac:dyDescent="0.25">
      <c r="A125" t="s">
        <v>1993</v>
      </c>
      <c r="B125" t="s">
        <v>1994</v>
      </c>
    </row>
    <row r="126" spans="1:2" x14ac:dyDescent="0.25">
      <c r="A126" t="s">
        <v>1771</v>
      </c>
      <c r="B126" t="s">
        <v>1772</v>
      </c>
    </row>
    <row r="127" spans="1:2" x14ac:dyDescent="0.25">
      <c r="A127" t="s">
        <v>1051</v>
      </c>
      <c r="B127" t="s">
        <v>1049</v>
      </c>
    </row>
    <row r="128" spans="1:2" x14ac:dyDescent="0.25">
      <c r="A128" t="s">
        <v>1781</v>
      </c>
      <c r="B128" t="s">
        <v>1782</v>
      </c>
    </row>
    <row r="129" spans="1:2" x14ac:dyDescent="0.25">
      <c r="A129" t="s">
        <v>1812</v>
      </c>
      <c r="B129" t="s">
        <v>1813</v>
      </c>
    </row>
    <row r="130" spans="1:2" x14ac:dyDescent="0.25">
      <c r="A130" t="s">
        <v>1738</v>
      </c>
      <c r="B130" t="s">
        <v>1739</v>
      </c>
    </row>
    <row r="131" spans="1:2" x14ac:dyDescent="0.25">
      <c r="A131" t="s">
        <v>1943</v>
      </c>
      <c r="B131" t="s">
        <v>1944</v>
      </c>
    </row>
    <row r="132" spans="1:2" x14ac:dyDescent="0.25">
      <c r="A132" t="s">
        <v>1995</v>
      </c>
      <c r="B132" t="s">
        <v>1996</v>
      </c>
    </row>
    <row r="133" spans="1:2" x14ac:dyDescent="0.25">
      <c r="A133" t="s">
        <v>1903</v>
      </c>
      <c r="B133" t="s">
        <v>1904</v>
      </c>
    </row>
    <row r="134" spans="1:2" x14ac:dyDescent="0.25">
      <c r="A134" t="s">
        <v>1901</v>
      </c>
      <c r="B134" t="s">
        <v>1902</v>
      </c>
    </row>
    <row r="135" spans="1:2" x14ac:dyDescent="0.25">
      <c r="A135" t="s">
        <v>1941</v>
      </c>
      <c r="B135" t="s">
        <v>1942</v>
      </c>
    </row>
    <row r="136" spans="1:2" x14ac:dyDescent="0.25">
      <c r="A136" t="s">
        <v>1991</v>
      </c>
      <c r="B136" t="s">
        <v>1992</v>
      </c>
    </row>
    <row r="137" spans="1:2" x14ac:dyDescent="0.25">
      <c r="A137" t="s">
        <v>534</v>
      </c>
      <c r="B137" t="s">
        <v>493</v>
      </c>
    </row>
    <row r="138" spans="1:2" x14ac:dyDescent="0.25">
      <c r="A138" t="s">
        <v>1945</v>
      </c>
      <c r="B138" t="s">
        <v>1946</v>
      </c>
    </row>
    <row r="139" spans="1:2" x14ac:dyDescent="0.25">
      <c r="A139" t="s">
        <v>1833</v>
      </c>
      <c r="B139" t="s">
        <v>1834</v>
      </c>
    </row>
    <row r="140" spans="1:2" x14ac:dyDescent="0.25">
      <c r="A140" t="s">
        <v>1947</v>
      </c>
      <c r="B140" t="s">
        <v>1948</v>
      </c>
    </row>
    <row r="141" spans="1:2" x14ac:dyDescent="0.25">
      <c r="A141" t="s">
        <v>1087</v>
      </c>
      <c r="B141" t="s">
        <v>1079</v>
      </c>
    </row>
    <row r="142" spans="1:2" x14ac:dyDescent="0.25">
      <c r="A142" t="s">
        <v>1864</v>
      </c>
      <c r="B142" t="s">
        <v>1865</v>
      </c>
    </row>
    <row r="143" spans="1:2" x14ac:dyDescent="0.25">
      <c r="A143" t="s">
        <v>546</v>
      </c>
      <c r="B143" t="s">
        <v>1760</v>
      </c>
    </row>
    <row r="144" spans="1:2" x14ac:dyDescent="0.25">
      <c r="A144" t="s">
        <v>531</v>
      </c>
      <c r="B144" t="s">
        <v>494</v>
      </c>
    </row>
    <row r="145" spans="1:2" x14ac:dyDescent="0.25">
      <c r="A145" t="s">
        <v>1814</v>
      </c>
      <c r="B145" t="s">
        <v>1815</v>
      </c>
    </row>
    <row r="146" spans="1:2" x14ac:dyDescent="0.25">
      <c r="A146" t="s">
        <v>549</v>
      </c>
      <c r="B146" t="s">
        <v>1744</v>
      </c>
    </row>
    <row r="147" spans="1:2" x14ac:dyDescent="0.25">
      <c r="A147" t="s">
        <v>674</v>
      </c>
      <c r="B147" t="s">
        <v>673</v>
      </c>
    </row>
    <row r="148" spans="1:2" x14ac:dyDescent="0.25">
      <c r="A148" t="s">
        <v>1085</v>
      </c>
      <c r="B148" t="s">
        <v>1077</v>
      </c>
    </row>
    <row r="149" spans="1:2" x14ac:dyDescent="0.25">
      <c r="A149" t="s">
        <v>1866</v>
      </c>
      <c r="B149" t="s">
        <v>1867</v>
      </c>
    </row>
    <row r="150" spans="1:2" x14ac:dyDescent="0.25">
      <c r="A150" t="s">
        <v>1094</v>
      </c>
      <c r="B150" t="s">
        <v>1091</v>
      </c>
    </row>
    <row r="151" spans="1:2" x14ac:dyDescent="0.25">
      <c r="A151" t="s">
        <v>544</v>
      </c>
      <c r="B151" t="s">
        <v>1799</v>
      </c>
    </row>
    <row r="152" spans="1:2" x14ac:dyDescent="0.25">
      <c r="A152" t="s">
        <v>1835</v>
      </c>
      <c r="B152" t="s">
        <v>1836</v>
      </c>
    </row>
    <row r="153" spans="1:2" x14ac:dyDescent="0.25">
      <c r="A153" t="s">
        <v>1837</v>
      </c>
      <c r="B153" t="s">
        <v>1838</v>
      </c>
    </row>
    <row r="154" spans="1:2" x14ac:dyDescent="0.25">
      <c r="A154" t="s">
        <v>561</v>
      </c>
      <c r="B154" t="s">
        <v>495</v>
      </c>
    </row>
    <row r="155" spans="1:2" x14ac:dyDescent="0.25">
      <c r="A155" t="s">
        <v>1740</v>
      </c>
      <c r="B155" t="s">
        <v>1741</v>
      </c>
    </row>
    <row r="156" spans="1:2" x14ac:dyDescent="0.25">
      <c r="A156" t="s">
        <v>1810</v>
      </c>
      <c r="B156" t="s">
        <v>1811</v>
      </c>
    </row>
    <row r="157" spans="1:2" x14ac:dyDescent="0.25">
      <c r="A157" t="s">
        <v>1761</v>
      </c>
      <c r="B157" t="s">
        <v>496</v>
      </c>
    </row>
    <row r="158" spans="1:2" x14ac:dyDescent="0.25">
      <c r="A158" t="s">
        <v>547</v>
      </c>
      <c r="B158" t="s">
        <v>497</v>
      </c>
    </row>
    <row r="159" spans="1:2" x14ac:dyDescent="0.25">
      <c r="A159" t="s">
        <v>1827</v>
      </c>
      <c r="B159" t="s">
        <v>1828</v>
      </c>
    </row>
    <row r="160" spans="1:2" x14ac:dyDescent="0.25">
      <c r="A160" t="s">
        <v>1099</v>
      </c>
      <c r="B160" t="s">
        <v>1098</v>
      </c>
    </row>
    <row r="161" spans="1:2" x14ac:dyDescent="0.25">
      <c r="A161" t="s">
        <v>1997</v>
      </c>
      <c r="B161" t="s">
        <v>1998</v>
      </c>
    </row>
    <row r="162" spans="1:2" x14ac:dyDescent="0.25">
      <c r="A162" t="s">
        <v>1074</v>
      </c>
      <c r="B162" t="s">
        <v>1073</v>
      </c>
    </row>
    <row r="163" spans="1:2" x14ac:dyDescent="0.25">
      <c r="A163" t="s">
        <v>1046</v>
      </c>
      <c r="B163" t="s">
        <v>1785</v>
      </c>
    </row>
    <row r="164" spans="1:2" x14ac:dyDescent="0.25">
      <c r="A164" t="s">
        <v>1999</v>
      </c>
      <c r="B164" t="s">
        <v>2000</v>
      </c>
    </row>
    <row r="165" spans="1:2" x14ac:dyDescent="0.25">
      <c r="A165" t="s">
        <v>1066</v>
      </c>
      <c r="B165" t="s">
        <v>1057</v>
      </c>
    </row>
    <row r="166" spans="1:2" x14ac:dyDescent="0.25">
      <c r="A166" t="s">
        <v>1951</v>
      </c>
      <c r="B166" t="s">
        <v>1952</v>
      </c>
    </row>
    <row r="167" spans="1:2" x14ac:dyDescent="0.25">
      <c r="A167" t="s">
        <v>1949</v>
      </c>
      <c r="B167" t="s">
        <v>1950</v>
      </c>
    </row>
    <row r="168" spans="1:2" x14ac:dyDescent="0.25">
      <c r="A168" t="s">
        <v>558</v>
      </c>
      <c r="B168" t="s">
        <v>499</v>
      </c>
    </row>
    <row r="169" spans="1:2" x14ac:dyDescent="0.25">
      <c r="A169" t="s">
        <v>1841</v>
      </c>
      <c r="B169" t="s">
        <v>1842</v>
      </c>
    </row>
    <row r="170" spans="1:2" x14ac:dyDescent="0.25">
      <c r="A170" t="s">
        <v>2005</v>
      </c>
      <c r="B170" t="s">
        <v>2006</v>
      </c>
    </row>
    <row r="171" spans="1:2" x14ac:dyDescent="0.25">
      <c r="A171" t="s">
        <v>1854</v>
      </c>
      <c r="B171" t="s">
        <v>1855</v>
      </c>
    </row>
    <row r="172" spans="1:2" x14ac:dyDescent="0.25">
      <c r="A172" t="s">
        <v>1749</v>
      </c>
      <c r="B172" t="s">
        <v>1750</v>
      </c>
    </row>
    <row r="173" spans="1:2" x14ac:dyDescent="0.25">
      <c r="A173" t="s">
        <v>2007</v>
      </c>
      <c r="B173" t="s">
        <v>2008</v>
      </c>
    </row>
    <row r="174" spans="1:2" x14ac:dyDescent="0.25">
      <c r="A174" t="s">
        <v>1909</v>
      </c>
      <c r="B174" t="s">
        <v>1910</v>
      </c>
    </row>
    <row r="175" spans="1:2" x14ac:dyDescent="0.25">
      <c r="A175" t="s">
        <v>1783</v>
      </c>
      <c r="B175" t="s">
        <v>1784</v>
      </c>
    </row>
    <row r="176" spans="1:2" x14ac:dyDescent="0.25">
      <c r="A176" t="s">
        <v>1953</v>
      </c>
      <c r="B176" t="s">
        <v>1954</v>
      </c>
    </row>
    <row r="177" spans="1:2" x14ac:dyDescent="0.25">
      <c r="A177" t="s">
        <v>2001</v>
      </c>
      <c r="B177" t="s">
        <v>2002</v>
      </c>
    </row>
    <row r="178" spans="1:2" x14ac:dyDescent="0.25">
      <c r="A178" t="s">
        <v>1868</v>
      </c>
      <c r="B178" t="s">
        <v>1869</v>
      </c>
    </row>
    <row r="179" spans="1:2" x14ac:dyDescent="0.25">
      <c r="A179" t="s">
        <v>1762</v>
      </c>
      <c r="B179" t="s">
        <v>1763</v>
      </c>
    </row>
    <row r="180" spans="1:2" x14ac:dyDescent="0.25">
      <c r="A180" t="s">
        <v>1385</v>
      </c>
      <c r="B180" t="s">
        <v>1384</v>
      </c>
    </row>
    <row r="181" spans="1:2" x14ac:dyDescent="0.25">
      <c r="A181" t="s">
        <v>559</v>
      </c>
      <c r="B181" t="s">
        <v>498</v>
      </c>
    </row>
    <row r="182" spans="1:2" x14ac:dyDescent="0.25">
      <c r="A182" t="s">
        <v>2009</v>
      </c>
      <c r="B182" t="s">
        <v>2010</v>
      </c>
    </row>
    <row r="183" spans="1:2" x14ac:dyDescent="0.25">
      <c r="A183" t="s">
        <v>2003</v>
      </c>
      <c r="B183" t="s">
        <v>2004</v>
      </c>
    </row>
    <row r="184" spans="1:2" x14ac:dyDescent="0.25">
      <c r="A184" t="s">
        <v>2017</v>
      </c>
      <c r="B184" t="s">
        <v>2018</v>
      </c>
    </row>
    <row r="185" spans="1:2" x14ac:dyDescent="0.25">
      <c r="A185" t="s">
        <v>1913</v>
      </c>
      <c r="B185" t="s">
        <v>1914</v>
      </c>
    </row>
    <row r="186" spans="1:2" x14ac:dyDescent="0.25">
      <c r="A186" t="s">
        <v>1971</v>
      </c>
      <c r="B186" t="s">
        <v>1972</v>
      </c>
    </row>
    <row r="187" spans="1:2" x14ac:dyDescent="0.25">
      <c r="A187" t="s">
        <v>1955</v>
      </c>
      <c r="B187" t="s">
        <v>1956</v>
      </c>
    </row>
    <row r="188" spans="1:2" x14ac:dyDescent="0.25">
      <c r="A188" t="s">
        <v>562</v>
      </c>
      <c r="B188" t="s">
        <v>500</v>
      </c>
    </row>
    <row r="189" spans="1:2" x14ac:dyDescent="0.25">
      <c r="A189" t="s">
        <v>1794</v>
      </c>
      <c r="B189" t="s">
        <v>1795</v>
      </c>
    </row>
    <row r="190" spans="1:2" x14ac:dyDescent="0.25">
      <c r="A190" t="s">
        <v>1088</v>
      </c>
      <c r="B190" t="s">
        <v>1078</v>
      </c>
    </row>
    <row r="191" spans="1:2" x14ac:dyDescent="0.25">
      <c r="A191" t="s">
        <v>1823</v>
      </c>
      <c r="B191" t="s">
        <v>1824</v>
      </c>
    </row>
    <row r="192" spans="1:2" x14ac:dyDescent="0.25">
      <c r="A192" t="s">
        <v>1843</v>
      </c>
      <c r="B192" t="s">
        <v>1844</v>
      </c>
    </row>
    <row r="193" spans="1:2" x14ac:dyDescent="0.25">
      <c r="A193" t="s">
        <v>1870</v>
      </c>
      <c r="B193" t="s">
        <v>1871</v>
      </c>
    </row>
    <row r="194" spans="1:2" x14ac:dyDescent="0.25">
      <c r="A194" t="s">
        <v>1915</v>
      </c>
      <c r="B194" t="s">
        <v>1916</v>
      </c>
    </row>
    <row r="195" spans="1:2" x14ac:dyDescent="0.25">
      <c r="A195" t="s">
        <v>553</v>
      </c>
      <c r="B195" t="s">
        <v>501</v>
      </c>
    </row>
    <row r="196" spans="1:2" x14ac:dyDescent="0.25">
      <c r="A196" t="s">
        <v>1808</v>
      </c>
      <c r="B196" t="s">
        <v>1809</v>
      </c>
    </row>
    <row r="197" spans="1:2" x14ac:dyDescent="0.25">
      <c r="A197" t="s">
        <v>1957</v>
      </c>
      <c r="B197" t="s">
        <v>1958</v>
      </c>
    </row>
    <row r="198" spans="1:2" x14ac:dyDescent="0.25">
      <c r="A198" t="s">
        <v>1086</v>
      </c>
      <c r="B198" t="s">
        <v>1082</v>
      </c>
    </row>
    <row r="199" spans="1:2" x14ac:dyDescent="0.25">
      <c r="A199" t="s">
        <v>1048</v>
      </c>
      <c r="B199" t="s">
        <v>1042</v>
      </c>
    </row>
    <row r="200" spans="1:2" x14ac:dyDescent="0.25">
      <c r="A200" t="s">
        <v>1357</v>
      </c>
      <c r="B200" t="s">
        <v>1356</v>
      </c>
    </row>
    <row r="201" spans="1:2" x14ac:dyDescent="0.25">
      <c r="A201" t="s">
        <v>536</v>
      </c>
      <c r="B201" t="s">
        <v>1733</v>
      </c>
    </row>
    <row r="202" spans="1:2" x14ac:dyDescent="0.25">
      <c r="A202" t="s">
        <v>1063</v>
      </c>
      <c r="B202" t="s">
        <v>1054</v>
      </c>
    </row>
    <row r="203" spans="1:2" x14ac:dyDescent="0.25">
      <c r="A203" t="s">
        <v>1747</v>
      </c>
      <c r="B203" t="s">
        <v>1748</v>
      </c>
    </row>
    <row r="204" spans="1:2" x14ac:dyDescent="0.25">
      <c r="A204" t="s">
        <v>1911</v>
      </c>
      <c r="B204" t="s">
        <v>1912</v>
      </c>
    </row>
    <row r="205" spans="1:2" x14ac:dyDescent="0.25">
      <c r="A205" t="s">
        <v>1872</v>
      </c>
      <c r="B205" t="s">
        <v>1873</v>
      </c>
    </row>
    <row r="206" spans="1:2" x14ac:dyDescent="0.25">
      <c r="A206" t="s">
        <v>1885</v>
      </c>
      <c r="B206" t="s">
        <v>1886</v>
      </c>
    </row>
    <row r="207" spans="1:2" x14ac:dyDescent="0.25">
      <c r="A207" t="s">
        <v>1742</v>
      </c>
      <c r="B207" t="s">
        <v>1743</v>
      </c>
    </row>
    <row r="208" spans="1:2" x14ac:dyDescent="0.25">
      <c r="A208" t="s">
        <v>1061</v>
      </c>
      <c r="B208" t="s">
        <v>1060</v>
      </c>
    </row>
    <row r="209" spans="1:2" x14ac:dyDescent="0.25">
      <c r="A209" t="s">
        <v>1845</v>
      </c>
      <c r="B209" t="s">
        <v>1846</v>
      </c>
    </row>
    <row r="210" spans="1:2" x14ac:dyDescent="0.25">
      <c r="A210" t="s">
        <v>1839</v>
      </c>
      <c r="B210" t="s">
        <v>1840</v>
      </c>
    </row>
    <row r="211" spans="1:2" x14ac:dyDescent="0.25">
      <c r="A211" t="s">
        <v>1383</v>
      </c>
      <c r="B211" t="s">
        <v>1779</v>
      </c>
    </row>
    <row r="212" spans="1:2" x14ac:dyDescent="0.25">
      <c r="A212" t="s">
        <v>2020</v>
      </c>
      <c r="B212" t="s">
        <v>2021</v>
      </c>
    </row>
    <row r="213" spans="1:2" x14ac:dyDescent="0.25">
      <c r="A213" t="s">
        <v>866</v>
      </c>
      <c r="B213" t="s">
        <v>1043</v>
      </c>
    </row>
    <row r="214" spans="1:2" x14ac:dyDescent="0.25">
      <c r="A214" t="s">
        <v>1959</v>
      </c>
      <c r="B214" t="s">
        <v>1960</v>
      </c>
    </row>
    <row r="215" spans="1:2" x14ac:dyDescent="0.25">
      <c r="A215" t="s">
        <v>1961</v>
      </c>
      <c r="B215" t="s">
        <v>1962</v>
      </c>
    </row>
  </sheetData>
  <phoneticPr fontId="34" type="noConversion"/>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43F4B11809614B8C7142A25B051F85" ma:contentTypeVersion="15" ma:contentTypeDescription="Create a new document." ma:contentTypeScope="" ma:versionID="f54a088b70d9236e31bbfa30fc774a5a">
  <xsd:schema xmlns:xsd="http://www.w3.org/2001/XMLSchema" xmlns:xs="http://www.w3.org/2001/XMLSchema" xmlns:p="http://schemas.microsoft.com/office/2006/metadata/properties" xmlns:ns2="abf1c5ff-e68d-4873-b17f-19390feb4f86" xmlns:ns3="b7c27998-862e-45e2-accd-4eddfdf83d29" targetNamespace="http://schemas.microsoft.com/office/2006/metadata/properties" ma:root="true" ma:fieldsID="e285842ab98332f8fe6cfbe4dbf6b993" ns2:_="" ns3:_="">
    <xsd:import namespace="abf1c5ff-e68d-4873-b17f-19390feb4f86"/>
    <xsd:import namespace="b7c27998-862e-45e2-accd-4eddfdf83d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1c5ff-e68d-4873-b17f-19390feb4f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1d526fdd-4fbb-498d-9b31-2529bed1431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c27998-862e-45e2-accd-4eddfdf83d2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4584b376-f757-4ecc-94be-991aad625f4a}" ma:internalName="TaxCatchAll" ma:showField="CatchAllData" ma:web="b7c27998-862e-45e2-accd-4eddfdf83d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7c27998-862e-45e2-accd-4eddfdf83d29" xsi:nil="true"/>
    <lcf76f155ced4ddcb4097134ff3c332f xmlns="abf1c5ff-e68d-4873-b17f-19390feb4f8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0028F2-91D3-407E-8E0A-26E218D44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1c5ff-e68d-4873-b17f-19390feb4f86"/>
    <ds:schemaRef ds:uri="b7c27998-862e-45e2-accd-4eddfdf83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115C8D-47B9-44E2-96D1-EA00C13EE2A5}">
  <ds:schemaRefs>
    <ds:schemaRef ds:uri="http://schemas.openxmlformats.org/package/2006/metadata/core-properties"/>
    <ds:schemaRef ds:uri="http://schemas.microsoft.com/office/2006/metadata/properties"/>
    <ds:schemaRef ds:uri="abf1c5ff-e68d-4873-b17f-19390feb4f86"/>
    <ds:schemaRef ds:uri="b7c27998-862e-45e2-accd-4eddfdf83d29"/>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275F8F5F-00E6-483E-B1DC-9C48803EE5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Notes</vt:lpstr>
      <vt:lpstr>Definitions and assumptions</vt:lpstr>
      <vt:lpstr>Projects</vt:lpstr>
      <vt:lpstr>References</vt:lpstr>
      <vt:lpstr>Lists</vt:lpstr>
      <vt:lpstr>Countries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2024-11-07T13:23:03Z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0x0101007C43F4B11809614B8C7142A25B051F85</vt:lpwstr>
  </property>
  <property fmtid="{D5CDD505-2E9C-101B-9397-08002B2CF9AE}" pid="3" name="MediaServiceImageTags">
    <vt:lpwstr/>
  </property>
</Properties>
</file>